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23016087\Downloads\"/>
    </mc:Choice>
  </mc:AlternateContent>
  <xr:revisionPtr revIDLastSave="0" documentId="8_{42C08E5C-9142-4157-877F-E97719F45BC4}" xr6:coauthVersionLast="47" xr6:coauthVersionMax="47" xr10:uidLastSave="{00000000-0000-0000-0000-000000000000}"/>
  <bookViews>
    <workbookView xWindow="-120" yWindow="-120" windowWidth="29040" windowHeight="15840" firstSheet="1" activeTab="4" xr2:uid="{00000000-000D-0000-FFFF-FFFF00000000}"/>
  </bookViews>
  <sheets>
    <sheet name="&gt;&gt; Model" sheetId="1" r:id="rId1"/>
    <sheet name="&gt;&gt; Inputs" sheetId="2" r:id="rId2"/>
    <sheet name="&gt;&gt; Dash" sheetId="3" r:id="rId3"/>
    <sheet name="&gt;&gt; Summary" sheetId="14" r:id="rId4"/>
    <sheet name="Scenario analysis" sheetId="22" r:id="rId5"/>
    <sheet name="&gt;&gt; Valuation" sheetId="4" r:id="rId6"/>
    <sheet name="&gt;&gt; DDM" sheetId="12" r:id="rId7"/>
    <sheet name="&gt;&gt; Relative" sheetId="13" r:id="rId8"/>
    <sheet name="&gt;&gt; Summary (2)" sheetId="17" state="hidden" r:id="rId9"/>
    <sheet name="&gt;&gt; Fin Stmts" sheetId="5" r:id="rId10"/>
    <sheet name="Data_Raw" sheetId="6" state="hidden" r:id="rId11"/>
    <sheet name="&gt;&gt; SKC segments" sheetId="7" r:id="rId12"/>
    <sheet name="Growth Drivers" sheetId="20" r:id="rId13"/>
    <sheet name="Growth Rates" sheetId="10" state="hidden" r:id="rId14"/>
    <sheet name="Capex" sheetId="18" r:id="rId15"/>
    <sheet name="Regular Dep. Calculation" sheetId="19" r:id="rId16"/>
    <sheet name="Sheet2" sheetId="8" state="hidden" r:id="rId17"/>
    <sheet name="Sheet1" sheetId="9" state="hidden" r:id="rId18"/>
  </sheets>
  <externalReferences>
    <externalReference r:id="rId19"/>
    <externalReference r:id="rId20"/>
  </externalReferences>
  <definedNames>
    <definedName name="_xlnm._FilterDatabase" localSheetId="4" hidden="1">'Scenario analysis'!$C$26:$F$29</definedName>
    <definedName name="_xlchart.v1.0" hidden="1">'Scenario analysis'!$A$26:$A$29</definedName>
    <definedName name="_xlchart.v1.1" hidden="1">'Scenario analysis'!$F$25</definedName>
    <definedName name="_xlchart.v1.2" hidden="1">'Scenario analysis'!$F$26:$F$29</definedName>
    <definedName name="_xlchart.v1.3" hidden="1">'Scenario analysis'!$A$26:$A$29</definedName>
    <definedName name="_xlchart.v1.4" hidden="1">'Scenario analysis'!$F$25</definedName>
    <definedName name="_xlchart.v1.5" hidden="1">'Scenario analysis'!$F$26:$F$29</definedName>
    <definedName name="DiY">'&gt;&gt; Inputs'!$G$81</definedName>
    <definedName name="Hist_Year">[1]DCF!$K$7</definedName>
    <definedName name="kt">'&gt;&gt; Inputs'!$G$80</definedName>
    <definedName name="Millions">'&gt;&gt; Inputs'!$G$79</definedName>
    <definedName name="MiY">'&gt;&gt; Inputs'!$G$78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kXtIn3vw2ndjBQZGelq/VI6FuSNC880+akK0TRv4IZE="/>
    </ext>
  </extLst>
</workbook>
</file>

<file path=xl/calcChain.xml><?xml version="1.0" encoding="utf-8"?>
<calcChain xmlns="http://schemas.openxmlformats.org/spreadsheetml/2006/main">
  <c r="AB18" i="22" l="1"/>
  <c r="Y101" i="5"/>
  <c r="X101" i="5"/>
  <c r="W101" i="5"/>
  <c r="V101" i="5"/>
  <c r="U101" i="5"/>
  <c r="T101" i="5"/>
  <c r="S101" i="5"/>
  <c r="R101" i="5"/>
  <c r="Q101" i="5"/>
  <c r="P101" i="5"/>
  <c r="AB10" i="22"/>
  <c r="AB3" i="22"/>
  <c r="AB4" i="22"/>
  <c r="AB5" i="22"/>
  <c r="AB6" i="22"/>
  <c r="AB7" i="22"/>
  <c r="AB8" i="22"/>
  <c r="AB9" i="22"/>
  <c r="AB11" i="22"/>
  <c r="AB12" i="22"/>
  <c r="AB13" i="22"/>
  <c r="AB14" i="22"/>
  <c r="AB15" i="22"/>
  <c r="AB16" i="22"/>
  <c r="AB17" i="22"/>
  <c r="AB2" i="22"/>
  <c r="U29" i="22"/>
  <c r="U32" i="22"/>
  <c r="U2" i="22"/>
  <c r="U13" i="22"/>
  <c r="U14" i="22"/>
  <c r="U15" i="22"/>
  <c r="U16" i="22"/>
  <c r="U17" i="22"/>
  <c r="U18" i="22"/>
  <c r="U19" i="22"/>
  <c r="U20" i="22"/>
  <c r="U21" i="22"/>
  <c r="U22" i="22"/>
  <c r="U23" i="22"/>
  <c r="U24" i="22"/>
  <c r="U25" i="22"/>
  <c r="U26" i="22"/>
  <c r="U27" i="22"/>
  <c r="U28" i="22"/>
  <c r="U30" i="22"/>
  <c r="U31" i="22"/>
  <c r="U3" i="22"/>
  <c r="U4" i="22"/>
  <c r="U5" i="22"/>
  <c r="U6" i="22"/>
  <c r="U7" i="22"/>
  <c r="U8" i="22"/>
  <c r="U9" i="22"/>
  <c r="U10" i="22"/>
  <c r="U11" i="22"/>
  <c r="U12" i="22"/>
  <c r="Q3" i="22"/>
  <c r="Q4" i="22" s="1"/>
  <c r="Q5" i="22" s="1"/>
  <c r="Q6" i="22" s="1"/>
  <c r="Q7" i="22" s="1"/>
  <c r="Q8" i="22" s="1"/>
  <c r="Q9" i="22" s="1"/>
  <c r="Q10" i="22" s="1"/>
  <c r="Q11" i="22" s="1"/>
  <c r="Q12" i="22" s="1"/>
  <c r="Q13" i="22" s="1"/>
  <c r="Q14" i="22" s="1"/>
  <c r="Q15" i="22" s="1"/>
  <c r="Q16" i="22" s="1"/>
  <c r="Q17" i="22" s="1"/>
  <c r="Q18" i="22" s="1"/>
  <c r="Q19" i="22" s="1"/>
  <c r="Q20" i="22" s="1"/>
  <c r="Q21" i="22" s="1"/>
  <c r="Q22" i="22" s="1"/>
  <c r="Q23" i="22" s="1"/>
  <c r="Q24" i="22" s="1"/>
  <c r="Q25" i="22" s="1"/>
  <c r="Q26" i="22" s="1"/>
  <c r="Q27" i="22" s="1"/>
  <c r="Q28" i="22" s="1"/>
  <c r="Q29" i="22" s="1"/>
  <c r="Q30" i="22" s="1"/>
  <c r="Q31" i="22" s="1"/>
  <c r="Q32" i="22" s="1"/>
  <c r="F27" i="22"/>
  <c r="F28" i="22"/>
  <c r="F29" i="22"/>
  <c r="F26" i="22"/>
  <c r="F3" i="22"/>
  <c r="F4" i="22"/>
  <c r="F5" i="22"/>
  <c r="F6" i="22"/>
  <c r="F7" i="22"/>
  <c r="F8" i="22"/>
  <c r="F9" i="22"/>
  <c r="F10" i="22"/>
  <c r="F11" i="22"/>
  <c r="F12" i="22"/>
  <c r="F13" i="22"/>
  <c r="F14" i="22"/>
  <c r="F15" i="22"/>
  <c r="F16" i="22"/>
  <c r="F17" i="22"/>
  <c r="F18" i="22"/>
  <c r="F19" i="22"/>
  <c r="F20" i="22"/>
  <c r="F21" i="22"/>
  <c r="F22" i="22"/>
  <c r="F2" i="22"/>
  <c r="B2" i="22"/>
  <c r="A3" i="22"/>
  <c r="A4" i="22" s="1"/>
  <c r="A5" i="22" s="1"/>
  <c r="A6" i="22" s="1"/>
  <c r="A7" i="22" s="1"/>
  <c r="A8" i="22" s="1"/>
  <c r="A9" i="22" s="1"/>
  <c r="A10" i="22" s="1"/>
  <c r="A11" i="22" s="1"/>
  <c r="A12" i="22" s="1"/>
  <c r="A13" i="22" s="1"/>
  <c r="A14" i="22" s="1"/>
  <c r="A15" i="22" s="1"/>
  <c r="A16" i="22" s="1"/>
  <c r="A17" i="22" s="1"/>
  <c r="A18" i="22" s="1"/>
  <c r="A19" i="22" s="1"/>
  <c r="A20" i="22" s="1"/>
  <c r="A21" i="22" s="1"/>
  <c r="A22" i="22" s="1"/>
  <c r="Q144" i="4" l="1"/>
  <c r="Q140" i="4"/>
  <c r="M58" i="18"/>
  <c r="R78" i="5"/>
  <c r="S78" i="5" s="1"/>
  <c r="T78" i="5" s="1"/>
  <c r="U78" i="5" s="1"/>
  <c r="V78" i="5" s="1"/>
  <c r="W78" i="5" s="1"/>
  <c r="X78" i="5" s="1"/>
  <c r="Y78" i="5" s="1"/>
  <c r="Q78" i="5"/>
  <c r="P78" i="5"/>
  <c r="P81" i="5" s="1"/>
  <c r="G35" i="2"/>
  <c r="G34" i="2"/>
  <c r="G33" i="2"/>
  <c r="P22" i="7"/>
  <c r="Q22" i="7" s="1"/>
  <c r="R22" i="7" s="1"/>
  <c r="S22" i="7" s="1"/>
  <c r="T22" i="7" s="1"/>
  <c r="U22" i="7" s="1"/>
  <c r="V22" i="7" s="1"/>
  <c r="W22" i="7" s="1"/>
  <c r="X22" i="7" s="1"/>
  <c r="Y22" i="7" s="1"/>
  <c r="V37" i="20"/>
  <c r="P21" i="7"/>
  <c r="Q21" i="7" s="1"/>
  <c r="R21" i="7" s="1"/>
  <c r="S21" i="7" s="1"/>
  <c r="T21" i="7" s="1"/>
  <c r="U21" i="7" s="1"/>
  <c r="V21" i="7" s="1"/>
  <c r="W21" i="7" s="1"/>
  <c r="X21" i="7" s="1"/>
  <c r="Y21" i="7" s="1"/>
  <c r="P20" i="7"/>
  <c r="P19" i="7"/>
  <c r="P18" i="7"/>
  <c r="V31" i="20"/>
  <c r="V32" i="20"/>
  <c r="V33" i="20"/>
  <c r="V34" i="20"/>
  <c r="V35" i="20"/>
  <c r="V36" i="20"/>
  <c r="V38" i="20"/>
  <c r="V30" i="20"/>
  <c r="Q42" i="7"/>
  <c r="R42" i="7" s="1"/>
  <c r="S42" i="7" s="1"/>
  <c r="T42" i="7" s="1"/>
  <c r="U42" i="7" s="1"/>
  <c r="V42" i="7" s="1"/>
  <c r="W42" i="7" s="1"/>
  <c r="X42" i="7" s="1"/>
  <c r="Y42" i="7" s="1"/>
  <c r="Q41" i="7"/>
  <c r="R41" i="7" s="1"/>
  <c r="S41" i="7" s="1"/>
  <c r="T41" i="7" s="1"/>
  <c r="U41" i="7" s="1"/>
  <c r="V41" i="7" s="1"/>
  <c r="W41" i="7" s="1"/>
  <c r="X41" i="7" s="1"/>
  <c r="Y41" i="7" s="1"/>
  <c r="Q40" i="7"/>
  <c r="R40" i="7" s="1"/>
  <c r="S40" i="7" s="1"/>
  <c r="T40" i="7" s="1"/>
  <c r="U40" i="7" s="1"/>
  <c r="V40" i="7" s="1"/>
  <c r="W40" i="7" s="1"/>
  <c r="X40" i="7" s="1"/>
  <c r="Y40" i="7" s="1"/>
  <c r="Q39" i="7"/>
  <c r="R39" i="7" s="1"/>
  <c r="S39" i="7" s="1"/>
  <c r="T39" i="7" s="1"/>
  <c r="U39" i="7" s="1"/>
  <c r="V39" i="7" s="1"/>
  <c r="W39" i="7" s="1"/>
  <c r="X39" i="7" s="1"/>
  <c r="Y39" i="7" s="1"/>
  <c r="Q38" i="7"/>
  <c r="R38" i="7" s="1"/>
  <c r="S38" i="7" s="1"/>
  <c r="T38" i="7" s="1"/>
  <c r="U38" i="7" s="1"/>
  <c r="V38" i="7" s="1"/>
  <c r="W38" i="7" s="1"/>
  <c r="X38" i="7" s="1"/>
  <c r="Y38" i="7" s="1"/>
  <c r="O38" i="7"/>
  <c r="P42" i="7"/>
  <c r="P41" i="7"/>
  <c r="P40" i="7"/>
  <c r="P39" i="7"/>
  <c r="P38" i="7"/>
  <c r="F39" i="20"/>
  <c r="F37" i="20"/>
  <c r="F36" i="20"/>
  <c r="F34" i="20"/>
  <c r="F33" i="20"/>
  <c r="F32" i="20"/>
  <c r="F31" i="20"/>
  <c r="F30" i="20"/>
  <c r="E37" i="20"/>
  <c r="E34" i="20"/>
  <c r="E32" i="20"/>
  <c r="E31" i="20"/>
  <c r="E30" i="20"/>
  <c r="E39" i="20" s="1"/>
  <c r="E41" i="20" s="1"/>
  <c r="J41" i="20"/>
  <c r="L41" i="20"/>
  <c r="N41" i="20"/>
  <c r="G39" i="20"/>
  <c r="H32" i="20" s="1"/>
  <c r="G37" i="20"/>
  <c r="G34" i="20"/>
  <c r="G32" i="20"/>
  <c r="G31" i="20"/>
  <c r="G30" i="20"/>
  <c r="S61" i="20"/>
  <c r="Q61" i="20"/>
  <c r="O61" i="20"/>
  <c r="M61" i="20"/>
  <c r="K61" i="20"/>
  <c r="I61" i="20"/>
  <c r="Q60" i="20"/>
  <c r="O60" i="20"/>
  <c r="M60" i="20"/>
  <c r="K60" i="20"/>
  <c r="I60" i="20"/>
  <c r="F53" i="20"/>
  <c r="F52" i="20"/>
  <c r="F51" i="20"/>
  <c r="F50" i="20"/>
  <c r="F48" i="20"/>
  <c r="F47" i="20"/>
  <c r="F46" i="20"/>
  <c r="F45" i="20"/>
  <c r="F44" i="20"/>
  <c r="F55" i="20"/>
  <c r="E48" i="20"/>
  <c r="E44" i="20"/>
  <c r="E52" i="20"/>
  <c r="E51" i="20"/>
  <c r="E47" i="20"/>
  <c r="E46" i="20"/>
  <c r="E45" i="20"/>
  <c r="E67" i="20"/>
  <c r="L67" i="20"/>
  <c r="J66" i="20"/>
  <c r="L66" i="20" s="1"/>
  <c r="J65" i="20"/>
  <c r="L65" i="20" s="1"/>
  <c r="E66" i="20"/>
  <c r="E65" i="20"/>
  <c r="C66" i="20"/>
  <c r="C65" i="20"/>
  <c r="U12" i="20"/>
  <c r="G53" i="20"/>
  <c r="G50" i="20"/>
  <c r="G47" i="20"/>
  <c r="I34" i="20"/>
  <c r="I32" i="20"/>
  <c r="I31" i="20"/>
  <c r="I30" i="20"/>
  <c r="I41" i="20"/>
  <c r="K41" i="20"/>
  <c r="K39" i="20"/>
  <c r="L30" i="20" s="1"/>
  <c r="I55" i="20"/>
  <c r="J55" i="20" s="1"/>
  <c r="M41" i="20"/>
  <c r="M55" i="20"/>
  <c r="M39" i="20"/>
  <c r="N31" i="20" s="1"/>
  <c r="Q55" i="20"/>
  <c r="R52" i="20" s="1"/>
  <c r="O55" i="20"/>
  <c r="P47" i="20" s="1"/>
  <c r="Q41" i="20"/>
  <c r="Q39" i="20"/>
  <c r="R30" i="20" s="1"/>
  <c r="O41" i="20"/>
  <c r="O39" i="20"/>
  <c r="P45" i="5"/>
  <c r="Q45" i="5" s="1"/>
  <c r="R45" i="5" s="1"/>
  <c r="S45" i="5" s="1"/>
  <c r="T45" i="5" s="1"/>
  <c r="U45" i="5" s="1"/>
  <c r="V45" i="5" l="1"/>
  <c r="Q18" i="7"/>
  <c r="R18" i="7" s="1"/>
  <c r="S18" i="7" s="1"/>
  <c r="T18" i="7" s="1"/>
  <c r="U18" i="7" s="1"/>
  <c r="V18" i="7" s="1"/>
  <c r="W18" i="7" s="1"/>
  <c r="X18" i="7" s="1"/>
  <c r="Y18" i="7" s="1"/>
  <c r="Q19" i="7"/>
  <c r="R19" i="7" s="1"/>
  <c r="S19" i="7" s="1"/>
  <c r="T19" i="7" s="1"/>
  <c r="U19" i="7" s="1"/>
  <c r="V19" i="7" s="1"/>
  <c r="W19" i="7" s="1"/>
  <c r="X19" i="7" s="1"/>
  <c r="Y19" i="7" s="1"/>
  <c r="Q20" i="7"/>
  <c r="R20" i="7" s="1"/>
  <c r="S20" i="7" s="1"/>
  <c r="T20" i="7" s="1"/>
  <c r="U20" i="7" s="1"/>
  <c r="V20" i="7" s="1"/>
  <c r="W20" i="7" s="1"/>
  <c r="X20" i="7" s="1"/>
  <c r="Y20" i="7" s="1"/>
  <c r="H33" i="20"/>
  <c r="G42" i="20"/>
  <c r="H34" i="20"/>
  <c r="G41" i="20"/>
  <c r="H41" i="20" s="1"/>
  <c r="H36" i="20"/>
  <c r="H37" i="20"/>
  <c r="H30" i="20"/>
  <c r="G60" i="20"/>
  <c r="G61" i="20" s="1"/>
  <c r="V39" i="20"/>
  <c r="H39" i="20"/>
  <c r="H31" i="20"/>
  <c r="N30" i="20"/>
  <c r="N32" i="20"/>
  <c r="N33" i="20"/>
  <c r="N34" i="20"/>
  <c r="N36" i="20"/>
  <c r="N39" i="20"/>
  <c r="I39" i="20"/>
  <c r="J31" i="20" s="1"/>
  <c r="J46" i="20"/>
  <c r="J47" i="20"/>
  <c r="L31" i="20"/>
  <c r="J50" i="20"/>
  <c r="L32" i="20"/>
  <c r="N37" i="20"/>
  <c r="J51" i="20"/>
  <c r="L33" i="20"/>
  <c r="J52" i="20"/>
  <c r="L34" i="20"/>
  <c r="J44" i="20"/>
  <c r="J53" i="20"/>
  <c r="J48" i="20"/>
  <c r="J45" i="20"/>
  <c r="L36" i="20"/>
  <c r="L37" i="20"/>
  <c r="L39" i="20"/>
  <c r="N46" i="20"/>
  <c r="N55" i="20"/>
  <c r="N45" i="20"/>
  <c r="N47" i="20"/>
  <c r="N50" i="20"/>
  <c r="N51" i="20"/>
  <c r="N52" i="20"/>
  <c r="N44" i="20"/>
  <c r="N53" i="20"/>
  <c r="N48" i="20"/>
  <c r="P46" i="20"/>
  <c r="P48" i="20"/>
  <c r="P50" i="20"/>
  <c r="P51" i="20"/>
  <c r="R45" i="20"/>
  <c r="R44" i="20"/>
  <c r="R53" i="20"/>
  <c r="R46" i="20"/>
  <c r="P52" i="20"/>
  <c r="R47" i="20"/>
  <c r="P44" i="20"/>
  <c r="P53" i="20"/>
  <c r="R48" i="20"/>
  <c r="P45" i="20"/>
  <c r="P55" i="20"/>
  <c r="R50" i="20"/>
  <c r="R51" i="20"/>
  <c r="R55" i="20"/>
  <c r="R36" i="20"/>
  <c r="R37" i="20"/>
  <c r="R41" i="20"/>
  <c r="P41" i="20"/>
  <c r="P36" i="20"/>
  <c r="P30" i="20"/>
  <c r="P39" i="20"/>
  <c r="P33" i="20"/>
  <c r="R32" i="20"/>
  <c r="P32" i="20"/>
  <c r="R33" i="20"/>
  <c r="P37" i="20"/>
  <c r="P34" i="20"/>
  <c r="R31" i="20"/>
  <c r="R39" i="20"/>
  <c r="P31" i="20"/>
  <c r="R34" i="20"/>
  <c r="Q154" i="5"/>
  <c r="Q153" i="5"/>
  <c r="R152" i="5"/>
  <c r="Q152" i="5"/>
  <c r="P153" i="5"/>
  <c r="P154" i="5"/>
  <c r="P152" i="5"/>
  <c r="O151" i="5"/>
  <c r="R149" i="5"/>
  <c r="Q149" i="5"/>
  <c r="P149" i="5"/>
  <c r="Y377" i="7"/>
  <c r="X377" i="7"/>
  <c r="W377" i="7"/>
  <c r="V377" i="7"/>
  <c r="U377" i="7"/>
  <c r="T377" i="7"/>
  <c r="S377" i="7"/>
  <c r="R377" i="7"/>
  <c r="Q377" i="7"/>
  <c r="P377" i="7"/>
  <c r="Y316" i="7"/>
  <c r="X316" i="7"/>
  <c r="W316" i="7"/>
  <c r="V316" i="7"/>
  <c r="U316" i="7"/>
  <c r="T316" i="7"/>
  <c r="S316" i="7"/>
  <c r="R316" i="7"/>
  <c r="Q316" i="7"/>
  <c r="P316" i="7"/>
  <c r="Y245" i="7"/>
  <c r="X245" i="7"/>
  <c r="W245" i="7"/>
  <c r="V245" i="7"/>
  <c r="U245" i="7"/>
  <c r="T245" i="7"/>
  <c r="S245" i="7"/>
  <c r="R245" i="7"/>
  <c r="Q245" i="7"/>
  <c r="P245" i="7"/>
  <c r="J3" i="19"/>
  <c r="P160" i="7" s="1"/>
  <c r="I7" i="19"/>
  <c r="H7" i="19"/>
  <c r="G7" i="19"/>
  <c r="F7" i="19"/>
  <c r="E7" i="19"/>
  <c r="D7" i="19"/>
  <c r="C7" i="19"/>
  <c r="B7" i="19"/>
  <c r="J6" i="19"/>
  <c r="J5" i="19"/>
  <c r="L4" i="19"/>
  <c r="M4" i="19" s="1"/>
  <c r="K4" i="19"/>
  <c r="J4" i="19"/>
  <c r="O60" i="18"/>
  <c r="Q44" i="18"/>
  <c r="P44" i="18"/>
  <c r="O44" i="18"/>
  <c r="N44" i="18"/>
  <c r="I44" i="18"/>
  <c r="H44" i="18"/>
  <c r="H43" i="18"/>
  <c r="H42" i="18"/>
  <c r="L44" i="18" s="1"/>
  <c r="G42" i="18"/>
  <c r="F42" i="18"/>
  <c r="E42" i="18"/>
  <c r="D42" i="18"/>
  <c r="C42" i="18"/>
  <c r="B42" i="18"/>
  <c r="I42" i="18" s="1"/>
  <c r="K14" i="18"/>
  <c r="J14" i="18"/>
  <c r="I14" i="18"/>
  <c r="H14" i="18"/>
  <c r="K4" i="18"/>
  <c r="J4" i="18"/>
  <c r="I4" i="18"/>
  <c r="J34" i="20" l="1"/>
  <c r="J37" i="20"/>
  <c r="J36" i="20"/>
  <c r="J33" i="20"/>
  <c r="J30" i="20"/>
  <c r="J32" i="20"/>
  <c r="J39" i="20"/>
  <c r="S152" i="5"/>
  <c r="R153" i="5"/>
  <c r="T152" i="5"/>
  <c r="R154" i="5"/>
  <c r="Q151" i="5"/>
  <c r="S154" i="5"/>
  <c r="P151" i="5"/>
  <c r="S149" i="5"/>
  <c r="J7" i="19"/>
  <c r="K3" i="19"/>
  <c r="Q160" i="7" s="1"/>
  <c r="P60" i="18"/>
  <c r="K45" i="18"/>
  <c r="J45" i="18"/>
  <c r="Q45" i="18"/>
  <c r="I45" i="18"/>
  <c r="I43" i="18" s="1"/>
  <c r="P45" i="18"/>
  <c r="O45" i="18"/>
  <c r="M45" i="18"/>
  <c r="J42" i="18"/>
  <c r="L45" i="18"/>
  <c r="N45" i="18"/>
  <c r="K5" i="19"/>
  <c r="M44" i="18"/>
  <c r="L3" i="19"/>
  <c r="R160" i="7" s="1"/>
  <c r="N4" i="19"/>
  <c r="N58" i="18"/>
  <c r="W45" i="5" s="1"/>
  <c r="N60" i="18"/>
  <c r="J44" i="18"/>
  <c r="K6" i="19"/>
  <c r="M60" i="18"/>
  <c r="M59" i="18" s="1"/>
  <c r="K44" i="18"/>
  <c r="U152" i="5" l="1"/>
  <c r="R151" i="5"/>
  <c r="T154" i="5"/>
  <c r="S153" i="5"/>
  <c r="T149" i="5"/>
  <c r="K7" i="19"/>
  <c r="N61" i="18"/>
  <c r="O61" i="18" s="1"/>
  <c r="O58" i="18"/>
  <c r="J43" i="18"/>
  <c r="Q60" i="18"/>
  <c r="M3" i="19"/>
  <c r="S160" i="7" s="1"/>
  <c r="M5" i="19"/>
  <c r="O4" i="19"/>
  <c r="L6" i="19"/>
  <c r="L5" i="19"/>
  <c r="R5" i="19" s="1"/>
  <c r="N5" i="19"/>
  <c r="P5" i="19" s="1"/>
  <c r="K46" i="18"/>
  <c r="P46" i="18"/>
  <c r="J46" i="18"/>
  <c r="N46" i="18"/>
  <c r="Q46" i="18"/>
  <c r="O46" i="18"/>
  <c r="M46" i="18"/>
  <c r="L46" i="18"/>
  <c r="K42" i="18"/>
  <c r="O5" i="19"/>
  <c r="Q5" i="19" s="1"/>
  <c r="N59" i="18" l="1"/>
  <c r="O62" i="18"/>
  <c r="P62" i="18" s="1"/>
  <c r="Q62" i="18" s="1"/>
  <c r="X45" i="5"/>
  <c r="Y45" i="5" s="1"/>
  <c r="U154" i="5"/>
  <c r="W154" i="5" s="1"/>
  <c r="V152" i="5"/>
  <c r="V154" i="5"/>
  <c r="S151" i="5"/>
  <c r="T153" i="5"/>
  <c r="T151" i="5" s="1"/>
  <c r="U149" i="5"/>
  <c r="L47" i="18"/>
  <c r="K47" i="18"/>
  <c r="K43" i="18" s="1"/>
  <c r="Q47" i="18"/>
  <c r="O47" i="18"/>
  <c r="L42" i="18"/>
  <c r="N47" i="18"/>
  <c r="M47" i="18"/>
  <c r="P47" i="18"/>
  <c r="S5" i="19"/>
  <c r="P4" i="19"/>
  <c r="L7" i="19"/>
  <c r="P61" i="18"/>
  <c r="O59" i="18"/>
  <c r="N3" i="19"/>
  <c r="T160" i="7" s="1"/>
  <c r="M6" i="19"/>
  <c r="M7" i="19" s="1"/>
  <c r="X154" i="5" l="1"/>
  <c r="Y154" i="5" s="1"/>
  <c r="U153" i="5"/>
  <c r="W152" i="5"/>
  <c r="V149" i="5"/>
  <c r="W149" i="5" s="1"/>
  <c r="X149" i="5" s="1"/>
  <c r="Y149" i="5" s="1"/>
  <c r="N48" i="18"/>
  <c r="M48" i="18"/>
  <c r="Q48" i="18"/>
  <c r="L48" i="18"/>
  <c r="L43" i="18" s="1"/>
  <c r="M42" i="18"/>
  <c r="P48" i="18"/>
  <c r="O48" i="18"/>
  <c r="Q4" i="19"/>
  <c r="R4" i="19" s="1"/>
  <c r="S4" i="19" s="1"/>
  <c r="O6" i="19"/>
  <c r="O3" i="19"/>
  <c r="U160" i="7" s="1"/>
  <c r="N6" i="19"/>
  <c r="N7" i="19" s="1"/>
  <c r="Q61" i="18"/>
  <c r="Q59" i="18" s="1"/>
  <c r="P59" i="18"/>
  <c r="X152" i="5" l="1"/>
  <c r="Y152" i="5"/>
  <c r="U151" i="5"/>
  <c r="V153" i="5"/>
  <c r="V151" i="5" s="1"/>
  <c r="O7" i="19"/>
  <c r="P3" i="19"/>
  <c r="V160" i="7" s="1"/>
  <c r="P6" i="19"/>
  <c r="R6" i="19" s="1"/>
  <c r="Q49" i="18"/>
  <c r="P49" i="18"/>
  <c r="M49" i="18"/>
  <c r="M43" i="18" s="1"/>
  <c r="O49" i="18"/>
  <c r="N42" i="18"/>
  <c r="N49" i="18"/>
  <c r="Q6" i="19"/>
  <c r="S6" i="19" s="1"/>
  <c r="W153" i="5" l="1"/>
  <c r="Q3" i="19"/>
  <c r="W160" i="7" s="1"/>
  <c r="P7" i="19"/>
  <c r="Q50" i="18"/>
  <c r="O42" i="18"/>
  <c r="P50" i="18"/>
  <c r="O50" i="18"/>
  <c r="N50" i="18"/>
  <c r="N43" i="18" s="1"/>
  <c r="X153" i="5" l="1"/>
  <c r="W151" i="5"/>
  <c r="R3" i="19"/>
  <c r="X160" i="7" s="1"/>
  <c r="Q7" i="19"/>
  <c r="P42" i="18"/>
  <c r="Q51" i="18"/>
  <c r="P51" i="18"/>
  <c r="O51" i="18"/>
  <c r="O43" i="18" s="1"/>
  <c r="Y153" i="5" l="1"/>
  <c r="Y151" i="5" s="1"/>
  <c r="X151" i="5"/>
  <c r="P52" i="18"/>
  <c r="P43" i="18" s="1"/>
  <c r="Q52" i="18"/>
  <c r="Q42" i="18"/>
  <c r="Q53" i="18" s="1"/>
  <c r="Q43" i="18" s="1"/>
  <c r="S3" i="19"/>
  <c r="R7" i="19"/>
  <c r="S7" i="19" l="1"/>
  <c r="Y160" i="7"/>
  <c r="Q228" i="7"/>
  <c r="P228" i="7"/>
  <c r="Q230" i="7"/>
  <c r="P230" i="7"/>
  <c r="P141" i="7"/>
  <c r="S134" i="7"/>
  <c r="T134" i="7"/>
  <c r="U134" i="7"/>
  <c r="V134" i="7"/>
  <c r="W134" i="7"/>
  <c r="X134" i="7"/>
  <c r="Y134" i="7"/>
  <c r="R134" i="7"/>
  <c r="Q134" i="7"/>
  <c r="K122" i="4" l="1"/>
  <c r="K121" i="4"/>
  <c r="P35" i="5"/>
  <c r="R113" i="7"/>
  <c r="H375" i="7"/>
  <c r="H42" i="7" s="1"/>
  <c r="AB101" i="10"/>
  <c r="P358" i="7"/>
  <c r="O369" i="7"/>
  <c r="O41" i="7" s="1"/>
  <c r="F21" i="17" l="1"/>
  <c r="F20" i="17"/>
  <c r="F17" i="17"/>
  <c r="F16" i="17"/>
  <c r="F15" i="17"/>
  <c r="F14" i="17"/>
  <c r="F13" i="17"/>
  <c r="U47" i="3" l="1"/>
  <c r="F12" i="14"/>
  <c r="G9" i="14"/>
  <c r="H23" i="13"/>
  <c r="J19" i="13"/>
  <c r="I19" i="13"/>
  <c r="H19" i="13"/>
  <c r="G19" i="13"/>
  <c r="F19" i="13"/>
  <c r="H26" i="13"/>
  <c r="H21" i="12"/>
  <c r="H19" i="12"/>
  <c r="F14" i="12"/>
  <c r="H9" i="12"/>
  <c r="H8" i="12"/>
  <c r="H20" i="13" l="1"/>
  <c r="I20" i="13"/>
  <c r="J20" i="13"/>
  <c r="G20" i="13"/>
  <c r="K21" i="13" s="1"/>
  <c r="K15" i="13" s="1"/>
  <c r="F16" i="12"/>
  <c r="K16" i="13" l="1"/>
  <c r="K17" i="13"/>
  <c r="K18" i="13"/>
  <c r="K19" i="13" l="1"/>
  <c r="K20" i="13" s="1"/>
  <c r="H2" i="10" l="1"/>
  <c r="O114" i="5"/>
  <c r="AL102" i="10"/>
  <c r="AL103" i="10"/>
  <c r="AL104" i="10"/>
  <c r="AL105" i="10"/>
  <c r="AL106" i="10"/>
  <c r="AL107" i="10"/>
  <c r="AL108" i="10"/>
  <c r="AL109" i="10"/>
  <c r="AL110" i="10"/>
  <c r="AL101" i="10"/>
  <c r="R101" i="10"/>
  <c r="AB102" i="10"/>
  <c r="AB103" i="10"/>
  <c r="AB104" i="10"/>
  <c r="AB105" i="10"/>
  <c r="AB106" i="10"/>
  <c r="AB107" i="10"/>
  <c r="AB108" i="10"/>
  <c r="AB109" i="10"/>
  <c r="AB110" i="10"/>
  <c r="H102" i="10"/>
  <c r="H103" i="10"/>
  <c r="H104" i="10"/>
  <c r="H105" i="10"/>
  <c r="H106" i="10"/>
  <c r="H107" i="10"/>
  <c r="H108" i="10"/>
  <c r="H109" i="10"/>
  <c r="H110" i="10"/>
  <c r="H101" i="10"/>
  <c r="AL36" i="10"/>
  <c r="AL37" i="10"/>
  <c r="AL38" i="10"/>
  <c r="AL39" i="10"/>
  <c r="AL40" i="10"/>
  <c r="AL41" i="10"/>
  <c r="AL42" i="10"/>
  <c r="AL43" i="10"/>
  <c r="AL44" i="10"/>
  <c r="AL35" i="10"/>
  <c r="AB36" i="10"/>
  <c r="AB37" i="10"/>
  <c r="AB38" i="10"/>
  <c r="AB39" i="10"/>
  <c r="AB40" i="10"/>
  <c r="AB41" i="10"/>
  <c r="AB42" i="10"/>
  <c r="AB43" i="10"/>
  <c r="AB44" i="10"/>
  <c r="AB35" i="10"/>
  <c r="R36" i="10"/>
  <c r="R37" i="10"/>
  <c r="R38" i="10"/>
  <c r="R39" i="10"/>
  <c r="R40" i="10"/>
  <c r="R41" i="10"/>
  <c r="R42" i="10"/>
  <c r="R43" i="10"/>
  <c r="R44" i="10"/>
  <c r="R35" i="10"/>
  <c r="H36" i="10"/>
  <c r="H37" i="10"/>
  <c r="H38" i="10"/>
  <c r="H39" i="10"/>
  <c r="H40" i="10"/>
  <c r="H41" i="10"/>
  <c r="H42" i="10"/>
  <c r="H43" i="10"/>
  <c r="H44" i="10"/>
  <c r="H35" i="10"/>
  <c r="H69" i="10"/>
  <c r="H70" i="10"/>
  <c r="H71" i="10"/>
  <c r="H72" i="10"/>
  <c r="H73" i="10"/>
  <c r="H74" i="10"/>
  <c r="H75" i="10"/>
  <c r="H76" i="10"/>
  <c r="H77" i="10"/>
  <c r="H68" i="10"/>
  <c r="R68" i="10"/>
  <c r="AB69" i="10"/>
  <c r="AB70" i="10"/>
  <c r="AB71" i="10"/>
  <c r="AB72" i="10"/>
  <c r="AB73" i="10"/>
  <c r="AB74" i="10"/>
  <c r="AB75" i="10"/>
  <c r="AB76" i="10"/>
  <c r="AB77" i="10"/>
  <c r="AB68" i="10"/>
  <c r="AL69" i="10"/>
  <c r="AL70" i="10"/>
  <c r="AL71" i="10"/>
  <c r="AL72" i="10"/>
  <c r="AL73" i="10"/>
  <c r="AL74" i="10"/>
  <c r="AL75" i="10"/>
  <c r="AL76" i="10"/>
  <c r="AL77" i="10"/>
  <c r="AL68" i="10"/>
  <c r="AB3" i="10"/>
  <c r="AB4" i="10"/>
  <c r="AB5" i="10"/>
  <c r="AB6" i="10"/>
  <c r="AB7" i="10"/>
  <c r="AB8" i="10"/>
  <c r="AB9" i="10"/>
  <c r="AB10" i="10"/>
  <c r="AB11" i="10"/>
  <c r="AL3" i="10"/>
  <c r="AL4" i="10"/>
  <c r="AL5" i="10"/>
  <c r="AL6" i="10"/>
  <c r="AL7" i="10"/>
  <c r="AL8" i="10"/>
  <c r="AL9" i="10"/>
  <c r="AL10" i="10"/>
  <c r="AL11" i="10"/>
  <c r="AL2" i="10"/>
  <c r="AB2" i="10"/>
  <c r="R3" i="10"/>
  <c r="R4" i="10"/>
  <c r="R5" i="10"/>
  <c r="R6" i="10"/>
  <c r="R7" i="10"/>
  <c r="R8" i="10"/>
  <c r="R9" i="10"/>
  <c r="R10" i="10"/>
  <c r="R11" i="10"/>
  <c r="R2" i="10"/>
  <c r="H3" i="10"/>
  <c r="H4" i="10"/>
  <c r="H5" i="10"/>
  <c r="H6" i="10"/>
  <c r="H7" i="10"/>
  <c r="H8" i="10"/>
  <c r="H9" i="10"/>
  <c r="H10" i="10"/>
  <c r="H11" i="10"/>
  <c r="AJ101" i="10"/>
  <c r="G102" i="10"/>
  <c r="Q101" i="10"/>
  <c r="AA102" i="10"/>
  <c r="AA103" i="10"/>
  <c r="AA104" i="10"/>
  <c r="AA105" i="10"/>
  <c r="AA106" i="10"/>
  <c r="AA107" i="10"/>
  <c r="AA108" i="10"/>
  <c r="AA109" i="10"/>
  <c r="AA110" i="10"/>
  <c r="AA101" i="10"/>
  <c r="Z102" i="10"/>
  <c r="Z103" i="10"/>
  <c r="Z104" i="10"/>
  <c r="Z105" i="10"/>
  <c r="Z106" i="10"/>
  <c r="Z107" i="10"/>
  <c r="Z108" i="10"/>
  <c r="Z109" i="10"/>
  <c r="Z110" i="10"/>
  <c r="Z101" i="10"/>
  <c r="Q102" i="10"/>
  <c r="R102" i="10" s="1"/>
  <c r="Q103" i="10"/>
  <c r="R103" i="10" s="1"/>
  <c r="Q104" i="10"/>
  <c r="Q105" i="10"/>
  <c r="Q106" i="10"/>
  <c r="Q107" i="10"/>
  <c r="Q108" i="10"/>
  <c r="R108" i="10" s="1"/>
  <c r="Q109" i="10"/>
  <c r="R109" i="10" s="1"/>
  <c r="Q110" i="10"/>
  <c r="P102" i="10"/>
  <c r="P103" i="10"/>
  <c r="P104" i="10"/>
  <c r="P105" i="10"/>
  <c r="R105" i="10" s="1"/>
  <c r="P106" i="10"/>
  <c r="P107" i="10"/>
  <c r="P108" i="10"/>
  <c r="P109" i="10"/>
  <c r="P110" i="10"/>
  <c r="P101" i="10"/>
  <c r="G103" i="10"/>
  <c r="G104" i="10"/>
  <c r="G105" i="10"/>
  <c r="G106" i="10"/>
  <c r="G107" i="10"/>
  <c r="G108" i="10"/>
  <c r="G109" i="10"/>
  <c r="G110" i="10"/>
  <c r="G101" i="10"/>
  <c r="F102" i="10"/>
  <c r="F103" i="10"/>
  <c r="F104" i="10"/>
  <c r="F105" i="10"/>
  <c r="F106" i="10"/>
  <c r="F107" i="10"/>
  <c r="F108" i="10"/>
  <c r="F109" i="10"/>
  <c r="F110" i="10"/>
  <c r="F101" i="10"/>
  <c r="AG106" i="10"/>
  <c r="AG102" i="10"/>
  <c r="AG103" i="10"/>
  <c r="AG104" i="10"/>
  <c r="AG105" i="10"/>
  <c r="AG108" i="10"/>
  <c r="AG101" i="10"/>
  <c r="II2" i="8"/>
  <c r="IW2" i="8"/>
  <c r="AK110" i="10"/>
  <c r="AJ110" i="10"/>
  <c r="AK109" i="10"/>
  <c r="AJ109" i="10"/>
  <c r="AK108" i="10"/>
  <c r="AJ108" i="10"/>
  <c r="W108" i="10"/>
  <c r="C108" i="10"/>
  <c r="AK107" i="10"/>
  <c r="AJ107" i="10"/>
  <c r="W107" i="10"/>
  <c r="R107" i="10"/>
  <c r="M107" i="10"/>
  <c r="C107" i="10"/>
  <c r="AK106" i="10"/>
  <c r="AJ106" i="10"/>
  <c r="W106" i="10"/>
  <c r="R106" i="10"/>
  <c r="M106" i="10"/>
  <c r="C106" i="10"/>
  <c r="AK105" i="10"/>
  <c r="AJ105" i="10"/>
  <c r="W105" i="10"/>
  <c r="M105" i="10"/>
  <c r="C105" i="10"/>
  <c r="AK104" i="10"/>
  <c r="AJ104" i="10"/>
  <c r="W104" i="10"/>
  <c r="M104" i="10"/>
  <c r="C104" i="10"/>
  <c r="AK103" i="10"/>
  <c r="AJ103" i="10"/>
  <c r="M103" i="10"/>
  <c r="AK102" i="10"/>
  <c r="AJ102" i="10"/>
  <c r="M102" i="10"/>
  <c r="AK101" i="10"/>
  <c r="M101" i="10"/>
  <c r="AK69" i="10"/>
  <c r="AK70" i="10"/>
  <c r="AK71" i="10"/>
  <c r="AK72" i="10"/>
  <c r="AK73" i="10"/>
  <c r="AK74" i="10"/>
  <c r="AK75" i="10"/>
  <c r="AK76" i="10"/>
  <c r="AK77" i="10"/>
  <c r="AK68" i="10"/>
  <c r="AJ69" i="10"/>
  <c r="AJ70" i="10"/>
  <c r="AJ71" i="10"/>
  <c r="AJ72" i="10"/>
  <c r="AJ73" i="10"/>
  <c r="AJ74" i="10"/>
  <c r="AJ75" i="10"/>
  <c r="AJ76" i="10"/>
  <c r="AJ77" i="10"/>
  <c r="AJ68" i="10"/>
  <c r="AA69" i="10"/>
  <c r="AA70" i="10"/>
  <c r="AA71" i="10"/>
  <c r="AA72" i="10"/>
  <c r="AA73" i="10"/>
  <c r="AA74" i="10"/>
  <c r="AA75" i="10"/>
  <c r="AA76" i="10"/>
  <c r="AA77" i="10"/>
  <c r="AA68" i="10"/>
  <c r="Z69" i="10"/>
  <c r="Z70" i="10"/>
  <c r="Z71" i="10"/>
  <c r="Z72" i="10"/>
  <c r="Z73" i="10"/>
  <c r="Z74" i="10"/>
  <c r="Z75" i="10"/>
  <c r="Z76" i="10"/>
  <c r="Z77" i="10"/>
  <c r="Z68" i="10"/>
  <c r="Q69" i="10"/>
  <c r="Q70" i="10"/>
  <c r="Q71" i="10"/>
  <c r="Q72" i="10"/>
  <c r="Q73" i="10"/>
  <c r="Q74" i="10"/>
  <c r="Q75" i="10"/>
  <c r="Q76" i="10"/>
  <c r="R76" i="10" s="1"/>
  <c r="Q77" i="10"/>
  <c r="Q68" i="10"/>
  <c r="P69" i="10"/>
  <c r="R69" i="10" s="1"/>
  <c r="P70" i="10"/>
  <c r="R70" i="10" s="1"/>
  <c r="P71" i="10"/>
  <c r="P72" i="10"/>
  <c r="R72" i="10" s="1"/>
  <c r="P73" i="10"/>
  <c r="P74" i="10"/>
  <c r="P75" i="10"/>
  <c r="R75" i="10" s="1"/>
  <c r="P76" i="10"/>
  <c r="P77" i="10"/>
  <c r="P68" i="10"/>
  <c r="G69" i="10"/>
  <c r="G70" i="10"/>
  <c r="G71" i="10"/>
  <c r="G72" i="10"/>
  <c r="G73" i="10"/>
  <c r="G74" i="10"/>
  <c r="G75" i="10"/>
  <c r="G76" i="10"/>
  <c r="G77" i="10"/>
  <c r="G68" i="10"/>
  <c r="F69" i="10"/>
  <c r="F70" i="10"/>
  <c r="F71" i="10"/>
  <c r="F72" i="10"/>
  <c r="F73" i="10"/>
  <c r="F74" i="10"/>
  <c r="F75" i="10"/>
  <c r="F76" i="10"/>
  <c r="F77" i="10"/>
  <c r="F68" i="10"/>
  <c r="R77" i="10"/>
  <c r="AG75" i="10"/>
  <c r="W75" i="10"/>
  <c r="M75" i="10"/>
  <c r="C75" i="10"/>
  <c r="AG74" i="10"/>
  <c r="W74" i="10"/>
  <c r="R74" i="10"/>
  <c r="M74" i="10"/>
  <c r="C74" i="10"/>
  <c r="AG73" i="10"/>
  <c r="W73" i="10"/>
  <c r="R73" i="10"/>
  <c r="M73" i="10"/>
  <c r="C73" i="10"/>
  <c r="AG72" i="10"/>
  <c r="W72" i="10"/>
  <c r="M72" i="10"/>
  <c r="C72" i="10"/>
  <c r="AG71" i="10"/>
  <c r="W71" i="10"/>
  <c r="R71" i="10"/>
  <c r="M71" i="10"/>
  <c r="C71" i="10"/>
  <c r="AG70" i="10"/>
  <c r="W70" i="10"/>
  <c r="M70" i="10"/>
  <c r="C70" i="10"/>
  <c r="AG69" i="10"/>
  <c r="W69" i="10"/>
  <c r="M69" i="10"/>
  <c r="C69" i="10"/>
  <c r="AG68" i="10"/>
  <c r="W68" i="10"/>
  <c r="M68" i="10"/>
  <c r="C68" i="10"/>
  <c r="AK36" i="10"/>
  <c r="AK37" i="10"/>
  <c r="AK38" i="10"/>
  <c r="AK39" i="10"/>
  <c r="AK40" i="10"/>
  <c r="AK41" i="10"/>
  <c r="AK42" i="10"/>
  <c r="AK43" i="10"/>
  <c r="AK44" i="10"/>
  <c r="AJ36" i="10"/>
  <c r="AJ37" i="10"/>
  <c r="AJ38" i="10"/>
  <c r="AJ39" i="10"/>
  <c r="AJ40" i="10"/>
  <c r="AJ41" i="10"/>
  <c r="AJ42" i="10"/>
  <c r="AJ43" i="10"/>
  <c r="AJ44" i="10"/>
  <c r="AJ35" i="10"/>
  <c r="AK35" i="10"/>
  <c r="AA36" i="10"/>
  <c r="AA37" i="10"/>
  <c r="AA38" i="10"/>
  <c r="AA39" i="10"/>
  <c r="AA40" i="10"/>
  <c r="AA41" i="10"/>
  <c r="AA42" i="10"/>
  <c r="AA43" i="10"/>
  <c r="AA44" i="10"/>
  <c r="AA35" i="10"/>
  <c r="Z36" i="10"/>
  <c r="Z37" i="10"/>
  <c r="Z38" i="10"/>
  <c r="Z39" i="10"/>
  <c r="Z40" i="10"/>
  <c r="Z41" i="10"/>
  <c r="Z42" i="10"/>
  <c r="Z43" i="10"/>
  <c r="Z44" i="10"/>
  <c r="Z35" i="10"/>
  <c r="G35" i="10"/>
  <c r="Q36" i="10"/>
  <c r="Q37" i="10"/>
  <c r="Q38" i="10"/>
  <c r="Q39" i="10"/>
  <c r="Q40" i="10"/>
  <c r="Q41" i="10"/>
  <c r="Q42" i="10"/>
  <c r="Q43" i="10"/>
  <c r="Q44" i="10"/>
  <c r="Q35" i="10"/>
  <c r="P36" i="10"/>
  <c r="P37" i="10"/>
  <c r="P38" i="10"/>
  <c r="P39" i="10"/>
  <c r="P40" i="10"/>
  <c r="P41" i="10"/>
  <c r="P42" i="10"/>
  <c r="P43" i="10"/>
  <c r="P44" i="10"/>
  <c r="P35" i="10"/>
  <c r="G36" i="10"/>
  <c r="G37" i="10"/>
  <c r="G38" i="10"/>
  <c r="G39" i="10"/>
  <c r="G40" i="10"/>
  <c r="G41" i="10"/>
  <c r="G42" i="10"/>
  <c r="G43" i="10"/>
  <c r="G44" i="10"/>
  <c r="F36" i="10"/>
  <c r="F37" i="10"/>
  <c r="F38" i="10"/>
  <c r="F39" i="10"/>
  <c r="F40" i="10"/>
  <c r="F41" i="10"/>
  <c r="F42" i="10"/>
  <c r="F43" i="10"/>
  <c r="F44" i="10"/>
  <c r="F35" i="10"/>
  <c r="AG42" i="10"/>
  <c r="W42" i="10"/>
  <c r="M42" i="10"/>
  <c r="C42" i="10"/>
  <c r="AG41" i="10"/>
  <c r="W41" i="10"/>
  <c r="M41" i="10"/>
  <c r="C41" i="10"/>
  <c r="AG40" i="10"/>
  <c r="W40" i="10"/>
  <c r="M40" i="10"/>
  <c r="C40" i="10"/>
  <c r="AG39" i="10"/>
  <c r="W39" i="10"/>
  <c r="M39" i="10"/>
  <c r="C39" i="10"/>
  <c r="AG38" i="10"/>
  <c r="W38" i="10"/>
  <c r="M38" i="10"/>
  <c r="C38" i="10"/>
  <c r="AG37" i="10"/>
  <c r="W37" i="10"/>
  <c r="M37" i="10"/>
  <c r="C37" i="10"/>
  <c r="AG36" i="10"/>
  <c r="W36" i="10"/>
  <c r="M36" i="10"/>
  <c r="C36" i="10"/>
  <c r="AG35" i="10"/>
  <c r="W35" i="10"/>
  <c r="M35" i="10"/>
  <c r="C35" i="10"/>
  <c r="AK2" i="10"/>
  <c r="AK3" i="10"/>
  <c r="AK4" i="10"/>
  <c r="AK5" i="10"/>
  <c r="AK6" i="10"/>
  <c r="AK7" i="10"/>
  <c r="AK8" i="10"/>
  <c r="AK9" i="10"/>
  <c r="AK10" i="10"/>
  <c r="AK11" i="10"/>
  <c r="AJ3" i="10"/>
  <c r="AJ4" i="10"/>
  <c r="AJ5" i="10"/>
  <c r="AJ6" i="10"/>
  <c r="AJ7" i="10"/>
  <c r="AJ8" i="10"/>
  <c r="AJ9" i="10"/>
  <c r="AJ10" i="10"/>
  <c r="AJ11" i="10"/>
  <c r="AJ2" i="10"/>
  <c r="AA2" i="10"/>
  <c r="AA3" i="10"/>
  <c r="AA4" i="10"/>
  <c r="AA5" i="10"/>
  <c r="AA6" i="10"/>
  <c r="AA7" i="10"/>
  <c r="AA8" i="10"/>
  <c r="AA9" i="10"/>
  <c r="AA10" i="10"/>
  <c r="AA11" i="10"/>
  <c r="Z2" i="10"/>
  <c r="Z4" i="10"/>
  <c r="Z3" i="10"/>
  <c r="Z5" i="10"/>
  <c r="Z6" i="10"/>
  <c r="Z7" i="10"/>
  <c r="Z8" i="10"/>
  <c r="Z9" i="10"/>
  <c r="Z10" i="10"/>
  <c r="Z11" i="10"/>
  <c r="P40" i="4"/>
  <c r="AG2" i="10"/>
  <c r="AG9" i="10"/>
  <c r="AG8" i="10"/>
  <c r="AG7" i="10"/>
  <c r="AG6" i="10"/>
  <c r="AG5" i="10"/>
  <c r="AG4" i="10"/>
  <c r="AG3" i="10"/>
  <c r="Q3" i="10"/>
  <c r="Q4" i="10"/>
  <c r="Q5" i="10"/>
  <c r="Q6" i="10"/>
  <c r="Q7" i="10"/>
  <c r="Q8" i="10"/>
  <c r="Q9" i="10"/>
  <c r="Q10" i="10"/>
  <c r="Q11" i="10"/>
  <c r="P3" i="10"/>
  <c r="P4" i="10"/>
  <c r="P5" i="10"/>
  <c r="P6" i="10"/>
  <c r="P7" i="10"/>
  <c r="P8" i="10"/>
  <c r="P9" i="10"/>
  <c r="P10" i="10"/>
  <c r="P11" i="10"/>
  <c r="Q2" i="10"/>
  <c r="P2" i="10"/>
  <c r="F2" i="10"/>
  <c r="G3" i="10"/>
  <c r="G4" i="10"/>
  <c r="G5" i="10"/>
  <c r="G6" i="10"/>
  <c r="G7" i="10"/>
  <c r="G8" i="10"/>
  <c r="G9" i="10"/>
  <c r="G10" i="10"/>
  <c r="G11" i="10"/>
  <c r="G2" i="10"/>
  <c r="F3" i="10"/>
  <c r="F4" i="10"/>
  <c r="F5" i="10"/>
  <c r="F6" i="10"/>
  <c r="F7" i="10"/>
  <c r="F8" i="10"/>
  <c r="F9" i="10"/>
  <c r="F10" i="10"/>
  <c r="F11" i="10"/>
  <c r="M21" i="8"/>
  <c r="R110" i="10" l="1"/>
  <c r="R104" i="10"/>
  <c r="W2" i="10" l="1"/>
  <c r="W9" i="10"/>
  <c r="W8" i="10"/>
  <c r="W7" i="10"/>
  <c r="W6" i="10"/>
  <c r="W5" i="10"/>
  <c r="W4" i="10"/>
  <c r="W3" i="10"/>
  <c r="M9" i="10"/>
  <c r="M8" i="10"/>
  <c r="M7" i="10"/>
  <c r="M6" i="10"/>
  <c r="M5" i="10"/>
  <c r="M4" i="10"/>
  <c r="M3" i="10"/>
  <c r="M2" i="10"/>
  <c r="C3" i="10"/>
  <c r="C4" i="10"/>
  <c r="C5" i="10"/>
  <c r="C6" i="10"/>
  <c r="C7" i="10"/>
  <c r="C8" i="10"/>
  <c r="C9" i="10"/>
  <c r="C2" i="10"/>
  <c r="K2" i="8"/>
  <c r="O22" i="8"/>
  <c r="O23" i="8"/>
  <c r="O24" i="8"/>
  <c r="O25" i="8"/>
  <c r="O26" i="8"/>
  <c r="O27" i="8"/>
  <c r="O28" i="8"/>
  <c r="O29" i="8"/>
  <c r="O30" i="8"/>
  <c r="O21" i="8"/>
  <c r="J11" i="8"/>
  <c r="Q69" i="5" l="1"/>
  <c r="P69" i="5"/>
  <c r="Q59" i="5"/>
  <c r="R59" i="5"/>
  <c r="S59" i="5"/>
  <c r="T59" i="5"/>
  <c r="U59" i="5"/>
  <c r="V59" i="5"/>
  <c r="W59" i="5"/>
  <c r="X59" i="5"/>
  <c r="Y59" i="5"/>
  <c r="P59" i="5"/>
  <c r="P68" i="5"/>
  <c r="H108" i="4"/>
  <c r="P66" i="5"/>
  <c r="H58" i="4"/>
  <c r="I58" i="4"/>
  <c r="J58" i="4"/>
  <c r="K58" i="4"/>
  <c r="L58" i="4"/>
  <c r="M58" i="4"/>
  <c r="N58" i="4"/>
  <c r="H59" i="4"/>
  <c r="I59" i="4"/>
  <c r="J59" i="4"/>
  <c r="K59" i="4"/>
  <c r="L59" i="4"/>
  <c r="M59" i="4"/>
  <c r="N59" i="4"/>
  <c r="H60" i="4"/>
  <c r="I60" i="4"/>
  <c r="J60" i="4"/>
  <c r="K60" i="4"/>
  <c r="L60" i="4"/>
  <c r="M60" i="4"/>
  <c r="N60" i="4"/>
  <c r="K61" i="4" l="1"/>
  <c r="H61" i="4"/>
  <c r="J61" i="4"/>
  <c r="M61" i="4"/>
  <c r="N61" i="4"/>
  <c r="L61" i="4"/>
  <c r="I61" i="4"/>
  <c r="I62" i="4" l="1"/>
  <c r="H62" i="4"/>
  <c r="K62" i="4"/>
  <c r="M62" i="4"/>
  <c r="J62" i="4"/>
  <c r="L62" i="4"/>
  <c r="N62" i="4"/>
  <c r="R69" i="5" l="1"/>
  <c r="S69" i="5" s="1"/>
  <c r="O59" i="4"/>
  <c r="O60" i="4"/>
  <c r="Q60" i="4"/>
  <c r="R60" i="4"/>
  <c r="S60" i="4"/>
  <c r="T60" i="4"/>
  <c r="U60" i="4"/>
  <c r="V60" i="4"/>
  <c r="W60" i="4"/>
  <c r="X60" i="4"/>
  <c r="Y60" i="4"/>
  <c r="P60" i="4"/>
  <c r="T69" i="5" l="1"/>
  <c r="U69" i="5" s="1"/>
  <c r="Q68" i="5"/>
  <c r="R68" i="5" s="1"/>
  <c r="S68" i="5" s="1"/>
  <c r="T68" i="5" s="1"/>
  <c r="Q128" i="5"/>
  <c r="R128" i="5"/>
  <c r="S128" i="5"/>
  <c r="T128" i="5"/>
  <c r="U128" i="5"/>
  <c r="V128" i="5"/>
  <c r="W128" i="5"/>
  <c r="X128" i="5"/>
  <c r="Y128" i="5"/>
  <c r="P128" i="5"/>
  <c r="Q127" i="5"/>
  <c r="R127" i="5"/>
  <c r="S127" i="5"/>
  <c r="T127" i="5"/>
  <c r="U127" i="5"/>
  <c r="V127" i="5"/>
  <c r="W127" i="5"/>
  <c r="X127" i="5"/>
  <c r="Y127" i="5"/>
  <c r="Q126" i="5"/>
  <c r="R126" i="5"/>
  <c r="S126" i="5"/>
  <c r="T126" i="5"/>
  <c r="U126" i="5"/>
  <c r="V126" i="5"/>
  <c r="W126" i="5"/>
  <c r="X126" i="5"/>
  <c r="Y126" i="5"/>
  <c r="Q124" i="5"/>
  <c r="R124" i="5"/>
  <c r="S124" i="5"/>
  <c r="T124" i="5"/>
  <c r="U124" i="5"/>
  <c r="V124" i="5"/>
  <c r="W124" i="5"/>
  <c r="X124" i="5"/>
  <c r="Y124" i="5"/>
  <c r="Q125" i="5"/>
  <c r="R125" i="5"/>
  <c r="S125" i="5"/>
  <c r="T125" i="5"/>
  <c r="U125" i="5"/>
  <c r="V125" i="5"/>
  <c r="W125" i="5"/>
  <c r="X125" i="5"/>
  <c r="Y125" i="5"/>
  <c r="U68" i="5" l="1"/>
  <c r="V69" i="5"/>
  <c r="P127" i="5"/>
  <c r="P124" i="5"/>
  <c r="P126" i="5" s="1"/>
  <c r="P125" i="5"/>
  <c r="O125" i="5"/>
  <c r="O124" i="5"/>
  <c r="JW23" i="8"/>
  <c r="JW24" i="8"/>
  <c r="JW25" i="8"/>
  <c r="JW26" i="8"/>
  <c r="JW27" i="8"/>
  <c r="JW28" i="8"/>
  <c r="JW29" i="8"/>
  <c r="JW30" i="8"/>
  <c r="JW31" i="8"/>
  <c r="JW22" i="8"/>
  <c r="JK22" i="8"/>
  <c r="V68" i="5" l="1"/>
  <c r="W69" i="5"/>
  <c r="X69" i="5" s="1"/>
  <c r="Y69" i="5" s="1"/>
  <c r="O126" i="5"/>
  <c r="W68" i="5" l="1"/>
  <c r="X68" i="5" s="1"/>
  <c r="Y68" i="5" s="1"/>
  <c r="J39" i="4" l="1"/>
  <c r="K39" i="4"/>
  <c r="L39" i="4"/>
  <c r="M39" i="4"/>
  <c r="N39" i="4"/>
  <c r="O39" i="4"/>
  <c r="P39" i="4"/>
  <c r="Q39" i="4"/>
  <c r="R39" i="4"/>
  <c r="S39" i="4"/>
  <c r="T39" i="4"/>
  <c r="U39" i="4"/>
  <c r="V39" i="4"/>
  <c r="W39" i="4"/>
  <c r="X39" i="4"/>
  <c r="Y39" i="4"/>
  <c r="I39" i="4"/>
  <c r="O41" i="4"/>
  <c r="P41" i="4"/>
  <c r="Q40" i="4"/>
  <c r="R40" i="4"/>
  <c r="S40" i="4"/>
  <c r="H130" i="5"/>
  <c r="I130" i="5"/>
  <c r="J130" i="5"/>
  <c r="K130" i="5"/>
  <c r="L130" i="5"/>
  <c r="M130" i="5"/>
  <c r="N130" i="5"/>
  <c r="O135" i="5"/>
  <c r="O132" i="5"/>
  <c r="O134" i="5" s="1"/>
  <c r="O127" i="5"/>
  <c r="O120" i="5"/>
  <c r="O118" i="5"/>
  <c r="O108" i="5"/>
  <c r="O107" i="5"/>
  <c r="O109" i="5" s="1"/>
  <c r="O105" i="5"/>
  <c r="O102" i="5"/>
  <c r="O103" i="5" s="1"/>
  <c r="O95" i="5"/>
  <c r="O97" i="5" s="1"/>
  <c r="J40" i="4"/>
  <c r="K40" i="4"/>
  <c r="L40" i="4"/>
  <c r="M40" i="4"/>
  <c r="N40" i="4"/>
  <c r="O40" i="4"/>
  <c r="I40" i="4"/>
  <c r="O85" i="5"/>
  <c r="N85" i="5"/>
  <c r="M85" i="5"/>
  <c r="L85" i="5"/>
  <c r="K85" i="5"/>
  <c r="J85" i="5"/>
  <c r="I85" i="5"/>
  <c r="H85" i="5"/>
  <c r="N84" i="5"/>
  <c r="M84" i="5"/>
  <c r="L84" i="5"/>
  <c r="K84" i="5"/>
  <c r="J84" i="5"/>
  <c r="I84" i="5"/>
  <c r="H84" i="5"/>
  <c r="Y81" i="5"/>
  <c r="X81" i="5"/>
  <c r="W81" i="5"/>
  <c r="V81" i="5"/>
  <c r="U81" i="5"/>
  <c r="T81" i="5"/>
  <c r="S81" i="5"/>
  <c r="R81" i="5"/>
  <c r="Q81" i="5"/>
  <c r="O81" i="5"/>
  <c r="N81" i="5"/>
  <c r="M81" i="5"/>
  <c r="L81" i="5"/>
  <c r="K81" i="5"/>
  <c r="J81" i="5"/>
  <c r="I81" i="5"/>
  <c r="H81" i="5"/>
  <c r="O72" i="5"/>
  <c r="O74" i="5" s="1"/>
  <c r="N72" i="5"/>
  <c r="M72" i="5"/>
  <c r="L72" i="5"/>
  <c r="K72" i="5"/>
  <c r="J72" i="5"/>
  <c r="I72" i="5"/>
  <c r="H72" i="5"/>
  <c r="O71" i="5"/>
  <c r="N71" i="5"/>
  <c r="M71" i="5"/>
  <c r="L71" i="5"/>
  <c r="K71" i="5"/>
  <c r="J71" i="5"/>
  <c r="I71" i="5"/>
  <c r="P70" i="5"/>
  <c r="P71" i="5" s="1"/>
  <c r="O69" i="5"/>
  <c r="N69" i="5"/>
  <c r="M69" i="5"/>
  <c r="L69" i="5"/>
  <c r="K69" i="5"/>
  <c r="J69" i="5"/>
  <c r="I69" i="5"/>
  <c r="O67" i="5"/>
  <c r="N67" i="5"/>
  <c r="M67" i="5"/>
  <c r="L67" i="5"/>
  <c r="K67" i="5"/>
  <c r="J67" i="5"/>
  <c r="I67" i="5"/>
  <c r="N64" i="5"/>
  <c r="M64" i="5"/>
  <c r="L64" i="5"/>
  <c r="K64" i="5"/>
  <c r="J64" i="5"/>
  <c r="I64" i="5"/>
  <c r="H64" i="5"/>
  <c r="H74" i="5" s="1"/>
  <c r="N63" i="5"/>
  <c r="M63" i="5"/>
  <c r="L63" i="5"/>
  <c r="K63" i="5"/>
  <c r="J63" i="5"/>
  <c r="I63" i="5"/>
  <c r="Y61" i="5"/>
  <c r="X61" i="5"/>
  <c r="W61" i="5"/>
  <c r="V61" i="5"/>
  <c r="U61" i="5"/>
  <c r="T61" i="5"/>
  <c r="S61" i="5"/>
  <c r="R61" i="5"/>
  <c r="Q61" i="5"/>
  <c r="P61" i="5"/>
  <c r="O61" i="5"/>
  <c r="N61" i="5"/>
  <c r="M61" i="5"/>
  <c r="L61" i="5"/>
  <c r="K61" i="5"/>
  <c r="J61" i="5"/>
  <c r="I61" i="5"/>
  <c r="N59" i="5"/>
  <c r="M59" i="5"/>
  <c r="L59" i="5"/>
  <c r="K59" i="5"/>
  <c r="J59" i="5"/>
  <c r="I59" i="5"/>
  <c r="O57" i="5"/>
  <c r="N57" i="5"/>
  <c r="M57" i="5"/>
  <c r="L57" i="5"/>
  <c r="K57" i="5"/>
  <c r="J57" i="5"/>
  <c r="I57" i="5"/>
  <c r="P56" i="5"/>
  <c r="Q56" i="5" s="1"/>
  <c r="R56" i="5" s="1"/>
  <c r="S56" i="5" s="1"/>
  <c r="O54" i="5"/>
  <c r="N53" i="5"/>
  <c r="M53" i="5"/>
  <c r="L53" i="5"/>
  <c r="K53" i="5"/>
  <c r="J53" i="5"/>
  <c r="I53" i="5"/>
  <c r="H53" i="5"/>
  <c r="Y52" i="5"/>
  <c r="X52" i="5"/>
  <c r="W52" i="5"/>
  <c r="V52" i="5"/>
  <c r="U52" i="5"/>
  <c r="T52" i="5"/>
  <c r="S52" i="5"/>
  <c r="R52" i="5"/>
  <c r="Q52" i="5"/>
  <c r="N52" i="5"/>
  <c r="N179" i="5" s="1"/>
  <c r="M52" i="5"/>
  <c r="M179" i="5" s="1"/>
  <c r="L52" i="5"/>
  <c r="K52" i="5"/>
  <c r="J52" i="5"/>
  <c r="I52" i="5"/>
  <c r="O51" i="5"/>
  <c r="P52" i="5" s="1"/>
  <c r="O50" i="5"/>
  <c r="N50" i="5"/>
  <c r="M50" i="5"/>
  <c r="L50" i="5"/>
  <c r="K50" i="5"/>
  <c r="J50" i="5"/>
  <c r="I50" i="5"/>
  <c r="P49" i="5"/>
  <c r="P50" i="5" s="1"/>
  <c r="O48" i="5"/>
  <c r="N48" i="5"/>
  <c r="M48" i="5"/>
  <c r="L48" i="5"/>
  <c r="K48" i="5"/>
  <c r="J48" i="5"/>
  <c r="I48" i="5"/>
  <c r="O46" i="5"/>
  <c r="N46" i="5"/>
  <c r="M46" i="5"/>
  <c r="L46" i="5"/>
  <c r="K46" i="5"/>
  <c r="J46" i="5"/>
  <c r="I46" i="5"/>
  <c r="P46" i="5"/>
  <c r="N43" i="5"/>
  <c r="M43" i="5"/>
  <c r="L43" i="5"/>
  <c r="K43" i="5"/>
  <c r="J43" i="5"/>
  <c r="I43" i="5"/>
  <c r="H43" i="5"/>
  <c r="N42" i="5"/>
  <c r="N172" i="5" s="1"/>
  <c r="M42" i="5"/>
  <c r="M172" i="5" s="1"/>
  <c r="L42" i="5"/>
  <c r="K42" i="5"/>
  <c r="J42" i="5"/>
  <c r="I42" i="5"/>
  <c r="O41" i="5"/>
  <c r="P41" i="5" s="1"/>
  <c r="Q41" i="5" s="1"/>
  <c r="R41" i="5" s="1"/>
  <c r="S41" i="5" s="1"/>
  <c r="T41" i="5" s="1"/>
  <c r="U41" i="5" s="1"/>
  <c r="V41" i="5" s="1"/>
  <c r="W41" i="5" s="1"/>
  <c r="X41" i="5" s="1"/>
  <c r="Y41" i="5" s="1"/>
  <c r="O40" i="5"/>
  <c r="N40" i="5"/>
  <c r="M40" i="5"/>
  <c r="L40" i="5"/>
  <c r="K40" i="5"/>
  <c r="J40" i="5"/>
  <c r="I40" i="5"/>
  <c r="P39" i="5"/>
  <c r="Q39" i="5" s="1"/>
  <c r="R39" i="5" s="1"/>
  <c r="S39" i="5" s="1"/>
  <c r="T39" i="5" s="1"/>
  <c r="U39" i="5" s="1"/>
  <c r="V39" i="5" s="1"/>
  <c r="W39" i="5" s="1"/>
  <c r="X39" i="5" s="1"/>
  <c r="Y39" i="5" s="1"/>
  <c r="O38" i="5"/>
  <c r="N38" i="5"/>
  <c r="M38" i="5"/>
  <c r="L38" i="5"/>
  <c r="K38" i="5"/>
  <c r="J38" i="5"/>
  <c r="I38" i="5"/>
  <c r="P37" i="5"/>
  <c r="O36" i="5"/>
  <c r="N36" i="5"/>
  <c r="M36" i="5"/>
  <c r="L36" i="5"/>
  <c r="K36" i="5"/>
  <c r="J36" i="5"/>
  <c r="I36" i="5"/>
  <c r="F77" i="9"/>
  <c r="H77" i="9" s="1"/>
  <c r="L77" i="9" s="1"/>
  <c r="K377" i="7" s="1"/>
  <c r="K77" i="7" s="1"/>
  <c r="F76" i="9"/>
  <c r="H76" i="9" s="1"/>
  <c r="L76" i="9" s="1"/>
  <c r="K373" i="7" s="1"/>
  <c r="J73" i="9"/>
  <c r="D73" i="9"/>
  <c r="L72" i="9"/>
  <c r="H72" i="9"/>
  <c r="F72" i="9"/>
  <c r="H71" i="9"/>
  <c r="F71" i="9"/>
  <c r="F70" i="9"/>
  <c r="F73" i="9" s="1"/>
  <c r="D70" i="9"/>
  <c r="B70" i="9"/>
  <c r="H69" i="9"/>
  <c r="F69" i="9"/>
  <c r="H68" i="9"/>
  <c r="F68" i="9"/>
  <c r="H62" i="9"/>
  <c r="L62" i="9" s="1"/>
  <c r="L377" i="7" s="1"/>
  <c r="F62" i="9"/>
  <c r="F61" i="9"/>
  <c r="H61" i="9" s="1"/>
  <c r="L61" i="9" s="1"/>
  <c r="L373" i="7" s="1"/>
  <c r="J58" i="9"/>
  <c r="H57" i="9"/>
  <c r="L57" i="9" s="1"/>
  <c r="F57" i="9"/>
  <c r="F56" i="9"/>
  <c r="H56" i="9" s="1"/>
  <c r="D55" i="9"/>
  <c r="D58" i="9" s="1"/>
  <c r="B55" i="9"/>
  <c r="B58" i="9" s="1"/>
  <c r="H54" i="9"/>
  <c r="F54" i="9"/>
  <c r="F53" i="9"/>
  <c r="F47" i="9"/>
  <c r="H47" i="9" s="1"/>
  <c r="L47" i="9" s="1"/>
  <c r="L46" i="9"/>
  <c r="M373" i="7" s="1"/>
  <c r="H46" i="9"/>
  <c r="F46" i="9"/>
  <c r="B43" i="9"/>
  <c r="H43" i="9" s="1"/>
  <c r="H42" i="9"/>
  <c r="L42" i="9" s="1"/>
  <c r="H41" i="9"/>
  <c r="L41" i="9" s="1"/>
  <c r="F41" i="9"/>
  <c r="J40" i="9"/>
  <c r="F40" i="9"/>
  <c r="F43" i="9" s="1"/>
  <c r="D40" i="9"/>
  <c r="D43" i="9" s="1"/>
  <c r="B40" i="9"/>
  <c r="F39" i="9"/>
  <c r="H39" i="9" s="1"/>
  <c r="L39" i="9" s="1"/>
  <c r="H38" i="9"/>
  <c r="L38" i="9" s="1"/>
  <c r="F38" i="9"/>
  <c r="H31" i="9"/>
  <c r="L31" i="9" s="1"/>
  <c r="N377" i="7" s="1"/>
  <c r="N77" i="7" s="1"/>
  <c r="F31" i="9"/>
  <c r="L30" i="9"/>
  <c r="H30" i="9"/>
  <c r="F30" i="9"/>
  <c r="H26" i="9"/>
  <c r="L26" i="9" s="1"/>
  <c r="F26" i="9"/>
  <c r="L25" i="9"/>
  <c r="H25" i="9"/>
  <c r="F25" i="9"/>
  <c r="J24" i="9"/>
  <c r="J27" i="9" s="1"/>
  <c r="D24" i="9"/>
  <c r="D27" i="9" s="1"/>
  <c r="B24" i="9"/>
  <c r="H23" i="9"/>
  <c r="L23" i="9" s="1"/>
  <c r="F23" i="9"/>
  <c r="F24" i="9" s="1"/>
  <c r="F27" i="9" s="1"/>
  <c r="L22" i="9"/>
  <c r="H22" i="9"/>
  <c r="F22" i="9"/>
  <c r="L14" i="9"/>
  <c r="O377" i="7" s="1"/>
  <c r="H14" i="9"/>
  <c r="H13" i="9"/>
  <c r="L13" i="9" s="1"/>
  <c r="O373" i="7" s="1"/>
  <c r="F10" i="9"/>
  <c r="B10" i="9"/>
  <c r="H9" i="9"/>
  <c r="J9" i="9" s="1"/>
  <c r="L9" i="9" s="1"/>
  <c r="H8" i="9"/>
  <c r="L8" i="9" s="1"/>
  <c r="J7" i="9"/>
  <c r="F7" i="9"/>
  <c r="D7" i="9"/>
  <c r="D10" i="9" s="1"/>
  <c r="B7" i="9"/>
  <c r="H7" i="9" s="1"/>
  <c r="L6" i="9"/>
  <c r="J6" i="9"/>
  <c r="H6" i="9"/>
  <c r="L5" i="9"/>
  <c r="H5" i="9"/>
  <c r="JK31" i="8"/>
  <c r="IY31" i="8"/>
  <c r="IZ31" i="8" s="1"/>
  <c r="IL31" i="8"/>
  <c r="IK31" i="8"/>
  <c r="HY31" i="8"/>
  <c r="HX31" i="8"/>
  <c r="HJ31" i="8"/>
  <c r="HI31" i="8"/>
  <c r="GT31" i="8"/>
  <c r="GU31" i="8" s="1"/>
  <c r="GG31" i="8"/>
  <c r="GH31" i="8" s="1"/>
  <c r="FT31" i="8"/>
  <c r="FU31" i="8" s="1"/>
  <c r="FG31" i="8"/>
  <c r="FF31" i="8"/>
  <c r="ES31" i="8"/>
  <c r="ER31" i="8"/>
  <c r="EF31" i="8"/>
  <c r="EE31" i="8"/>
  <c r="JK30" i="8"/>
  <c r="IZ30" i="8"/>
  <c r="IY30" i="8"/>
  <c r="IK30" i="8"/>
  <c r="IL30" i="8" s="1"/>
  <c r="HY30" i="8"/>
  <c r="HX30" i="8"/>
  <c r="HI30" i="8"/>
  <c r="HJ30" i="8" s="1"/>
  <c r="GT30" i="8"/>
  <c r="GU30" i="8" s="1"/>
  <c r="GG30" i="8"/>
  <c r="GH30" i="8" s="1"/>
  <c r="FU30" i="8"/>
  <c r="FT30" i="8"/>
  <c r="FF30" i="8"/>
  <c r="FG30" i="8" s="1"/>
  <c r="ES30" i="8"/>
  <c r="ER30" i="8"/>
  <c r="EE30" i="8"/>
  <c r="EF30" i="8" s="1"/>
  <c r="DO30" i="8"/>
  <c r="DP30" i="8" s="1"/>
  <c r="CY30" i="8"/>
  <c r="CZ30" i="8" s="1"/>
  <c r="CK30" i="8"/>
  <c r="CJ30" i="8"/>
  <c r="BU30" i="8"/>
  <c r="BV30" i="8" s="1"/>
  <c r="BE30" i="8"/>
  <c r="BD30" i="8"/>
  <c r="AP30" i="8"/>
  <c r="AQ30" i="8" s="1"/>
  <c r="AA30" i="8"/>
  <c r="AB30" i="8" s="1"/>
  <c r="M30" i="8"/>
  <c r="N30" i="8" s="1"/>
  <c r="JK29" i="8"/>
  <c r="IY29" i="8"/>
  <c r="IZ29" i="8" s="1"/>
  <c r="IK29" i="8"/>
  <c r="IL29" i="8" s="1"/>
  <c r="HY29" i="8"/>
  <c r="HX29" i="8"/>
  <c r="HJ29" i="8"/>
  <c r="HI29" i="8"/>
  <c r="GU29" i="8"/>
  <c r="GT29" i="8"/>
  <c r="GG29" i="8"/>
  <c r="GH29" i="8" s="1"/>
  <c r="FT29" i="8"/>
  <c r="FU29" i="8" s="1"/>
  <c r="FF29" i="8"/>
  <c r="FG29" i="8" s="1"/>
  <c r="ES29" i="8"/>
  <c r="ER29" i="8"/>
  <c r="EF29" i="8"/>
  <c r="EE29" i="8"/>
  <c r="DP29" i="8"/>
  <c r="DO29" i="8"/>
  <c r="CY29" i="8"/>
  <c r="CZ29" i="8" s="1"/>
  <c r="CJ29" i="8"/>
  <c r="CK29" i="8" s="1"/>
  <c r="BU29" i="8"/>
  <c r="BV29" i="8" s="1"/>
  <c r="BE29" i="8"/>
  <c r="BD29" i="8"/>
  <c r="AQ29" i="8"/>
  <c r="AP29" i="8"/>
  <c r="AB29" i="8"/>
  <c r="AA29" i="8"/>
  <c r="M29" i="8"/>
  <c r="N29" i="8" s="1"/>
  <c r="JK28" i="8"/>
  <c r="IY28" i="8"/>
  <c r="IZ28" i="8" s="1"/>
  <c r="IL28" i="8"/>
  <c r="IK28" i="8"/>
  <c r="HX28" i="8"/>
  <c r="HY28" i="8" s="1"/>
  <c r="HI28" i="8"/>
  <c r="HJ28" i="8" s="1"/>
  <c r="GT28" i="8"/>
  <c r="GU28" i="8" s="1"/>
  <c r="GH28" i="8"/>
  <c r="GG28" i="8"/>
  <c r="FT28" i="8"/>
  <c r="FU28" i="8" s="1"/>
  <c r="FG28" i="8"/>
  <c r="FF28" i="8"/>
  <c r="ER28" i="8"/>
  <c r="ES28" i="8" s="1"/>
  <c r="EE28" i="8"/>
  <c r="EF28" i="8" s="1"/>
  <c r="DO28" i="8"/>
  <c r="DP28" i="8" s="1"/>
  <c r="CZ28" i="8"/>
  <c r="CY28" i="8"/>
  <c r="CJ28" i="8"/>
  <c r="CK28" i="8" s="1"/>
  <c r="BV28" i="8"/>
  <c r="BU28" i="8"/>
  <c r="BD28" i="8"/>
  <c r="BE28" i="8" s="1"/>
  <c r="AP28" i="8"/>
  <c r="AQ28" i="8" s="1"/>
  <c r="AA28" i="8"/>
  <c r="AB28" i="8" s="1"/>
  <c r="N28" i="8"/>
  <c r="M28" i="8"/>
  <c r="JK27" i="8"/>
  <c r="IY27" i="8"/>
  <c r="IZ27" i="8" s="1"/>
  <c r="IL27" i="8"/>
  <c r="IK27" i="8"/>
  <c r="HY27" i="8"/>
  <c r="HX27" i="8"/>
  <c r="HJ27" i="8"/>
  <c r="HI27" i="8"/>
  <c r="GT27" i="8"/>
  <c r="GU27" i="8" s="1"/>
  <c r="GG27" i="8"/>
  <c r="GH27" i="8" s="1"/>
  <c r="FT27" i="8"/>
  <c r="FU27" i="8" s="1"/>
  <c r="FG27" i="8"/>
  <c r="FF27" i="8"/>
  <c r="ES27" i="8"/>
  <c r="ER27" i="8"/>
  <c r="EF27" i="8"/>
  <c r="EE27" i="8"/>
  <c r="DO27" i="8"/>
  <c r="DP27" i="8" s="1"/>
  <c r="CY27" i="8"/>
  <c r="CZ27" i="8" s="1"/>
  <c r="CJ27" i="8"/>
  <c r="CK27" i="8" s="1"/>
  <c r="BV27" i="8"/>
  <c r="BU27" i="8"/>
  <c r="BE27" i="8"/>
  <c r="BD27" i="8"/>
  <c r="AQ27" i="8"/>
  <c r="AP27" i="8"/>
  <c r="AA27" i="8"/>
  <c r="AB27" i="8" s="1"/>
  <c r="M27" i="8"/>
  <c r="N27" i="8" s="1"/>
  <c r="JK26" i="8"/>
  <c r="IZ26" i="8"/>
  <c r="IY26" i="8"/>
  <c r="IK26" i="8"/>
  <c r="IL26" i="8" s="1"/>
  <c r="HX26" i="8"/>
  <c r="HY26" i="8" s="1"/>
  <c r="HI26" i="8"/>
  <c r="HJ26" i="8" s="1"/>
  <c r="GU26" i="8"/>
  <c r="GT26" i="8"/>
  <c r="GG26" i="8"/>
  <c r="GH26" i="8" s="1"/>
  <c r="FU26" i="8"/>
  <c r="FT26" i="8"/>
  <c r="FF26" i="8"/>
  <c r="FG26" i="8" s="1"/>
  <c r="ER26" i="8"/>
  <c r="ES26" i="8" s="1"/>
  <c r="EE26" i="8"/>
  <c r="EF26" i="8" s="1"/>
  <c r="DP26" i="8"/>
  <c r="DO26" i="8"/>
  <c r="CY26" i="8"/>
  <c r="CZ26" i="8" s="1"/>
  <c r="CK26" i="8"/>
  <c r="CJ26" i="8"/>
  <c r="BU26" i="8"/>
  <c r="BV26" i="8" s="1"/>
  <c r="BD26" i="8"/>
  <c r="BE26" i="8" s="1"/>
  <c r="AP26" i="8"/>
  <c r="AQ26" i="8" s="1"/>
  <c r="AB26" i="8"/>
  <c r="AA26" i="8"/>
  <c r="M26" i="8"/>
  <c r="N26" i="8" s="1"/>
  <c r="JK25" i="8"/>
  <c r="IZ25" i="8"/>
  <c r="IY25" i="8"/>
  <c r="IL25" i="8"/>
  <c r="IK25" i="8"/>
  <c r="HY25" i="8"/>
  <c r="HX25" i="8"/>
  <c r="HI25" i="8"/>
  <c r="HJ25" i="8" s="1"/>
  <c r="GT25" i="8"/>
  <c r="GU25" i="8" s="1"/>
  <c r="GG25" i="8"/>
  <c r="GH25" i="8" s="1"/>
  <c r="FU25" i="8"/>
  <c r="FT25" i="8"/>
  <c r="FG25" i="8"/>
  <c r="FF25" i="8"/>
  <c r="ES25" i="8"/>
  <c r="ER25" i="8"/>
  <c r="EE25" i="8"/>
  <c r="EF25" i="8" s="1"/>
  <c r="DO25" i="8"/>
  <c r="DP25" i="8" s="1"/>
  <c r="CY25" i="8"/>
  <c r="CZ25" i="8" s="1"/>
  <c r="CK25" i="8"/>
  <c r="CJ25" i="8"/>
  <c r="BV25" i="8"/>
  <c r="BU25" i="8"/>
  <c r="BE25" i="8"/>
  <c r="BD25" i="8"/>
  <c r="AP25" i="8"/>
  <c r="AQ25" i="8" s="1"/>
  <c r="AA25" i="8"/>
  <c r="AB25" i="8" s="1"/>
  <c r="M25" i="8"/>
  <c r="N25" i="8" s="1"/>
  <c r="JK24" i="8"/>
  <c r="IY24" i="8"/>
  <c r="IZ24" i="8" s="1"/>
  <c r="IK24" i="8"/>
  <c r="IL24" i="8" s="1"/>
  <c r="HY24" i="8"/>
  <c r="HX24" i="8"/>
  <c r="HJ24" i="8"/>
  <c r="HI24" i="8"/>
  <c r="GT24" i="8"/>
  <c r="GU24" i="8" s="1"/>
  <c r="GH24" i="8"/>
  <c r="GG24" i="8"/>
  <c r="FT24" i="8"/>
  <c r="FU24" i="8" s="1"/>
  <c r="FF24" i="8"/>
  <c r="FG24" i="8" s="1"/>
  <c r="ES24" i="8"/>
  <c r="ER24" i="8"/>
  <c r="EF24" i="8"/>
  <c r="EE24" i="8"/>
  <c r="DO24" i="8"/>
  <c r="DP24" i="8" s="1"/>
  <c r="CZ24" i="8"/>
  <c r="CY24" i="8"/>
  <c r="CJ24" i="8"/>
  <c r="CK24" i="8" s="1"/>
  <c r="BU24" i="8"/>
  <c r="BV24" i="8" s="1"/>
  <c r="BE24" i="8"/>
  <c r="BD24" i="8"/>
  <c r="AQ24" i="8"/>
  <c r="AP24" i="8"/>
  <c r="AA24" i="8"/>
  <c r="AB24" i="8" s="1"/>
  <c r="N24" i="8"/>
  <c r="M24" i="8"/>
  <c r="JK23" i="8"/>
  <c r="IZ23" i="8"/>
  <c r="IY23" i="8"/>
  <c r="IL23" i="8"/>
  <c r="IK23" i="8"/>
  <c r="HX23" i="8"/>
  <c r="HY23" i="8" s="1"/>
  <c r="HI23" i="8"/>
  <c r="HJ23" i="8" s="1"/>
  <c r="GT23" i="8"/>
  <c r="GU23" i="8" s="1"/>
  <c r="GH23" i="8"/>
  <c r="GG23" i="8"/>
  <c r="FU23" i="8"/>
  <c r="FT23" i="8"/>
  <c r="FG23" i="8"/>
  <c r="FF23" i="8"/>
  <c r="ER23" i="8"/>
  <c r="ES23" i="8" s="1"/>
  <c r="EE23" i="8"/>
  <c r="EF23" i="8" s="1"/>
  <c r="DO23" i="8"/>
  <c r="DP23" i="8" s="1"/>
  <c r="CZ23" i="8"/>
  <c r="CY23" i="8"/>
  <c r="CK23" i="8"/>
  <c r="CJ23" i="8"/>
  <c r="BU23" i="8"/>
  <c r="BV23" i="8" s="1"/>
  <c r="BD23" i="8"/>
  <c r="BE23" i="8" s="1"/>
  <c r="AP23" i="8"/>
  <c r="AQ23" i="8" s="1"/>
  <c r="AA23" i="8"/>
  <c r="AB23" i="8" s="1"/>
  <c r="N23" i="8"/>
  <c r="M23" i="8"/>
  <c r="IY22" i="8"/>
  <c r="IZ22" i="8" s="1"/>
  <c r="IL22" i="8"/>
  <c r="IK22" i="8"/>
  <c r="HY22" i="8"/>
  <c r="HX22" i="8"/>
  <c r="HI22" i="8"/>
  <c r="HJ22" i="8" s="1"/>
  <c r="GU22" i="8"/>
  <c r="GT22" i="8"/>
  <c r="GG22" i="8"/>
  <c r="GH22" i="8" s="1"/>
  <c r="FT22" i="8"/>
  <c r="FU22" i="8" s="1"/>
  <c r="FG22" i="8"/>
  <c r="FF22" i="8"/>
  <c r="ES22" i="8"/>
  <c r="ER22" i="8"/>
  <c r="EE22" i="8"/>
  <c r="EF22" i="8" s="1"/>
  <c r="DP22" i="8"/>
  <c r="DO22" i="8"/>
  <c r="CY22" i="8"/>
  <c r="CZ22" i="8" s="1"/>
  <c r="CJ22" i="8"/>
  <c r="CK22" i="8" s="1"/>
  <c r="BV22" i="8"/>
  <c r="BU22" i="8"/>
  <c r="BE22" i="8"/>
  <c r="BD22" i="8"/>
  <c r="AP22" i="8"/>
  <c r="AQ22" i="8" s="1"/>
  <c r="AB22" i="8"/>
  <c r="AA22" i="8"/>
  <c r="M22" i="8"/>
  <c r="N22" i="8" s="1"/>
  <c r="DO21" i="8"/>
  <c r="DP21" i="8" s="1"/>
  <c r="CZ21" i="8"/>
  <c r="CY21" i="8"/>
  <c r="CK21" i="8"/>
  <c r="CJ21" i="8"/>
  <c r="BU21" i="8"/>
  <c r="BV21" i="8" s="1"/>
  <c r="BE21" i="8"/>
  <c r="BD21" i="8"/>
  <c r="AP21" i="8"/>
  <c r="AQ21" i="8" s="1"/>
  <c r="AA21" i="8"/>
  <c r="AB21" i="8" s="1"/>
  <c r="N21" i="8"/>
  <c r="B10" i="8"/>
  <c r="D10" i="8" s="1"/>
  <c r="IW9" i="8"/>
  <c r="IV9" i="8"/>
  <c r="HV9" i="8"/>
  <c r="HU9" i="8"/>
  <c r="HG9" i="8"/>
  <c r="HF9" i="8"/>
  <c r="GR9" i="8"/>
  <c r="GQ9" i="8"/>
  <c r="GE9" i="8"/>
  <c r="GD9" i="8"/>
  <c r="FR9" i="8"/>
  <c r="FQ9" i="8"/>
  <c r="FD9" i="8"/>
  <c r="FC9" i="8"/>
  <c r="EP9" i="8"/>
  <c r="EO9" i="8"/>
  <c r="EC9" i="8"/>
  <c r="EB9" i="8"/>
  <c r="DM9" i="8"/>
  <c r="DL9" i="8"/>
  <c r="CW9" i="8"/>
  <c r="CV9" i="8"/>
  <c r="CH9" i="8"/>
  <c r="CG9" i="8"/>
  <c r="BS9" i="8"/>
  <c r="BR9" i="8"/>
  <c r="BB9" i="8"/>
  <c r="BA9" i="8"/>
  <c r="AN9" i="8"/>
  <c r="AM9" i="8"/>
  <c r="Y9" i="8"/>
  <c r="X9" i="8"/>
  <c r="K9" i="8"/>
  <c r="J9" i="8"/>
  <c r="B9" i="8"/>
  <c r="D9" i="8" s="1"/>
  <c r="D11" i="8" s="1"/>
  <c r="IW8" i="8"/>
  <c r="IV8" i="8"/>
  <c r="II8" i="8"/>
  <c r="IH8" i="8"/>
  <c r="HV8" i="8"/>
  <c r="HU8" i="8"/>
  <c r="HG8" i="8"/>
  <c r="HF8" i="8"/>
  <c r="GR8" i="8"/>
  <c r="GQ8" i="8"/>
  <c r="GE8" i="8"/>
  <c r="GD8" i="8"/>
  <c r="FR8" i="8"/>
  <c r="FQ8" i="8"/>
  <c r="FD8" i="8"/>
  <c r="FC8" i="8"/>
  <c r="EP8" i="8"/>
  <c r="EO8" i="8"/>
  <c r="EC8" i="8"/>
  <c r="EB8" i="8"/>
  <c r="DM8" i="8"/>
  <c r="DL8" i="8"/>
  <c r="CW8" i="8"/>
  <c r="CV8" i="8"/>
  <c r="CH8" i="8"/>
  <c r="CG8" i="8"/>
  <c r="BS8" i="8"/>
  <c r="BR8" i="8"/>
  <c r="BB8" i="8"/>
  <c r="BA8" i="8"/>
  <c r="AN8" i="8"/>
  <c r="AM8" i="8"/>
  <c r="Y8" i="8"/>
  <c r="X8" i="8"/>
  <c r="K8" i="8"/>
  <c r="J8" i="8"/>
  <c r="IW7" i="8"/>
  <c r="IV7" i="8"/>
  <c r="II7" i="8"/>
  <c r="IH7" i="8"/>
  <c r="HV7" i="8"/>
  <c r="HU7" i="8"/>
  <c r="HG7" i="8"/>
  <c r="HF7" i="8"/>
  <c r="GR7" i="8"/>
  <c r="GQ7" i="8"/>
  <c r="GE7" i="8"/>
  <c r="GD7" i="8"/>
  <c r="FR7" i="8"/>
  <c r="FQ7" i="8"/>
  <c r="FD7" i="8"/>
  <c r="FC7" i="8"/>
  <c r="EP7" i="8"/>
  <c r="EO7" i="8"/>
  <c r="EC7" i="8"/>
  <c r="EB7" i="8"/>
  <c r="DM7" i="8"/>
  <c r="DL7" i="8"/>
  <c r="CW7" i="8"/>
  <c r="CV7" i="8"/>
  <c r="CH7" i="8"/>
  <c r="CG7" i="8"/>
  <c r="BS7" i="8"/>
  <c r="BR7" i="8"/>
  <c r="BB7" i="8"/>
  <c r="BA7" i="8"/>
  <c r="AN7" i="8"/>
  <c r="AM7" i="8"/>
  <c r="Y7" i="8"/>
  <c r="X7" i="8"/>
  <c r="K7" i="8"/>
  <c r="J7" i="8"/>
  <c r="IW6" i="8"/>
  <c r="IV6" i="8"/>
  <c r="II6" i="8"/>
  <c r="IH6" i="8"/>
  <c r="HV6" i="8"/>
  <c r="HU6" i="8"/>
  <c r="HG6" i="8"/>
  <c r="HF6" i="8"/>
  <c r="GR6" i="8"/>
  <c r="GQ6" i="8"/>
  <c r="GE6" i="8"/>
  <c r="GD6" i="8"/>
  <c r="FR6" i="8"/>
  <c r="FQ6" i="8"/>
  <c r="FD6" i="8"/>
  <c r="FC6" i="8"/>
  <c r="EP6" i="8"/>
  <c r="EO6" i="8"/>
  <c r="EC6" i="8"/>
  <c r="EB6" i="8"/>
  <c r="DM6" i="8"/>
  <c r="DL6" i="8"/>
  <c r="CW6" i="8"/>
  <c r="CV6" i="8"/>
  <c r="CH6" i="8"/>
  <c r="CG6" i="8"/>
  <c r="BS6" i="8"/>
  <c r="BR6" i="8"/>
  <c r="BB6" i="8"/>
  <c r="BA6" i="8"/>
  <c r="AN6" i="8"/>
  <c r="AM6" i="8"/>
  <c r="Y6" i="8"/>
  <c r="X6" i="8"/>
  <c r="K6" i="8"/>
  <c r="J6" i="8"/>
  <c r="D6" i="8"/>
  <c r="IW5" i="8"/>
  <c r="IV5" i="8"/>
  <c r="II5" i="8"/>
  <c r="IH5" i="8"/>
  <c r="HV5" i="8"/>
  <c r="HG5" i="8"/>
  <c r="HF5" i="8"/>
  <c r="GR5" i="8"/>
  <c r="GQ5" i="8"/>
  <c r="GE5" i="8"/>
  <c r="GD5" i="8"/>
  <c r="FR5" i="8"/>
  <c r="FQ5" i="8"/>
  <c r="FD5" i="8"/>
  <c r="FC5" i="8"/>
  <c r="EP5" i="8"/>
  <c r="EO5" i="8"/>
  <c r="EC5" i="8"/>
  <c r="EB5" i="8"/>
  <c r="DM5" i="8"/>
  <c r="DL5" i="8"/>
  <c r="CW5" i="8"/>
  <c r="CV5" i="8"/>
  <c r="CH5" i="8"/>
  <c r="CG5" i="8"/>
  <c r="BS5" i="8"/>
  <c r="BR5" i="8"/>
  <c r="BB5" i="8"/>
  <c r="BA5" i="8"/>
  <c r="AN5" i="8"/>
  <c r="AM5" i="8"/>
  <c r="Y5" i="8"/>
  <c r="X5" i="8"/>
  <c r="K5" i="8"/>
  <c r="J5" i="8"/>
  <c r="D5" i="8"/>
  <c r="IW4" i="8"/>
  <c r="IV4" i="8"/>
  <c r="II4" i="8"/>
  <c r="IH4" i="8"/>
  <c r="HG4" i="8"/>
  <c r="HF4" i="8"/>
  <c r="GR4" i="8"/>
  <c r="GQ4" i="8"/>
  <c r="GE4" i="8"/>
  <c r="GD4" i="8"/>
  <c r="FR4" i="8"/>
  <c r="FQ4" i="8"/>
  <c r="FD4" i="8"/>
  <c r="FC4" i="8"/>
  <c r="EP4" i="8"/>
  <c r="EO4" i="8"/>
  <c r="EC4" i="8"/>
  <c r="EB4" i="8"/>
  <c r="DM4" i="8"/>
  <c r="DL4" i="8"/>
  <c r="CW4" i="8"/>
  <c r="CV4" i="8"/>
  <c r="CH4" i="8"/>
  <c r="CG4" i="8"/>
  <c r="BS4" i="8"/>
  <c r="BR4" i="8"/>
  <c r="BB4" i="8"/>
  <c r="BA4" i="8"/>
  <c r="AN4" i="8"/>
  <c r="AM4" i="8"/>
  <c r="Y4" i="8"/>
  <c r="X4" i="8"/>
  <c r="K4" i="8"/>
  <c r="J4" i="8"/>
  <c r="D4" i="8"/>
  <c r="IW3" i="8"/>
  <c r="IV3" i="8"/>
  <c r="II3" i="8"/>
  <c r="IH3" i="8"/>
  <c r="HG3" i="8"/>
  <c r="HF3" i="8"/>
  <c r="GR3" i="8"/>
  <c r="GE3" i="8"/>
  <c r="GD3" i="8"/>
  <c r="FR3" i="8"/>
  <c r="FQ3" i="8"/>
  <c r="FD3" i="8"/>
  <c r="FC3" i="8"/>
  <c r="EP3" i="8"/>
  <c r="EO3" i="8"/>
  <c r="EC3" i="8"/>
  <c r="EB3" i="8"/>
  <c r="DM3" i="8"/>
  <c r="DL3" i="8"/>
  <c r="CW3" i="8"/>
  <c r="CV3" i="8"/>
  <c r="CH3" i="8"/>
  <c r="CG3" i="8"/>
  <c r="BS3" i="8"/>
  <c r="BR3" i="8"/>
  <c r="BB3" i="8"/>
  <c r="BA3" i="8"/>
  <c r="AN3" i="8"/>
  <c r="AM3" i="8"/>
  <c r="AM10" i="8" s="1"/>
  <c r="Y3" i="8"/>
  <c r="X3" i="8"/>
  <c r="K3" i="8"/>
  <c r="J3" i="8"/>
  <c r="D3" i="8"/>
  <c r="HG2" i="8"/>
  <c r="GR2" i="8"/>
  <c r="GE2" i="8"/>
  <c r="FR2" i="8"/>
  <c r="FD2" i="8"/>
  <c r="EP2" i="8"/>
  <c r="EC2" i="8"/>
  <c r="DM2" i="8"/>
  <c r="CW2" i="8"/>
  <c r="CH2" i="8"/>
  <c r="BS2" i="8"/>
  <c r="BB2" i="8"/>
  <c r="AN2" i="8"/>
  <c r="Y2" i="8"/>
  <c r="D2" i="8"/>
  <c r="D7" i="8" s="1"/>
  <c r="M377" i="7"/>
  <c r="M77" i="7" s="1"/>
  <c r="J375" i="7"/>
  <c r="J378" i="7" s="1"/>
  <c r="J60" i="7" s="1"/>
  <c r="I375" i="7"/>
  <c r="H378" i="7"/>
  <c r="H60" i="7" s="1"/>
  <c r="N373" i="7"/>
  <c r="O371" i="7"/>
  <c r="O375" i="7" s="1"/>
  <c r="N371" i="7"/>
  <c r="M371" i="7"/>
  <c r="L371" i="7"/>
  <c r="K371" i="7"/>
  <c r="N369" i="7"/>
  <c r="M369" i="7"/>
  <c r="M41" i="7" s="1"/>
  <c r="L369" i="7"/>
  <c r="L41" i="7" s="1"/>
  <c r="K369" i="7"/>
  <c r="N366" i="7"/>
  <c r="M366" i="7"/>
  <c r="L366" i="7"/>
  <c r="K366" i="7"/>
  <c r="J366" i="7"/>
  <c r="I366" i="7"/>
  <c r="M362" i="7"/>
  <c r="J362" i="7"/>
  <c r="J22" i="7" s="1"/>
  <c r="I362" i="7"/>
  <c r="I22" i="7" s="1"/>
  <c r="H362" i="7"/>
  <c r="H22" i="7" s="1"/>
  <c r="O358" i="7"/>
  <c r="O366" i="7" s="1"/>
  <c r="O356" i="7"/>
  <c r="O21" i="7" s="1"/>
  <c r="N356" i="7"/>
  <c r="N365" i="7" s="1"/>
  <c r="L356" i="7"/>
  <c r="M365" i="7" s="1"/>
  <c r="K356" i="7"/>
  <c r="O348" i="7"/>
  <c r="N348" i="7"/>
  <c r="M348" i="7"/>
  <c r="L348" i="7"/>
  <c r="O345" i="7"/>
  <c r="N345" i="7"/>
  <c r="M345" i="7"/>
  <c r="L345" i="7"/>
  <c r="O340" i="7"/>
  <c r="M340" i="7"/>
  <c r="L340" i="7"/>
  <c r="K340" i="7"/>
  <c r="K306" i="7" s="1"/>
  <c r="J340" i="7"/>
  <c r="J306" i="7" s="1"/>
  <c r="I340" i="7"/>
  <c r="H340" i="7"/>
  <c r="O338" i="7"/>
  <c r="M338" i="7"/>
  <c r="L338" i="7"/>
  <c r="K338" i="7"/>
  <c r="J338" i="7"/>
  <c r="I338" i="7"/>
  <c r="H338" i="7"/>
  <c r="N333" i="7"/>
  <c r="M333" i="7"/>
  <c r="L333" i="7"/>
  <c r="K333" i="7"/>
  <c r="J333" i="7"/>
  <c r="I333" i="7"/>
  <c r="H333" i="7"/>
  <c r="N331" i="7"/>
  <c r="M331" i="7"/>
  <c r="L331" i="7"/>
  <c r="K331" i="7"/>
  <c r="J331" i="7"/>
  <c r="I331" i="7"/>
  <c r="H331" i="7"/>
  <c r="O326" i="7"/>
  <c r="N326" i="7"/>
  <c r="M326" i="7"/>
  <c r="L326" i="7"/>
  <c r="K326" i="7"/>
  <c r="J326" i="7"/>
  <c r="I326" i="7"/>
  <c r="H326" i="7"/>
  <c r="O324" i="7"/>
  <c r="N324" i="7"/>
  <c r="M324" i="7"/>
  <c r="L324" i="7"/>
  <c r="K324" i="7"/>
  <c r="J324" i="7"/>
  <c r="I324" i="7"/>
  <c r="H324" i="7"/>
  <c r="L315" i="7"/>
  <c r="L317" i="7" s="1"/>
  <c r="L59" i="7" s="1"/>
  <c r="H315" i="7"/>
  <c r="H317" i="7" s="1"/>
  <c r="H59" i="7" s="1"/>
  <c r="H84" i="7" s="1"/>
  <c r="O310" i="7"/>
  <c r="N310" i="7"/>
  <c r="M310" i="7"/>
  <c r="L310" i="7"/>
  <c r="K310" i="7"/>
  <c r="J310" i="7"/>
  <c r="I310" i="7"/>
  <c r="I306" i="7"/>
  <c r="H306" i="7"/>
  <c r="O303" i="7"/>
  <c r="Y302" i="7"/>
  <c r="X302" i="7"/>
  <c r="W302" i="7"/>
  <c r="V302" i="7"/>
  <c r="U302" i="7"/>
  <c r="T302" i="7"/>
  <c r="S302" i="7"/>
  <c r="R302" i="7"/>
  <c r="Q302" i="7"/>
  <c r="N302" i="7"/>
  <c r="M302" i="7"/>
  <c r="M301" i="7"/>
  <c r="L301" i="7"/>
  <c r="K301" i="7"/>
  <c r="J301" i="7"/>
  <c r="I301" i="7"/>
  <c r="Y300" i="7"/>
  <c r="X300" i="7"/>
  <c r="W300" i="7"/>
  <c r="V300" i="7"/>
  <c r="U300" i="7"/>
  <c r="T300" i="7"/>
  <c r="S300" i="7"/>
  <c r="R300" i="7"/>
  <c r="Q300" i="7"/>
  <c r="N300" i="7"/>
  <c r="M300" i="7"/>
  <c r="L300" i="7"/>
  <c r="K300" i="7"/>
  <c r="J300" i="7"/>
  <c r="I300" i="7"/>
  <c r="O299" i="7"/>
  <c r="N299" i="7"/>
  <c r="M299" i="7"/>
  <c r="L299" i="7"/>
  <c r="K299" i="7"/>
  <c r="J299" i="7"/>
  <c r="I299" i="7"/>
  <c r="N301" i="7"/>
  <c r="H296" i="7"/>
  <c r="O301" i="7"/>
  <c r="P299" i="7"/>
  <c r="H276" i="7"/>
  <c r="H240" i="7" s="1"/>
  <c r="H274" i="7"/>
  <c r="L269" i="7"/>
  <c r="K269" i="7"/>
  <c r="J269" i="7"/>
  <c r="I269" i="7"/>
  <c r="H269" i="7"/>
  <c r="L267" i="7"/>
  <c r="K267" i="7"/>
  <c r="J267" i="7"/>
  <c r="I267" i="7"/>
  <c r="H267" i="7"/>
  <c r="L262" i="7"/>
  <c r="K262" i="7"/>
  <c r="J262" i="7"/>
  <c r="I262" i="7"/>
  <c r="I239" i="7" s="1"/>
  <c r="H262" i="7"/>
  <c r="O259" i="7"/>
  <c r="N259" i="7"/>
  <c r="M259" i="7"/>
  <c r="L259" i="7"/>
  <c r="L260" i="7" s="1"/>
  <c r="K259" i="7"/>
  <c r="K260" i="7" s="1"/>
  <c r="J259" i="7"/>
  <c r="J260" i="7" s="1"/>
  <c r="I259" i="7"/>
  <c r="I260" i="7" s="1"/>
  <c r="H259" i="7"/>
  <c r="H260" i="7" s="1"/>
  <c r="N252" i="7"/>
  <c r="N253" i="7" s="1"/>
  <c r="M252" i="7"/>
  <c r="M253" i="7" s="1"/>
  <c r="L252" i="7"/>
  <c r="L253" i="7" s="1"/>
  <c r="K252" i="7"/>
  <c r="K253" i="7" s="1"/>
  <c r="J252" i="7"/>
  <c r="J253" i="7" s="1"/>
  <c r="I252" i="7"/>
  <c r="I253" i="7" s="1"/>
  <c r="H252" i="7"/>
  <c r="H253" i="7" s="1"/>
  <c r="I246" i="7"/>
  <c r="I58" i="7" s="1"/>
  <c r="I83" i="7" s="1"/>
  <c r="H246" i="7"/>
  <c r="H58" i="7" s="1"/>
  <c r="O245" i="7"/>
  <c r="P75" i="7" s="1"/>
  <c r="I244" i="7"/>
  <c r="I243" i="7"/>
  <c r="O242" i="7"/>
  <c r="O39" i="7" s="1"/>
  <c r="N242" i="7"/>
  <c r="N39" i="7" s="1"/>
  <c r="M242" i="7"/>
  <c r="M246" i="7" s="1"/>
  <c r="M58" i="7" s="1"/>
  <c r="M83" i="7" s="1"/>
  <c r="M96" i="7" s="1"/>
  <c r="L242" i="7"/>
  <c r="L39" i="7" s="1"/>
  <c r="K242" i="7"/>
  <c r="K246" i="7" s="1"/>
  <c r="K58" i="7" s="1"/>
  <c r="J242" i="7"/>
  <c r="J243" i="7" s="1"/>
  <c r="N237" i="7"/>
  <c r="K237" i="7"/>
  <c r="J237" i="7"/>
  <c r="L235" i="7"/>
  <c r="K235" i="7"/>
  <c r="J235" i="7"/>
  <c r="I235" i="7"/>
  <c r="L234" i="7"/>
  <c r="K234" i="7"/>
  <c r="J234" i="7"/>
  <c r="I234" i="7"/>
  <c r="L231" i="7"/>
  <c r="M237" i="7" s="1"/>
  <c r="O229" i="7"/>
  <c r="O276" i="7" s="1"/>
  <c r="O240" i="7" s="1"/>
  <c r="H231" i="7"/>
  <c r="H19" i="7" s="1"/>
  <c r="H158" i="5" s="1"/>
  <c r="O201" i="7"/>
  <c r="O203" i="7" s="1"/>
  <c r="N201" i="7"/>
  <c r="N203" i="7" s="1"/>
  <c r="M201" i="7"/>
  <c r="M203" i="7" s="1"/>
  <c r="L201" i="7"/>
  <c r="L203" i="7" s="1"/>
  <c r="K201" i="7"/>
  <c r="K203" i="7" s="1"/>
  <c r="J201" i="7"/>
  <c r="J203" i="7" s="1"/>
  <c r="I201" i="7"/>
  <c r="I203" i="7" s="1"/>
  <c r="H201" i="7"/>
  <c r="H203" i="7" s="1"/>
  <c r="O197" i="7"/>
  <c r="N197" i="7"/>
  <c r="M197" i="7"/>
  <c r="L197" i="7"/>
  <c r="K197" i="7"/>
  <c r="J197" i="7"/>
  <c r="I197" i="7"/>
  <c r="H197" i="7"/>
  <c r="O194" i="7"/>
  <c r="N194" i="7"/>
  <c r="M194" i="7"/>
  <c r="L194" i="7"/>
  <c r="K194" i="7"/>
  <c r="J194" i="7"/>
  <c r="I194" i="7"/>
  <c r="H194" i="7"/>
  <c r="O189" i="7"/>
  <c r="N189" i="7"/>
  <c r="M189" i="7"/>
  <c r="L189" i="7"/>
  <c r="K189" i="7"/>
  <c r="J189" i="7"/>
  <c r="I189" i="7"/>
  <c r="H189" i="7"/>
  <c r="O187" i="7"/>
  <c r="N187" i="7"/>
  <c r="M187" i="7"/>
  <c r="L187" i="7"/>
  <c r="K187" i="7"/>
  <c r="J187" i="7"/>
  <c r="I187" i="7"/>
  <c r="H187" i="7"/>
  <c r="N182" i="7"/>
  <c r="M182" i="7"/>
  <c r="L182" i="7"/>
  <c r="K182" i="7"/>
  <c r="J182" i="7"/>
  <c r="I182" i="7"/>
  <c r="H182" i="7"/>
  <c r="N180" i="7"/>
  <c r="M180" i="7"/>
  <c r="L180" i="7"/>
  <c r="K180" i="7"/>
  <c r="J180" i="7"/>
  <c r="I180" i="7"/>
  <c r="H180" i="7"/>
  <c r="O175" i="7"/>
  <c r="N175" i="7"/>
  <c r="M175" i="7"/>
  <c r="L175" i="7"/>
  <c r="K175" i="7"/>
  <c r="J175" i="7"/>
  <c r="I175" i="7"/>
  <c r="H175" i="7"/>
  <c r="O173" i="7"/>
  <c r="N173" i="7"/>
  <c r="M173" i="7"/>
  <c r="L173" i="7"/>
  <c r="K173" i="7"/>
  <c r="J173" i="7"/>
  <c r="I173" i="7"/>
  <c r="H173" i="7"/>
  <c r="O161" i="7"/>
  <c r="O57" i="7" s="1"/>
  <c r="O82" i="7" s="1"/>
  <c r="N161" i="7"/>
  <c r="M161" i="7"/>
  <c r="L161" i="7"/>
  <c r="L57" i="7" s="1"/>
  <c r="K161" i="7"/>
  <c r="K57" i="7" s="1"/>
  <c r="J161" i="7"/>
  <c r="J57" i="7" s="1"/>
  <c r="J82" i="7" s="1"/>
  <c r="I161" i="7"/>
  <c r="I57" i="7" s="1"/>
  <c r="H161" i="7"/>
  <c r="H57" i="7" s="1"/>
  <c r="H82" i="7" s="1"/>
  <c r="O158" i="7"/>
  <c r="N158" i="7"/>
  <c r="M158" i="7"/>
  <c r="L158" i="7"/>
  <c r="K158" i="7"/>
  <c r="J158" i="7"/>
  <c r="I158" i="7"/>
  <c r="O155" i="7"/>
  <c r="N155" i="7"/>
  <c r="M155" i="7"/>
  <c r="L155" i="7"/>
  <c r="K155" i="7"/>
  <c r="J155" i="7"/>
  <c r="O149" i="7"/>
  <c r="N149" i="7"/>
  <c r="M149" i="7"/>
  <c r="L149" i="7"/>
  <c r="K149" i="7"/>
  <c r="J149" i="7"/>
  <c r="I149" i="7"/>
  <c r="O148" i="7"/>
  <c r="N148" i="7"/>
  <c r="M148" i="7"/>
  <c r="L148" i="7"/>
  <c r="K148" i="7"/>
  <c r="J148" i="7"/>
  <c r="I148" i="7"/>
  <c r="O147" i="7"/>
  <c r="N147" i="7"/>
  <c r="M147" i="7"/>
  <c r="L147" i="7"/>
  <c r="K147" i="7"/>
  <c r="J147" i="7"/>
  <c r="I147" i="7"/>
  <c r="N146" i="7"/>
  <c r="M146" i="7"/>
  <c r="L146" i="7"/>
  <c r="K146" i="7"/>
  <c r="J146" i="7"/>
  <c r="I146" i="7"/>
  <c r="O145" i="7"/>
  <c r="N145" i="7"/>
  <c r="M145" i="7"/>
  <c r="L145" i="7"/>
  <c r="K145" i="7"/>
  <c r="J145" i="7"/>
  <c r="I145" i="7"/>
  <c r="O141" i="7"/>
  <c r="N141" i="7"/>
  <c r="M141" i="7"/>
  <c r="L141" i="7"/>
  <c r="K141" i="7"/>
  <c r="J141" i="7"/>
  <c r="I141" i="7"/>
  <c r="H142" i="7"/>
  <c r="H159" i="7" s="1"/>
  <c r="S113" i="7"/>
  <c r="T113" i="7" s="1"/>
  <c r="U113" i="7" s="1"/>
  <c r="V113" i="7" s="1"/>
  <c r="W113" i="7" s="1"/>
  <c r="X113" i="7" s="1"/>
  <c r="Y113" i="7" s="1"/>
  <c r="O112" i="7"/>
  <c r="M112" i="7"/>
  <c r="L112" i="7"/>
  <c r="K112" i="7"/>
  <c r="J112" i="7"/>
  <c r="I112" i="7"/>
  <c r="O99" i="7"/>
  <c r="N99" i="7"/>
  <c r="M99" i="7"/>
  <c r="L99" i="7"/>
  <c r="K99" i="7"/>
  <c r="J99" i="7"/>
  <c r="I99" i="7"/>
  <c r="H99" i="7"/>
  <c r="O91" i="7"/>
  <c r="N91" i="7"/>
  <c r="M91" i="7"/>
  <c r="L91" i="7"/>
  <c r="K91" i="7"/>
  <c r="J91" i="7"/>
  <c r="I91" i="7"/>
  <c r="P90" i="7"/>
  <c r="P99" i="7" s="1"/>
  <c r="O77" i="7"/>
  <c r="L77" i="7"/>
  <c r="J77" i="7"/>
  <c r="I77" i="7"/>
  <c r="H77" i="7"/>
  <c r="N76" i="7"/>
  <c r="M76" i="7"/>
  <c r="L76" i="7"/>
  <c r="K76" i="7"/>
  <c r="J76" i="7"/>
  <c r="I76" i="7"/>
  <c r="H76" i="7"/>
  <c r="N75" i="7"/>
  <c r="M75" i="7"/>
  <c r="L75" i="7"/>
  <c r="K75" i="7"/>
  <c r="J75" i="7"/>
  <c r="I75" i="7"/>
  <c r="H75" i="7"/>
  <c r="P74" i="7"/>
  <c r="O74" i="7"/>
  <c r="N74" i="7"/>
  <c r="M74" i="7"/>
  <c r="L74" i="7"/>
  <c r="K74" i="7"/>
  <c r="J74" i="7"/>
  <c r="I74" i="7"/>
  <c r="H74" i="7"/>
  <c r="N57" i="7"/>
  <c r="J41" i="7"/>
  <c r="I41" i="7"/>
  <c r="H41" i="7"/>
  <c r="I39" i="7"/>
  <c r="H39" i="7"/>
  <c r="N38" i="7"/>
  <c r="M38" i="7"/>
  <c r="L38" i="7"/>
  <c r="K38" i="7"/>
  <c r="J38" i="7"/>
  <c r="I38" i="7"/>
  <c r="H38" i="7"/>
  <c r="M22" i="7"/>
  <c r="N21" i="7"/>
  <c r="M21" i="7"/>
  <c r="L21" i="7"/>
  <c r="K21" i="7"/>
  <c r="J21" i="7"/>
  <c r="I21" i="7"/>
  <c r="H21" i="7"/>
  <c r="O20" i="7"/>
  <c r="O159" i="5" s="1"/>
  <c r="N20" i="7"/>
  <c r="M20" i="7"/>
  <c r="M159" i="5" s="1"/>
  <c r="K20" i="7"/>
  <c r="K159" i="5" s="1"/>
  <c r="J20" i="7"/>
  <c r="J159" i="5" s="1"/>
  <c r="I20" i="7"/>
  <c r="I159" i="5" s="1"/>
  <c r="N19" i="7"/>
  <c r="N158" i="5" s="1"/>
  <c r="M19" i="7"/>
  <c r="L19" i="7"/>
  <c r="K19" i="7"/>
  <c r="J19" i="7"/>
  <c r="J158" i="5" s="1"/>
  <c r="I19" i="7"/>
  <c r="N13" i="7"/>
  <c r="M13" i="7"/>
  <c r="N12" i="7"/>
  <c r="M12" i="7"/>
  <c r="H8" i="7"/>
  <c r="L6" i="7"/>
  <c r="M6" i="7" s="1"/>
  <c r="N6" i="7" s="1"/>
  <c r="O6" i="7" s="1"/>
  <c r="P6" i="7" s="1"/>
  <c r="Q6" i="7" s="1"/>
  <c r="R6" i="7" s="1"/>
  <c r="S6" i="7" s="1"/>
  <c r="T6" i="7" s="1"/>
  <c r="U6" i="7" s="1"/>
  <c r="V6" i="7" s="1"/>
  <c r="W6" i="7" s="1"/>
  <c r="X6" i="7" s="1"/>
  <c r="Y6" i="7" s="1"/>
  <c r="O5" i="7"/>
  <c r="O13" i="7" s="1"/>
  <c r="L5" i="7"/>
  <c r="K5" i="7" s="1"/>
  <c r="H4" i="7"/>
  <c r="R246" i="6"/>
  <c r="Q246" i="6"/>
  <c r="R243" i="6"/>
  <c r="Q243" i="6"/>
  <c r="P243" i="6"/>
  <c r="P246" i="6" s="1"/>
  <c r="O243" i="6"/>
  <c r="O246" i="6" s="1"/>
  <c r="R239" i="6"/>
  <c r="R234" i="6"/>
  <c r="R226" i="6"/>
  <c r="R232" i="6" s="1"/>
  <c r="R235" i="6" s="1"/>
  <c r="Q226" i="6"/>
  <c r="P226" i="6"/>
  <c r="R224" i="6"/>
  <c r="Q224" i="6"/>
  <c r="P224" i="6"/>
  <c r="O224" i="6"/>
  <c r="O226" i="6" s="1"/>
  <c r="R222" i="6"/>
  <c r="Q222" i="6"/>
  <c r="P222" i="6"/>
  <c r="O222" i="6"/>
  <c r="R216" i="6"/>
  <c r="Q216" i="6"/>
  <c r="Q239" i="6" s="1"/>
  <c r="R197" i="6"/>
  <c r="Q197" i="6"/>
  <c r="P197" i="6"/>
  <c r="P216" i="6" s="1"/>
  <c r="P239" i="6" s="1"/>
  <c r="O197" i="6"/>
  <c r="O216" i="6" s="1"/>
  <c r="O239" i="6" s="1"/>
  <c r="I195" i="6"/>
  <c r="H195" i="6"/>
  <c r="G195" i="6"/>
  <c r="J194" i="6"/>
  <c r="J193" i="6"/>
  <c r="R192" i="6"/>
  <c r="Q192" i="6"/>
  <c r="P192" i="6"/>
  <c r="O192" i="6"/>
  <c r="J192" i="6"/>
  <c r="I188" i="6"/>
  <c r="I187" i="6"/>
  <c r="H187" i="6"/>
  <c r="H188" i="6" s="1"/>
  <c r="G187" i="6"/>
  <c r="J186" i="6"/>
  <c r="J185" i="6"/>
  <c r="J187" i="6" s="1"/>
  <c r="I182" i="6"/>
  <c r="G182" i="6"/>
  <c r="G188" i="6" s="1"/>
  <c r="J181" i="6"/>
  <c r="J180" i="6"/>
  <c r="R179" i="6"/>
  <c r="Q179" i="6"/>
  <c r="P179" i="6"/>
  <c r="J179" i="6"/>
  <c r="G176" i="6"/>
  <c r="R175" i="6"/>
  <c r="Q175" i="6"/>
  <c r="P175" i="6"/>
  <c r="I175" i="6"/>
  <c r="H175" i="6"/>
  <c r="G175" i="6"/>
  <c r="J174" i="6"/>
  <c r="J173" i="6"/>
  <c r="R172" i="6"/>
  <c r="Q172" i="6"/>
  <c r="P172" i="6"/>
  <c r="O172" i="6"/>
  <c r="J172" i="6"/>
  <c r="J171" i="6"/>
  <c r="J175" i="6" s="1"/>
  <c r="R168" i="6"/>
  <c r="R174" i="6" s="1"/>
  <c r="R176" i="6" s="1"/>
  <c r="Q168" i="6"/>
  <c r="Q174" i="6" s="1"/>
  <c r="Q176" i="6" s="1"/>
  <c r="P168" i="6"/>
  <c r="O168" i="6"/>
  <c r="P174" i="6" s="1"/>
  <c r="P176" i="6" s="1"/>
  <c r="I168" i="6"/>
  <c r="I176" i="6" s="1"/>
  <c r="H168" i="6"/>
  <c r="G168" i="6"/>
  <c r="J167" i="6"/>
  <c r="J166" i="6"/>
  <c r="J165" i="6"/>
  <c r="J164" i="6"/>
  <c r="J168" i="6" s="1"/>
  <c r="J176" i="6" s="1"/>
  <c r="P132" i="6"/>
  <c r="P133" i="6" s="1"/>
  <c r="E131" i="6"/>
  <c r="E130" i="6"/>
  <c r="P127" i="6"/>
  <c r="P126" i="6"/>
  <c r="G122" i="6"/>
  <c r="G124" i="6" s="1"/>
  <c r="G121" i="6"/>
  <c r="P109" i="6"/>
  <c r="P103" i="6"/>
  <c r="G101" i="6"/>
  <c r="G100" i="6"/>
  <c r="L85" i="6"/>
  <c r="G128" i="6" s="1"/>
  <c r="K85" i="6"/>
  <c r="J85" i="6"/>
  <c r="I85" i="6"/>
  <c r="L83" i="6"/>
  <c r="K83" i="6"/>
  <c r="J83" i="6"/>
  <c r="I83" i="6"/>
  <c r="L79" i="6"/>
  <c r="K79" i="6"/>
  <c r="J79" i="6"/>
  <c r="I79" i="6"/>
  <c r="L78" i="6"/>
  <c r="K78" i="6"/>
  <c r="K80" i="6" s="1"/>
  <c r="J78" i="6"/>
  <c r="J80" i="6" s="1"/>
  <c r="I78" i="6"/>
  <c r="I80" i="6" s="1"/>
  <c r="L74" i="6"/>
  <c r="K74" i="6"/>
  <c r="I74" i="6"/>
  <c r="L73" i="6"/>
  <c r="K73" i="6"/>
  <c r="J73" i="6"/>
  <c r="J74" i="6" s="1"/>
  <c r="I73" i="6"/>
  <c r="L71" i="6"/>
  <c r="K71" i="6"/>
  <c r="J71" i="6"/>
  <c r="I71" i="6"/>
  <c r="J61" i="6"/>
  <c r="L60" i="6"/>
  <c r="K60" i="6"/>
  <c r="J60" i="6"/>
  <c r="I60" i="6"/>
  <c r="L59" i="6"/>
  <c r="K59" i="6"/>
  <c r="J59" i="6"/>
  <c r="I59" i="6"/>
  <c r="L58" i="6"/>
  <c r="L61" i="6" s="1"/>
  <c r="K58" i="6"/>
  <c r="J58" i="6"/>
  <c r="I58" i="6"/>
  <c r="L57" i="6"/>
  <c r="K57" i="6"/>
  <c r="J57" i="6"/>
  <c r="I57" i="6"/>
  <c r="I61" i="6" s="1"/>
  <c r="L44" i="6"/>
  <c r="K44" i="6"/>
  <c r="J44" i="6"/>
  <c r="I44" i="6"/>
  <c r="L43" i="6"/>
  <c r="K43" i="6"/>
  <c r="J43" i="6"/>
  <c r="I43" i="6"/>
  <c r="L39" i="6"/>
  <c r="K39" i="6"/>
  <c r="J39" i="6"/>
  <c r="I39" i="6"/>
  <c r="L38" i="6"/>
  <c r="K38" i="6"/>
  <c r="J38" i="6"/>
  <c r="I38" i="6"/>
  <c r="J28" i="6"/>
  <c r="K28" i="6" s="1"/>
  <c r="L28" i="6" s="1"/>
  <c r="M28" i="6" s="1"/>
  <c r="N28" i="6" s="1"/>
  <c r="O28" i="6" s="1"/>
  <c r="P28" i="6" s="1"/>
  <c r="Q28" i="6" s="1"/>
  <c r="R28" i="6" s="1"/>
  <c r="I28" i="6"/>
  <c r="I17" i="6"/>
  <c r="I16" i="6" s="1"/>
  <c r="J15" i="6"/>
  <c r="N181" i="5"/>
  <c r="M181" i="5"/>
  <c r="L181" i="5"/>
  <c r="L179" i="5"/>
  <c r="N176" i="5"/>
  <c r="M176" i="5"/>
  <c r="L176" i="5"/>
  <c r="M175" i="5"/>
  <c r="L175" i="5"/>
  <c r="L172" i="5"/>
  <c r="N170" i="5"/>
  <c r="M170" i="5"/>
  <c r="L170" i="5"/>
  <c r="M168" i="5"/>
  <c r="M188" i="5" s="1"/>
  <c r="L168" i="5"/>
  <c r="L188" i="5" s="1"/>
  <c r="L158" i="5"/>
  <c r="K158" i="5"/>
  <c r="N151" i="5"/>
  <c r="N29" i="4" s="1"/>
  <c r="M151" i="5"/>
  <c r="M29" i="4" s="1"/>
  <c r="L151" i="5"/>
  <c r="L29" i="4" s="1"/>
  <c r="K151" i="5"/>
  <c r="K29" i="4" s="1"/>
  <c r="J151" i="5"/>
  <c r="J29" i="4" s="1"/>
  <c r="I151" i="5"/>
  <c r="H151" i="5"/>
  <c r="J146" i="5"/>
  <c r="J142" i="5" s="1"/>
  <c r="I146" i="5"/>
  <c r="I142" i="5" s="1"/>
  <c r="I21" i="5" s="1"/>
  <c r="H146" i="5"/>
  <c r="O142" i="5"/>
  <c r="O148" i="5" s="1"/>
  <c r="O25" i="4" s="1"/>
  <c r="O37" i="4" s="1"/>
  <c r="N142" i="5"/>
  <c r="M142" i="5"/>
  <c r="L142" i="5"/>
  <c r="K142" i="5"/>
  <c r="K21" i="5" s="1"/>
  <c r="N135" i="5"/>
  <c r="M135" i="5"/>
  <c r="L135" i="5"/>
  <c r="K135" i="5"/>
  <c r="J135" i="5"/>
  <c r="I135" i="5"/>
  <c r="H135" i="5"/>
  <c r="N132" i="5"/>
  <c r="N134" i="5" s="1"/>
  <c r="M132" i="5"/>
  <c r="M134" i="5" s="1"/>
  <c r="L132" i="5"/>
  <c r="L134" i="5" s="1"/>
  <c r="K132" i="5"/>
  <c r="K134" i="5" s="1"/>
  <c r="H132" i="5"/>
  <c r="H134" i="5" s="1"/>
  <c r="N126" i="5"/>
  <c r="M126" i="5"/>
  <c r="L126" i="5"/>
  <c r="K126" i="5"/>
  <c r="J126" i="5"/>
  <c r="I126" i="5"/>
  <c r="H126" i="5"/>
  <c r="N118" i="5"/>
  <c r="M118" i="5"/>
  <c r="L118" i="5"/>
  <c r="K118" i="5"/>
  <c r="H118" i="5"/>
  <c r="N108" i="5"/>
  <c r="M108" i="5"/>
  <c r="L108" i="5"/>
  <c r="K108" i="5"/>
  <c r="J108" i="5"/>
  <c r="J109" i="5" s="1"/>
  <c r="I108" i="5"/>
  <c r="H108" i="5"/>
  <c r="N107" i="5"/>
  <c r="G40" i="2" s="1"/>
  <c r="M107" i="5"/>
  <c r="L107" i="5"/>
  <c r="L177" i="5" s="1"/>
  <c r="K107" i="5"/>
  <c r="N105" i="5"/>
  <c r="M105" i="5"/>
  <c r="L105" i="5"/>
  <c r="K105" i="5"/>
  <c r="I105" i="5"/>
  <c r="H105" i="5"/>
  <c r="H103" i="5"/>
  <c r="N102" i="5"/>
  <c r="N103" i="5" s="1"/>
  <c r="M102" i="5"/>
  <c r="M103" i="5" s="1"/>
  <c r="L102" i="5"/>
  <c r="L103" i="5" s="1"/>
  <c r="K102" i="5"/>
  <c r="K103" i="5" s="1"/>
  <c r="I102" i="5"/>
  <c r="J101" i="5"/>
  <c r="I101" i="5"/>
  <c r="I132" i="5" s="1"/>
  <c r="J99" i="5"/>
  <c r="N97" i="5"/>
  <c r="M97" i="5"/>
  <c r="L97" i="5"/>
  <c r="K97" i="5"/>
  <c r="J97" i="5"/>
  <c r="J117" i="5" s="1"/>
  <c r="I97" i="5"/>
  <c r="I117" i="5" s="1"/>
  <c r="H97" i="5"/>
  <c r="H117" i="5" s="1"/>
  <c r="H120" i="5"/>
  <c r="K26" i="5"/>
  <c r="N24" i="5"/>
  <c r="M24" i="5"/>
  <c r="L24" i="5"/>
  <c r="K24" i="5"/>
  <c r="N19" i="5"/>
  <c r="M19" i="5"/>
  <c r="L19" i="5"/>
  <c r="K19" i="5"/>
  <c r="J19" i="5"/>
  <c r="I19" i="5"/>
  <c r="H19" i="5"/>
  <c r="N13" i="5"/>
  <c r="M13" i="5"/>
  <c r="N12" i="5"/>
  <c r="M12" i="5"/>
  <c r="H8" i="5"/>
  <c r="I7" i="5" s="1"/>
  <c r="I8" i="5" s="1"/>
  <c r="L6" i="5"/>
  <c r="M6" i="5" s="1"/>
  <c r="N6" i="5" s="1"/>
  <c r="O6" i="5" s="1"/>
  <c r="P6" i="5" s="1"/>
  <c r="Q6" i="5" s="1"/>
  <c r="R6" i="5" s="1"/>
  <c r="S6" i="5" s="1"/>
  <c r="T6" i="5" s="1"/>
  <c r="U6" i="5" s="1"/>
  <c r="V6" i="5" s="1"/>
  <c r="W6" i="5" s="1"/>
  <c r="X6" i="5" s="1"/>
  <c r="Y6" i="5" s="1"/>
  <c r="O5" i="5"/>
  <c r="O13" i="5" s="1"/>
  <c r="L5" i="5"/>
  <c r="L13" i="5" s="1"/>
  <c r="H4" i="5"/>
  <c r="I4" i="5" s="1"/>
  <c r="J4" i="5" s="1"/>
  <c r="Q142" i="4"/>
  <c r="O138" i="4"/>
  <c r="Q138" i="4" s="1"/>
  <c r="M117" i="4"/>
  <c r="L117" i="4"/>
  <c r="K117" i="4"/>
  <c r="J117" i="4"/>
  <c r="I117" i="4"/>
  <c r="O116" i="4"/>
  <c r="M116" i="4"/>
  <c r="L116" i="4"/>
  <c r="K116" i="4"/>
  <c r="J116" i="4"/>
  <c r="I116" i="4"/>
  <c r="H89" i="4"/>
  <c r="H86" i="4"/>
  <c r="H82" i="4"/>
  <c r="H124" i="4" s="1"/>
  <c r="O46" i="4"/>
  <c r="O117" i="4" s="1"/>
  <c r="N46" i="4"/>
  <c r="O45" i="4"/>
  <c r="N45" i="4"/>
  <c r="N41" i="4"/>
  <c r="M41" i="4"/>
  <c r="L41" i="4"/>
  <c r="K41" i="4"/>
  <c r="J41" i="4"/>
  <c r="I41" i="4"/>
  <c r="Y29" i="4"/>
  <c r="X29" i="4"/>
  <c r="W29" i="4"/>
  <c r="V29" i="4"/>
  <c r="U29" i="4"/>
  <c r="T29" i="4"/>
  <c r="S29" i="4"/>
  <c r="R29" i="4"/>
  <c r="Q29" i="4"/>
  <c r="P29" i="4"/>
  <c r="O29" i="4"/>
  <c r="I29" i="4"/>
  <c r="Y26" i="4"/>
  <c r="Y38" i="4" s="1"/>
  <c r="X26" i="4"/>
  <c r="X38" i="4" s="1"/>
  <c r="W26" i="4"/>
  <c r="W38" i="4" s="1"/>
  <c r="V26" i="4"/>
  <c r="V38" i="4" s="1"/>
  <c r="U26" i="4"/>
  <c r="U38" i="4" s="1"/>
  <c r="T26" i="4"/>
  <c r="T38" i="4" s="1"/>
  <c r="S26" i="4"/>
  <c r="S38" i="4" s="1"/>
  <c r="R26" i="4"/>
  <c r="R38" i="4" s="1"/>
  <c r="Q26" i="4"/>
  <c r="Q38" i="4" s="1"/>
  <c r="P26" i="4"/>
  <c r="P38" i="4" s="1"/>
  <c r="O26" i="4"/>
  <c r="O38" i="4" s="1"/>
  <c r="N26" i="4"/>
  <c r="N38" i="4" s="1"/>
  <c r="M26" i="4"/>
  <c r="M38" i="4" s="1"/>
  <c r="L26" i="4"/>
  <c r="L38" i="4" s="1"/>
  <c r="K26" i="4"/>
  <c r="K38" i="4" s="1"/>
  <c r="J26" i="4"/>
  <c r="J38" i="4" s="1"/>
  <c r="I26" i="4"/>
  <c r="I38" i="4" s="1"/>
  <c r="O13" i="4"/>
  <c r="N13" i="4"/>
  <c r="O12" i="4"/>
  <c r="O48" i="4" s="1"/>
  <c r="N12" i="4"/>
  <c r="H8" i="4"/>
  <c r="I7" i="4" s="1"/>
  <c r="L6" i="4"/>
  <c r="M6" i="4" s="1"/>
  <c r="P5" i="4"/>
  <c r="P13" i="4" s="1"/>
  <c r="M5" i="4"/>
  <c r="M12" i="4" s="1"/>
  <c r="H4" i="4"/>
  <c r="I4" i="4" s="1"/>
  <c r="X110" i="3"/>
  <c r="W110" i="3"/>
  <c r="V110" i="3"/>
  <c r="U110" i="3"/>
  <c r="R110" i="3"/>
  <c r="X109" i="3"/>
  <c r="V109" i="3"/>
  <c r="U109" i="3"/>
  <c r="W109" i="3" s="1"/>
  <c r="R109" i="3"/>
  <c r="X108" i="3"/>
  <c r="V108" i="3"/>
  <c r="U108" i="3"/>
  <c r="W108" i="3" s="1"/>
  <c r="R108" i="3"/>
  <c r="Z97" i="3"/>
  <c r="Y97" i="3"/>
  <c r="X97" i="3"/>
  <c r="E87" i="3"/>
  <c r="K83" i="3"/>
  <c r="J83" i="3"/>
  <c r="I83" i="3"/>
  <c r="H83" i="3"/>
  <c r="K82" i="3"/>
  <c r="J82" i="3"/>
  <c r="I82" i="3"/>
  <c r="H82" i="3"/>
  <c r="G80" i="3"/>
  <c r="T70" i="3" s="1"/>
  <c r="S64" i="3"/>
  <c r="S65" i="3" s="1"/>
  <c r="S63" i="3"/>
  <c r="S61" i="3"/>
  <c r="S60" i="3" s="1"/>
  <c r="S59" i="3" s="1"/>
  <c r="X58" i="3"/>
  <c r="W58" i="3"/>
  <c r="U58" i="3"/>
  <c r="T58" i="3" s="1"/>
  <c r="I58" i="3"/>
  <c r="Z48" i="3"/>
  <c r="U50" i="3"/>
  <c r="H18" i="3"/>
  <c r="H20" i="3" s="1"/>
  <c r="H31" i="3" s="1"/>
  <c r="H9" i="3" a="1"/>
  <c r="H9" i="3" s="1"/>
  <c r="AG174" i="2"/>
  <c r="AG177" i="2" s="1"/>
  <c r="AI173" i="2"/>
  <c r="AI174" i="2" s="1"/>
  <c r="AG173" i="2" s="1"/>
  <c r="AG172" i="2"/>
  <c r="AF172" i="2"/>
  <c r="G80" i="2"/>
  <c r="J48" i="6" s="1"/>
  <c r="G67" i="2"/>
  <c r="G66" i="2"/>
  <c r="G65" i="2"/>
  <c r="G68" i="2" s="1"/>
  <c r="E65" i="2"/>
  <c r="G62" i="2"/>
  <c r="G55" i="2"/>
  <c r="G54" i="2"/>
  <c r="G45" i="2"/>
  <c r="G46" i="2" s="1"/>
  <c r="G49" i="2" s="1"/>
  <c r="G39" i="2"/>
  <c r="G27" i="2"/>
  <c r="G26" i="2"/>
  <c r="G16" i="2"/>
  <c r="H90" i="4" s="1"/>
  <c r="H21" i="3" s="1" a="1"/>
  <c r="H21" i="3" s="1"/>
  <c r="F10" i="2"/>
  <c r="E10" i="2"/>
  <c r="F9" i="2"/>
  <c r="E9" i="2"/>
  <c r="F8" i="2"/>
  <c r="E8" i="2"/>
  <c r="K7" i="2"/>
  <c r="J7" i="2"/>
  <c r="I7" i="2"/>
  <c r="H7" i="2"/>
  <c r="F7" i="2"/>
  <c r="E7" i="2"/>
  <c r="P6" i="2"/>
  <c r="O6" i="2"/>
  <c r="N6" i="2"/>
  <c r="N71" i="2" s="1"/>
  <c r="F6" i="2"/>
  <c r="E6" i="2"/>
  <c r="F5" i="2"/>
  <c r="K80" i="3"/>
  <c r="H144" i="6"/>
  <c r="E75" i="3"/>
  <c r="J141" i="6"/>
  <c r="J143" i="6"/>
  <c r="D147" i="6"/>
  <c r="G143" i="6"/>
  <c r="D142" i="6"/>
  <c r="I141" i="6"/>
  <c r="H140" i="6"/>
  <c r="I80" i="3"/>
  <c r="H145" i="6"/>
  <c r="D146" i="6"/>
  <c r="G147" i="6"/>
  <c r="D141" i="6"/>
  <c r="E80" i="3"/>
  <c r="H142" i="6"/>
  <c r="E74" i="3"/>
  <c r="D140" i="6"/>
  <c r="H141" i="6"/>
  <c r="D143" i="6"/>
  <c r="H147" i="6"/>
  <c r="G140" i="6"/>
  <c r="E72" i="3"/>
  <c r="H143" i="6"/>
  <c r="G141" i="6"/>
  <c r="H80" i="3"/>
  <c r="I145" i="6"/>
  <c r="J80" i="3"/>
  <c r="I140" i="6"/>
  <c r="J140" i="6"/>
  <c r="G144" i="6"/>
  <c r="D145" i="6"/>
  <c r="E73" i="3"/>
  <c r="I142" i="6"/>
  <c r="G142" i="6"/>
  <c r="I147" i="6"/>
  <c r="H146" i="6"/>
  <c r="J144" i="6"/>
  <c r="I144" i="6"/>
  <c r="G146" i="6"/>
  <c r="J142" i="6"/>
  <c r="H88" i="4"/>
  <c r="I146" i="6"/>
  <c r="I143" i="6"/>
  <c r="G145" i="6"/>
  <c r="J145" i="6"/>
  <c r="J147" i="6"/>
  <c r="D144" i="6"/>
  <c r="J146" i="6"/>
  <c r="I305" i="7" l="1"/>
  <c r="I307" i="7"/>
  <c r="H51" i="3"/>
  <c r="K305" i="7"/>
  <c r="N375" i="7"/>
  <c r="P143" i="5"/>
  <c r="P57" i="7"/>
  <c r="P144" i="5"/>
  <c r="P58" i="7"/>
  <c r="M181" i="7"/>
  <c r="J239" i="7"/>
  <c r="L228" i="7"/>
  <c r="O42" i="7"/>
  <c r="P375" i="7"/>
  <c r="K39" i="7"/>
  <c r="K49" i="7" s="1"/>
  <c r="K229" i="7"/>
  <c r="K236" i="7" s="1"/>
  <c r="K228" i="7"/>
  <c r="I229" i="7"/>
  <c r="I274" i="7" s="1"/>
  <c r="I275" i="7" s="1"/>
  <c r="I228" i="7"/>
  <c r="J229" i="7"/>
  <c r="J228" i="7"/>
  <c r="H153" i="7"/>
  <c r="H50" i="3"/>
  <c r="G20" i="2"/>
  <c r="H9" i="7" s="1"/>
  <c r="H18" i="7"/>
  <c r="H157" i="5" s="1"/>
  <c r="H305" i="7"/>
  <c r="H307" i="7" s="1"/>
  <c r="J39" i="7"/>
  <c r="J49" i="7" s="1"/>
  <c r="J305" i="7"/>
  <c r="J307" i="7" s="1"/>
  <c r="M39" i="7"/>
  <c r="M49" i="7" s="1"/>
  <c r="L40" i="7"/>
  <c r="J174" i="7"/>
  <c r="O306" i="7"/>
  <c r="M305" i="7"/>
  <c r="I174" i="7"/>
  <c r="M306" i="7"/>
  <c r="AE371" i="7"/>
  <c r="I78" i="7"/>
  <c r="N142" i="7"/>
  <c r="N18" i="7" s="1"/>
  <c r="N48" i="7" s="1"/>
  <c r="N134" i="7"/>
  <c r="H40" i="7"/>
  <c r="H43" i="7" s="1"/>
  <c r="K268" i="7"/>
  <c r="P140" i="7"/>
  <c r="Q140" i="7" s="1"/>
  <c r="R140" i="7" s="1"/>
  <c r="S140" i="7" s="1"/>
  <c r="I296" i="7"/>
  <c r="I303" i="7" s="1"/>
  <c r="O75" i="7"/>
  <c r="M104" i="7"/>
  <c r="H239" i="7"/>
  <c r="H241" i="7" s="1"/>
  <c r="J296" i="7"/>
  <c r="M332" i="7"/>
  <c r="K296" i="7"/>
  <c r="K311" i="7" s="1"/>
  <c r="J325" i="7"/>
  <c r="J142" i="7"/>
  <c r="J18" i="7" s="1"/>
  <c r="J157" i="5" s="1"/>
  <c r="J134" i="7"/>
  <c r="L296" i="7"/>
  <c r="I142" i="7"/>
  <c r="I18" i="7" s="1"/>
  <c r="I157" i="5" s="1"/>
  <c r="I134" i="7"/>
  <c r="M296" i="7"/>
  <c r="M313" i="7" s="1"/>
  <c r="K142" i="7"/>
  <c r="K18" i="7" s="1"/>
  <c r="K157" i="5" s="1"/>
  <c r="K134" i="7"/>
  <c r="L306" i="7"/>
  <c r="N41" i="7"/>
  <c r="N51" i="7" s="1"/>
  <c r="J42" i="7"/>
  <c r="J52" i="7" s="1"/>
  <c r="L142" i="7"/>
  <c r="L18" i="7" s="1"/>
  <c r="L157" i="5" s="1"/>
  <c r="L134" i="7"/>
  <c r="O246" i="7"/>
  <c r="M142" i="7"/>
  <c r="M18" i="7" s="1"/>
  <c r="M157" i="5" s="1"/>
  <c r="M134" i="7"/>
  <c r="K41" i="7"/>
  <c r="K51" i="7" s="1"/>
  <c r="AE369" i="7"/>
  <c r="I42" i="7"/>
  <c r="I52" i="7" s="1"/>
  <c r="AE373" i="7"/>
  <c r="J84" i="3"/>
  <c r="I84" i="3"/>
  <c r="K84" i="3"/>
  <c r="R70" i="3"/>
  <c r="H87" i="3"/>
  <c r="H5" i="2"/>
  <c r="H14" i="4" s="1"/>
  <c r="L7" i="2"/>
  <c r="P12" i="4"/>
  <c r="H7" i="4"/>
  <c r="H8" i="2" s="1"/>
  <c r="I8" i="4"/>
  <c r="J7" i="4" s="1"/>
  <c r="J8" i="4" s="1"/>
  <c r="I8" i="2"/>
  <c r="M13" i="4"/>
  <c r="H9" i="2"/>
  <c r="M6" i="2"/>
  <c r="M71" i="2" s="1"/>
  <c r="H13" i="3" a="1"/>
  <c r="H13" i="3" s="1"/>
  <c r="H22" i="3"/>
  <c r="L229" i="7"/>
  <c r="M30" i="7"/>
  <c r="N188" i="7"/>
  <c r="L195" i="7"/>
  <c r="N174" i="7"/>
  <c r="J181" i="7"/>
  <c r="I188" i="7"/>
  <c r="L325" i="7"/>
  <c r="L181" i="7"/>
  <c r="K188" i="7"/>
  <c r="M346" i="7"/>
  <c r="K78" i="7"/>
  <c r="I154" i="7"/>
  <c r="M158" i="5"/>
  <c r="K174" i="7"/>
  <c r="M195" i="7"/>
  <c r="N325" i="7"/>
  <c r="J31" i="7"/>
  <c r="O32" i="7"/>
  <c r="L174" i="7"/>
  <c r="I332" i="7"/>
  <c r="O195" i="7"/>
  <c r="L268" i="7"/>
  <c r="O325" i="7"/>
  <c r="N31" i="7"/>
  <c r="J33" i="7"/>
  <c r="J188" i="7"/>
  <c r="I30" i="7"/>
  <c r="N49" i="7"/>
  <c r="J30" i="7"/>
  <c r="N181" i="7"/>
  <c r="L188" i="7"/>
  <c r="N305" i="7"/>
  <c r="O31" i="7"/>
  <c r="L78" i="7"/>
  <c r="J195" i="7"/>
  <c r="J332" i="7"/>
  <c r="K195" i="7"/>
  <c r="O300" i="7"/>
  <c r="L49" i="7"/>
  <c r="I367" i="7"/>
  <c r="K244" i="7"/>
  <c r="K375" i="7"/>
  <c r="K42" i="7" s="1"/>
  <c r="I181" i="7"/>
  <c r="N332" i="7"/>
  <c r="M32" i="7"/>
  <c r="K181" i="7"/>
  <c r="K261" i="7"/>
  <c r="I268" i="7"/>
  <c r="L305" i="7"/>
  <c r="L339" i="7"/>
  <c r="N159" i="5"/>
  <c r="O202" i="7"/>
  <c r="K254" i="7"/>
  <c r="K255" i="7" s="1"/>
  <c r="L202" i="7"/>
  <c r="J268" i="7"/>
  <c r="J261" i="7"/>
  <c r="O180" i="7"/>
  <c r="O181" i="7" s="1"/>
  <c r="N195" i="7"/>
  <c r="M202" i="7"/>
  <c r="K332" i="7"/>
  <c r="J367" i="7"/>
  <c r="H49" i="7"/>
  <c r="M78" i="7"/>
  <c r="N202" i="7"/>
  <c r="L332" i="7"/>
  <c r="L365" i="7"/>
  <c r="M375" i="7"/>
  <c r="M42" i="7" s="1"/>
  <c r="M52" i="7" s="1"/>
  <c r="I158" i="5"/>
  <c r="Z158" i="5" s="1"/>
  <c r="L30" i="7"/>
  <c r="I49" i="7"/>
  <c r="N78" i="7"/>
  <c r="I261" i="7"/>
  <c r="P300" i="7"/>
  <c r="N340" i="7"/>
  <c r="N306" i="7" s="1"/>
  <c r="L375" i="7"/>
  <c r="L42" i="7" s="1"/>
  <c r="L43" i="7" s="1"/>
  <c r="L32" i="7"/>
  <c r="M188" i="7"/>
  <c r="N243" i="7"/>
  <c r="J246" i="7"/>
  <c r="J58" i="7" s="1"/>
  <c r="J83" i="7" s="1"/>
  <c r="J96" i="7" s="1"/>
  <c r="J104" i="7" s="1"/>
  <c r="K239" i="7"/>
  <c r="L239" i="7"/>
  <c r="I325" i="7"/>
  <c r="K339" i="7"/>
  <c r="P5" i="7"/>
  <c r="Q5" i="7" s="1"/>
  <c r="N32" i="7"/>
  <c r="M57" i="7"/>
  <c r="M82" i="7" s="1"/>
  <c r="O174" i="7"/>
  <c r="O188" i="7"/>
  <c r="I195" i="7"/>
  <c r="J254" i="7"/>
  <c r="L261" i="7"/>
  <c r="K325" i="7"/>
  <c r="M339" i="7"/>
  <c r="N346" i="7"/>
  <c r="K31" i="7"/>
  <c r="K243" i="7"/>
  <c r="M325" i="7"/>
  <c r="I33" i="7"/>
  <c r="K307" i="7"/>
  <c r="J78" i="7"/>
  <c r="I153" i="7"/>
  <c r="K202" i="7"/>
  <c r="J244" i="7"/>
  <c r="N254" i="7"/>
  <c r="G15" i="2"/>
  <c r="O117" i="5"/>
  <c r="O119" i="5" s="1"/>
  <c r="O121" i="5" s="1"/>
  <c r="O111" i="5"/>
  <c r="P85" i="5"/>
  <c r="N86" i="5"/>
  <c r="J74" i="5"/>
  <c r="K74" i="5"/>
  <c r="L74" i="5"/>
  <c r="N175" i="5"/>
  <c r="N190" i="5" s="1"/>
  <c r="N54" i="5"/>
  <c r="Q49" i="5"/>
  <c r="Q50" i="5" s="1"/>
  <c r="K54" i="5"/>
  <c r="L86" i="5"/>
  <c r="H54" i="5"/>
  <c r="H76" i="5" s="1"/>
  <c r="Q70" i="5"/>
  <c r="Q71" i="5" s="1"/>
  <c r="M54" i="5"/>
  <c r="M74" i="5"/>
  <c r="O76" i="5"/>
  <c r="I86" i="5"/>
  <c r="K86" i="5"/>
  <c r="O42" i="5"/>
  <c r="I54" i="5"/>
  <c r="O82" i="5"/>
  <c r="J54" i="5"/>
  <c r="Q37" i="5"/>
  <c r="Q85" i="5" s="1"/>
  <c r="Q86" i="5" s="1"/>
  <c r="P43" i="5"/>
  <c r="J86" i="5"/>
  <c r="I74" i="5"/>
  <c r="N168" i="5"/>
  <c r="N171" i="5" s="1"/>
  <c r="O52" i="5"/>
  <c r="L54" i="5"/>
  <c r="M86" i="5"/>
  <c r="N74" i="5"/>
  <c r="T56" i="5"/>
  <c r="P86" i="5"/>
  <c r="O86" i="5"/>
  <c r="Q35" i="5"/>
  <c r="N22" i="4"/>
  <c r="L22" i="4"/>
  <c r="M189" i="5"/>
  <c r="P5" i="5"/>
  <c r="P13" i="5" s="1"/>
  <c r="L171" i="5"/>
  <c r="L120" i="5"/>
  <c r="I120" i="5"/>
  <c r="M190" i="5"/>
  <c r="N120" i="5"/>
  <c r="M148" i="5"/>
  <c r="M25" i="4" s="1"/>
  <c r="M37" i="4" s="1"/>
  <c r="M117" i="5"/>
  <c r="M119" i="5" s="1"/>
  <c r="N117" i="5"/>
  <c r="N119" i="5" s="1"/>
  <c r="M109" i="5"/>
  <c r="M111" i="5" s="1"/>
  <c r="M22" i="4"/>
  <c r="J127" i="5"/>
  <c r="L127" i="5"/>
  <c r="N109" i="5"/>
  <c r="N111" i="5" s="1"/>
  <c r="M127" i="5"/>
  <c r="O21" i="5"/>
  <c r="N127" i="5"/>
  <c r="K120" i="5"/>
  <c r="G41" i="2"/>
  <c r="G47" i="2" s="1"/>
  <c r="J148" i="5"/>
  <c r="J25" i="4" s="1"/>
  <c r="J37" i="4" s="1"/>
  <c r="J21" i="5"/>
  <c r="J22" i="4"/>
  <c r="K109" i="5"/>
  <c r="K111" i="5" s="1"/>
  <c r="K22" i="4"/>
  <c r="O12" i="5"/>
  <c r="J120" i="5"/>
  <c r="L109" i="5"/>
  <c r="L111" i="5" s="1"/>
  <c r="I127" i="5"/>
  <c r="I103" i="5"/>
  <c r="H119" i="5"/>
  <c r="H121" i="5" s="1"/>
  <c r="L178" i="5"/>
  <c r="I118" i="5"/>
  <c r="I119" i="5" s="1"/>
  <c r="L190" i="5"/>
  <c r="K117" i="5"/>
  <c r="K119" i="5" s="1"/>
  <c r="K127" i="5"/>
  <c r="I148" i="5"/>
  <c r="I25" i="4" s="1"/>
  <c r="H109" i="5"/>
  <c r="H111" i="5" s="1"/>
  <c r="H113" i="5" s="1"/>
  <c r="G153" i="6"/>
  <c r="J87" i="3"/>
  <c r="H154" i="7"/>
  <c r="H155" i="7" s="1"/>
  <c r="I151" i="6"/>
  <c r="G150" i="6"/>
  <c r="I87" i="3"/>
  <c r="I85" i="3"/>
  <c r="I86" i="3"/>
  <c r="U112" i="3"/>
  <c r="J4" i="4"/>
  <c r="I5" i="2"/>
  <c r="I14" i="5" s="1"/>
  <c r="K86" i="3"/>
  <c r="K85" i="3"/>
  <c r="K87" i="3"/>
  <c r="N6" i="4"/>
  <c r="M7" i="2"/>
  <c r="H85" i="3"/>
  <c r="L148" i="5"/>
  <c r="L25" i="4" s="1"/>
  <c r="L37" i="4" s="1"/>
  <c r="L21" i="5"/>
  <c r="J85" i="3"/>
  <c r="I109" i="5"/>
  <c r="K4" i="5"/>
  <c r="N148" i="5"/>
  <c r="N25" i="4" s="1"/>
  <c r="N37" i="4" s="1"/>
  <c r="N21" i="5"/>
  <c r="H142" i="5"/>
  <c r="H86" i="3"/>
  <c r="I134" i="5"/>
  <c r="K12" i="7"/>
  <c r="J5" i="7"/>
  <c r="K13" i="7"/>
  <c r="J86" i="3"/>
  <c r="L5" i="4"/>
  <c r="K48" i="6"/>
  <c r="J103" i="5"/>
  <c r="J111" i="5" s="1"/>
  <c r="J132" i="5"/>
  <c r="J118" i="5"/>
  <c r="J119" i="5" s="1"/>
  <c r="I22" i="4"/>
  <c r="M120" i="5"/>
  <c r="H84" i="3"/>
  <c r="P46" i="4"/>
  <c r="P45" i="4"/>
  <c r="N52" i="4"/>
  <c r="N53" i="4" s="1"/>
  <c r="N117" i="4" s="1"/>
  <c r="N48" i="4"/>
  <c r="Q5" i="4"/>
  <c r="O50" i="4"/>
  <c r="J7" i="5"/>
  <c r="J8" i="5" s="1"/>
  <c r="L48" i="6"/>
  <c r="I7" i="7"/>
  <c r="I8" i="7" s="1"/>
  <c r="K5" i="5"/>
  <c r="L12" i="5"/>
  <c r="L80" i="6"/>
  <c r="J203" i="6"/>
  <c r="G190" i="6"/>
  <c r="M21" i="5"/>
  <c r="N188" i="5"/>
  <c r="I47" i="6"/>
  <c r="H7" i="5"/>
  <c r="L189" i="5"/>
  <c r="J47" i="6"/>
  <c r="J49" i="6" s="1"/>
  <c r="J40" i="6"/>
  <c r="J52" i="6" s="1"/>
  <c r="J182" i="6"/>
  <c r="J188" i="6" s="1"/>
  <c r="J190" i="6" s="1"/>
  <c r="L117" i="5"/>
  <c r="L119" i="5" s="1"/>
  <c r="K47" i="6"/>
  <c r="L47" i="6"/>
  <c r="G152" i="6"/>
  <c r="G154" i="6"/>
  <c r="G151" i="6"/>
  <c r="G155" i="6" s="1"/>
  <c r="I152" i="6"/>
  <c r="H176" i="6"/>
  <c r="H190" i="6" s="1"/>
  <c r="J195" i="6"/>
  <c r="N177" i="5"/>
  <c r="N178" i="5" s="1"/>
  <c r="M177" i="5"/>
  <c r="M178" i="5" s="1"/>
  <c r="J17" i="6"/>
  <c r="K15" i="6"/>
  <c r="I48" i="6"/>
  <c r="I190" i="6"/>
  <c r="I4" i="7"/>
  <c r="H7" i="7"/>
  <c r="K148" i="5"/>
  <c r="K25" i="4" s="1"/>
  <c r="K37" i="4" s="1"/>
  <c r="M171" i="5"/>
  <c r="K61" i="6"/>
  <c r="I153" i="6"/>
  <c r="L12" i="7"/>
  <c r="N30" i="7"/>
  <c r="J85" i="7"/>
  <c r="J98" i="7" s="1"/>
  <c r="J106" i="7" s="1"/>
  <c r="J69" i="7"/>
  <c r="L82" i="7"/>
  <c r="L95" i="7" s="1"/>
  <c r="Q74" i="7"/>
  <c r="M174" i="7"/>
  <c r="R74" i="7"/>
  <c r="N269" i="7"/>
  <c r="N267" i="7"/>
  <c r="N235" i="7"/>
  <c r="L314" i="7"/>
  <c r="L20" i="7" s="1"/>
  <c r="L50" i="7" s="1"/>
  <c r="I40" i="6"/>
  <c r="I52" i="6" s="1"/>
  <c r="G132" i="6"/>
  <c r="I148" i="6" s="1"/>
  <c r="H150" i="6"/>
  <c r="O12" i="7"/>
  <c r="L51" i="7"/>
  <c r="N82" i="7"/>
  <c r="N95" i="7" s="1"/>
  <c r="H162" i="7"/>
  <c r="I339" i="7"/>
  <c r="J339" i="7"/>
  <c r="I150" i="6"/>
  <c r="M51" i="7"/>
  <c r="P235" i="7"/>
  <c r="K40" i="6"/>
  <c r="K52" i="6" s="1"/>
  <c r="J150" i="6"/>
  <c r="H52" i="7"/>
  <c r="H97" i="7"/>
  <c r="N262" i="7"/>
  <c r="N234" i="7"/>
  <c r="N260" i="7"/>
  <c r="L40" i="6"/>
  <c r="L52" i="6" s="1"/>
  <c r="L13" i="7"/>
  <c r="O51" i="7"/>
  <c r="L84" i="7"/>
  <c r="L97" i="7" s="1"/>
  <c r="L27" i="9"/>
  <c r="N360" i="7" s="1"/>
  <c r="N362" i="7" s="1"/>
  <c r="I18" i="6"/>
  <c r="I31" i="6" s="1"/>
  <c r="H151" i="6"/>
  <c r="H83" i="7"/>
  <c r="H67" i="7"/>
  <c r="I202" i="7"/>
  <c r="J151" i="6"/>
  <c r="K30" i="7"/>
  <c r="H61" i="7"/>
  <c r="H78" i="7"/>
  <c r="H311" i="7"/>
  <c r="H314" i="7"/>
  <c r="H20" i="7" s="1"/>
  <c r="K83" i="7"/>
  <c r="K96" i="7" s="1"/>
  <c r="K104" i="7" s="1"/>
  <c r="K67" i="7"/>
  <c r="H85" i="7"/>
  <c r="H98" i="7" s="1"/>
  <c r="H69" i="7"/>
  <c r="M67" i="7"/>
  <c r="H95" i="7"/>
  <c r="J202" i="7"/>
  <c r="O269" i="7"/>
  <c r="O235" i="7"/>
  <c r="J376" i="7"/>
  <c r="I376" i="7"/>
  <c r="I378" i="7"/>
  <c r="I60" i="7" s="1"/>
  <c r="I82" i="7"/>
  <c r="J95" i="7"/>
  <c r="O146" i="7"/>
  <c r="M262" i="7"/>
  <c r="M260" i="7"/>
  <c r="M261" i="7" s="1"/>
  <c r="O267" i="7"/>
  <c r="O333" i="7"/>
  <c r="O305" i="7" s="1"/>
  <c r="O331" i="7"/>
  <c r="O332" i="7" s="1"/>
  <c r="P356" i="7"/>
  <c r="O365" i="7"/>
  <c r="K82" i="7"/>
  <c r="O182" i="7"/>
  <c r="O260" i="7"/>
  <c r="O262" i="7"/>
  <c r="O234" i="7"/>
  <c r="M234" i="7"/>
  <c r="H53" i="9"/>
  <c r="F55" i="9"/>
  <c r="F58" i="9" s="1"/>
  <c r="M254" i="7"/>
  <c r="M255" i="7" s="1"/>
  <c r="L254" i="7"/>
  <c r="O346" i="7"/>
  <c r="O95" i="7"/>
  <c r="I96" i="7"/>
  <c r="I104" i="7" s="1"/>
  <c r="I237" i="7"/>
  <c r="H244" i="7"/>
  <c r="K247" i="7"/>
  <c r="L7" i="9"/>
  <c r="J10" i="9"/>
  <c r="I67" i="7"/>
  <c r="Q90" i="7"/>
  <c r="L246" i="7"/>
  <c r="M243" i="7"/>
  <c r="L243" i="7"/>
  <c r="L244" i="7"/>
  <c r="I254" i="7"/>
  <c r="I255" i="7" s="1"/>
  <c r="H254" i="7"/>
  <c r="H255" i="7" s="1"/>
  <c r="H58" i="9"/>
  <c r="L58" i="9" s="1"/>
  <c r="L360" i="7" s="1"/>
  <c r="L362" i="7" s="1"/>
  <c r="M367" i="7" s="1"/>
  <c r="J276" i="7"/>
  <c r="J240" i="7" s="1"/>
  <c r="J274" i="7"/>
  <c r="M247" i="7"/>
  <c r="H24" i="9"/>
  <c r="L24" i="9" s="1"/>
  <c r="M269" i="7"/>
  <c r="M267" i="7"/>
  <c r="M268" i="7" s="1"/>
  <c r="M235" i="7"/>
  <c r="P252" i="7"/>
  <c r="P253" i="7" s="1"/>
  <c r="H10" i="9"/>
  <c r="H70" i="9"/>
  <c r="L70" i="9" s="1"/>
  <c r="P229" i="7"/>
  <c r="L237" i="7"/>
  <c r="O243" i="7"/>
  <c r="N246" i="7"/>
  <c r="H247" i="7"/>
  <c r="H40" i="9"/>
  <c r="L40" i="9" s="1"/>
  <c r="J43" i="9"/>
  <c r="L43" i="9" s="1"/>
  <c r="B73" i="9"/>
  <c r="H73" i="9" s="1"/>
  <c r="L73" i="9" s="1"/>
  <c r="K360" i="7" s="1"/>
  <c r="K362" i="7" s="1"/>
  <c r="I247" i="7"/>
  <c r="O252" i="7"/>
  <c r="O253" i="7" s="1"/>
  <c r="O254" i="7" s="1"/>
  <c r="N338" i="7"/>
  <c r="N339" i="7" s="1"/>
  <c r="B27" i="9"/>
  <c r="H27" i="9" s="1"/>
  <c r="H55" i="9"/>
  <c r="L55" i="9" s="1"/>
  <c r="M244" i="7"/>
  <c r="Q358" i="7"/>
  <c r="R358" i="7" s="1"/>
  <c r="S358" i="7" s="1"/>
  <c r="T358" i="7" s="1"/>
  <c r="U358" i="7" s="1"/>
  <c r="V358" i="7" s="1"/>
  <c r="W358" i="7" s="1"/>
  <c r="X358" i="7" s="1"/>
  <c r="Y358" i="7" s="1"/>
  <c r="N244" i="7"/>
  <c r="O274" i="7"/>
  <c r="K274" i="7" l="1"/>
  <c r="O255" i="7"/>
  <c r="K230" i="7"/>
  <c r="J236" i="7"/>
  <c r="K276" i="7"/>
  <c r="K240" i="7" s="1"/>
  <c r="L230" i="7"/>
  <c r="J275" i="7"/>
  <c r="L307" i="7"/>
  <c r="J230" i="7"/>
  <c r="H50" i="7"/>
  <c r="J241" i="7"/>
  <c r="H103" i="7"/>
  <c r="I276" i="7"/>
  <c r="I240" i="7" s="1"/>
  <c r="I241" i="7" s="1"/>
  <c r="H66" i="7"/>
  <c r="O307" i="7"/>
  <c r="H48" i="7"/>
  <c r="L48" i="7"/>
  <c r="L162" i="7"/>
  <c r="R143" i="5"/>
  <c r="R57" i="7"/>
  <c r="I313" i="7"/>
  <c r="I315" i="7" s="1"/>
  <c r="L159" i="7"/>
  <c r="I311" i="7"/>
  <c r="K313" i="7"/>
  <c r="K315" i="7" s="1"/>
  <c r="Q143" i="5"/>
  <c r="Q57" i="7"/>
  <c r="L66" i="7"/>
  <c r="L23" i="4"/>
  <c r="L303" i="7"/>
  <c r="I230" i="7"/>
  <c r="O231" i="7"/>
  <c r="O19" i="7" s="1"/>
  <c r="O30" i="7" s="1"/>
  <c r="O228" i="7"/>
  <c r="I236" i="7"/>
  <c r="M229" i="7"/>
  <c r="M236" i="7" s="1"/>
  <c r="M228" i="7"/>
  <c r="N229" i="7"/>
  <c r="O236" i="7" s="1"/>
  <c r="N228" i="7"/>
  <c r="K162" i="7"/>
  <c r="L150" i="7"/>
  <c r="K48" i="7"/>
  <c r="K66" i="7"/>
  <c r="L29" i="7"/>
  <c r="L151" i="7"/>
  <c r="K159" i="7"/>
  <c r="H9" i="5"/>
  <c r="H9" i="4"/>
  <c r="H10" i="2" s="1"/>
  <c r="I9" i="5"/>
  <c r="M378" i="7"/>
  <c r="M60" i="7" s="1"/>
  <c r="M85" i="7" s="1"/>
  <c r="M98" i="7" s="1"/>
  <c r="M106" i="7" s="1"/>
  <c r="J23" i="7"/>
  <c r="J18" i="5" s="1"/>
  <c r="J136" i="5" s="1"/>
  <c r="Z157" i="5"/>
  <c r="K150" i="7"/>
  <c r="J162" i="7"/>
  <c r="J159" i="7"/>
  <c r="K29" i="7"/>
  <c r="J66" i="7"/>
  <c r="K151" i="7"/>
  <c r="K241" i="7"/>
  <c r="L311" i="7"/>
  <c r="K378" i="7"/>
  <c r="K60" i="7" s="1"/>
  <c r="J247" i="7"/>
  <c r="J67" i="7"/>
  <c r="L376" i="7"/>
  <c r="M307" i="7"/>
  <c r="N307" i="7"/>
  <c r="P12" i="7"/>
  <c r="N159" i="7"/>
  <c r="M303" i="7"/>
  <c r="L274" i="7"/>
  <c r="L275" i="7" s="1"/>
  <c r="N66" i="7"/>
  <c r="N103" i="7"/>
  <c r="N162" i="7"/>
  <c r="M311" i="7"/>
  <c r="J48" i="7"/>
  <c r="I48" i="7"/>
  <c r="J303" i="7"/>
  <c r="M66" i="7"/>
  <c r="I29" i="7"/>
  <c r="L236" i="7"/>
  <c r="O142" i="7"/>
  <c r="O150" i="7" s="1"/>
  <c r="O134" i="7"/>
  <c r="N157" i="5"/>
  <c r="L276" i="7"/>
  <c r="L240" i="7" s="1"/>
  <c r="L241" i="7" s="1"/>
  <c r="I150" i="7"/>
  <c r="O58" i="7"/>
  <c r="O83" i="7" s="1"/>
  <c r="M48" i="7"/>
  <c r="N29" i="7"/>
  <c r="I162" i="7"/>
  <c r="N151" i="7"/>
  <c r="K376" i="7"/>
  <c r="I159" i="7"/>
  <c r="N150" i="7"/>
  <c r="M29" i="7"/>
  <c r="T140" i="7"/>
  <c r="U140" i="7" s="1"/>
  <c r="V140" i="7" s="1"/>
  <c r="W140" i="7" s="1"/>
  <c r="X140" i="7" s="1"/>
  <c r="Y140" i="7" s="1"/>
  <c r="J103" i="7"/>
  <c r="I151" i="7"/>
  <c r="L103" i="7"/>
  <c r="AE375" i="7"/>
  <c r="P13" i="7"/>
  <c r="M151" i="7"/>
  <c r="J150" i="7"/>
  <c r="M23" i="7"/>
  <c r="M18" i="5" s="1"/>
  <c r="M129" i="5" s="1"/>
  <c r="K303" i="7"/>
  <c r="J311" i="7"/>
  <c r="I23" i="7"/>
  <c r="I18" i="5" s="1"/>
  <c r="I138" i="5" s="1"/>
  <c r="H105" i="7"/>
  <c r="I66" i="7"/>
  <c r="L105" i="7"/>
  <c r="M150" i="7"/>
  <c r="J151" i="7"/>
  <c r="J313" i="7"/>
  <c r="J315" i="7" s="1"/>
  <c r="M162" i="7"/>
  <c r="M159" i="7"/>
  <c r="J29" i="7"/>
  <c r="H106" i="7"/>
  <c r="I49" i="6"/>
  <c r="I70" i="6" s="1"/>
  <c r="L49" i="6"/>
  <c r="L53" i="6" s="1"/>
  <c r="L54" i="6" s="1"/>
  <c r="H14" i="7"/>
  <c r="H14" i="5"/>
  <c r="J9" i="4"/>
  <c r="J10" i="2" s="1"/>
  <c r="J9" i="2"/>
  <c r="K7" i="4"/>
  <c r="K8" i="4" s="1"/>
  <c r="I9" i="2"/>
  <c r="J8" i="2"/>
  <c r="I9" i="4"/>
  <c r="I10" i="2" s="1"/>
  <c r="I37" i="4"/>
  <c r="J255" i="7"/>
  <c r="O261" i="7"/>
  <c r="I155" i="7"/>
  <c r="H86" i="7"/>
  <c r="L318" i="7"/>
  <c r="S74" i="7"/>
  <c r="L68" i="7"/>
  <c r="O296" i="7"/>
  <c r="O311" i="7" s="1"/>
  <c r="K275" i="7"/>
  <c r="Q299" i="7"/>
  <c r="O339" i="7"/>
  <c r="L378" i="7"/>
  <c r="L60" i="7" s="1"/>
  <c r="L85" i="7" s="1"/>
  <c r="L98" i="7" s="1"/>
  <c r="S252" i="7"/>
  <c r="S253" i="7" s="1"/>
  <c r="H23" i="7"/>
  <c r="H18" i="5" s="1"/>
  <c r="H129" i="5" s="1"/>
  <c r="N261" i="7"/>
  <c r="O239" i="7"/>
  <c r="O241" i="7" s="1"/>
  <c r="M376" i="7"/>
  <c r="N378" i="7"/>
  <c r="N60" i="7" s="1"/>
  <c r="N42" i="7"/>
  <c r="M95" i="7"/>
  <c r="K76" i="5"/>
  <c r="R49" i="5"/>
  <c r="R50" i="5" s="1"/>
  <c r="N76" i="5"/>
  <c r="J82" i="5"/>
  <c r="J76" i="5"/>
  <c r="L76" i="5"/>
  <c r="M76" i="5"/>
  <c r="N189" i="5"/>
  <c r="R70" i="5"/>
  <c r="R71" i="5" s="1"/>
  <c r="K82" i="5"/>
  <c r="M82" i="5"/>
  <c r="I76" i="5"/>
  <c r="L82" i="5"/>
  <c r="I82" i="5"/>
  <c r="R37" i="5"/>
  <c r="R85" i="5" s="1"/>
  <c r="N82" i="5"/>
  <c r="Q46" i="5"/>
  <c r="Q43" i="5"/>
  <c r="R35" i="5"/>
  <c r="U56" i="5"/>
  <c r="Q5" i="5"/>
  <c r="Q12" i="5" s="1"/>
  <c r="L121" i="5"/>
  <c r="M121" i="5"/>
  <c r="K121" i="5"/>
  <c r="N121" i="5"/>
  <c r="P12" i="5"/>
  <c r="I121" i="5"/>
  <c r="J121" i="5"/>
  <c r="I111" i="5"/>
  <c r="I29" i="6"/>
  <c r="I30" i="6"/>
  <c r="K367" i="7"/>
  <c r="K22" i="7"/>
  <c r="I95" i="7"/>
  <c r="K13" i="5"/>
  <c r="K12" i="5"/>
  <c r="J5" i="5"/>
  <c r="O6" i="4"/>
  <c r="N7" i="2"/>
  <c r="N296" i="7"/>
  <c r="H114" i="5"/>
  <c r="I112" i="5"/>
  <c r="P301" i="7"/>
  <c r="L367" i="7"/>
  <c r="L22" i="7"/>
  <c r="K95" i="7"/>
  <c r="P302" i="7"/>
  <c r="O302" i="7"/>
  <c r="Q13" i="7"/>
  <c r="Q12" i="7"/>
  <c r="R5" i="7"/>
  <c r="K7" i="5"/>
  <c r="K8" i="5" s="1"/>
  <c r="J9" i="5"/>
  <c r="L10" i="9"/>
  <c r="O360" i="7" s="1"/>
  <c r="O378" i="7"/>
  <c r="O60" i="7" s="1"/>
  <c r="O268" i="7"/>
  <c r="I85" i="7"/>
  <c r="I98" i="7" s="1"/>
  <c r="I106" i="7" s="1"/>
  <c r="I69" i="7"/>
  <c r="K17" i="6"/>
  <c r="L15" i="6"/>
  <c r="K5" i="4"/>
  <c r="L12" i="4"/>
  <c r="L13" i="4"/>
  <c r="L6" i="2"/>
  <c r="L71" i="2" s="1"/>
  <c r="H148" i="5"/>
  <c r="H21" i="5"/>
  <c r="J18" i="6"/>
  <c r="J16" i="6"/>
  <c r="L70" i="6"/>
  <c r="L247" i="7"/>
  <c r="L58" i="7"/>
  <c r="L255" i="7"/>
  <c r="Q356" i="7"/>
  <c r="P365" i="7"/>
  <c r="H96" i="7"/>
  <c r="H100" i="7" s="1"/>
  <c r="H115" i="7" s="1"/>
  <c r="H116" i="7" s="1"/>
  <c r="I155" i="6"/>
  <c r="I154" i="6"/>
  <c r="P77" i="7"/>
  <c r="N367" i="7"/>
  <c r="N22" i="7"/>
  <c r="Q46" i="4"/>
  <c r="Q45" i="4"/>
  <c r="R5" i="4"/>
  <c r="Q13" i="4"/>
  <c r="Q6" i="2"/>
  <c r="Q12" i="4"/>
  <c r="R299" i="7"/>
  <c r="R252" i="7"/>
  <c r="R253" i="7" s="1"/>
  <c r="R75" i="7"/>
  <c r="Q252" i="7"/>
  <c r="Q253" i="7" s="1"/>
  <c r="Q254" i="7" s="1"/>
  <c r="Q75" i="7"/>
  <c r="M315" i="7"/>
  <c r="H318" i="7"/>
  <c r="Q235" i="7"/>
  <c r="H198" i="6"/>
  <c r="J76" i="6"/>
  <c r="J70" i="6"/>
  <c r="J63" i="6"/>
  <c r="J53" i="6"/>
  <c r="J54" i="6" s="1"/>
  <c r="I19" i="6"/>
  <c r="J12" i="7"/>
  <c r="I5" i="7"/>
  <c r="J13" i="7"/>
  <c r="P254" i="7"/>
  <c r="N239" i="7"/>
  <c r="N50" i="4"/>
  <c r="N56" i="4" s="1"/>
  <c r="I14" i="4"/>
  <c r="K49" i="6"/>
  <c r="J204" i="6" s="1"/>
  <c r="Q99" i="7"/>
  <c r="R90" i="7"/>
  <c r="K85" i="7"/>
  <c r="K98" i="7" s="1"/>
  <c r="N268" i="7"/>
  <c r="N255" i="7"/>
  <c r="N247" i="7"/>
  <c r="N58" i="7"/>
  <c r="M239" i="7"/>
  <c r="M31" i="7"/>
  <c r="L31" i="7"/>
  <c r="L159" i="5"/>
  <c r="J7" i="7"/>
  <c r="J8" i="7" s="1"/>
  <c r="I9" i="7"/>
  <c r="J134" i="5"/>
  <c r="J5" i="2"/>
  <c r="J14" i="5" s="1"/>
  <c r="K4" i="4"/>
  <c r="L4" i="5"/>
  <c r="P234" i="7"/>
  <c r="G198" i="6"/>
  <c r="H68" i="7"/>
  <c r="I31" i="7"/>
  <c r="H159" i="5"/>
  <c r="Z159" i="5" s="1"/>
  <c r="P236" i="7"/>
  <c r="Q229" i="7"/>
  <c r="I14" i="7"/>
  <c r="J4" i="7"/>
  <c r="M230" i="7" l="1"/>
  <c r="O49" i="7"/>
  <c r="O158" i="5"/>
  <c r="Q144" i="5"/>
  <c r="Q58" i="7"/>
  <c r="P231" i="7"/>
  <c r="R144" i="5"/>
  <c r="R58" i="7"/>
  <c r="S143" i="5"/>
  <c r="S57" i="7"/>
  <c r="P146" i="5"/>
  <c r="P60" i="7"/>
  <c r="P98" i="7" s="1"/>
  <c r="M69" i="7"/>
  <c r="N230" i="7"/>
  <c r="O230" i="7"/>
  <c r="N274" i="7"/>
  <c r="O275" i="7" s="1"/>
  <c r="N236" i="7"/>
  <c r="N276" i="7"/>
  <c r="N240" i="7" s="1"/>
  <c r="N241" i="7" s="1"/>
  <c r="O244" i="7"/>
  <c r="M276" i="7"/>
  <c r="M240" i="7" s="1"/>
  <c r="M241" i="7" s="1"/>
  <c r="M274" i="7"/>
  <c r="M275" i="7" s="1"/>
  <c r="O247" i="7"/>
  <c r="O237" i="7"/>
  <c r="I76" i="6"/>
  <c r="P237" i="6"/>
  <c r="I63" i="6"/>
  <c r="I53" i="6"/>
  <c r="I54" i="6" s="1"/>
  <c r="K69" i="7"/>
  <c r="L106" i="7"/>
  <c r="I129" i="5"/>
  <c r="I137" i="5"/>
  <c r="I161" i="5"/>
  <c r="I160" i="5"/>
  <c r="J34" i="7"/>
  <c r="I21" i="4"/>
  <c r="I20" i="5"/>
  <c r="I23" i="5" s="1"/>
  <c r="I27" i="5" s="1"/>
  <c r="I29" i="5" s="1"/>
  <c r="I30" i="5" s="1"/>
  <c r="I31" i="5" s="1"/>
  <c r="I136" i="5"/>
  <c r="H70" i="7"/>
  <c r="O151" i="7"/>
  <c r="T74" i="7"/>
  <c r="H107" i="7"/>
  <c r="O67" i="7"/>
  <c r="H104" i="7"/>
  <c r="K103" i="7"/>
  <c r="O162" i="7"/>
  <c r="O18" i="7"/>
  <c r="O159" i="7"/>
  <c r="M103" i="7"/>
  <c r="K106" i="7"/>
  <c r="I103" i="7"/>
  <c r="L63" i="6"/>
  <c r="J198" i="6"/>
  <c r="L76" i="6"/>
  <c r="R237" i="6"/>
  <c r="K8" i="2"/>
  <c r="H161" i="5"/>
  <c r="H138" i="5"/>
  <c r="H20" i="5"/>
  <c r="H23" i="5" s="1"/>
  <c r="H27" i="5" s="1"/>
  <c r="H29" i="5" s="1"/>
  <c r="H30" i="5" s="1"/>
  <c r="I34" i="7"/>
  <c r="O313" i="7"/>
  <c r="O315" i="7" s="1"/>
  <c r="O40" i="7" s="1"/>
  <c r="L69" i="7"/>
  <c r="S75" i="7"/>
  <c r="H160" i="5"/>
  <c r="H137" i="5"/>
  <c r="H53" i="7"/>
  <c r="N85" i="7"/>
  <c r="N98" i="7" s="1"/>
  <c r="H136" i="5"/>
  <c r="J137" i="5"/>
  <c r="J129" i="5"/>
  <c r="J161" i="5"/>
  <c r="J21" i="4"/>
  <c r="J20" i="5"/>
  <c r="J23" i="5" s="1"/>
  <c r="J27" i="5" s="1"/>
  <c r="J29" i="5" s="1"/>
  <c r="J30" i="5" s="1"/>
  <c r="J163" i="5" s="1"/>
  <c r="J138" i="5"/>
  <c r="J160" i="5"/>
  <c r="S49" i="5"/>
  <c r="S70" i="5"/>
  <c r="T70" i="5" s="1"/>
  <c r="S37" i="5"/>
  <c r="T37" i="5" s="1"/>
  <c r="V56" i="5"/>
  <c r="S50" i="5"/>
  <c r="T49" i="5"/>
  <c r="R86" i="5"/>
  <c r="R43" i="5"/>
  <c r="S35" i="5"/>
  <c r="R46" i="5"/>
  <c r="Q13" i="5"/>
  <c r="R5" i="5"/>
  <c r="R13" i="5" s="1"/>
  <c r="I113" i="5"/>
  <c r="I114" i="5" s="1"/>
  <c r="Q301" i="7"/>
  <c r="Q234" i="7"/>
  <c r="Q231" i="7"/>
  <c r="N67" i="7"/>
  <c r="N83" i="7"/>
  <c r="N96" i="7" s="1"/>
  <c r="N104" i="7" s="1"/>
  <c r="K9" i="2"/>
  <c r="L7" i="4"/>
  <c r="K9" i="4"/>
  <c r="K10" i="2" s="1"/>
  <c r="R356" i="7"/>
  <c r="Q365" i="7"/>
  <c r="J31" i="6"/>
  <c r="J29" i="6" s="1"/>
  <c r="J19" i="6"/>
  <c r="P360" i="7"/>
  <c r="P362" i="7" s="1"/>
  <c r="O362" i="7"/>
  <c r="P6" i="4"/>
  <c r="O7" i="2"/>
  <c r="K33" i="7"/>
  <c r="K52" i="7"/>
  <c r="K23" i="7"/>
  <c r="L7" i="5"/>
  <c r="L8" i="5" s="1"/>
  <c r="K9" i="5"/>
  <c r="S77" i="7"/>
  <c r="O249" i="6"/>
  <c r="I81" i="6"/>
  <c r="I84" i="6" s="1"/>
  <c r="M317" i="7"/>
  <c r="M40" i="7"/>
  <c r="R12" i="7"/>
  <c r="S5" i="7"/>
  <c r="R13" i="7"/>
  <c r="K7" i="7"/>
  <c r="K8" i="7" s="1"/>
  <c r="J9" i="7"/>
  <c r="M4" i="5"/>
  <c r="M187" i="5"/>
  <c r="M21" i="4"/>
  <c r="M160" i="5"/>
  <c r="M137" i="5"/>
  <c r="M20" i="5"/>
  <c r="M23" i="5" s="1"/>
  <c r="M27" i="5" s="1"/>
  <c r="M29" i="5" s="1"/>
  <c r="M30" i="5" s="1"/>
  <c r="M161" i="5"/>
  <c r="M136" i="5"/>
  <c r="M138" i="5"/>
  <c r="R99" i="7"/>
  <c r="S90" i="7"/>
  <c r="N303" i="7"/>
  <c r="N311" i="7"/>
  <c r="N313" i="7"/>
  <c r="K5" i="2"/>
  <c r="K14" i="5" s="1"/>
  <c r="L4" i="4"/>
  <c r="K6" i="2"/>
  <c r="K71" i="2" s="1"/>
  <c r="K12" i="4"/>
  <c r="J5" i="4"/>
  <c r="K13" i="4"/>
  <c r="J14" i="7"/>
  <c r="K4" i="7"/>
  <c r="S254" i="7"/>
  <c r="P378" i="7"/>
  <c r="P85" i="7" s="1"/>
  <c r="Q375" i="7"/>
  <c r="L67" i="7"/>
  <c r="L83" i="7"/>
  <c r="L86" i="7" s="1"/>
  <c r="L61" i="7"/>
  <c r="J64" i="6"/>
  <c r="J68" i="6"/>
  <c r="Q77" i="7"/>
  <c r="R45" i="4"/>
  <c r="R13" i="4"/>
  <c r="R46" i="4"/>
  <c r="R12" i="4"/>
  <c r="R6" i="2"/>
  <c r="S5" i="4"/>
  <c r="O85" i="7"/>
  <c r="O98" i="7" s="1"/>
  <c r="I12" i="7"/>
  <c r="I13" i="7"/>
  <c r="H5" i="7"/>
  <c r="I68" i="6"/>
  <c r="I64" i="6"/>
  <c r="R229" i="7"/>
  <c r="Q236" i="7"/>
  <c r="L68" i="6"/>
  <c r="G126" i="6"/>
  <c r="G130" i="6" s="1"/>
  <c r="J148" i="6" s="1"/>
  <c r="L64" i="6"/>
  <c r="G134" i="6"/>
  <c r="M15" i="6"/>
  <c r="L17" i="6"/>
  <c r="J317" i="7"/>
  <c r="J40" i="7"/>
  <c r="M33" i="7"/>
  <c r="L33" i="7"/>
  <c r="L23" i="7"/>
  <c r="L25" i="7" s="1"/>
  <c r="L26" i="7" s="1"/>
  <c r="L52" i="7"/>
  <c r="S299" i="7"/>
  <c r="K53" i="6"/>
  <c r="K54" i="6" s="1"/>
  <c r="I198" i="6"/>
  <c r="G199" i="6" s="1"/>
  <c r="K76" i="6"/>
  <c r="K63" i="6"/>
  <c r="K70" i="6"/>
  <c r="Q237" i="6"/>
  <c r="P249" i="6"/>
  <c r="J81" i="6"/>
  <c r="J84" i="6" s="1"/>
  <c r="K18" i="6"/>
  <c r="K16" i="6"/>
  <c r="J13" i="5"/>
  <c r="J12" i="5"/>
  <c r="I5" i="5"/>
  <c r="P237" i="7"/>
  <c r="P158" i="5"/>
  <c r="R235" i="7"/>
  <c r="I317" i="7"/>
  <c r="I40" i="7"/>
  <c r="J14" i="4"/>
  <c r="R254" i="7"/>
  <c r="K317" i="7"/>
  <c r="K40" i="7"/>
  <c r="N69" i="7"/>
  <c r="N33" i="7"/>
  <c r="N52" i="7"/>
  <c r="N23" i="7"/>
  <c r="P32" i="7"/>
  <c r="P51" i="7"/>
  <c r="L81" i="6"/>
  <c r="L84" i="6" s="1"/>
  <c r="R249" i="6"/>
  <c r="G127" i="6"/>
  <c r="G131" i="6" s="1"/>
  <c r="H148" i="6" s="1"/>
  <c r="O96" i="7"/>
  <c r="S144" i="5" l="1"/>
  <c r="S58" i="7"/>
  <c r="T143" i="5"/>
  <c r="T57" i="7"/>
  <c r="S146" i="5"/>
  <c r="S60" i="7"/>
  <c r="S98" i="7" s="1"/>
  <c r="L30" i="4"/>
  <c r="Q146" i="5"/>
  <c r="Q60" i="7"/>
  <c r="Q98" i="7" s="1"/>
  <c r="N275" i="7"/>
  <c r="P244" i="7"/>
  <c r="Q244" i="7" s="1"/>
  <c r="P311" i="7"/>
  <c r="P142" i="7"/>
  <c r="P159" i="7"/>
  <c r="Q159" i="7" s="1"/>
  <c r="I163" i="5"/>
  <c r="O316" i="7"/>
  <c r="O317" i="7" s="1"/>
  <c r="Z161" i="5"/>
  <c r="O104" i="7"/>
  <c r="O157" i="5"/>
  <c r="O48" i="7"/>
  <c r="O29" i="7"/>
  <c r="O66" i="7"/>
  <c r="O103" i="7"/>
  <c r="N106" i="7"/>
  <c r="U75" i="7"/>
  <c r="U252" i="7"/>
  <c r="U253" i="7" s="1"/>
  <c r="T75" i="7"/>
  <c r="T252" i="7"/>
  <c r="T253" i="7" s="1"/>
  <c r="J31" i="5"/>
  <c r="Z160" i="5"/>
  <c r="S71" i="5"/>
  <c r="R12" i="5"/>
  <c r="S85" i="5"/>
  <c r="S86" i="5" s="1"/>
  <c r="S5" i="5"/>
  <c r="S13" i="5" s="1"/>
  <c r="S46" i="5"/>
  <c r="S43" i="5"/>
  <c r="T35" i="5"/>
  <c r="T71" i="5"/>
  <c r="U70" i="5"/>
  <c r="W56" i="5"/>
  <c r="T85" i="5"/>
  <c r="U37" i="5"/>
  <c r="T50" i="5"/>
  <c r="U49" i="5"/>
  <c r="J112" i="5"/>
  <c r="J113" i="5" s="1"/>
  <c r="J114" i="5" s="1"/>
  <c r="L9" i="5"/>
  <c r="M7" i="5"/>
  <c r="M8" i="5" s="1"/>
  <c r="Q32" i="7"/>
  <c r="Q51" i="7"/>
  <c r="S235" i="7"/>
  <c r="N15" i="6"/>
  <c r="M17" i="6"/>
  <c r="R236" i="7"/>
  <c r="S229" i="7"/>
  <c r="K14" i="4"/>
  <c r="K34" i="7"/>
  <c r="K18" i="5"/>
  <c r="K129" i="5" s="1"/>
  <c r="S46" i="4"/>
  <c r="S45" i="4"/>
  <c r="S13" i="4"/>
  <c r="S6" i="2"/>
  <c r="S12" i="4"/>
  <c r="T5" i="4"/>
  <c r="N34" i="7"/>
  <c r="N18" i="5"/>
  <c r="N129" i="5" s="1"/>
  <c r="T299" i="7"/>
  <c r="N315" i="7"/>
  <c r="P313" i="7"/>
  <c r="Q313" i="7" s="1"/>
  <c r="L7" i="7"/>
  <c r="L8" i="7" s="1"/>
  <c r="K9" i="7"/>
  <c r="Q237" i="7"/>
  <c r="P30" i="7"/>
  <c r="S356" i="7"/>
  <c r="R365" i="7"/>
  <c r="R234" i="7"/>
  <c r="R231" i="7"/>
  <c r="L18" i="6"/>
  <c r="L16" i="6"/>
  <c r="K14" i="7"/>
  <c r="L4" i="7"/>
  <c r="H12" i="7"/>
  <c r="H13" i="7"/>
  <c r="L70" i="7"/>
  <c r="N4" i="5"/>
  <c r="S99" i="7"/>
  <c r="T90" i="7"/>
  <c r="S12" i="7"/>
  <c r="T5" i="7"/>
  <c r="S13" i="7"/>
  <c r="I50" i="7"/>
  <c r="I43" i="7"/>
  <c r="J155" i="6"/>
  <c r="J153" i="6"/>
  <c r="J154" i="6"/>
  <c r="J152" i="6"/>
  <c r="J13" i="4"/>
  <c r="J6" i="2"/>
  <c r="J71" i="2" s="1"/>
  <c r="J12" i="4"/>
  <c r="I5" i="4"/>
  <c r="Q6" i="4"/>
  <c r="P7" i="2"/>
  <c r="L8" i="4"/>
  <c r="L8" i="2"/>
  <c r="J318" i="7"/>
  <c r="J59" i="7"/>
  <c r="K50" i="7"/>
  <c r="K43" i="7"/>
  <c r="O367" i="7"/>
  <c r="O22" i="7"/>
  <c r="O106" i="7" s="1"/>
  <c r="I13" i="5"/>
  <c r="H5" i="5"/>
  <c r="I12" i="5"/>
  <c r="K68" i="6"/>
  <c r="K64" i="6"/>
  <c r="K81" i="6"/>
  <c r="K84" i="6" s="1"/>
  <c r="Q249" i="6"/>
  <c r="Q360" i="7"/>
  <c r="Q296" i="7"/>
  <c r="H31" i="5"/>
  <c r="H163" i="5"/>
  <c r="I318" i="7"/>
  <c r="I59" i="7"/>
  <c r="L34" i="7"/>
  <c r="L18" i="5"/>
  <c r="L129" i="5" s="1"/>
  <c r="L53" i="7"/>
  <c r="M34" i="7"/>
  <c r="L96" i="7"/>
  <c r="K318" i="7"/>
  <c r="K59" i="7"/>
  <c r="Q378" i="7"/>
  <c r="R375" i="7"/>
  <c r="J30" i="6"/>
  <c r="R301" i="7"/>
  <c r="H155" i="6"/>
  <c r="H152" i="6"/>
  <c r="H154" i="6"/>
  <c r="H153" i="6"/>
  <c r="K31" i="6"/>
  <c r="K29" i="6" s="1"/>
  <c r="K19" i="6"/>
  <c r="K30" i="6"/>
  <c r="J50" i="7"/>
  <c r="J43" i="7"/>
  <c r="M163" i="5"/>
  <c r="M31" i="5"/>
  <c r="M50" i="7"/>
  <c r="M43" i="7"/>
  <c r="R77" i="7"/>
  <c r="M4" i="4"/>
  <c r="L5" i="2"/>
  <c r="L14" i="5" s="1"/>
  <c r="M318" i="7"/>
  <c r="M59" i="7"/>
  <c r="O76" i="7" l="1"/>
  <c r="O78" i="7" s="1"/>
  <c r="T144" i="5"/>
  <c r="T58" i="7"/>
  <c r="U144" i="5"/>
  <c r="U58" i="7"/>
  <c r="R146" i="5"/>
  <c r="R60" i="7"/>
  <c r="R98" i="7" s="1"/>
  <c r="I45" i="7"/>
  <c r="I25" i="7"/>
  <c r="I26" i="7" s="1"/>
  <c r="K25" i="7"/>
  <c r="K26" i="7" s="1"/>
  <c r="K45" i="7"/>
  <c r="L45" i="7"/>
  <c r="J45" i="7"/>
  <c r="J25" i="7"/>
  <c r="J26" i="7" s="1"/>
  <c r="M25" i="7"/>
  <c r="M26" i="7" s="1"/>
  <c r="M45" i="7"/>
  <c r="R244" i="7"/>
  <c r="R242" i="7" s="1"/>
  <c r="Q242" i="7"/>
  <c r="Q311" i="7"/>
  <c r="Q309" i="7" s="1"/>
  <c r="Q315" i="7" s="1"/>
  <c r="P242" i="7"/>
  <c r="P243" i="7" s="1"/>
  <c r="R159" i="7"/>
  <c r="P157" i="7"/>
  <c r="U74" i="7"/>
  <c r="L104" i="7"/>
  <c r="L100" i="7"/>
  <c r="L107" i="7" s="1"/>
  <c r="I53" i="7"/>
  <c r="I23" i="4"/>
  <c r="I27" i="4" s="1"/>
  <c r="P151" i="7"/>
  <c r="Q158" i="5"/>
  <c r="Q142" i="7"/>
  <c r="Q157" i="7" s="1"/>
  <c r="M53" i="7"/>
  <c r="M23" i="4"/>
  <c r="M27" i="4" s="1"/>
  <c r="K53" i="7"/>
  <c r="K23" i="4"/>
  <c r="J53" i="7"/>
  <c r="J23" i="4"/>
  <c r="J27" i="4" s="1"/>
  <c r="R303" i="7"/>
  <c r="R296" i="7"/>
  <c r="W252" i="7"/>
  <c r="W253" i="7" s="1"/>
  <c r="W75" i="7"/>
  <c r="U254" i="7"/>
  <c r="T254" i="7"/>
  <c r="R313" i="7"/>
  <c r="V75" i="7"/>
  <c r="V252" i="7"/>
  <c r="V253" i="7" s="1"/>
  <c r="S12" i="5"/>
  <c r="T5" i="5"/>
  <c r="T12" i="5" s="1"/>
  <c r="U85" i="5"/>
  <c r="U86" i="5" s="1"/>
  <c r="V37" i="5"/>
  <c r="X56" i="5"/>
  <c r="U71" i="5"/>
  <c r="V70" i="5"/>
  <c r="T43" i="5"/>
  <c r="U35" i="5"/>
  <c r="T46" i="5"/>
  <c r="U50" i="5"/>
  <c r="V49" i="5"/>
  <c r="T86" i="5"/>
  <c r="K112" i="5"/>
  <c r="K113" i="5" s="1"/>
  <c r="K114" i="5" s="1"/>
  <c r="R237" i="7"/>
  <c r="R158" i="5"/>
  <c r="T77" i="7"/>
  <c r="S365" i="7"/>
  <c r="T356" i="7"/>
  <c r="N187" i="5"/>
  <c r="N160" i="5"/>
  <c r="N136" i="5"/>
  <c r="N137" i="5"/>
  <c r="N20" i="5"/>
  <c r="N23" i="5" s="1"/>
  <c r="N27" i="5" s="1"/>
  <c r="N29" i="5" s="1"/>
  <c r="N30" i="5" s="1"/>
  <c r="N21" i="4"/>
  <c r="N138" i="5"/>
  <c r="N161" i="5"/>
  <c r="K160" i="5"/>
  <c r="K20" i="5"/>
  <c r="K23" i="5" s="1"/>
  <c r="K27" i="5" s="1"/>
  <c r="K29" i="5" s="1"/>
  <c r="K30" i="5" s="1"/>
  <c r="K136" i="5"/>
  <c r="K137" i="5"/>
  <c r="K21" i="4"/>
  <c r="K138" i="5"/>
  <c r="K161" i="5"/>
  <c r="N7" i="5"/>
  <c r="N8" i="5" s="1"/>
  <c r="M9" i="5"/>
  <c r="T99" i="7"/>
  <c r="U90" i="7"/>
  <c r="J68" i="7"/>
  <c r="J84" i="7"/>
  <c r="J86" i="7" s="1"/>
  <c r="J61" i="7"/>
  <c r="T45" i="4"/>
  <c r="T13" i="4"/>
  <c r="T6" i="2"/>
  <c r="T46" i="4"/>
  <c r="U5" i="4"/>
  <c r="T12" i="4"/>
  <c r="R378" i="7"/>
  <c r="S375" i="7"/>
  <c r="L31" i="6"/>
  <c r="L29" i="6" s="1"/>
  <c r="L30" i="6"/>
  <c r="L19" i="6"/>
  <c r="M7" i="7"/>
  <c r="M8" i="7" s="1"/>
  <c r="L9" i="7"/>
  <c r="N317" i="7"/>
  <c r="N40" i="7"/>
  <c r="O4" i="5"/>
  <c r="S236" i="7"/>
  <c r="T229" i="7"/>
  <c r="M7" i="4"/>
  <c r="L9" i="4"/>
  <c r="L10" i="2" s="1"/>
  <c r="L9" i="2"/>
  <c r="L14" i="4"/>
  <c r="O33" i="7"/>
  <c r="O23" i="7"/>
  <c r="O34" i="7" s="1"/>
  <c r="O69" i="7"/>
  <c r="O52" i="7"/>
  <c r="R6" i="4"/>
  <c r="Q7" i="2"/>
  <c r="S301" i="7"/>
  <c r="P76" i="7"/>
  <c r="P59" i="7" s="1"/>
  <c r="Q85" i="7"/>
  <c r="I84" i="7"/>
  <c r="I86" i="7" s="1"/>
  <c r="I68" i="7"/>
  <c r="I61" i="7"/>
  <c r="I63" i="7" s="1"/>
  <c r="O50" i="7"/>
  <c r="O43" i="7"/>
  <c r="O318" i="7"/>
  <c r="O59" i="7"/>
  <c r="I13" i="4"/>
  <c r="I6" i="2"/>
  <c r="I71" i="2" s="1"/>
  <c r="I12" i="4"/>
  <c r="H5" i="4"/>
  <c r="S234" i="7"/>
  <c r="S231" i="7"/>
  <c r="M18" i="6"/>
  <c r="M16" i="6"/>
  <c r="R360" i="7"/>
  <c r="Q362" i="7"/>
  <c r="M4" i="7"/>
  <c r="L14" i="7"/>
  <c r="M5" i="2"/>
  <c r="M14" i="5" s="1"/>
  <c r="N4" i="4"/>
  <c r="K84" i="7"/>
  <c r="K86" i="7" s="1"/>
  <c r="K68" i="7"/>
  <c r="K61" i="7"/>
  <c r="U299" i="7"/>
  <c r="O15" i="6"/>
  <c r="N17" i="6"/>
  <c r="H13" i="5"/>
  <c r="H12" i="5"/>
  <c r="Q314" i="7"/>
  <c r="T12" i="7"/>
  <c r="U5" i="7"/>
  <c r="T13" i="7"/>
  <c r="T235" i="7"/>
  <c r="M84" i="7"/>
  <c r="M86" i="7" s="1"/>
  <c r="M68" i="7"/>
  <c r="M61" i="7"/>
  <c r="M63" i="7" s="1"/>
  <c r="L20" i="5"/>
  <c r="L23" i="5" s="1"/>
  <c r="L27" i="5" s="1"/>
  <c r="L29" i="5" s="1"/>
  <c r="L30" i="5" s="1"/>
  <c r="L160" i="5"/>
  <c r="L187" i="5"/>
  <c r="L137" i="5"/>
  <c r="L21" i="4"/>
  <c r="L27" i="4" s="1"/>
  <c r="L138" i="5"/>
  <c r="L136" i="5"/>
  <c r="L161" i="5"/>
  <c r="P367" i="7"/>
  <c r="P106" i="7"/>
  <c r="R32" i="7"/>
  <c r="R51" i="7"/>
  <c r="Q30" i="7"/>
  <c r="V144" i="5" l="1"/>
  <c r="V58" i="7"/>
  <c r="U143" i="5"/>
  <c r="U57" i="7"/>
  <c r="W144" i="5"/>
  <c r="W58" i="7"/>
  <c r="K63" i="7"/>
  <c r="L63" i="7"/>
  <c r="S244" i="7"/>
  <c r="T244" i="7" s="1"/>
  <c r="U244" i="7" s="1"/>
  <c r="V244" i="7" s="1"/>
  <c r="J63" i="7"/>
  <c r="T146" i="5"/>
  <c r="T60" i="7"/>
  <c r="T98" i="7" s="1"/>
  <c r="O23" i="4"/>
  <c r="O25" i="7"/>
  <c r="O26" i="7" s="1"/>
  <c r="Q243" i="7"/>
  <c r="R243" i="7"/>
  <c r="R311" i="7"/>
  <c r="P78" i="7"/>
  <c r="P145" i="5"/>
  <c r="P142" i="5" s="1"/>
  <c r="Q158" i="7"/>
  <c r="Q155" i="7"/>
  <c r="Q161" i="7"/>
  <c r="Q82" i="7" s="1"/>
  <c r="P158" i="7"/>
  <c r="O135" i="4"/>
  <c r="Q135" i="4" s="1"/>
  <c r="P155" i="7"/>
  <c r="P161" i="7"/>
  <c r="S159" i="7"/>
  <c r="R314" i="7"/>
  <c r="V74" i="7"/>
  <c r="W254" i="7"/>
  <c r="K27" i="4"/>
  <c r="K33" i="4" s="1"/>
  <c r="K34" i="4" s="1"/>
  <c r="K43" i="4" s="1"/>
  <c r="L115" i="7"/>
  <c r="L116" i="7" s="1"/>
  <c r="J32" i="4"/>
  <c r="J33" i="4"/>
  <c r="J34" i="4" s="1"/>
  <c r="J43" i="4" s="1"/>
  <c r="T296" i="7"/>
  <c r="S303" i="7"/>
  <c r="P29" i="7"/>
  <c r="P157" i="5"/>
  <c r="M70" i="7"/>
  <c r="M30" i="4"/>
  <c r="I32" i="4"/>
  <c r="I33" i="4"/>
  <c r="I34" i="4" s="1"/>
  <c r="I43" i="4" s="1"/>
  <c r="M32" i="4"/>
  <c r="M33" i="4"/>
  <c r="M34" i="4" s="1"/>
  <c r="M43" i="4" s="1"/>
  <c r="K70" i="7"/>
  <c r="K30" i="4"/>
  <c r="I70" i="7"/>
  <c r="I30" i="4"/>
  <c r="Q151" i="7"/>
  <c r="J70" i="7"/>
  <c r="J30" i="4"/>
  <c r="O53" i="7"/>
  <c r="K97" i="7"/>
  <c r="X252" i="7"/>
  <c r="X253" i="7" s="1"/>
  <c r="X254" i="7" s="1"/>
  <c r="X75" i="7"/>
  <c r="V254" i="7"/>
  <c r="Y252" i="7"/>
  <c r="Y253" i="7" s="1"/>
  <c r="Y75" i="7"/>
  <c r="S313" i="7"/>
  <c r="U5" i="5"/>
  <c r="U12" i="5" s="1"/>
  <c r="T13" i="5"/>
  <c r="V50" i="5"/>
  <c r="W49" i="5"/>
  <c r="V35" i="5"/>
  <c r="U43" i="5"/>
  <c r="V85" i="5"/>
  <c r="V86" i="5" s="1"/>
  <c r="W37" i="5"/>
  <c r="V71" i="5"/>
  <c r="W70" i="5"/>
  <c r="U46" i="5"/>
  <c r="Y56" i="5"/>
  <c r="L112" i="5"/>
  <c r="L113" i="5" s="1"/>
  <c r="M112" i="5" s="1"/>
  <c r="M113" i="5" s="1"/>
  <c r="V77" i="7"/>
  <c r="W77" i="7"/>
  <c r="N163" i="5"/>
  <c r="N31" i="5"/>
  <c r="S360" i="7"/>
  <c r="R362" i="7"/>
  <c r="S6" i="4"/>
  <c r="R7" i="2"/>
  <c r="J97" i="7"/>
  <c r="O84" i="7"/>
  <c r="O86" i="7" s="1"/>
  <c r="O68" i="7"/>
  <c r="O61" i="7"/>
  <c r="U229" i="7"/>
  <c r="T236" i="7"/>
  <c r="N318" i="7"/>
  <c r="N59" i="7"/>
  <c r="L33" i="4"/>
  <c r="L34" i="4" s="1"/>
  <c r="L43" i="4" s="1"/>
  <c r="L32" i="4"/>
  <c r="U99" i="7"/>
  <c r="V90" i="7"/>
  <c r="S237" i="7"/>
  <c r="S158" i="5"/>
  <c r="V299" i="7"/>
  <c r="N50" i="7"/>
  <c r="N43" i="7"/>
  <c r="O45" i="7" s="1"/>
  <c r="O4" i="4"/>
  <c r="N5" i="2"/>
  <c r="N14" i="5" s="1"/>
  <c r="P4" i="5"/>
  <c r="M9" i="7"/>
  <c r="N7" i="7"/>
  <c r="N8" i="7" s="1"/>
  <c r="T375" i="7"/>
  <c r="S378" i="7"/>
  <c r="N9" i="5"/>
  <c r="O7" i="5"/>
  <c r="O8" i="5" s="1"/>
  <c r="K163" i="5"/>
  <c r="K31" i="5"/>
  <c r="T234" i="7"/>
  <c r="T231" i="7"/>
  <c r="T242" i="7" s="1"/>
  <c r="R85" i="7"/>
  <c r="R30" i="7"/>
  <c r="O18" i="5"/>
  <c r="U235" i="7"/>
  <c r="L163" i="5"/>
  <c r="L31" i="5"/>
  <c r="M14" i="4"/>
  <c r="S296" i="7"/>
  <c r="M8" i="4"/>
  <c r="M8" i="2"/>
  <c r="U77" i="7"/>
  <c r="S32" i="7"/>
  <c r="S51" i="7"/>
  <c r="M19" i="6"/>
  <c r="M31" i="6"/>
  <c r="M29" i="6" s="1"/>
  <c r="P33" i="7"/>
  <c r="P69" i="7"/>
  <c r="P52" i="7"/>
  <c r="U12" i="7"/>
  <c r="U13" i="7"/>
  <c r="V5" i="7"/>
  <c r="O17" i="6"/>
  <c r="P15" i="6"/>
  <c r="H13" i="4"/>
  <c r="H6" i="2"/>
  <c r="H71" i="2" s="1"/>
  <c r="H12" i="4"/>
  <c r="I97" i="7"/>
  <c r="T365" i="7"/>
  <c r="U356" i="7"/>
  <c r="Q367" i="7"/>
  <c r="Q317" i="7"/>
  <c r="N16" i="6"/>
  <c r="N18" i="6"/>
  <c r="Q76" i="7"/>
  <c r="Q59" i="7" s="1"/>
  <c r="M97" i="7"/>
  <c r="M14" i="7"/>
  <c r="N4" i="7"/>
  <c r="T301" i="7"/>
  <c r="U13" i="4"/>
  <c r="U6" i="2"/>
  <c r="U46" i="4"/>
  <c r="U12" i="4"/>
  <c r="V5" i="4"/>
  <c r="U45" i="4"/>
  <c r="Q95" i="7" l="1"/>
  <c r="K32" i="4"/>
  <c r="S242" i="7"/>
  <c r="S243" i="7" s="1"/>
  <c r="V143" i="5"/>
  <c r="V57" i="7"/>
  <c r="U146" i="5"/>
  <c r="U60" i="7"/>
  <c r="U98" i="7" s="1"/>
  <c r="W146" i="5"/>
  <c r="W60" i="7"/>
  <c r="W98" i="7" s="1"/>
  <c r="Y144" i="5"/>
  <c r="Y58" i="7"/>
  <c r="V146" i="5"/>
  <c r="V60" i="7"/>
  <c r="V98" i="7" s="1"/>
  <c r="X144" i="5"/>
  <c r="X58" i="7"/>
  <c r="N25" i="7"/>
  <c r="N26" i="7" s="1"/>
  <c r="N45" i="7"/>
  <c r="W244" i="7"/>
  <c r="X244" i="7" s="1"/>
  <c r="Y244" i="7" s="1"/>
  <c r="Q78" i="7"/>
  <c r="Q145" i="5"/>
  <c r="P148" i="5"/>
  <c r="P21" i="5"/>
  <c r="R309" i="7"/>
  <c r="S311" i="7"/>
  <c r="P48" i="7"/>
  <c r="Q162" i="7"/>
  <c r="P162" i="7"/>
  <c r="T159" i="7"/>
  <c r="R31" i="7"/>
  <c r="R50" i="7"/>
  <c r="W74" i="7"/>
  <c r="X74" i="7"/>
  <c r="Q157" i="5"/>
  <c r="Q103" i="7"/>
  <c r="Q29" i="7"/>
  <c r="Q48" i="7"/>
  <c r="Q66" i="7"/>
  <c r="O160" i="5"/>
  <c r="O161" i="5"/>
  <c r="O70" i="7"/>
  <c r="O30" i="4"/>
  <c r="K105" i="7"/>
  <c r="K100" i="7"/>
  <c r="K107" i="7" s="1"/>
  <c r="I105" i="7"/>
  <c r="I100" i="7"/>
  <c r="I107" i="7" s="1"/>
  <c r="J105" i="7"/>
  <c r="J100" i="7"/>
  <c r="J107" i="7" s="1"/>
  <c r="M105" i="7"/>
  <c r="M100" i="7"/>
  <c r="M107" i="7" s="1"/>
  <c r="T303" i="7"/>
  <c r="N53" i="7"/>
  <c r="N23" i="4"/>
  <c r="N27" i="4" s="1"/>
  <c r="N32" i="4" s="1"/>
  <c r="Q23" i="7"/>
  <c r="Q18" i="5" s="1"/>
  <c r="Q106" i="7"/>
  <c r="X77" i="7"/>
  <c r="T313" i="7"/>
  <c r="O129" i="5"/>
  <c r="O138" i="5"/>
  <c r="O137" i="5"/>
  <c r="O136" i="5"/>
  <c r="Y254" i="7"/>
  <c r="O97" i="7"/>
  <c r="V5" i="5"/>
  <c r="U13" i="5"/>
  <c r="W85" i="5"/>
  <c r="X37" i="5"/>
  <c r="W71" i="5"/>
  <c r="X70" i="5"/>
  <c r="V46" i="5"/>
  <c r="W35" i="5"/>
  <c r="V43" i="5"/>
  <c r="W50" i="5"/>
  <c r="X49" i="5"/>
  <c r="L114" i="5"/>
  <c r="T237" i="7"/>
  <c r="T158" i="5"/>
  <c r="Q15" i="6"/>
  <c r="P17" i="6"/>
  <c r="M9" i="4"/>
  <c r="M10" i="2" s="1"/>
  <c r="N7" i="4"/>
  <c r="M9" i="2"/>
  <c r="Q4" i="5"/>
  <c r="W299" i="7"/>
  <c r="S30" i="7"/>
  <c r="O16" i="6"/>
  <c r="O18" i="6"/>
  <c r="S314" i="7"/>
  <c r="P7" i="5"/>
  <c r="P8" i="5" s="1"/>
  <c r="O9" i="5"/>
  <c r="N112" i="5"/>
  <c r="N113" i="5" s="1"/>
  <c r="M114" i="5"/>
  <c r="R76" i="7"/>
  <c r="R59" i="7" s="1"/>
  <c r="Q33" i="7"/>
  <c r="Q69" i="7"/>
  <c r="Q52" i="7"/>
  <c r="V12" i="7"/>
  <c r="W5" i="7"/>
  <c r="V13" i="7"/>
  <c r="V235" i="7"/>
  <c r="O5" i="2"/>
  <c r="O14" i="5" s="1"/>
  <c r="P4" i="4"/>
  <c r="O136" i="4"/>
  <c r="V99" i="7"/>
  <c r="W90" i="7"/>
  <c r="U301" i="7"/>
  <c r="O4" i="7"/>
  <c r="N14" i="7"/>
  <c r="N14" i="4"/>
  <c r="N84" i="7"/>
  <c r="N86" i="7" s="1"/>
  <c r="N68" i="7"/>
  <c r="N61" i="7"/>
  <c r="N63" i="7" s="1"/>
  <c r="T32" i="7"/>
  <c r="T51" i="7"/>
  <c r="O21" i="4"/>
  <c r="U234" i="7"/>
  <c r="U231" i="7"/>
  <c r="U242" i="7" s="1"/>
  <c r="U243" i="7" s="1"/>
  <c r="V13" i="4"/>
  <c r="V6" i="2"/>
  <c r="V46" i="4"/>
  <c r="V12" i="4"/>
  <c r="W5" i="4"/>
  <c r="V45" i="4"/>
  <c r="N19" i="6"/>
  <c r="N31" i="6"/>
  <c r="N29" i="6" s="1"/>
  <c r="U365" i="7"/>
  <c r="V356" i="7"/>
  <c r="S85" i="7"/>
  <c r="T6" i="4"/>
  <c r="S7" i="2"/>
  <c r="Q318" i="7"/>
  <c r="Q50" i="7"/>
  <c r="M30" i="6"/>
  <c r="T378" i="7"/>
  <c r="U375" i="7"/>
  <c r="V229" i="7"/>
  <c r="U236" i="7"/>
  <c r="R367" i="7"/>
  <c r="O7" i="7"/>
  <c r="O8" i="7" s="1"/>
  <c r="N9" i="7"/>
  <c r="T360" i="7"/>
  <c r="S362" i="7"/>
  <c r="T243" i="7" l="1"/>
  <c r="X143" i="5"/>
  <c r="X57" i="7"/>
  <c r="W143" i="5"/>
  <c r="W57" i="7"/>
  <c r="O63" i="7"/>
  <c r="X146" i="5"/>
  <c r="X60" i="7"/>
  <c r="X98" i="7" s="1"/>
  <c r="S309" i="7"/>
  <c r="R310" i="7"/>
  <c r="R315" i="7"/>
  <c r="R317" i="7" s="1"/>
  <c r="P25" i="4"/>
  <c r="P37" i="4" s="1"/>
  <c r="P44" i="5"/>
  <c r="R78" i="7"/>
  <c r="R145" i="5"/>
  <c r="Q142" i="5"/>
  <c r="Q159" i="5"/>
  <c r="T311" i="7"/>
  <c r="T309" i="7" s="1"/>
  <c r="T315" i="7" s="1"/>
  <c r="U159" i="7"/>
  <c r="V159" i="7" s="1"/>
  <c r="W159" i="7" s="1"/>
  <c r="P82" i="7"/>
  <c r="P66" i="7"/>
  <c r="Y77" i="7"/>
  <c r="I115" i="7"/>
  <c r="I116" i="7" s="1"/>
  <c r="Y74" i="7"/>
  <c r="N33" i="4"/>
  <c r="N34" i="4" s="1"/>
  <c r="N43" i="4" s="1"/>
  <c r="N49" i="4" s="1"/>
  <c r="N55" i="4" s="1"/>
  <c r="N116" i="4" s="1"/>
  <c r="T314" i="7"/>
  <c r="U303" i="7"/>
  <c r="K115" i="7"/>
  <c r="K116" i="7" s="1"/>
  <c r="J115" i="7"/>
  <c r="J116" i="7" s="1"/>
  <c r="O105" i="7"/>
  <c r="O100" i="7"/>
  <c r="O107" i="7" s="1"/>
  <c r="N70" i="7"/>
  <c r="N30" i="4"/>
  <c r="R106" i="7"/>
  <c r="E93" i="4"/>
  <c r="E92" i="4"/>
  <c r="U313" i="7"/>
  <c r="N114" i="5"/>
  <c r="O112" i="5"/>
  <c r="O113" i="5" s="1"/>
  <c r="W5" i="5"/>
  <c r="V13" i="5"/>
  <c r="V12" i="5"/>
  <c r="X35" i="5"/>
  <c r="W43" i="5"/>
  <c r="Y70" i="5"/>
  <c r="Y71" i="5" s="1"/>
  <c r="X71" i="5"/>
  <c r="X85" i="5"/>
  <c r="X86" i="5" s="1"/>
  <c r="Y37" i="5"/>
  <c r="Y85" i="5" s="1"/>
  <c r="W46" i="5"/>
  <c r="W86" i="5"/>
  <c r="Y49" i="5"/>
  <c r="Y50" i="5" s="1"/>
  <c r="X50" i="5"/>
  <c r="U237" i="7"/>
  <c r="U158" i="5"/>
  <c r="V234" i="7"/>
  <c r="V231" i="7"/>
  <c r="V242" i="7" s="1"/>
  <c r="V243" i="7" s="1"/>
  <c r="Q7" i="5"/>
  <c r="Q8" i="5" s="1"/>
  <c r="P9" i="5"/>
  <c r="T85" i="7"/>
  <c r="W229" i="7"/>
  <c r="V236" i="7"/>
  <c r="V301" i="7"/>
  <c r="S31" i="7"/>
  <c r="S50" i="7"/>
  <c r="Q84" i="7"/>
  <c r="Q68" i="7"/>
  <c r="U32" i="7"/>
  <c r="U51" i="7"/>
  <c r="W356" i="7"/>
  <c r="V365" i="7"/>
  <c r="X299" i="7"/>
  <c r="O27" i="4"/>
  <c r="W99" i="7"/>
  <c r="X90" i="7"/>
  <c r="P5" i="2"/>
  <c r="P14" i="5" s="1"/>
  <c r="Q4" i="4"/>
  <c r="R318" i="7"/>
  <c r="O19" i="6"/>
  <c r="O31" i="6"/>
  <c r="O29" i="6" s="1"/>
  <c r="R4" i="5"/>
  <c r="O14" i="4"/>
  <c r="W12" i="7"/>
  <c r="X5" i="7"/>
  <c r="W13" i="7"/>
  <c r="U6" i="4"/>
  <c r="T7" i="2"/>
  <c r="P7" i="7"/>
  <c r="P8" i="7" s="1"/>
  <c r="O9" i="7"/>
  <c r="Q136" i="4"/>
  <c r="W235" i="7"/>
  <c r="N30" i="6"/>
  <c r="P4" i="7"/>
  <c r="O14" i="7"/>
  <c r="S76" i="7"/>
  <c r="S59" i="7" s="1"/>
  <c r="N8" i="4"/>
  <c r="N8" i="2"/>
  <c r="S367" i="7"/>
  <c r="T30" i="7"/>
  <c r="W6" i="2"/>
  <c r="W46" i="4"/>
  <c r="W12" i="4"/>
  <c r="X5" i="4"/>
  <c r="W45" i="4"/>
  <c r="W13" i="4"/>
  <c r="N97" i="7"/>
  <c r="P16" i="6"/>
  <c r="P18" i="6"/>
  <c r="U378" i="7"/>
  <c r="V375" i="7"/>
  <c r="U360" i="7"/>
  <c r="T362" i="7"/>
  <c r="R33" i="7"/>
  <c r="R52" i="7"/>
  <c r="R69" i="7"/>
  <c r="U296" i="7"/>
  <c r="R15" i="6"/>
  <c r="R17" i="6" s="1"/>
  <c r="Q17" i="6"/>
  <c r="P95" i="7" l="1"/>
  <c r="P103" i="7" s="1"/>
  <c r="T310" i="7"/>
  <c r="Y146" i="5"/>
  <c r="Y60" i="7"/>
  <c r="Y98" i="7" s="1"/>
  <c r="Y143" i="5"/>
  <c r="Y57" i="7"/>
  <c r="Q148" i="5"/>
  <c r="Q21" i="5"/>
  <c r="U311" i="7"/>
  <c r="R142" i="5"/>
  <c r="R159" i="5"/>
  <c r="S310" i="7"/>
  <c r="S315" i="7"/>
  <c r="S317" i="7" s="1"/>
  <c r="S318" i="7" s="1"/>
  <c r="S78" i="7"/>
  <c r="S145" i="5"/>
  <c r="X159" i="7"/>
  <c r="Y159" i="7" s="1"/>
  <c r="T50" i="7"/>
  <c r="T31" i="7"/>
  <c r="O115" i="7"/>
  <c r="O116" i="7" s="1"/>
  <c r="V303" i="7"/>
  <c r="N105" i="7"/>
  <c r="N100" i="7"/>
  <c r="N107" i="7" s="1"/>
  <c r="Q160" i="5"/>
  <c r="Q161" i="5"/>
  <c r="S106" i="7"/>
  <c r="V296" i="7"/>
  <c r="V313" i="7"/>
  <c r="W12" i="5"/>
  <c r="X5" i="5"/>
  <c r="W13" i="5"/>
  <c r="Y86" i="5"/>
  <c r="X46" i="5"/>
  <c r="X43" i="5"/>
  <c r="Y35" i="5"/>
  <c r="V237" i="7"/>
  <c r="V158" i="5"/>
  <c r="V360" i="7"/>
  <c r="U362" i="7"/>
  <c r="S4" i="5"/>
  <c r="X99" i="7"/>
  <c r="Y90" i="7"/>
  <c r="Y99" i="7" s="1"/>
  <c r="W301" i="7"/>
  <c r="X46" i="4"/>
  <c r="X45" i="4"/>
  <c r="X12" i="4"/>
  <c r="Y5" i="4"/>
  <c r="X13" i="4"/>
  <c r="X6" i="2"/>
  <c r="S33" i="7"/>
  <c r="S52" i="7"/>
  <c r="S69" i="7"/>
  <c r="Q7" i="7"/>
  <c r="Q8" i="7" s="1"/>
  <c r="P9" i="7"/>
  <c r="V32" i="7"/>
  <c r="V51" i="7"/>
  <c r="T367" i="7"/>
  <c r="P14" i="4"/>
  <c r="V378" i="7"/>
  <c r="W375" i="7"/>
  <c r="O33" i="4"/>
  <c r="O34" i="4" s="1"/>
  <c r="O43" i="4" s="1"/>
  <c r="O49" i="4" s="1"/>
  <c r="O32" i="4"/>
  <c r="U85" i="7"/>
  <c r="V6" i="4"/>
  <c r="U7" i="2"/>
  <c r="Y299" i="7"/>
  <c r="W365" i="7"/>
  <c r="X356" i="7"/>
  <c r="R7" i="5"/>
  <c r="R8" i="5" s="1"/>
  <c r="Q9" i="5"/>
  <c r="O30" i="6"/>
  <c r="Q21" i="4"/>
  <c r="Q16" i="6"/>
  <c r="Q18" i="6"/>
  <c r="W234" i="7"/>
  <c r="W231" i="7"/>
  <c r="W242" i="7" s="1"/>
  <c r="W243" i="7" s="1"/>
  <c r="U314" i="7"/>
  <c r="X235" i="7"/>
  <c r="Y235" i="7"/>
  <c r="R18" i="6"/>
  <c r="R16" i="6"/>
  <c r="R68" i="7"/>
  <c r="R84" i="7"/>
  <c r="O7" i="4"/>
  <c r="N9" i="4"/>
  <c r="N10" i="2" s="1"/>
  <c r="N9" i="2"/>
  <c r="Q97" i="7"/>
  <c r="U30" i="7"/>
  <c r="P30" i="6"/>
  <c r="P31" i="6"/>
  <c r="P29" i="6" s="1"/>
  <c r="P19" i="6"/>
  <c r="T76" i="7"/>
  <c r="T59" i="7" s="1"/>
  <c r="T317" i="7"/>
  <c r="Q4" i="7"/>
  <c r="P14" i="7"/>
  <c r="Y5" i="7"/>
  <c r="X13" i="7"/>
  <c r="X12" i="7"/>
  <c r="Q5" i="2"/>
  <c r="Q14" i="5" s="1"/>
  <c r="R4" i="4"/>
  <c r="W236" i="7"/>
  <c r="X229" i="7"/>
  <c r="U309" i="7" l="1"/>
  <c r="V311" i="7"/>
  <c r="S142" i="5"/>
  <c r="S159" i="5"/>
  <c r="R148" i="5"/>
  <c r="R21" i="5"/>
  <c r="T78" i="7"/>
  <c r="T145" i="5"/>
  <c r="Q44" i="5"/>
  <c r="Q25" i="4"/>
  <c r="Q37" i="4" s="1"/>
  <c r="N115" i="7"/>
  <c r="N116" i="7" s="1"/>
  <c r="Z117" i="7" s="1"/>
  <c r="W303" i="7"/>
  <c r="Q105" i="7"/>
  <c r="T106" i="7"/>
  <c r="W313" i="7"/>
  <c r="X313" i="7" s="1"/>
  <c r="V314" i="7"/>
  <c r="X12" i="5"/>
  <c r="X13" i="5"/>
  <c r="Y5" i="5"/>
  <c r="Y46" i="5"/>
  <c r="Y43" i="5"/>
  <c r="W237" i="7"/>
  <c r="W158" i="5"/>
  <c r="W360" i="7"/>
  <c r="V362" i="7"/>
  <c r="W296" i="7"/>
  <c r="Q14" i="7"/>
  <c r="R4" i="7"/>
  <c r="Y229" i="7"/>
  <c r="Y236" i="7" s="1"/>
  <c r="X236" i="7"/>
  <c r="U31" i="7"/>
  <c r="U50" i="7"/>
  <c r="W32" i="7"/>
  <c r="W51" i="7"/>
  <c r="W6" i="4"/>
  <c r="V7" i="2"/>
  <c r="X375" i="7"/>
  <c r="W378" i="7"/>
  <c r="X301" i="7"/>
  <c r="X365" i="7"/>
  <c r="Y356" i="7"/>
  <c r="V85" i="7"/>
  <c r="O8" i="4"/>
  <c r="O8" i="2"/>
  <c r="Q30" i="6"/>
  <c r="Q31" i="6"/>
  <c r="Q29" i="6" s="1"/>
  <c r="Q19" i="6"/>
  <c r="T33" i="7"/>
  <c r="T69" i="7"/>
  <c r="T52" i="7"/>
  <c r="T318" i="7"/>
  <c r="R5" i="2"/>
  <c r="R14" i="5" s="1"/>
  <c r="S4" i="4"/>
  <c r="S7" i="5"/>
  <c r="S8" i="5" s="1"/>
  <c r="R9" i="5"/>
  <c r="Y12" i="4"/>
  <c r="Y52" i="4" s="1"/>
  <c r="Y53" i="4" s="1"/>
  <c r="Y13" i="4"/>
  <c r="Y6" i="2"/>
  <c r="V30" i="7"/>
  <c r="U367" i="7"/>
  <c r="Q9" i="7"/>
  <c r="R7" i="7"/>
  <c r="R8" i="7" s="1"/>
  <c r="X234" i="7"/>
  <c r="X231" i="7"/>
  <c r="X242" i="7" s="1"/>
  <c r="X243" i="7" s="1"/>
  <c r="Q14" i="4"/>
  <c r="R97" i="7"/>
  <c r="S84" i="7"/>
  <c r="S68" i="7"/>
  <c r="T4" i="5"/>
  <c r="Y13" i="7"/>
  <c r="Y12" i="7"/>
  <c r="U76" i="7"/>
  <c r="U59" i="7" s="1"/>
  <c r="R31" i="6"/>
  <c r="R29" i="6" s="1"/>
  <c r="R19" i="6"/>
  <c r="R25" i="4" l="1"/>
  <c r="R37" i="4" s="1"/>
  <c r="R44" i="5"/>
  <c r="S148" i="5"/>
  <c r="S21" i="5"/>
  <c r="V309" i="7"/>
  <c r="W311" i="7"/>
  <c r="X311" i="7" s="1"/>
  <c r="U78" i="7"/>
  <c r="U145" i="5"/>
  <c r="T142" i="5"/>
  <c r="T159" i="5"/>
  <c r="U310" i="7"/>
  <c r="U315" i="7"/>
  <c r="U317" i="7" s="1"/>
  <c r="U318" i="7" s="1"/>
  <c r="X303" i="7"/>
  <c r="R105" i="7"/>
  <c r="U106" i="7"/>
  <c r="Y313" i="7"/>
  <c r="V50" i="7"/>
  <c r="V31" i="7"/>
  <c r="Y12" i="5"/>
  <c r="Y13" i="5"/>
  <c r="X378" i="7"/>
  <c r="Y375" i="7"/>
  <c r="Y234" i="7"/>
  <c r="Y231" i="7"/>
  <c r="Y242" i="7" s="1"/>
  <c r="Y243" i="7" s="1"/>
  <c r="W85" i="7"/>
  <c r="S5" i="2"/>
  <c r="S14" i="5" s="1"/>
  <c r="T4" i="4"/>
  <c r="Y365" i="7"/>
  <c r="X237" i="7"/>
  <c r="X158" i="5"/>
  <c r="X6" i="4"/>
  <c r="W7" i="2"/>
  <c r="R14" i="4"/>
  <c r="R14" i="7"/>
  <c r="S4" i="7"/>
  <c r="V367" i="7"/>
  <c r="P7" i="4"/>
  <c r="O9" i="4"/>
  <c r="O10" i="2" s="1"/>
  <c r="O9" i="2"/>
  <c r="X360" i="7"/>
  <c r="W362" i="7"/>
  <c r="W314" i="7"/>
  <c r="V76" i="7"/>
  <c r="V59" i="7" s="1"/>
  <c r="S97" i="7"/>
  <c r="X296" i="7"/>
  <c r="W30" i="7"/>
  <c r="T68" i="7"/>
  <c r="T84" i="7"/>
  <c r="T7" i="5"/>
  <c r="T8" i="5" s="1"/>
  <c r="S9" i="5"/>
  <c r="Y301" i="7"/>
  <c r="R30" i="6"/>
  <c r="S7" i="7"/>
  <c r="S8" i="7" s="1"/>
  <c r="R9" i="7"/>
  <c r="U33" i="7"/>
  <c r="U52" i="7"/>
  <c r="U69" i="7"/>
  <c r="X32" i="7"/>
  <c r="X51" i="7"/>
  <c r="U4" i="5"/>
  <c r="W309" i="7" l="1"/>
  <c r="W310" i="7" s="1"/>
  <c r="X309" i="7"/>
  <c r="Y311" i="7"/>
  <c r="V310" i="7"/>
  <c r="V315" i="7"/>
  <c r="V317" i="7" s="1"/>
  <c r="V318" i="7" s="1"/>
  <c r="V78" i="7"/>
  <c r="V145" i="5"/>
  <c r="T148" i="5"/>
  <c r="T25" i="4" s="1"/>
  <c r="T37" i="4" s="1"/>
  <c r="T21" i="5"/>
  <c r="S25" i="4"/>
  <c r="S37" i="4" s="1"/>
  <c r="S44" i="5"/>
  <c r="U142" i="5"/>
  <c r="U159" i="5"/>
  <c r="Y303" i="7"/>
  <c r="S105" i="7"/>
  <c r="V106" i="7"/>
  <c r="S14" i="4"/>
  <c r="Y378" i="7"/>
  <c r="W76" i="7"/>
  <c r="W59" i="7" s="1"/>
  <c r="Y237" i="7"/>
  <c r="S14" i="7"/>
  <c r="T4" i="7"/>
  <c r="X85" i="7"/>
  <c r="U7" i="5"/>
  <c r="U8" i="5" s="1"/>
  <c r="T9" i="5"/>
  <c r="Y32" i="7"/>
  <c r="Y51" i="7"/>
  <c r="U84" i="7"/>
  <c r="U97" i="7" s="1"/>
  <c r="U68" i="7"/>
  <c r="U4" i="4"/>
  <c r="T5" i="2"/>
  <c r="T14" i="5" s="1"/>
  <c r="P8" i="4"/>
  <c r="P8" i="2"/>
  <c r="V4" i="5"/>
  <c r="X314" i="7"/>
  <c r="V33" i="7"/>
  <c r="V69" i="7"/>
  <c r="V52" i="7"/>
  <c r="X30" i="7"/>
  <c r="S9" i="7"/>
  <c r="T7" i="7"/>
  <c r="T8" i="7" s="1"/>
  <c r="W31" i="7"/>
  <c r="W50" i="7"/>
  <c r="W367" i="7"/>
  <c r="Y6" i="4"/>
  <c r="Y7" i="2" s="1"/>
  <c r="X7" i="2"/>
  <c r="Y296" i="7"/>
  <c r="Y360" i="7"/>
  <c r="Y362" i="7" s="1"/>
  <c r="X362" i="7"/>
  <c r="T97" i="7"/>
  <c r="W315" i="7" l="1"/>
  <c r="W317" i="7" s="1"/>
  <c r="V142" i="5"/>
  <c r="V159" i="5"/>
  <c r="U148" i="5"/>
  <c r="U25" i="4" s="1"/>
  <c r="U37" i="4" s="1"/>
  <c r="U21" i="5"/>
  <c r="W78" i="7"/>
  <c r="W145" i="5"/>
  <c r="Y309" i="7"/>
  <c r="X310" i="7"/>
  <c r="X315" i="7"/>
  <c r="X317" i="7" s="1"/>
  <c r="Y158" i="5"/>
  <c r="U105" i="7"/>
  <c r="T105" i="7"/>
  <c r="W106" i="7"/>
  <c r="T14" i="4"/>
  <c r="V4" i="4"/>
  <c r="U5" i="2"/>
  <c r="U14" i="5" s="1"/>
  <c r="V7" i="5"/>
  <c r="V8" i="5" s="1"/>
  <c r="U9" i="5"/>
  <c r="Y30" i="7"/>
  <c r="X76" i="7"/>
  <c r="X59" i="7" s="1"/>
  <c r="W33" i="7"/>
  <c r="W69" i="7"/>
  <c r="W52" i="7"/>
  <c r="X367" i="7"/>
  <c r="Y367" i="7"/>
  <c r="X31" i="7"/>
  <c r="X50" i="7"/>
  <c r="W318" i="7"/>
  <c r="U7" i="7"/>
  <c r="U8" i="7" s="1"/>
  <c r="T9" i="7"/>
  <c r="W4" i="5"/>
  <c r="Y314" i="7"/>
  <c r="V68" i="7"/>
  <c r="V84" i="7"/>
  <c r="Y85" i="7"/>
  <c r="Q7" i="4"/>
  <c r="P9" i="4"/>
  <c r="P10" i="2" s="1"/>
  <c r="P9" i="2"/>
  <c r="P71" i="2" s="1"/>
  <c r="P48" i="4" s="1"/>
  <c r="P52" i="4"/>
  <c r="P69" i="4" s="1"/>
  <c r="T14" i="7"/>
  <c r="U4" i="7"/>
  <c r="Y310" i="7" l="1"/>
  <c r="Y315" i="7"/>
  <c r="W142" i="5"/>
  <c r="W159" i="5"/>
  <c r="X78" i="7"/>
  <c r="X145" i="5"/>
  <c r="V148" i="5"/>
  <c r="V25" i="4" s="1"/>
  <c r="V37" i="4" s="1"/>
  <c r="V21" i="5"/>
  <c r="Y106" i="7"/>
  <c r="X106" i="7"/>
  <c r="P53" i="4"/>
  <c r="P117" i="4" s="1"/>
  <c r="Y33" i="7"/>
  <c r="V97" i="7"/>
  <c r="Q8" i="2"/>
  <c r="Q8" i="4"/>
  <c r="P50" i="4"/>
  <c r="W7" i="5"/>
  <c r="W8" i="5" s="1"/>
  <c r="V9" i="5"/>
  <c r="W84" i="7"/>
  <c r="W68" i="7"/>
  <c r="Y69" i="7"/>
  <c r="Y52" i="7"/>
  <c r="Y31" i="7"/>
  <c r="Y50" i="7"/>
  <c r="U14" i="7"/>
  <c r="V4" i="7"/>
  <c r="X4" i="5"/>
  <c r="Y76" i="7"/>
  <c r="Y59" i="7" s="1"/>
  <c r="Y317" i="7"/>
  <c r="U14" i="4"/>
  <c r="V7" i="7"/>
  <c r="V8" i="7" s="1"/>
  <c r="U9" i="7"/>
  <c r="X33" i="7"/>
  <c r="X69" i="7"/>
  <c r="X52" i="7"/>
  <c r="X318" i="7"/>
  <c r="W4" i="4"/>
  <c r="V5" i="2"/>
  <c r="V14" i="5" s="1"/>
  <c r="X142" i="5" l="1"/>
  <c r="X159" i="5"/>
  <c r="Y78" i="7"/>
  <c r="Y145" i="5"/>
  <c r="W148" i="5"/>
  <c r="W25" i="4" s="1"/>
  <c r="W37" i="4" s="1"/>
  <c r="W21" i="5"/>
  <c r="Z106" i="7"/>
  <c r="V105" i="7"/>
  <c r="P56" i="4"/>
  <c r="Y318" i="7"/>
  <c r="W97" i="7"/>
  <c r="Y4" i="5"/>
  <c r="W5" i="2"/>
  <c r="W14" i="5" s="1"/>
  <c r="X4" i="4"/>
  <c r="X7" i="5"/>
  <c r="X8" i="5" s="1"/>
  <c r="W9" i="5"/>
  <c r="V14" i="4"/>
  <c r="Q9" i="4"/>
  <c r="Q10" i="2" s="1"/>
  <c r="R7" i="4"/>
  <c r="Q9" i="2"/>
  <c r="Q71" i="2" s="1"/>
  <c r="Q48" i="4" s="1"/>
  <c r="Q52" i="4"/>
  <c r="X84" i="7"/>
  <c r="X68" i="7"/>
  <c r="V14" i="7"/>
  <c r="W4" i="7"/>
  <c r="W7" i="7"/>
  <c r="W8" i="7" s="1"/>
  <c r="V9" i="7"/>
  <c r="Y142" i="5" l="1"/>
  <c r="Y159" i="5"/>
  <c r="X148" i="5"/>
  <c r="X25" i="4" s="1"/>
  <c r="X37" i="4" s="1"/>
  <c r="X21" i="5"/>
  <c r="W105" i="7"/>
  <c r="Q53" i="4"/>
  <c r="Q117" i="4" s="1"/>
  <c r="Q69" i="4"/>
  <c r="X97" i="7"/>
  <c r="W14" i="7"/>
  <c r="X4" i="7"/>
  <c r="W14" i="4"/>
  <c r="X7" i="7"/>
  <c r="X8" i="7" s="1"/>
  <c r="W9" i="7"/>
  <c r="Q50" i="4"/>
  <c r="R8" i="2"/>
  <c r="R8" i="4"/>
  <c r="X5" i="2"/>
  <c r="X14" i="5" s="1"/>
  <c r="Y4" i="4"/>
  <c r="X9" i="5"/>
  <c r="Y7" i="5"/>
  <c r="Y8" i="5" s="1"/>
  <c r="Y9" i="5" s="1"/>
  <c r="Y84" i="7"/>
  <c r="Y68" i="7"/>
  <c r="Y148" i="5" l="1"/>
  <c r="Y25" i="4" s="1"/>
  <c r="Y37" i="4" s="1"/>
  <c r="Y21" i="5"/>
  <c r="Y97" i="7"/>
  <c r="X105" i="7"/>
  <c r="Q56" i="4"/>
  <c r="Y5" i="2"/>
  <c r="Y14" i="5" s="1"/>
  <c r="X14" i="4"/>
  <c r="Y4" i="7"/>
  <c r="X14" i="7"/>
  <c r="S7" i="4"/>
  <c r="R9" i="4"/>
  <c r="R10" i="2" s="1"/>
  <c r="R9" i="2"/>
  <c r="R71" i="2" s="1"/>
  <c r="R48" i="4" s="1"/>
  <c r="R52" i="4"/>
  <c r="Y7" i="7"/>
  <c r="Y8" i="7" s="1"/>
  <c r="Y9" i="7" s="1"/>
  <c r="X9" i="7"/>
  <c r="Y105" i="7" l="1"/>
  <c r="R53" i="4"/>
  <c r="R117" i="4" s="1"/>
  <c r="R69" i="4"/>
  <c r="Y14" i="7"/>
  <c r="S8" i="2"/>
  <c r="S8" i="4"/>
  <c r="R50" i="4"/>
  <c r="Y14" i="4"/>
  <c r="R56" i="4" l="1"/>
  <c r="T7" i="4"/>
  <c r="S9" i="4"/>
  <c r="S10" i="2" s="1"/>
  <c r="S9" i="2"/>
  <c r="S71" i="2" s="1"/>
  <c r="S48" i="4" s="1"/>
  <c r="S52" i="4"/>
  <c r="S53" i="4" l="1"/>
  <c r="S117" i="4" s="1"/>
  <c r="S69" i="4"/>
  <c r="S50" i="4"/>
  <c r="T8" i="4"/>
  <c r="T8" i="2"/>
  <c r="S56" i="4" l="1"/>
  <c r="U7" i="4"/>
  <c r="T9" i="4"/>
  <c r="T10" i="2" s="1"/>
  <c r="T9" i="2"/>
  <c r="T71" i="2" s="1"/>
  <c r="T48" i="4" s="1"/>
  <c r="T52" i="4"/>
  <c r="T53" i="4" l="1"/>
  <c r="T117" i="4" s="1"/>
  <c r="T69" i="4"/>
  <c r="T50" i="4"/>
  <c r="U8" i="4"/>
  <c r="U8" i="2"/>
  <c r="T56" i="4" l="1"/>
  <c r="V7" i="4"/>
  <c r="U9" i="4"/>
  <c r="U10" i="2" s="1"/>
  <c r="U9" i="2"/>
  <c r="U71" i="2" s="1"/>
  <c r="U48" i="4" s="1"/>
  <c r="U52" i="4"/>
  <c r="U53" i="4" l="1"/>
  <c r="U117" i="4" s="1"/>
  <c r="U69" i="4"/>
  <c r="U50" i="4"/>
  <c r="V8" i="4"/>
  <c r="V8" i="2"/>
  <c r="U56" i="4" l="1"/>
  <c r="V9" i="4"/>
  <c r="V10" i="2" s="1"/>
  <c r="V9" i="2"/>
  <c r="V71" i="2" s="1"/>
  <c r="V48" i="4" s="1"/>
  <c r="W7" i="4"/>
  <c r="V52" i="4"/>
  <c r="V53" i="4" l="1"/>
  <c r="V117" i="4" s="1"/>
  <c r="V69" i="4"/>
  <c r="W8" i="4"/>
  <c r="W8" i="2"/>
  <c r="V50" i="4"/>
  <c r="V56" i="4" l="1"/>
  <c r="W9" i="2"/>
  <c r="W71" i="2" s="1"/>
  <c r="W48" i="4" s="1"/>
  <c r="X7" i="4"/>
  <c r="W9" i="4"/>
  <c r="W10" i="2" s="1"/>
  <c r="W52" i="4"/>
  <c r="W53" i="4" l="1"/>
  <c r="W117" i="4" s="1"/>
  <c r="W69" i="4"/>
  <c r="X8" i="4"/>
  <c r="X8" i="2"/>
  <c r="W50" i="4"/>
  <c r="W56" i="4" l="1"/>
  <c r="Y7" i="4"/>
  <c r="X9" i="4"/>
  <c r="X10" i="2" s="1"/>
  <c r="X9" i="2"/>
  <c r="X71" i="2" s="1"/>
  <c r="X48" i="4" s="1"/>
  <c r="X52" i="4"/>
  <c r="X53" i="4" s="1"/>
  <c r="X117" i="4" l="1"/>
  <c r="X69" i="4"/>
  <c r="X50" i="4"/>
  <c r="Y8" i="4"/>
  <c r="Y8" i="2"/>
  <c r="X56" i="4" l="1"/>
  <c r="Y9" i="4"/>
  <c r="Y10" i="2" s="1"/>
  <c r="Y9" i="2"/>
  <c r="Y71" i="2" s="1"/>
  <c r="Y48" i="4" s="1"/>
  <c r="Y69" i="4" l="1"/>
  <c r="O58" i="4" l="1"/>
  <c r="O61" i="4" s="1"/>
  <c r="O62" i="4" s="1"/>
  <c r="O84" i="5"/>
  <c r="O59" i="5"/>
  <c r="O62" i="5"/>
  <c r="O63" i="5" s="1"/>
  <c r="P58" i="4" l="1"/>
  <c r="P65" i="4" s="1"/>
  <c r="P62" i="5"/>
  <c r="P64" i="5" s="1"/>
  <c r="Q62" i="5" l="1"/>
  <c r="P63" i="5"/>
  <c r="Q58" i="4" l="1"/>
  <c r="Q65" i="4" s="1"/>
  <c r="Q64" i="5"/>
  <c r="R62" i="5"/>
  <c r="Q63" i="5"/>
  <c r="S62" i="5" l="1"/>
  <c r="R63" i="5"/>
  <c r="R58" i="4"/>
  <c r="R65" i="4" s="1"/>
  <c r="R64" i="5"/>
  <c r="T62" i="5" l="1"/>
  <c r="S63" i="5"/>
  <c r="S64" i="5"/>
  <c r="S58" i="4"/>
  <c r="S65" i="4" s="1"/>
  <c r="T64" i="5" l="1"/>
  <c r="T58" i="4"/>
  <c r="T65" i="4" s="1"/>
  <c r="T63" i="5"/>
  <c r="U62" i="5"/>
  <c r="U58" i="4" l="1"/>
  <c r="U65" i="4" s="1"/>
  <c r="U64" i="5"/>
  <c r="V62" i="5"/>
  <c r="U63" i="5"/>
  <c r="V63" i="5" l="1"/>
  <c r="W62" i="5"/>
  <c r="V64" i="5"/>
  <c r="V58" i="4"/>
  <c r="V65" i="4" s="1"/>
  <c r="W64" i="5" l="1"/>
  <c r="W58" i="4"/>
  <c r="W65" i="4" s="1"/>
  <c r="W63" i="5"/>
  <c r="X62" i="5"/>
  <c r="Y62" i="5" l="1"/>
  <c r="Y63" i="5" s="1"/>
  <c r="X63" i="5"/>
  <c r="X58" i="4"/>
  <c r="X65" i="4" s="1"/>
  <c r="X64" i="5"/>
  <c r="Y64" i="5" l="1"/>
  <c r="Y58" i="4"/>
  <c r="Y65" i="4" s="1"/>
  <c r="P72" i="5"/>
  <c r="P74" i="5" s="1"/>
  <c r="H9" i="13" s="1"/>
  <c r="P84" i="5"/>
  <c r="P59" i="4"/>
  <c r="P61" i="4" s="1"/>
  <c r="P62" i="4" s="1"/>
  <c r="P66" i="4" s="1"/>
  <c r="G36" i="2"/>
  <c r="H121" i="4" s="1"/>
  <c r="Q84" i="5"/>
  <c r="P67" i="5"/>
  <c r="Q66" i="5"/>
  <c r="Q59" i="4" s="1"/>
  <c r="Q61" i="4" s="1"/>
  <c r="R66" i="5"/>
  <c r="R59" i="4" s="1"/>
  <c r="R61" i="4" s="1"/>
  <c r="S66" i="5"/>
  <c r="S72" i="5" s="1"/>
  <c r="S74" i="5" s="1"/>
  <c r="R62" i="4" l="1"/>
  <c r="Q62" i="4"/>
  <c r="R66" i="4"/>
  <c r="H79" i="4"/>
  <c r="H105" i="4"/>
  <c r="H10" i="3" a="1"/>
  <c r="H10" i="3" s="1"/>
  <c r="Q66" i="4"/>
  <c r="S84" i="5"/>
  <c r="R67" i="5"/>
  <c r="Q67" i="5"/>
  <c r="S67" i="5"/>
  <c r="R84" i="5"/>
  <c r="Q72" i="5"/>
  <c r="Q74" i="5" s="1"/>
  <c r="R72" i="5"/>
  <c r="R74" i="5" s="1"/>
  <c r="S59" i="4"/>
  <c r="S61" i="4" s="1"/>
  <c r="S62" i="4" s="1"/>
  <c r="T66" i="5"/>
  <c r="S66" i="4" l="1"/>
  <c r="T84" i="5"/>
  <c r="T67" i="5"/>
  <c r="U66" i="5"/>
  <c r="T59" i="4"/>
  <c r="T61" i="4" s="1"/>
  <c r="T62" i="4" s="1"/>
  <c r="T72" i="5"/>
  <c r="T74" i="5" s="1"/>
  <c r="T66" i="4" l="1"/>
  <c r="U67" i="5"/>
  <c r="U84" i="5"/>
  <c r="U72" i="5"/>
  <c r="U74" i="5" s="1"/>
  <c r="V66" i="5"/>
  <c r="U59" i="4"/>
  <c r="U61" i="4" s="1"/>
  <c r="U62" i="4" l="1"/>
  <c r="U66" i="4" s="1"/>
  <c r="V59" i="4"/>
  <c r="V61" i="4" s="1"/>
  <c r="W66" i="5"/>
  <c r="V72" i="5"/>
  <c r="V74" i="5" s="1"/>
  <c r="V67" i="5"/>
  <c r="V84" i="5"/>
  <c r="V62" i="4" l="1"/>
  <c r="V66" i="4" s="1"/>
  <c r="X66" i="5"/>
  <c r="W59" i="4"/>
  <c r="W61" i="4" s="1"/>
  <c r="W84" i="5"/>
  <c r="W67" i="5"/>
  <c r="W72" i="5"/>
  <c r="W74" i="5" s="1"/>
  <c r="W62" i="4" l="1"/>
  <c r="W66" i="4" s="1"/>
  <c r="X72" i="5"/>
  <c r="X74" i="5" s="1"/>
  <c r="Y66" i="5"/>
  <c r="X84" i="5"/>
  <c r="X67" i="5"/>
  <c r="X59" i="4"/>
  <c r="X61" i="4" s="1"/>
  <c r="X62" i="4" l="1"/>
  <c r="X66" i="4" s="1"/>
  <c r="Y59" i="4"/>
  <c r="Y61" i="4" s="1"/>
  <c r="Y84" i="5"/>
  <c r="Y67" i="5"/>
  <c r="Y72" i="5"/>
  <c r="Y74" i="5" s="1"/>
  <c r="Y62" i="4" l="1"/>
  <c r="Y66" i="4" s="1"/>
  <c r="Y142" i="7" l="1"/>
  <c r="Y157" i="7" s="1"/>
  <c r="X142" i="7"/>
  <c r="X157" i="7" s="1"/>
  <c r="T142" i="7"/>
  <c r="T157" i="7" s="1"/>
  <c r="S142" i="7"/>
  <c r="S157" i="7" s="1"/>
  <c r="R142" i="7"/>
  <c r="U142" i="7"/>
  <c r="U157" i="7" s="1"/>
  <c r="V142" i="7"/>
  <c r="V157" i="7" s="1"/>
  <c r="W142" i="7"/>
  <c r="U158" i="7" l="1"/>
  <c r="U161" i="7"/>
  <c r="U82" i="7" s="1"/>
  <c r="U155" i="7"/>
  <c r="V158" i="7"/>
  <c r="V161" i="7"/>
  <c r="V82" i="7" s="1"/>
  <c r="V155" i="7"/>
  <c r="R151" i="7"/>
  <c r="R157" i="7"/>
  <c r="S158" i="7" s="1"/>
  <c r="S155" i="7"/>
  <c r="S161" i="7"/>
  <c r="T158" i="7"/>
  <c r="T161" i="7"/>
  <c r="T155" i="7"/>
  <c r="X155" i="7"/>
  <c r="X161" i="7"/>
  <c r="X82" i="7" s="1"/>
  <c r="W157" i="7"/>
  <c r="Y158" i="7"/>
  <c r="Y155" i="7"/>
  <c r="Y161" i="7"/>
  <c r="U151" i="7"/>
  <c r="W151" i="7"/>
  <c r="W157" i="5"/>
  <c r="V23" i="7"/>
  <c r="V18" i="5" s="1"/>
  <c r="U157" i="5"/>
  <c r="Y151" i="7"/>
  <c r="T23" i="7"/>
  <c r="T18" i="5" s="1"/>
  <c r="X151" i="7"/>
  <c r="U162" i="7"/>
  <c r="S162" i="7"/>
  <c r="S151" i="7"/>
  <c r="V151" i="7"/>
  <c r="T151" i="7"/>
  <c r="X95" i="7" l="1"/>
  <c r="V95" i="7"/>
  <c r="V103" i="7" s="1"/>
  <c r="U95" i="7"/>
  <c r="U103" i="7" s="1"/>
  <c r="V161" i="5"/>
  <c r="X162" i="7"/>
  <c r="Y162" i="7"/>
  <c r="V162" i="7"/>
  <c r="W158" i="7"/>
  <c r="W161" i="7"/>
  <c r="W48" i="7"/>
  <c r="W155" i="7"/>
  <c r="S82" i="7"/>
  <c r="V157" i="5"/>
  <c r="T82" i="7"/>
  <c r="V66" i="7"/>
  <c r="S48" i="7"/>
  <c r="Y82" i="7"/>
  <c r="X158" i="7"/>
  <c r="R158" i="7"/>
  <c r="R161" i="7"/>
  <c r="R48" i="7"/>
  <c r="R155" i="7"/>
  <c r="T162" i="7"/>
  <c r="V48" i="7"/>
  <c r="U48" i="7"/>
  <c r="S66" i="7"/>
  <c r="S29" i="7"/>
  <c r="S23" i="7"/>
  <c r="S18" i="5" s="1"/>
  <c r="S157" i="5"/>
  <c r="V40" i="4"/>
  <c r="W29" i="7"/>
  <c r="V160" i="5"/>
  <c r="V21" i="4"/>
  <c r="W23" i="7"/>
  <c r="Y48" i="7"/>
  <c r="V29" i="7"/>
  <c r="T157" i="5"/>
  <c r="T66" i="7"/>
  <c r="T29" i="7"/>
  <c r="T48" i="7"/>
  <c r="U66" i="7"/>
  <c r="U23" i="7"/>
  <c r="U29" i="7"/>
  <c r="Y157" i="5"/>
  <c r="Y23" i="7"/>
  <c r="Y18" i="5" s="1"/>
  <c r="Y66" i="7"/>
  <c r="X23" i="7"/>
  <c r="X18" i="5" s="1"/>
  <c r="X48" i="7"/>
  <c r="X29" i="7"/>
  <c r="X66" i="7"/>
  <c r="X103" i="7"/>
  <c r="X157" i="5"/>
  <c r="R23" i="7"/>
  <c r="R157" i="5"/>
  <c r="R29" i="7"/>
  <c r="Y29" i="7"/>
  <c r="Y95" i="7" l="1"/>
  <c r="Y103" i="7" s="1"/>
  <c r="R34" i="7"/>
  <c r="R18" i="5"/>
  <c r="T95" i="7"/>
  <c r="T103" i="7" s="1"/>
  <c r="S95" i="7"/>
  <c r="S103" i="7" s="1"/>
  <c r="U34" i="7"/>
  <c r="U18" i="5"/>
  <c r="W34" i="7"/>
  <c r="W18" i="5"/>
  <c r="Y34" i="7"/>
  <c r="S34" i="7"/>
  <c r="T34" i="7"/>
  <c r="X34" i="7"/>
  <c r="V34" i="7"/>
  <c r="S161" i="5"/>
  <c r="W162" i="7"/>
  <c r="R162" i="7"/>
  <c r="V44" i="5"/>
  <c r="T160" i="5"/>
  <c r="T161" i="5"/>
  <c r="T21" i="4"/>
  <c r="S21" i="4" l="1"/>
  <c r="S160" i="5"/>
  <c r="R82" i="7"/>
  <c r="R66" i="7"/>
  <c r="W82" i="7"/>
  <c r="W66" i="7"/>
  <c r="W160" i="5"/>
  <c r="W161" i="5"/>
  <c r="W21" i="4"/>
  <c r="Y160" i="5"/>
  <c r="Y21" i="4"/>
  <c r="G52" i="2" s="1" a="1"/>
  <c r="G52" i="2" s="1"/>
  <c r="Y161" i="5"/>
  <c r="U160" i="5"/>
  <c r="U161" i="5"/>
  <c r="U21" i="4"/>
  <c r="X160" i="5"/>
  <c r="X161" i="5"/>
  <c r="X21" i="4"/>
  <c r="T44" i="5"/>
  <c r="T40" i="4"/>
  <c r="R160" i="5"/>
  <c r="R161" i="5"/>
  <c r="R21" i="4"/>
  <c r="W95" i="7" l="1"/>
  <c r="W103" i="7" s="1"/>
  <c r="R95" i="7"/>
  <c r="R103" i="7" s="1"/>
  <c r="Z103" i="7" s="1"/>
  <c r="W44" i="5"/>
  <c r="W40" i="4"/>
  <c r="Y44" i="5"/>
  <c r="Y40" i="4"/>
  <c r="U40" i="4"/>
  <c r="U44" i="5"/>
  <c r="X44" i="5"/>
  <c r="X40" i="4"/>
  <c r="Q303" i="7" l="1"/>
  <c r="P303" i="7"/>
  <c r="P296" i="7"/>
  <c r="P309" i="7" s="1"/>
  <c r="P310" i="7" l="1"/>
  <c r="P315" i="7"/>
  <c r="P317" i="7" s="1"/>
  <c r="Q310" i="7"/>
  <c r="P314" i="7"/>
  <c r="P84" i="7" l="1"/>
  <c r="P97" i="7"/>
  <c r="P318" i="7"/>
  <c r="P23" i="7" l="1"/>
  <c r="P18" i="5" s="1"/>
  <c r="P159" i="5"/>
  <c r="P105" i="7"/>
  <c r="Z105" i="7" s="1"/>
  <c r="P68" i="7"/>
  <c r="P50" i="7"/>
  <c r="P31" i="7"/>
  <c r="Q31" i="7"/>
  <c r="P34" i="7" l="1"/>
  <c r="Q34" i="7"/>
  <c r="P100" i="5" l="1"/>
  <c r="P47" i="5" s="1"/>
  <c r="P161" i="5"/>
  <c r="P21" i="4"/>
  <c r="P160" i="5"/>
  <c r="P53" i="5" l="1"/>
  <c r="P54" i="5" s="1"/>
  <c r="P48" i="5"/>
  <c r="Q100" i="5"/>
  <c r="Q47" i="5" s="1"/>
  <c r="Q41" i="4"/>
  <c r="Q53" i="5" l="1"/>
  <c r="Q54" i="5" s="1"/>
  <c r="Q48" i="5"/>
  <c r="H8" i="13"/>
  <c r="H10" i="13" s="1"/>
  <c r="H24" i="13" s="1"/>
  <c r="H25" i="13" s="1"/>
  <c r="P82" i="5"/>
  <c r="P76" i="5"/>
  <c r="R100" i="5"/>
  <c r="R47" i="5" s="1"/>
  <c r="R41" i="4"/>
  <c r="R48" i="5" l="1"/>
  <c r="R53" i="5"/>
  <c r="R54" i="5" s="1"/>
  <c r="H27" i="13"/>
  <c r="F8" i="14"/>
  <c r="Q76" i="5"/>
  <c r="Q82" i="5"/>
  <c r="S41" i="4"/>
  <c r="S100" i="5"/>
  <c r="S47" i="5" s="1"/>
  <c r="S48" i="5" l="1"/>
  <c r="S53" i="5"/>
  <c r="S54" i="5" s="1"/>
  <c r="R76" i="5"/>
  <c r="R82" i="5"/>
  <c r="T100" i="5"/>
  <c r="T47" i="5" s="1"/>
  <c r="T41" i="4"/>
  <c r="S76" i="5" l="1"/>
  <c r="S82" i="5"/>
  <c r="T53" i="5"/>
  <c r="T54" i="5" s="1"/>
  <c r="T48" i="5"/>
  <c r="U41" i="4"/>
  <c r="U100" i="5"/>
  <c r="U47" i="5" s="1"/>
  <c r="U48" i="5" l="1"/>
  <c r="U53" i="5"/>
  <c r="U54" i="5" s="1"/>
  <c r="T76" i="5"/>
  <c r="T82" i="5"/>
  <c r="V41" i="4"/>
  <c r="V100" i="5"/>
  <c r="V47" i="5" s="1"/>
  <c r="V53" i="5" l="1"/>
  <c r="V54" i="5" s="1"/>
  <c r="V48" i="5"/>
  <c r="U82" i="5"/>
  <c r="U76" i="5"/>
  <c r="W100" i="5"/>
  <c r="W47" i="5" s="1"/>
  <c r="W41" i="4"/>
  <c r="W53" i="5" l="1"/>
  <c r="W54" i="5" s="1"/>
  <c r="W48" i="5"/>
  <c r="V76" i="5"/>
  <c r="V82" i="5"/>
  <c r="X41" i="4"/>
  <c r="X100" i="5"/>
  <c r="X47" i="5" s="1"/>
  <c r="W76" i="5" l="1"/>
  <c r="W82" i="5"/>
  <c r="X48" i="5"/>
  <c r="X53" i="5"/>
  <c r="X54" i="5" s="1"/>
  <c r="Y41" i="4"/>
  <c r="Y100" i="5"/>
  <c r="Y47" i="5" s="1"/>
  <c r="Y53" i="5" s="1"/>
  <c r="Y54" i="5" s="1"/>
  <c r="Y82" i="5" l="1"/>
  <c r="Y76" i="5"/>
  <c r="X76" i="5"/>
  <c r="X82" i="5"/>
  <c r="Y48" i="5"/>
  <c r="P246" i="7"/>
  <c r="P49" i="7"/>
  <c r="Q49" i="7" l="1"/>
  <c r="P43" i="7"/>
  <c r="P67" i="7"/>
  <c r="P61" i="7"/>
  <c r="P63" i="7" s="1"/>
  <c r="P83" i="7"/>
  <c r="P86" i="7" s="1"/>
  <c r="R246" i="7"/>
  <c r="Q246" i="7"/>
  <c r="P255" i="7"/>
  <c r="O137" i="4"/>
  <c r="P247" i="7"/>
  <c r="P25" i="7" l="1"/>
  <c r="P26" i="7" s="1"/>
  <c r="P20" i="5"/>
  <c r="P53" i="7"/>
  <c r="P45" i="7"/>
  <c r="P23" i="4"/>
  <c r="P27" i="4" s="1"/>
  <c r="Q43" i="7"/>
  <c r="Q20" i="5" s="1"/>
  <c r="R247" i="7"/>
  <c r="R255" i="7"/>
  <c r="R49" i="7"/>
  <c r="R43" i="7"/>
  <c r="Q255" i="7"/>
  <c r="Q247" i="7"/>
  <c r="S246" i="7"/>
  <c r="P96" i="7"/>
  <c r="Q137" i="4"/>
  <c r="Q139" i="4" s="1"/>
  <c r="Q141" i="4" s="1"/>
  <c r="Q143" i="4" s="1"/>
  <c r="O139" i="4"/>
  <c r="P30" i="4"/>
  <c r="H93" i="4" s="1"/>
  <c r="H98" i="4" s="1"/>
  <c r="H27" i="3" s="1" a="1"/>
  <c r="H27" i="3" s="1"/>
  <c r="P70" i="7"/>
  <c r="Q19" i="5" l="1"/>
  <c r="Q22" i="4" s="1"/>
  <c r="Q23" i="5"/>
  <c r="Q27" i="5" s="1"/>
  <c r="Q28" i="5" s="1"/>
  <c r="Q29" i="5" s="1"/>
  <c r="Q30" i="5" s="1"/>
  <c r="Q31" i="5" s="1"/>
  <c r="R25" i="7"/>
  <c r="R26" i="7" s="1"/>
  <c r="R20" i="5"/>
  <c r="P19" i="5"/>
  <c r="P22" i="4" s="1"/>
  <c r="P23" i="5"/>
  <c r="P27" i="5" s="1"/>
  <c r="P28" i="5" s="1"/>
  <c r="P29" i="5" s="1"/>
  <c r="P30" i="5" s="1"/>
  <c r="P31" i="5" s="1"/>
  <c r="Q45" i="7"/>
  <c r="Q25" i="7"/>
  <c r="Q26" i="7" s="1"/>
  <c r="R45" i="7"/>
  <c r="Q23" i="4"/>
  <c r="Q27" i="4" s="1"/>
  <c r="Q33" i="4" s="1"/>
  <c r="Q34" i="4" s="1"/>
  <c r="Q43" i="4" s="1"/>
  <c r="H92" i="4"/>
  <c r="H97" i="4" s="1"/>
  <c r="H26" i="3" s="1" a="1"/>
  <c r="H26" i="3" s="1"/>
  <c r="Q53" i="7"/>
  <c r="T246" i="7"/>
  <c r="P33" i="4"/>
  <c r="P34" i="4" s="1"/>
  <c r="P43" i="4" s="1"/>
  <c r="P49" i="4" s="1"/>
  <c r="P32" i="4"/>
  <c r="Q83" i="7"/>
  <c r="Q86" i="7" s="1"/>
  <c r="Q61" i="7"/>
  <c r="Q63" i="7" s="1"/>
  <c r="Q67" i="7"/>
  <c r="R23" i="4"/>
  <c r="R27" i="4" s="1"/>
  <c r="R53" i="7"/>
  <c r="P100" i="7"/>
  <c r="P104" i="7"/>
  <c r="R61" i="7"/>
  <c r="R63" i="7" s="1"/>
  <c r="R83" i="7"/>
  <c r="R86" i="7" s="1"/>
  <c r="R67" i="7"/>
  <c r="S255" i="7"/>
  <c r="S247" i="7"/>
  <c r="S49" i="7"/>
  <c r="S43" i="7"/>
  <c r="S20" i="5" s="1"/>
  <c r="S19" i="5" l="1"/>
  <c r="S22" i="4" s="1"/>
  <c r="S23" i="5"/>
  <c r="S27" i="5" s="1"/>
  <c r="S28" i="5" s="1"/>
  <c r="S29" i="5" s="1"/>
  <c r="S30" i="5" s="1"/>
  <c r="S31" i="5" s="1"/>
  <c r="Q32" i="4"/>
  <c r="R19" i="5"/>
  <c r="R22" i="4" s="1"/>
  <c r="R23" i="5"/>
  <c r="R27" i="5" s="1"/>
  <c r="R28" i="5" s="1"/>
  <c r="R29" i="5" s="1"/>
  <c r="R30" i="5" s="1"/>
  <c r="R31" i="5" s="1"/>
  <c r="S45" i="7"/>
  <c r="S25" i="7"/>
  <c r="S26" i="7" s="1"/>
  <c r="R96" i="7"/>
  <c r="R104" i="7" s="1"/>
  <c r="Q96" i="7"/>
  <c r="Q100" i="7" s="1"/>
  <c r="P64" i="4"/>
  <c r="P67" i="4" s="1"/>
  <c r="P55" i="4"/>
  <c r="Q49" i="4"/>
  <c r="Q55" i="4" s="1"/>
  <c r="Q116" i="4" s="1"/>
  <c r="Q64" i="4"/>
  <c r="Q67" i="4" s="1"/>
  <c r="Q70" i="4" s="1"/>
  <c r="S61" i="7"/>
  <c r="S63" i="7" s="1"/>
  <c r="S83" i="7"/>
  <c r="S86" i="7" s="1"/>
  <c r="S67" i="7"/>
  <c r="R30" i="4"/>
  <c r="R70" i="7"/>
  <c r="Q70" i="7"/>
  <c r="Q30" i="4"/>
  <c r="T43" i="7"/>
  <c r="T20" i="5" s="1"/>
  <c r="T49" i="7"/>
  <c r="R33" i="4"/>
  <c r="R34" i="4" s="1"/>
  <c r="R43" i="4" s="1"/>
  <c r="R32" i="4"/>
  <c r="P111" i="7"/>
  <c r="P112" i="7" s="1"/>
  <c r="P107" i="7"/>
  <c r="P121" i="7"/>
  <c r="T255" i="7"/>
  <c r="T247" i="7"/>
  <c r="S23" i="4"/>
  <c r="S27" i="4" s="1"/>
  <c r="S53" i="7"/>
  <c r="U246" i="7"/>
  <c r="T19" i="5" l="1"/>
  <c r="T22" i="4" s="1"/>
  <c r="T23" i="5"/>
  <c r="T27" i="5" s="1"/>
  <c r="T28" i="5" s="1"/>
  <c r="T29" i="5" s="1"/>
  <c r="T30" i="5" s="1"/>
  <c r="T31" i="5" s="1"/>
  <c r="R100" i="7"/>
  <c r="T45" i="7"/>
  <c r="T25" i="7"/>
  <c r="T26" i="7" s="1"/>
  <c r="Q104" i="7"/>
  <c r="R49" i="4"/>
  <c r="R55" i="4" s="1"/>
  <c r="R116" i="4" s="1"/>
  <c r="R64" i="4"/>
  <c r="R67" i="4" s="1"/>
  <c r="R70" i="4" s="1"/>
  <c r="V246" i="7"/>
  <c r="R121" i="7"/>
  <c r="R107" i="7"/>
  <c r="R111" i="7"/>
  <c r="S70" i="7"/>
  <c r="S30" i="4"/>
  <c r="Q107" i="7"/>
  <c r="Q121" i="7"/>
  <c r="Q122" i="7" s="1"/>
  <c r="Q111" i="7"/>
  <c r="Q117" i="7" s="1"/>
  <c r="G14" i="12" s="1"/>
  <c r="G16" i="12" s="1"/>
  <c r="U49" i="7"/>
  <c r="U43" i="7"/>
  <c r="U20" i="5" s="1"/>
  <c r="T23" i="4"/>
  <c r="T27" i="4" s="1"/>
  <c r="T53" i="7"/>
  <c r="U247" i="7"/>
  <c r="U255" i="7"/>
  <c r="P116" i="4"/>
  <c r="S32" i="4"/>
  <c r="S33" i="4"/>
  <c r="S34" i="4" s="1"/>
  <c r="S43" i="4" s="1"/>
  <c r="S96" i="7"/>
  <c r="T61" i="7"/>
  <c r="T63" i="7" s="1"/>
  <c r="T67" i="7"/>
  <c r="T83" i="7"/>
  <c r="T86" i="7" s="1"/>
  <c r="P70" i="4"/>
  <c r="K120" i="4"/>
  <c r="K125" i="4" s="1"/>
  <c r="K126" i="4" s="1"/>
  <c r="U19" i="5" l="1"/>
  <c r="U22" i="4" s="1"/>
  <c r="U23" i="5"/>
  <c r="U27" i="5" s="1"/>
  <c r="U28" i="5" s="1"/>
  <c r="U29" i="5" s="1"/>
  <c r="U30" i="5" s="1"/>
  <c r="U31" i="5" s="1"/>
  <c r="U45" i="7"/>
  <c r="U25" i="7"/>
  <c r="U26" i="7" s="1"/>
  <c r="R122" i="7"/>
  <c r="S64" i="4"/>
  <c r="S67" i="4" s="1"/>
  <c r="S70" i="4" s="1"/>
  <c r="S49" i="4"/>
  <c r="S55" i="4" s="1"/>
  <c r="T30" i="4"/>
  <c r="T70" i="7"/>
  <c r="W246" i="7"/>
  <c r="V43" i="7"/>
  <c r="V20" i="5" s="1"/>
  <c r="V49" i="7"/>
  <c r="T33" i="4"/>
  <c r="T34" i="4" s="1"/>
  <c r="T43" i="4" s="1"/>
  <c r="T32" i="4"/>
  <c r="U53" i="7"/>
  <c r="U23" i="4"/>
  <c r="U27" i="4" s="1"/>
  <c r="V255" i="7"/>
  <c r="V247" i="7"/>
  <c r="R117" i="7"/>
  <c r="H14" i="12" s="1"/>
  <c r="R112" i="7"/>
  <c r="S100" i="7"/>
  <c r="S104" i="7"/>
  <c r="U61" i="7"/>
  <c r="U63" i="7" s="1"/>
  <c r="U67" i="7"/>
  <c r="U83" i="7"/>
  <c r="U86" i="7" s="1"/>
  <c r="T96" i="7"/>
  <c r="V19" i="5" l="1"/>
  <c r="V22" i="4" s="1"/>
  <c r="V23" i="5"/>
  <c r="V27" i="5" s="1"/>
  <c r="V28" i="5" s="1"/>
  <c r="V29" i="5" s="1"/>
  <c r="V30" i="5" s="1"/>
  <c r="V31" i="5" s="1"/>
  <c r="V45" i="7"/>
  <c r="V25" i="7"/>
  <c r="V26" i="7" s="1"/>
  <c r="U96" i="7"/>
  <c r="U100" i="7" s="1"/>
  <c r="T49" i="4"/>
  <c r="T55" i="4" s="1"/>
  <c r="T116" i="4" s="1"/>
  <c r="T64" i="4"/>
  <c r="T67" i="4" s="1"/>
  <c r="T70" i="4" s="1"/>
  <c r="V67" i="7"/>
  <c r="V61" i="7"/>
  <c r="V63" i="7" s="1"/>
  <c r="V83" i="7"/>
  <c r="V86" i="7" s="1"/>
  <c r="X246" i="7"/>
  <c r="W49" i="7"/>
  <c r="W43" i="7"/>
  <c r="W20" i="5" s="1"/>
  <c r="S121" i="7"/>
  <c r="S122" i="7" s="1"/>
  <c r="S107" i="7"/>
  <c r="S111" i="7"/>
  <c r="T100" i="7"/>
  <c r="T104" i="7"/>
  <c r="H15" i="12"/>
  <c r="H16" i="12"/>
  <c r="U32" i="4"/>
  <c r="U33" i="4"/>
  <c r="U34" i="4" s="1"/>
  <c r="U43" i="4" s="1"/>
  <c r="W255" i="7"/>
  <c r="W247" i="7"/>
  <c r="S116" i="4"/>
  <c r="V23" i="4"/>
  <c r="V27" i="4" s="1"/>
  <c r="V53" i="7"/>
  <c r="U104" i="7"/>
  <c r="U30" i="4"/>
  <c r="U70" i="7"/>
  <c r="W19" i="5" l="1"/>
  <c r="W22" i="4" s="1"/>
  <c r="W23" i="5"/>
  <c r="W27" i="5" s="1"/>
  <c r="W28" i="5" s="1"/>
  <c r="W29" i="5" s="1"/>
  <c r="W30" i="5" s="1"/>
  <c r="W31" i="5" s="1"/>
  <c r="W45" i="7"/>
  <c r="W25" i="7"/>
  <c r="W26" i="7" s="1"/>
  <c r="U49" i="4"/>
  <c r="U55" i="4" s="1"/>
  <c r="U64" i="4"/>
  <c r="U67" i="4" s="1"/>
  <c r="U70" i="4" s="1"/>
  <c r="X255" i="7"/>
  <c r="X247" i="7"/>
  <c r="V70" i="7"/>
  <c r="V30" i="4"/>
  <c r="W23" i="4"/>
  <c r="W27" i="4" s="1"/>
  <c r="W53" i="7"/>
  <c r="U111" i="7"/>
  <c r="U107" i="7"/>
  <c r="U121" i="7"/>
  <c r="V32" i="4"/>
  <c r="V33" i="4"/>
  <c r="V34" i="4" s="1"/>
  <c r="V43" i="4" s="1"/>
  <c r="S117" i="7"/>
  <c r="I14" i="12" s="1"/>
  <c r="S112" i="7"/>
  <c r="V96" i="7"/>
  <c r="X49" i="7"/>
  <c r="X43" i="7"/>
  <c r="X20" i="5" s="1"/>
  <c r="T111" i="7"/>
  <c r="T121" i="7"/>
  <c r="T122" i="7" s="1"/>
  <c r="T107" i="7"/>
  <c r="Y246" i="7"/>
  <c r="W61" i="7"/>
  <c r="W63" i="7" s="1"/>
  <c r="W67" i="7"/>
  <c r="W83" i="7"/>
  <c r="W86" i="7" s="1"/>
  <c r="X19" i="5" l="1"/>
  <c r="X22" i="4" s="1"/>
  <c r="X23" i="5"/>
  <c r="X27" i="5" s="1"/>
  <c r="X28" i="5" s="1"/>
  <c r="X29" i="5" s="1"/>
  <c r="X30" i="5" s="1"/>
  <c r="X31" i="5" s="1"/>
  <c r="X45" i="7"/>
  <c r="X25" i="7"/>
  <c r="X26" i="7" s="1"/>
  <c r="V49" i="4"/>
  <c r="V55" i="4" s="1"/>
  <c r="V116" i="4" s="1"/>
  <c r="V64" i="4"/>
  <c r="V67" i="4" s="1"/>
  <c r="V70" i="4" s="1"/>
  <c r="T117" i="7"/>
  <c r="J14" i="12" s="1"/>
  <c r="T112" i="7"/>
  <c r="X23" i="4"/>
  <c r="X27" i="4" s="1"/>
  <c r="X53" i="7"/>
  <c r="V100" i="7"/>
  <c r="V104" i="7"/>
  <c r="W70" i="7"/>
  <c r="W30" i="4"/>
  <c r="I16" i="12"/>
  <c r="I15" i="12"/>
  <c r="Y247" i="7"/>
  <c r="Y255" i="7"/>
  <c r="X61" i="7"/>
  <c r="X63" i="7" s="1"/>
  <c r="X83" i="7"/>
  <c r="X86" i="7" s="1"/>
  <c r="X67" i="7"/>
  <c r="U122" i="7"/>
  <c r="U112" i="7"/>
  <c r="U117" i="7"/>
  <c r="K14" i="12" s="1"/>
  <c r="W32" i="4"/>
  <c r="W33" i="4"/>
  <c r="W34" i="4" s="1"/>
  <c r="W43" i="4" s="1"/>
  <c r="W96" i="7"/>
  <c r="Y49" i="7"/>
  <c r="Y43" i="7"/>
  <c r="Y20" i="5" s="1"/>
  <c r="U116" i="4"/>
  <c r="Y19" i="5" l="1"/>
  <c r="Y22" i="4" s="1"/>
  <c r="Y23" i="5"/>
  <c r="Y27" i="5" s="1"/>
  <c r="Y28" i="5" s="1"/>
  <c r="Y29" i="5" s="1"/>
  <c r="Y30" i="5" s="1"/>
  <c r="Y31" i="5" s="1"/>
  <c r="Y45" i="7"/>
  <c r="Y25" i="7"/>
  <c r="Y26" i="7" s="1"/>
  <c r="X96" i="7"/>
  <c r="V121" i="7"/>
  <c r="V122" i="7" s="1"/>
  <c r="V107" i="7"/>
  <c r="V111" i="7"/>
  <c r="K16" i="12"/>
  <c r="K15" i="12"/>
  <c r="X30" i="4"/>
  <c r="X70" i="7"/>
  <c r="X32" i="4"/>
  <c r="X33" i="4"/>
  <c r="X34" i="4" s="1"/>
  <c r="X43" i="4" s="1"/>
  <c r="W104" i="7"/>
  <c r="W100" i="7"/>
  <c r="J15" i="12"/>
  <c r="J16" i="12"/>
  <c r="Y23" i="4"/>
  <c r="Y53" i="7"/>
  <c r="H47" i="3" s="1"/>
  <c r="Y61" i="7"/>
  <c r="Y63" i="7" s="1"/>
  <c r="Y83" i="7"/>
  <c r="Y86" i="7" s="1"/>
  <c r="Y67" i="7"/>
  <c r="W64" i="4"/>
  <c r="W67" i="4" s="1"/>
  <c r="W70" i="4" s="1"/>
  <c r="W49" i="4"/>
  <c r="W55" i="4" s="1"/>
  <c r="H44" i="3" l="1"/>
  <c r="G53" i="2"/>
  <c r="G57" i="2" s="1"/>
  <c r="G60" i="2" s="1"/>
  <c r="Y45" i="4" s="1"/>
  <c r="O19" i="5"/>
  <c r="Y27" i="4"/>
  <c r="Y33" i="4" s="1"/>
  <c r="Y34" i="4" s="1"/>
  <c r="Y43" i="4" s="1"/>
  <c r="AA45" i="4"/>
  <c r="AA46" i="4" s="1"/>
  <c r="Y46" i="4"/>
  <c r="Y96" i="7"/>
  <c r="Y104" i="7" s="1"/>
  <c r="X64" i="4"/>
  <c r="X67" i="4" s="1"/>
  <c r="X70" i="4" s="1"/>
  <c r="X49" i="4"/>
  <c r="X55" i="4" s="1"/>
  <c r="X116" i="4" s="1"/>
  <c r="V112" i="7"/>
  <c r="V117" i="7"/>
  <c r="L14" i="12" s="1"/>
  <c r="Y70" i="7"/>
  <c r="Y30" i="4"/>
  <c r="W116" i="4"/>
  <c r="W111" i="7"/>
  <c r="W107" i="7"/>
  <c r="W121" i="7"/>
  <c r="W122" i="7" s="1"/>
  <c r="X100" i="7"/>
  <c r="X104" i="7"/>
  <c r="Y100" i="7" l="1"/>
  <c r="Y32" i="4"/>
  <c r="O20" i="5"/>
  <c r="O23" i="5" s="1"/>
  <c r="O27" i="5" s="1"/>
  <c r="O28" i="5" s="1"/>
  <c r="O29" i="5" s="1"/>
  <c r="O30" i="5" s="1"/>
  <c r="O31" i="5" s="1"/>
  <c r="O130" i="5"/>
  <c r="O22" i="4"/>
  <c r="Y71" i="4"/>
  <c r="Y50" i="4"/>
  <c r="Y56" i="4" s="1"/>
  <c r="H45" i="3"/>
  <c r="I47" i="3"/>
  <c r="Z104" i="7"/>
  <c r="Y64" i="4"/>
  <c r="Y67" i="4" s="1"/>
  <c r="Y70" i="4" s="1"/>
  <c r="Y117" i="4"/>
  <c r="Y49" i="4"/>
  <c r="Y55" i="4" s="1"/>
  <c r="W112" i="7"/>
  <c r="W117" i="7"/>
  <c r="M14" i="12" s="1"/>
  <c r="L16" i="12"/>
  <c r="L15" i="12"/>
  <c r="X121" i="7"/>
  <c r="X122" i="7" s="1"/>
  <c r="X111" i="7"/>
  <c r="X107" i="7"/>
  <c r="Y111" i="7"/>
  <c r="Y107" i="7"/>
  <c r="Y121" i="7"/>
  <c r="H46" i="3" l="1"/>
  <c r="F61" i="3"/>
  <c r="H103" i="4"/>
  <c r="H106" i="4" s="1"/>
  <c r="H109" i="4" s="1"/>
  <c r="H110" i="4" s="1"/>
  <c r="H77" i="4"/>
  <c r="H95" i="4" s="1"/>
  <c r="Y116" i="4"/>
  <c r="H119" i="4" s="1"/>
  <c r="H122" i="4" s="1"/>
  <c r="H125" i="4" s="1"/>
  <c r="M16" i="12"/>
  <c r="M15" i="12"/>
  <c r="Y112" i="7"/>
  <c r="Y117" i="7"/>
  <c r="O14" i="12" s="1"/>
  <c r="X117" i="7"/>
  <c r="N14" i="12" s="1"/>
  <c r="X112" i="7"/>
  <c r="Y122" i="7"/>
  <c r="F62" i="3" l="1"/>
  <c r="F63" i="3" s="1"/>
  <c r="F64" i="3" s="1"/>
  <c r="F60" i="3"/>
  <c r="F59" i="3" s="1"/>
  <c r="H15" i="3"/>
  <c r="H96" i="4"/>
  <c r="H25" i="3" s="1" a="1"/>
  <c r="H25" i="3" s="1"/>
  <c r="N16" i="12"/>
  <c r="N15" i="12"/>
  <c r="P14" i="12"/>
  <c r="P16" i="12" s="1"/>
  <c r="O15" i="12"/>
  <c r="O16" i="12"/>
  <c r="F58" i="3"/>
  <c r="H24" i="3" a="1"/>
  <c r="H24" i="3" s="1"/>
  <c r="H80" i="4"/>
  <c r="H8" i="3" a="1"/>
  <c r="H8" i="3" s="1"/>
  <c r="H20" i="12" l="1"/>
  <c r="F6" i="14" s="1"/>
  <c r="H11" i="3" a="1"/>
  <c r="H11" i="3" s="1"/>
  <c r="H83" i="4"/>
  <c r="F7" i="14" s="1"/>
  <c r="H22" i="12" l="1"/>
  <c r="K83" i="4"/>
  <c r="F11" i="14" s="1"/>
  <c r="H14" i="3"/>
  <c r="H126" i="4"/>
  <c r="H127" i="4" s="1"/>
  <c r="S58" i="3"/>
  <c r="H84" i="4"/>
  <c r="H16" i="3" s="1" a="1"/>
  <c r="H16" i="3" s="1"/>
  <c r="H87" i="4"/>
  <c r="H19" i="3" s="1" a="1"/>
  <c r="H19" i="3" s="1"/>
  <c r="H30" i="3" s="1"/>
  <c r="H32" i="3" s="1"/>
  <c r="T120" i="3" l="1"/>
  <c r="J7" i="14"/>
  <c r="F13" i="14"/>
  <c r="J8" i="14" l="1"/>
  <c r="J6" i="14"/>
  <c r="K55" i="20" l="1"/>
  <c r="L46" i="20" l="1"/>
  <c r="T46" i="20" s="1"/>
  <c r="G46" i="20" s="1"/>
  <c r="L47" i="20"/>
  <c r="L53" i="20"/>
  <c r="T53" i="20" s="1"/>
  <c r="L51" i="20"/>
  <c r="T51" i="20" s="1"/>
  <c r="G51" i="20" s="1"/>
  <c r="L45" i="20"/>
  <c r="T45" i="20" s="1"/>
  <c r="G45" i="20" s="1"/>
  <c r="L44" i="20"/>
  <c r="T44" i="20" s="1"/>
  <c r="G44" i="20" s="1"/>
  <c r="L52" i="20"/>
  <c r="T52" i="20" s="1"/>
  <c r="G52" i="20" s="1"/>
  <c r="L48" i="20"/>
  <c r="T48" i="20" s="1"/>
  <c r="G48" i="20" s="1"/>
  <c r="L50" i="20"/>
  <c r="T50" i="20" s="1"/>
  <c r="L55" i="20"/>
  <c r="G55" i="20" l="1"/>
  <c r="H55" i="20" l="1"/>
  <c r="H47" i="20"/>
  <c r="H46" i="20"/>
  <c r="H50" i="20"/>
  <c r="H51" i="20"/>
  <c r="H53" i="20"/>
  <c r="H45" i="20"/>
  <c r="H44" i="20"/>
  <c r="H52" i="20"/>
  <c r="E55" i="20"/>
  <c r="H4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Paige Hennessy</author>
  </authors>
  <commentList>
    <comment ref="G53" authorId="0" shapeId="0" xr:uid="{DA681409-124D-485A-AB2D-64108A76439C}">
      <text>
        <r>
          <rPr>
            <b/>
            <sz val="9"/>
            <color indexed="81"/>
            <rFont val="Tahoma"/>
            <family val="2"/>
          </rPr>
          <t>Paige Hennessy:</t>
        </r>
        <r>
          <rPr>
            <sz val="9"/>
            <color indexed="81"/>
            <rFont val="Tahoma"/>
            <family val="2"/>
          </rPr>
          <t xml:space="preserve">
I don’t think so, please check your numbers don’t rely on my inputs</t>
        </r>
      </text>
    </comment>
    <comment ref="G55" authorId="0" shapeId="0" xr:uid="{EA847C39-C67C-4721-AB05-2A2B01C8D0B1}">
      <text>
        <r>
          <rPr>
            <b/>
            <sz val="9"/>
            <color indexed="81"/>
            <rFont val="Tahoma"/>
            <family val="2"/>
          </rPr>
          <t>Paige Hennessy:</t>
        </r>
        <r>
          <rPr>
            <sz val="9"/>
            <color indexed="81"/>
            <rFont val="Tahoma"/>
            <family val="2"/>
          </rPr>
          <t xml:space="preserve">
Why is this multiple appropriate?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Paige Hennessy</author>
    <author>tc={1801D080-A5AE-444A-9E16-B77E276B7A1D}</author>
  </authors>
  <commentList>
    <comment ref="H47" authorId="0" shapeId="0" xr:uid="{5CE919F1-D321-4565-8CD2-ED7EC28765B1}">
      <text>
        <r>
          <rPr>
            <b/>
            <sz val="9"/>
            <color indexed="81"/>
            <rFont val="Tahoma"/>
            <family val="2"/>
          </rPr>
          <t>Paige Hennessy:</t>
        </r>
        <r>
          <rPr>
            <sz val="9"/>
            <color indexed="81"/>
            <rFont val="Tahoma"/>
            <family val="2"/>
          </rPr>
          <t xml:space="preserve">
Again are we sure? Not what my valuation tab is telling me?</t>
        </r>
      </text>
    </comment>
    <comment ref="Z51" authorId="1" shapeId="0" xr:uid="{1801D080-A5AE-444A-9E16-B77E276B7A1D}">
      <text>
        <t>[Threaded comment]
Your version of Excel allows you to read this threaded comment; however, any edits to it will get removed if the file is opened in a newer version of Excel. Learn more: https://go.microsoft.com/fwlink/?linkid=870924
Comment:
    BBG Cost of Debt Calculator</t>
      </text>
    </comment>
    <comment ref="I61" authorId="0" shapeId="0" xr:uid="{09F15847-4C33-4BAF-AEE5-9049F98059AB}">
      <text>
        <r>
          <rPr>
            <b/>
            <sz val="9"/>
            <color indexed="81"/>
            <rFont val="Tahoma"/>
            <family val="2"/>
          </rPr>
          <t>Paige Hennessy:</t>
        </r>
        <r>
          <rPr>
            <sz val="9"/>
            <color indexed="81"/>
            <rFont val="Tahoma"/>
            <family val="2"/>
          </rPr>
          <t xml:space="preserve">
The terminal margin wrong which is why this number doesn’t equal the cell F58. Same for other sensitivity table. Exit multiple in centre is wrong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tc={430D2F54-9371-4139-BA8A-28C61C053BF6}</author>
  </authors>
  <commentList>
    <comment ref="S1" authorId="0" shapeId="0" xr:uid="{430D2F54-9371-4139-BA8A-28C61C053BF6}">
      <text>
        <t>[Threaded comment]
Your version of Excel allows you to read this threaded comment; however, any edits to it will get removed if the file is opened in a newer version of Excel. Learn more: https://go.microsoft.com/fwlink/?linkid=870924
Comment:
    DCF should be affected by Terminal growth rate changes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tc={9BFEB722-6FDF-4CC1-A0F2-FECF5A14DCEA}</author>
    <author>tc={8898AF1E-9DCF-439E-96AE-238C21054094}</author>
    <author>Paige Hennessy</author>
    <author>tc={E7C194D9-6752-44CB-929C-F9D792BF77B2}</author>
  </authors>
  <commentList>
    <comment ref="E23" authorId="0" shapeId="0" xr:uid="{9BFEB722-6FDF-4CC1-A0F2-FECF5A14DCEA}">
      <text>
        <t>[Threaded comment]
Your version of Excel allows you to read this threaded comment; however, any edits to it will get removed if the file is opened in a newer version of Excel. Learn more: https://go.microsoft.com/fwlink/?linkid=870924
Comment:
    From forecast segment model</t>
      </text>
    </comment>
    <comment ref="E30" authorId="1" shapeId="0" xr:uid="{8898AF1E-9DCF-439E-96AE-238C21054094}">
      <text>
        <t>[Threaded comment]
Your version of Excel allows you to read this threaded comment; however, any edits to it will get removed if the file is opened in a newer version of Excel. Learn more: https://go.microsoft.com/fwlink/?linkid=870924
Comment:
    From forecast segment model</t>
      </text>
    </comment>
    <comment ref="Y40" authorId="2" shapeId="0" xr:uid="{BA5CA188-347E-46D5-93F2-418873ACBD60}">
      <text>
        <r>
          <rPr>
            <b/>
            <sz val="9"/>
            <color indexed="81"/>
            <rFont val="Tahoma"/>
            <family val="2"/>
          </rPr>
          <t>Paige Hennessy:</t>
        </r>
        <r>
          <rPr>
            <sz val="9"/>
            <color indexed="81"/>
            <rFont val="Tahoma"/>
            <family val="2"/>
          </rPr>
          <t xml:space="preserve">
Capex and D&amp;A should be more aligned</t>
        </r>
      </text>
    </comment>
    <comment ref="Y46" authorId="2" shapeId="0" xr:uid="{A9ABFD07-09F3-4B6F-AD24-358D5073DA73}">
      <text>
        <r>
          <rPr>
            <b/>
            <sz val="9"/>
            <color indexed="81"/>
            <rFont val="Tahoma"/>
            <family val="2"/>
          </rPr>
          <t>Paige Hennessy:</t>
        </r>
        <r>
          <rPr>
            <sz val="9"/>
            <color indexed="81"/>
            <rFont val="Tahoma"/>
            <family val="2"/>
          </rPr>
          <t xml:space="preserve">
You nede to address the significant differences here</t>
        </r>
      </text>
    </comment>
    <comment ref="E59" authorId="3" shapeId="0" xr:uid="{E7C194D9-6752-44CB-929C-F9D792BF77B2}">
      <text>
        <t>[Threaded comment]
Your version of Excel allows you to read this threaded comment; however, any edits to it will get removed if the file is opened in a newer version of Excel. Learn more: https://go.microsoft.com/fwlink/?linkid=870924
Comment:
    Assume lease liabilities stays constant from FY24 to FY34.</t>
      </text>
    </comment>
    <comment ref="H125" authorId="2" shapeId="0" xr:uid="{883037CE-6F5F-436B-A830-F5EB0D7221A2}">
      <text>
        <r>
          <rPr>
            <b/>
            <sz val="9"/>
            <color indexed="81"/>
            <rFont val="Tahoma"/>
            <family val="2"/>
          </rPr>
          <t>Paige Hennessy:</t>
        </r>
        <r>
          <rPr>
            <sz val="9"/>
            <color indexed="81"/>
            <rFont val="Tahoma"/>
            <family val="2"/>
          </rPr>
          <t xml:space="preserve">
If we are using GG as our primary methodology (appropriate) then strong conviction
</t>
        </r>
      </text>
    </comment>
  </commentList>
  <extLst>
    <ext xmlns:r="http://schemas.openxmlformats.org/officeDocument/2006/relationships" uri="GoogleSheetsCustomDataVersion2">
      <go:sheetsCustomData xmlns:go="http://customooxmlschemas.google.com/" r:id="rId1" roundtripDataSignature="AMtx7mhReLsTSJl+wneOjC0SjbFVvBi4q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Paige Hennessy</author>
    <author>Citadel 02</author>
  </authors>
  <commentList>
    <comment ref="K20" authorId="0" shapeId="0" xr:uid="{00000000-0006-0000-0400-00000F000000}">
      <text>
        <r>
          <rPr>
            <sz val="11"/>
            <color theme="1"/>
            <rFont val="Calibri"/>
            <family val="2"/>
            <scheme val="minor"/>
          </rPr>
          <t>======
ID#AAABUOl5ynQ
Paige Hennessy    (2024-08-23 07:38:24)
$276m EBITDA benefit from NZICC</t>
        </r>
      </text>
    </comment>
    <comment ref="L20" authorId="0" shapeId="0" xr:uid="{00000000-0006-0000-0400-000013000000}">
      <text>
        <r>
          <rPr>
            <sz val="11"/>
            <color theme="1"/>
            <rFont val="Calibri"/>
            <family val="2"/>
            <scheme val="minor"/>
          </rPr>
          <t>======
ID#AAABUOl5ym0
Paige Hennessy    (2024-08-23 07:38:24)
$68m positive EBITDA benefit from NZICC fire</t>
        </r>
      </text>
    </comment>
    <comment ref="M20" authorId="0" shapeId="0" xr:uid="{00000000-0006-0000-0400-00001D000000}">
      <text>
        <r>
          <rPr>
            <sz val="11"/>
            <color theme="1"/>
            <rFont val="Calibri"/>
            <family val="2"/>
            <scheme val="minor"/>
          </rPr>
          <t>======
ID#AAABUOl5yl4
Paige Hennessy    (2024-08-23 07:38:24)
-$35m impact from NZICC timing</t>
        </r>
      </text>
    </comment>
    <comment ref="N20" authorId="0" shapeId="0" xr:uid="{00000000-0006-0000-0400-00000B000000}">
      <text>
        <r>
          <rPr>
            <sz val="11"/>
            <color theme="1"/>
            <rFont val="Calibri"/>
            <family val="2"/>
            <scheme val="minor"/>
          </rPr>
          <t>======
ID#AAABUOl5ynY
Paige Hennessy    (2024-08-23 07:38:24)
Net -2m EBITDA impact from NZICC fire income and expenses</t>
        </r>
      </text>
    </comment>
    <comment ref="P21" authorId="1" shapeId="0" xr:uid="{5408018D-1309-4496-8D7D-A06A71E0AE85}">
      <text>
        <r>
          <rPr>
            <b/>
            <sz val="9"/>
            <color indexed="81"/>
            <rFont val="Tahoma"/>
            <family val="2"/>
          </rPr>
          <t>Paige Hennessy:</t>
        </r>
        <r>
          <rPr>
            <sz val="9"/>
            <color indexed="81"/>
            <rFont val="Tahoma"/>
            <family val="2"/>
          </rPr>
          <t xml:space="preserve">
Why doesn’t this align to my valuation tab</t>
        </r>
      </text>
    </comment>
    <comment ref="H26" authorId="0" shapeId="0" xr:uid="{00000000-0006-0000-0400-000026000000}">
      <text>
        <r>
          <rPr>
            <sz val="11"/>
            <color theme="1"/>
            <rFont val="Calibri"/>
            <family val="2"/>
            <scheme val="minor"/>
          </rPr>
          <t>======
ID#AAABUOl5ylI
Paige Hennessy    (2024-08-23 07:38:24)
Impairment of goodwill</t>
        </r>
      </text>
    </comment>
    <comment ref="I26" authorId="0" shapeId="0" xr:uid="{00000000-0006-0000-0400-000011000000}">
      <text>
        <r>
          <rPr>
            <sz val="11"/>
            <color theme="1"/>
            <rFont val="Calibri"/>
            <family val="2"/>
            <scheme val="minor"/>
          </rPr>
          <t>======
ID#AAABUOl5ynE
Paige Hennessy    (2024-08-23 07:38:24)
Discontinued ops</t>
        </r>
      </text>
    </comment>
    <comment ref="J26" authorId="0" shapeId="0" xr:uid="{00000000-0006-0000-0400-00000C000000}">
      <text>
        <r>
          <rPr>
            <sz val="11"/>
            <color theme="1"/>
            <rFont val="Calibri"/>
            <family val="2"/>
            <scheme val="minor"/>
          </rPr>
          <t>======
ID#AAABUOl5ync
Paige Hennessy    (2024-08-23 07:38:24)
Discont ops</t>
        </r>
      </text>
    </comment>
    <comment ref="K26" authorId="0" shapeId="0" xr:uid="{00000000-0006-0000-0400-00000D000000}">
      <text>
        <r>
          <rPr>
            <sz val="11"/>
            <color theme="1"/>
            <rFont val="Calibri"/>
            <family val="2"/>
            <scheme val="minor"/>
          </rPr>
          <t>======
ID#AAABUOl5ynI
Paige Hennessy    (2024-08-23 07:38:24)
Goodwill impairment Darwin</t>
        </r>
      </text>
    </comment>
    <comment ref="M26" authorId="0" shapeId="0" xr:uid="{00000000-0006-0000-0400-000028000000}">
      <text>
        <r>
          <rPr>
            <sz val="11"/>
            <color theme="1"/>
            <rFont val="Calibri"/>
            <family val="2"/>
            <scheme val="minor"/>
          </rPr>
          <t>======
ID#AAABUOl5yko
Paige Hennessy    (2024-08-23 07:38:24)
Impairment</t>
        </r>
      </text>
    </comment>
    <comment ref="N26" authorId="0" shapeId="0" xr:uid="{00000000-0006-0000-0400-000017000000}">
      <text>
        <r>
          <rPr>
            <sz val="11"/>
            <color theme="1"/>
            <rFont val="Calibri"/>
            <family val="2"/>
            <scheme val="minor"/>
          </rPr>
          <t>======
ID#AAABUOl5ymg
Paige Hennessy    (2024-08-23 07:38:24)
Impairment for Adl</t>
        </r>
      </text>
    </comment>
    <comment ref="P26" authorId="1" shapeId="0" xr:uid="{1A72A9A1-187C-45AE-BE4D-33111089FADA}">
      <text>
        <r>
          <rPr>
            <b/>
            <sz val="9"/>
            <color indexed="81"/>
            <rFont val="Tahoma"/>
            <family val="2"/>
          </rPr>
          <t>Paige Hennessy:</t>
        </r>
        <r>
          <rPr>
            <sz val="9"/>
            <color indexed="81"/>
            <rFont val="Tahoma"/>
            <family val="2"/>
          </rPr>
          <t xml:space="preserve">
Don’t do this </t>
        </r>
      </text>
    </comment>
    <comment ref="P35" authorId="1" shapeId="0" xr:uid="{4B6DF2C0-0396-41EF-8BB9-850504269502}">
      <text>
        <r>
          <rPr>
            <b/>
            <sz val="9"/>
            <color indexed="81"/>
            <rFont val="Tahoma"/>
            <family val="2"/>
          </rPr>
          <t>Paige Hennessy:</t>
        </r>
        <r>
          <rPr>
            <sz val="9"/>
            <color indexed="81"/>
            <rFont val="Tahoma"/>
            <family val="2"/>
          </rPr>
          <t xml:space="preserve">
You need to properly build out your BS and Cash flow statemnt. They are all tied together. I thought you had model template to show you how to do this?</t>
        </r>
      </text>
    </comment>
    <comment ref="O44" authorId="1" shapeId="0" xr:uid="{B13375E3-A076-41AE-B7DE-FD3D8CEF250E}">
      <text>
        <r>
          <rPr>
            <b/>
            <sz val="9"/>
            <color indexed="81"/>
            <rFont val="Tahoma"/>
            <family val="2"/>
          </rPr>
          <t>Paige Hennessy:</t>
        </r>
        <r>
          <rPr>
            <sz val="9"/>
            <color indexed="81"/>
            <rFont val="Tahoma"/>
            <family val="2"/>
          </rPr>
          <t xml:space="preserve">
These should all be actual numbers? Just checking should format consistently for clarity </t>
        </r>
      </text>
    </comment>
    <comment ref="P44" authorId="1" shapeId="0" xr:uid="{210F45E4-2B32-4B70-880E-5585D9E233BC}">
      <text>
        <r>
          <rPr>
            <b/>
            <sz val="9"/>
            <color indexed="81"/>
            <rFont val="Tahoma"/>
            <family val="2"/>
          </rPr>
          <t>Paige Hennessy:</t>
        </r>
        <r>
          <rPr>
            <sz val="9"/>
            <color indexed="81"/>
            <rFont val="Tahoma"/>
            <family val="2"/>
          </rPr>
          <t xml:space="preserve">
This should be your PPE based on capex and D&amp;A. Again BS and CF are all intertwined.
</t>
        </r>
      </text>
    </comment>
    <comment ref="P45" authorId="2" shapeId="0" xr:uid="{AAE34E3D-FE38-4B22-813E-6AFF0611D16D}">
      <text>
        <r>
          <rPr>
            <b/>
            <sz val="9"/>
            <color indexed="81"/>
            <rFont val="Tahoma"/>
            <family val="2"/>
          </rPr>
          <t>Akshay Kapoor:</t>
        </r>
        <r>
          <rPr>
            <sz val="9"/>
            <color indexed="81"/>
            <rFont val="Tahoma"/>
            <family val="2"/>
          </rPr>
          <t xml:space="preserve">
Includes Capital commitment for for NZICC and Horizon construction completion, assuming to be complete in 2025</t>
        </r>
      </text>
    </comment>
    <comment ref="K51" authorId="1" shapeId="0" xr:uid="{54A302FF-2415-4B4C-AEA4-5CE220D49E69}">
      <text>
        <r>
          <rPr>
            <b/>
            <sz val="9"/>
            <color indexed="81"/>
            <rFont val="Tahoma"/>
            <family val="2"/>
          </rPr>
          <t>Paige Hennessy:</t>
        </r>
        <r>
          <rPr>
            <sz val="9"/>
            <color indexed="81"/>
            <rFont val="Tahoma"/>
            <family val="2"/>
          </rPr>
          <t xml:space="preserve">
$72m investements
$227m NZICC
$17.5m other + GiG</t>
        </r>
      </text>
    </comment>
    <comment ref="L51" authorId="1" shapeId="0" xr:uid="{00037EDE-3204-427D-BACB-C06228F63BDD}">
      <text>
        <r>
          <rPr>
            <b/>
            <sz val="9"/>
            <color indexed="81"/>
            <rFont val="Tahoma"/>
            <family val="2"/>
          </rPr>
          <t>Paige Hennessy:</t>
        </r>
        <r>
          <rPr>
            <sz val="9"/>
            <color indexed="81"/>
            <rFont val="Tahoma"/>
            <family val="2"/>
          </rPr>
          <t xml:space="preserve">
$124m investment
$233m NZICC
$20m other + GiG</t>
        </r>
      </text>
    </comment>
    <comment ref="M51" authorId="1" shapeId="0" xr:uid="{19EE8E1C-86AB-4549-9056-9E16164727E6}">
      <text>
        <r>
          <rPr>
            <b/>
            <sz val="9"/>
            <color indexed="81"/>
            <rFont val="Tahoma"/>
            <family val="2"/>
          </rPr>
          <t>Paige Hennessy:</t>
        </r>
        <r>
          <rPr>
            <sz val="9"/>
            <color indexed="81"/>
            <rFont val="Tahoma"/>
            <family val="2"/>
          </rPr>
          <t xml:space="preserve">
$119m investment
76.2m other / GiG
$17m NZICC
</t>
        </r>
      </text>
    </comment>
    <comment ref="N51" authorId="1" shapeId="0" xr:uid="{62D34581-7F2D-4B78-B25C-6EA0403661A2}">
      <text>
        <r>
          <rPr>
            <b/>
            <sz val="9"/>
            <color rgb="FF000000"/>
            <rFont val="Tahoma"/>
            <family val="2"/>
          </rPr>
          <t>Paige Hennessy:</t>
        </r>
        <r>
          <rPr>
            <sz val="9"/>
            <color rgb="FF000000"/>
            <rFont val="Tahoma"/>
            <family val="2"/>
          </rPr>
          <t xml:space="preserve">
</t>
        </r>
        <r>
          <rPr>
            <sz val="9"/>
            <color rgb="FF000000"/>
            <rFont val="Tahoma"/>
            <family val="2"/>
          </rPr>
          <t>$108m investments, $83m other including GiG investment</t>
        </r>
      </text>
    </comment>
    <comment ref="N56" authorId="1" shapeId="0" xr:uid="{6EDD0D8F-885C-4459-B018-A9102E07D790}">
      <text>
        <r>
          <rPr>
            <b/>
            <sz val="9"/>
            <color rgb="FF000000"/>
            <rFont val="Tahoma"/>
            <family val="2"/>
          </rPr>
          <t>Paige Hennessy:</t>
        </r>
        <r>
          <rPr>
            <sz val="9"/>
            <color rgb="FF000000"/>
            <rFont val="Tahoma"/>
            <family val="2"/>
          </rPr>
          <t xml:space="preserve">
</t>
        </r>
        <r>
          <rPr>
            <sz val="9"/>
            <color rgb="FF000000"/>
            <rFont val="Tahoma"/>
            <family val="2"/>
          </rPr>
          <t>Includes AUSTRAC provision was A$49m at the time</t>
        </r>
      </text>
    </comment>
    <comment ref="K62" authorId="1" shapeId="0" xr:uid="{E16463AA-37E9-4EFB-93A6-6C1FB03A9265}">
      <text>
        <r>
          <rPr>
            <b/>
            <sz val="9"/>
            <color indexed="81"/>
            <rFont val="Tahoma"/>
            <family val="2"/>
          </rPr>
          <t>Paige Hennessy:</t>
        </r>
        <r>
          <rPr>
            <sz val="9"/>
            <color indexed="81"/>
            <rFont val="Tahoma"/>
            <family val="2"/>
          </rPr>
          <t xml:space="preserve">
$153m deferred licence value</t>
        </r>
      </text>
    </comment>
    <comment ref="E70" authorId="1" shapeId="0" xr:uid="{1E7BEF42-4592-4469-834A-4FC3D1468AC9}">
      <text>
        <r>
          <rPr>
            <b/>
            <sz val="9"/>
            <color indexed="81"/>
            <rFont val="Tahoma"/>
            <family val="2"/>
          </rPr>
          <t>Paige Hennessy:</t>
        </r>
        <r>
          <rPr>
            <sz val="9"/>
            <color indexed="81"/>
            <rFont val="Tahoma"/>
            <family val="2"/>
          </rPr>
          <t xml:space="preserve">
Majority is deferred licence value with some def tax </t>
        </r>
      </text>
    </comment>
    <comment ref="E85" authorId="1" shapeId="0" xr:uid="{69EA1DCF-C6CE-4F56-A935-1C7113A70E3F}">
      <text>
        <r>
          <rPr>
            <b/>
            <sz val="9"/>
            <color indexed="81"/>
            <rFont val="Tahoma"/>
            <family val="2"/>
          </rPr>
          <t>Paige Hennessy:</t>
        </r>
        <r>
          <rPr>
            <sz val="9"/>
            <color indexed="81"/>
            <rFont val="Tahoma"/>
            <family val="2"/>
          </rPr>
          <t xml:space="preserve">
Negative WC due to weekly payment upfront cycle</t>
        </r>
      </text>
    </comment>
    <comment ref="J99" authorId="0" shapeId="0" xr:uid="{00000000-0006-0000-0400-00001B000000}">
      <text>
        <r>
          <rPr>
            <sz val="11"/>
            <color theme="1"/>
            <rFont val="Calibri"/>
            <family val="2"/>
            <scheme val="minor"/>
          </rPr>
          <t>======
ID#AAABUOl5ymQ
Paige Hennessy    (2024-08-23 07:38:24)
Darwin $188m
Fed St carparks $40m</t>
        </r>
      </text>
    </comment>
    <comment ref="K99" authorId="0" shapeId="0" xr:uid="{00000000-0006-0000-0400-000010000000}">
      <text>
        <r>
          <rPr>
            <sz val="11"/>
            <color theme="1"/>
            <rFont val="Calibri"/>
            <family val="2"/>
            <scheme val="minor"/>
          </rPr>
          <t>======
ID#AAABUOl5ynA
Paige Hennessy    (2024-08-23 07:38:24)
Akl carpark</t>
        </r>
      </text>
    </comment>
    <comment ref="P100" authorId="2" shapeId="0" xr:uid="{43B9E147-FCB2-46F9-A45C-A11D5E128211}">
      <text>
        <r>
          <rPr>
            <b/>
            <sz val="9"/>
            <color indexed="81"/>
            <rFont val="Tahoma"/>
            <family val="2"/>
          </rPr>
          <t>AK:</t>
        </r>
        <r>
          <rPr>
            <sz val="9"/>
            <color indexed="81"/>
            <rFont val="Tahoma"/>
            <family val="2"/>
          </rPr>
          <t xml:space="preserve">
Intangibles like licenses, Brand value etc. are an yearly affair for this company.
Hence, we assume a decent +10% increase in intagible acquisition cost from here on.</t>
        </r>
      </text>
    </comment>
    <comment ref="P101" authorId="2" shapeId="0" xr:uid="{9930A5CE-69EC-4C64-ACAA-7F90D6D5EC58}">
      <text>
        <r>
          <rPr>
            <b/>
            <sz val="9"/>
            <color indexed="81"/>
            <rFont val="Tahoma"/>
            <family val="2"/>
          </rPr>
          <t>AK:</t>
        </r>
        <r>
          <rPr>
            <sz val="9"/>
            <color indexed="81"/>
            <rFont val="Tahoma"/>
            <family val="2"/>
          </rPr>
          <t xml:space="preserve">
Around $76M of NZICC Capital commitment for FY 25 and $60-$70M of core Capex in FY 25. Safely assuming another +10M outlay</t>
        </r>
      </text>
    </comment>
    <comment ref="Q101" authorId="2" shapeId="0" xr:uid="{68CEDBD4-887E-40E7-B4DD-DF299A507DB4}">
      <text>
        <r>
          <rPr>
            <b/>
            <sz val="9"/>
            <color indexed="81"/>
            <rFont val="Tahoma"/>
            <family val="2"/>
          </rPr>
          <t>AK:</t>
        </r>
        <r>
          <rPr>
            <sz val="9"/>
            <color indexed="81"/>
            <rFont val="Tahoma"/>
            <family val="2"/>
          </rPr>
          <t xml:space="preserve">
Regular core capex is required by the Company to offer seamless services to clients - E.g. Kitchen upgrades, Hotel Rooms upgrades, Table and machines upgrades etc.
Histrorically, the core capex of the Company has been in the range of $60-$90M.  
We have built a stay in business Capex requirement in line with previous years with a 2.5% cost inflation in future years</t>
        </r>
      </text>
    </comment>
    <comment ref="K102" authorId="0" shapeId="0" xr:uid="{00000000-0006-0000-0400-000027000000}">
      <text>
        <r>
          <rPr>
            <sz val="11"/>
            <color theme="1"/>
            <rFont val="Calibri"/>
            <family val="2"/>
            <scheme val="minor"/>
          </rPr>
          <t>======
ID#AAABUOl5ylM
Paige Hennessy    (2024-08-23 07:38:24)
$39m lease income received in advanced from $220m carpark sale</t>
        </r>
      </text>
    </comment>
    <comment ref="N102" authorId="0" shapeId="0" xr:uid="{00000000-0006-0000-0400-000019000000}">
      <text>
        <r>
          <rPr>
            <sz val="11"/>
            <color theme="1"/>
            <rFont val="Calibri"/>
            <family val="2"/>
            <scheme val="minor"/>
          </rPr>
          <t>======
ID#AAABUOl5yl8
Paige Hennessy    (2024-08-23 07:38:24)
NZICC fire related income and costs</t>
        </r>
      </text>
    </comment>
    <comment ref="O105" authorId="1" shapeId="0" xr:uid="{669DBAEB-93DD-4A81-AC30-64EA459C2456}">
      <text>
        <r>
          <rPr>
            <b/>
            <sz val="9"/>
            <color rgb="FF000000"/>
            <rFont val="Tahoma"/>
            <family val="2"/>
          </rPr>
          <t>Paige Hennessy:</t>
        </r>
        <r>
          <rPr>
            <sz val="9"/>
            <color rgb="FF000000"/>
            <rFont val="Tahoma"/>
            <family val="2"/>
          </rPr>
          <t xml:space="preserve">
</t>
        </r>
        <r>
          <rPr>
            <sz val="9"/>
            <color rgb="FF000000"/>
            <rFont val="Tahoma"/>
            <family val="2"/>
          </rPr>
          <t xml:space="preserve">Debt expected to peak at 2.3-2.5x to allow for carpark repurchase and fines </t>
        </r>
      </text>
    </comment>
    <comment ref="J106" authorId="0" shapeId="0" xr:uid="{00000000-0006-0000-0400-000023000000}">
      <text>
        <r>
          <rPr>
            <sz val="11"/>
            <color theme="1"/>
            <rFont val="Calibri"/>
            <family val="2"/>
            <scheme val="minor"/>
          </rPr>
          <t>======
ID#AAABUOl5ylU
Paige Hennessy    (2024-08-23 07:38:24)
Release of funds from asset sales</t>
        </r>
      </text>
    </comment>
    <comment ref="K108" authorId="0" shapeId="0" xr:uid="{00000000-0006-0000-0400-000004000000}">
      <text>
        <r>
          <rPr>
            <sz val="11"/>
            <color theme="1"/>
            <rFont val="Calibri"/>
            <family val="2"/>
            <scheme val="minor"/>
          </rPr>
          <t>======
ID#AAABUOl5yoI
Paige Hennessy    (2024-08-23 07:38:24)
New cap issued less buyback</t>
        </r>
      </text>
    </comment>
    <comment ref="N108" authorId="0" shapeId="0" xr:uid="{00000000-0006-0000-0400-00000A000000}">
      <text>
        <r>
          <rPr>
            <sz val="11"/>
            <color theme="1"/>
            <rFont val="Calibri"/>
            <family val="2"/>
            <scheme val="minor"/>
          </rPr>
          <t>======
ID#AAABUOl5yng
Paige Hennessy    (2024-08-23 07:38:24)
Primarily int paid on debt - flows through in CFO (ln 73) for future</t>
        </r>
      </text>
    </comment>
    <comment ref="O108" authorId="1" shapeId="0" xr:uid="{CE4605E5-265E-49E7-99CC-23551B7E3BDE}">
      <text>
        <r>
          <rPr>
            <b/>
            <sz val="9"/>
            <color indexed="81"/>
            <rFont val="Tahoma"/>
            <family val="2"/>
          </rPr>
          <t>Paige Hennessy:</t>
        </r>
        <r>
          <rPr>
            <sz val="9"/>
            <color indexed="81"/>
            <rFont val="Tahoma"/>
            <family val="2"/>
          </rPr>
          <t xml:space="preserve">
AUSTRAC fine </t>
        </r>
      </text>
    </comment>
    <comment ref="O133" authorId="1" shapeId="0" xr:uid="{78F3A913-AA72-483C-B15F-8D1541338810}">
      <text>
        <r>
          <rPr>
            <b/>
            <sz val="9"/>
            <color rgb="FF000000"/>
            <rFont val="Tahoma"/>
            <family val="2"/>
          </rPr>
          <t>Akshay Kapoor:</t>
        </r>
        <r>
          <rPr>
            <sz val="9"/>
            <color rgb="FF000000"/>
            <rFont val="Tahoma"/>
            <family val="2"/>
          </rPr>
          <t xml:space="preserve">
Gaming equipment, Lift and Kitchen maintenance, ICT spend etc.</t>
        </r>
      </text>
    </comment>
    <comment ref="M134" authorId="0" shapeId="0" xr:uid="{00000000-0006-0000-0400-000007000000}">
      <text>
        <r>
          <rPr>
            <sz val="11"/>
            <color theme="1"/>
            <rFont val="Calibri"/>
            <family val="2"/>
            <scheme val="minor"/>
          </rPr>
          <t>======
ID#AAABUOl5yn4
Paige Hennessy    (2024-08-23 07:38:24)
NZICC</t>
        </r>
      </text>
    </comment>
    <comment ref="N134" authorId="0" shapeId="0" xr:uid="{00000000-0006-0000-0400-000024000000}">
      <text>
        <r>
          <rPr>
            <sz val="11"/>
            <color theme="1"/>
            <rFont val="Calibri"/>
            <family val="2"/>
            <scheme val="minor"/>
          </rPr>
          <t>======
ID#AAABUOl5ylg
Paige Hennessy    (2024-08-23 07:38:24)
NZICC</t>
        </r>
      </text>
    </comment>
    <comment ref="O134" authorId="1" shapeId="0" xr:uid="{215D8DB9-B75B-410C-BF45-D5B4DA05A803}">
      <text>
        <r>
          <rPr>
            <b/>
            <sz val="9"/>
            <color indexed="81"/>
            <rFont val="Tahoma"/>
            <family val="2"/>
          </rPr>
          <t>Paige Hennessy:</t>
        </r>
        <r>
          <rPr>
            <sz val="9"/>
            <color indexed="81"/>
            <rFont val="Tahoma"/>
            <family val="2"/>
          </rPr>
          <t xml:space="preserve">
NZICC</t>
        </r>
      </text>
    </comment>
    <comment ref="E146" authorId="0" shapeId="0" xr:uid="{00000000-0006-0000-0400-000021000000}">
      <text>
        <r>
          <rPr>
            <sz val="11"/>
            <color theme="1"/>
            <rFont val="Calibri"/>
            <family val="2"/>
            <scheme val="minor"/>
          </rPr>
          <t>======
ID#AAABUOl5yls
Paige Hennessy    (2024-08-23 07:38:24)
Plus discont ops, Int Business no D&amp;A</t>
        </r>
      </text>
    </comment>
    <comment ref="H146" authorId="0" shapeId="0" xr:uid="{00000000-0006-0000-0400-000009000000}">
      <text>
        <r>
          <rPr>
            <sz val="11"/>
            <color theme="1"/>
            <rFont val="Calibri"/>
            <family val="2"/>
            <scheme val="minor"/>
          </rPr>
          <t>======
ID#AAABUOl5ynw
Paige Hennessy    (2024-08-23 07:38:24)
$13.8m Darwin</t>
        </r>
      </text>
    </comment>
    <comment ref="I146" authorId="0" shapeId="0" xr:uid="{00000000-0006-0000-0400-000008000000}">
      <text>
        <r>
          <rPr>
            <sz val="11"/>
            <color theme="1"/>
            <rFont val="Calibri"/>
            <family val="2"/>
            <scheme val="minor"/>
          </rPr>
          <t>======
ID#AAABUOl5yn8
Paige Hennessy    (2024-08-23 07:38:24)
$13.5m Darwin</t>
        </r>
      </text>
    </comment>
    <comment ref="J146" authorId="0" shapeId="0" xr:uid="{00000000-0006-0000-0400-00000E000000}">
      <text>
        <r>
          <rPr>
            <sz val="11"/>
            <color theme="1"/>
            <rFont val="Calibri"/>
            <family val="2"/>
            <scheme val="minor"/>
          </rPr>
          <t>======
ID#AAABUOl5ynM
Paige Hennessy    (2024-08-23 07:38:24)
4.7m Darwin</t>
        </r>
      </text>
    </comment>
    <comment ref="Q157" authorId="1" shapeId="0" xr:uid="{5F6CE0E9-156A-4477-83B0-CF3162F73B0E}">
      <text>
        <r>
          <rPr>
            <b/>
            <sz val="9"/>
            <color indexed="81"/>
            <rFont val="Tahoma"/>
            <family val="2"/>
          </rPr>
          <t>Paige Hennessy:</t>
        </r>
        <r>
          <rPr>
            <sz val="9"/>
            <color indexed="81"/>
            <rFont val="Tahoma"/>
            <family val="2"/>
          </rPr>
          <t xml:space="preserve">
Sense check these relative to history and relative to capex </t>
        </r>
      </text>
    </comment>
    <comment ref="E160" authorId="0" shapeId="0" xr:uid="{00000000-0006-0000-0400-000014000000}">
      <text>
        <r>
          <rPr>
            <sz val="11"/>
            <color theme="1"/>
            <rFont val="Calibri"/>
            <family val="2"/>
            <scheme val="minor"/>
          </rPr>
          <t>======
ID#AAABUOl5yms
Paige Hennessy    (2024-08-23 07:38:24)
Plus discont ops, Int Business no D&amp;A</t>
        </r>
      </text>
    </comment>
    <comment ref="P163" authorId="0" shapeId="0" xr:uid="{00000000-0006-0000-0400-00002E000000}">
      <text>
        <r>
          <rPr>
            <sz val="11"/>
            <color theme="1"/>
            <rFont val="Calibri"/>
            <family val="2"/>
            <scheme val="minor"/>
          </rPr>
          <t>======
ID#AAABUOl5ykE
Paige Hennessy    (2024-08-23 07:38:24)
Debt peaks</t>
        </r>
      </text>
    </comment>
    <comment ref="Q163" authorId="1" shapeId="0" xr:uid="{0A8672B1-68BB-470F-8414-C352F46C232D}">
      <text>
        <r>
          <rPr>
            <b/>
            <sz val="9"/>
            <color indexed="81"/>
            <rFont val="Tahoma"/>
            <family val="2"/>
          </rPr>
          <t>Paige Hennessy:</t>
        </r>
        <r>
          <rPr>
            <sz val="9"/>
            <color indexed="81"/>
            <rFont val="Tahoma"/>
            <family val="2"/>
          </rPr>
          <t xml:space="preserve">
Don’t duplicate things across the model especially when values differ. Clarity is key </t>
        </r>
      </text>
    </comment>
    <comment ref="S163" authorId="0" shapeId="0" xr:uid="{00000000-0006-0000-0400-000003000000}">
      <text>
        <r>
          <rPr>
            <sz val="11"/>
            <color theme="1"/>
            <rFont val="Calibri"/>
            <family val="2"/>
            <scheme val="minor"/>
          </rPr>
          <t>======
ID#AAABUOl5yoE
Paige Hennessy    (2024-08-23 07:38:24)
Probably end of slightly higher capex cycle dragging cash</t>
        </r>
      </text>
    </comment>
    <comment ref="V163" authorId="0" shapeId="0" xr:uid="{00000000-0006-0000-0400-000029000000}">
      <text>
        <r>
          <rPr>
            <sz val="11"/>
            <color theme="1"/>
            <rFont val="Calibri"/>
            <family val="2"/>
            <scheme val="minor"/>
          </rPr>
          <t>======
ID#AAABUOl5yk4
Paige Hennessy    (2024-08-23 07:38:24)
BAU, strong cash flow generation so pay top end of range</t>
        </r>
      </text>
    </comment>
  </commentList>
  <extLst>
    <ext xmlns:r="http://schemas.openxmlformats.org/officeDocument/2006/relationships" uri="GoogleSheetsCustomDataVersion2">
      <go:sheetsCustomData xmlns:go="http://customooxmlschemas.google.com/" r:id="rId1" roundtripDataSignature="AMtx7mjVJfrmys2O+XxeTHuPZSurLCBDQ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R210" authorId="0" shapeId="0" xr:uid="{00000000-0006-0000-0500-000001000000}">
      <text>
        <r>
          <rPr>
            <sz val="11"/>
            <color theme="1"/>
            <rFont val="Calibri"/>
            <family val="2"/>
            <scheme val="minor"/>
          </rPr>
          <t>======
ID#AAABUOl5ylA
Tobias Newton    (2024-08-23 07:38:24)
offer costs</t>
        </r>
      </text>
    </comment>
  </commentList>
  <extLst>
    <ext xmlns:r="http://schemas.openxmlformats.org/officeDocument/2006/relationships" uri="GoogleSheetsCustomDataVersion2">
      <go:sheetsCustomData xmlns:go="http://customooxmlschemas.google.com/" r:id="rId1" roundtripDataSignature="AMtx7mjNFfNrQDLixjnBrgATWi3l/5zItQ=="/>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Paige Hennessy</author>
    <author/>
    <author>tc={B27F821A-E9E4-4C25-B7BC-B5A3CEFA314B}</author>
    <author>tc={AAC6B3B9-5523-49EF-B8B7-D5EDFA8876D5}</author>
    <author>tc={5F9A85E7-3E13-4E6D-A3FE-00FED996E53E}</author>
    <author>tc={8D7F9CFB-3DAA-4120-A507-9B77AF84C4C3}</author>
    <author>tc={FBC01367-917C-44DE-A53F-C646C47512C2}</author>
  </authors>
  <commentList>
    <comment ref="Y48" authorId="0" shapeId="0" xr:uid="{806FB81A-8B3E-4751-83D2-622C879844EC}">
      <text>
        <r>
          <rPr>
            <b/>
            <sz val="9"/>
            <color indexed="81"/>
            <rFont val="Tahoma"/>
            <family val="2"/>
          </rPr>
          <t>Paige Hennessy:</t>
        </r>
        <r>
          <rPr>
            <sz val="9"/>
            <color indexed="81"/>
            <rFont val="Tahoma"/>
            <family val="2"/>
          </rPr>
          <t xml:space="preserve">
Whatever margin you have is okay. As long a you have explained why / how you get there. Always sense check relative to history and paply factors to adjust for changes in business </t>
        </r>
      </text>
    </comment>
    <comment ref="E60" authorId="1" shapeId="0" xr:uid="{00000000-0006-0000-0600-000013000000}">
      <text>
        <r>
          <rPr>
            <sz val="11"/>
            <color theme="1"/>
            <rFont val="Calibri"/>
            <family val="2"/>
            <scheme val="minor"/>
          </rPr>
          <t>======
ID#AAABUOl5ykc
Paige Hennessy    (2024-08-23 07:38:24)
No D&amp;A assigned to online</t>
        </r>
      </text>
    </comment>
    <comment ref="P78" authorId="0" shapeId="0" xr:uid="{0DAB152A-16E0-4B43-8E4C-08C7DE8CD0E2}">
      <text>
        <r>
          <rPr>
            <b/>
            <sz val="9"/>
            <color indexed="81"/>
            <rFont val="Tahoma"/>
            <family val="2"/>
          </rPr>
          <t>Paige Hennessy:</t>
        </r>
        <r>
          <rPr>
            <sz val="9"/>
            <color indexed="81"/>
            <rFont val="Tahoma"/>
            <family val="2"/>
          </rPr>
          <t xml:space="preserve">
Again why does this differ from P&amp;L. We need consistency otherwise get rid of it. </t>
        </r>
      </text>
    </comment>
    <comment ref="P81" authorId="0" shapeId="0" xr:uid="{0D0C4D84-1352-4962-BF4C-FAC5889F270B}">
      <text>
        <r>
          <rPr>
            <b/>
            <sz val="9"/>
            <color indexed="81"/>
            <rFont val="Tahoma"/>
            <family val="2"/>
          </rPr>
          <t>Paige Hennessy:</t>
        </r>
        <r>
          <rPr>
            <sz val="9"/>
            <color indexed="81"/>
            <rFont val="Tahoma"/>
            <family val="2"/>
          </rPr>
          <t xml:space="preserve">
Why is our tax balance here different from P&amp;L?</t>
        </r>
      </text>
    </comment>
    <comment ref="P85" authorId="0" shapeId="0" xr:uid="{CF8EC8F2-D398-4356-934B-9ED8BBF8DD20}">
      <text>
        <r>
          <rPr>
            <b/>
            <sz val="9"/>
            <color indexed="81"/>
            <rFont val="Tahoma"/>
            <family val="2"/>
          </rPr>
          <t>Paige Hennessy:</t>
        </r>
        <r>
          <rPr>
            <sz val="9"/>
            <color indexed="81"/>
            <rFont val="Tahoma"/>
            <family val="2"/>
          </rPr>
          <t xml:space="preserve">
We don’t get tax credits for loss making segments? Calculate tax at whole profitability level please</t>
        </r>
      </text>
    </comment>
    <comment ref="P89" authorId="0" shapeId="0" xr:uid="{E669D04C-44AB-4471-9FFA-B55E9A34B249}">
      <text>
        <r>
          <rPr>
            <b/>
            <sz val="9"/>
            <color indexed="81"/>
            <rFont val="Tahoma"/>
            <family val="2"/>
          </rPr>
          <t>Paige Hennessy:</t>
        </r>
        <r>
          <rPr>
            <sz val="9"/>
            <color indexed="81"/>
            <rFont val="Tahoma"/>
            <family val="2"/>
          </rPr>
          <t xml:space="preserve">
Why is our interest expense here different to P&amp;L on fin statements page?</t>
        </r>
      </text>
    </comment>
    <comment ref="Z113" authorId="0" shapeId="0" xr:uid="{ED1CA50F-3C12-4C84-AADF-98F739D56AFF}">
      <text>
        <r>
          <rPr>
            <b/>
            <sz val="9"/>
            <color indexed="81"/>
            <rFont val="Tahoma"/>
            <family val="2"/>
          </rPr>
          <t>Paige Hennessy:</t>
        </r>
        <r>
          <rPr>
            <sz val="9"/>
            <color indexed="81"/>
            <rFont val="Tahoma"/>
            <family val="2"/>
          </rPr>
          <t xml:space="preserve">
Why are we declining our payout ratio and growing earnings? </t>
        </r>
      </text>
    </comment>
    <comment ref="Q134" authorId="2" shapeId="0" xr:uid="{B27F821A-E9E4-4C25-B7BC-B5A3CEFA314B}">
      <text>
        <t>[Threaded comment]
Your version of Excel allows you to read this threaded comment; however, any edits to it will get removed if the file is opened in a newer version of Excel. Learn more: https://go.microsoft.com/fwlink/?linkid=870924
Comment:
    Carded Play Mandate</t>
      </text>
    </comment>
    <comment ref="P141" authorId="3" shapeId="0" xr:uid="{AAC6B3B9-5523-49EF-B8B7-D5EDFA8876D5}">
      <text>
        <t>[Threaded comment]
Your version of Excel allows you to read this threaded comment; however, any edits to it will get removed if the file is opened in a newer version of Excel. Learn more: https://go.microsoft.com/fwlink/?linkid=870924
Comment:
    Horizon Hotel Opening</t>
      </text>
    </comment>
    <comment ref="Q159" authorId="4" shapeId="0" xr:uid="{5F9A85E7-3E13-4E6D-A3FE-00FED996E53E}">
      <text>
        <t>[Threaded comment]
Your version of Excel allows you to read this threaded comment; however, any edits to it will get removed if the file is opened in a newer version of Excel. Learn more: https://go.microsoft.com/fwlink/?linkid=870924
Comment:
    Harmean</t>
      </text>
    </comment>
    <comment ref="N172" authorId="1" shapeId="0" xr:uid="{00000000-0006-0000-0600-000001000000}">
      <text>
        <r>
          <rPr>
            <sz val="11"/>
            <color theme="1"/>
            <rFont val="Calibri"/>
            <family val="2"/>
            <scheme val="minor"/>
          </rPr>
          <t>======
ID#AAABUOl5ynk
Paige Hennessy    (2024-08-23 07:38:24)
1877 EGM and 240 automated tables</t>
        </r>
      </text>
    </comment>
    <comment ref="O172" authorId="1" shapeId="0" xr:uid="{00000000-0006-0000-0600-000006000000}">
      <text>
        <r>
          <rPr>
            <sz val="11"/>
            <color theme="1"/>
            <rFont val="Calibri"/>
            <family val="2"/>
            <scheme val="minor"/>
          </rPr>
          <t>======
ID#AAABUOl5ymk
Paige Hennessy    (2024-08-23 07:38:24)
1877 EGM and 240 automated tables</t>
        </r>
      </text>
    </comment>
    <comment ref="H173" authorId="1" shapeId="0" xr:uid="{00000000-0006-0000-0600-00000C000000}">
      <text>
        <r>
          <rPr>
            <sz val="11"/>
            <color theme="1"/>
            <rFont val="Calibri"/>
            <family val="2"/>
            <scheme val="minor"/>
          </rPr>
          <t>======
ID#AAABUOl5ylY
Paige Hennessy    (2024-08-23 07:38:24)
362 trading days</t>
        </r>
      </text>
    </comment>
    <comment ref="M173" authorId="1" shapeId="0" xr:uid="{00000000-0006-0000-0600-000010000000}">
      <text>
        <r>
          <rPr>
            <sz val="11"/>
            <color theme="1"/>
            <rFont val="Calibri"/>
            <family val="2"/>
            <scheme val="minor"/>
          </rPr>
          <t>======
ID#AAABUOl5yk0
Paige Hennessy    (2024-08-23 07:38:24)
255 trading days due to Covid lockdowns</t>
        </r>
      </text>
    </comment>
    <comment ref="H180" authorId="1" shapeId="0" xr:uid="{00000000-0006-0000-0600-000015000000}">
      <text>
        <r>
          <rPr>
            <sz val="11"/>
            <color theme="1"/>
            <rFont val="Calibri"/>
            <family val="2"/>
            <scheme val="minor"/>
          </rPr>
          <t>======
ID#AAABUOl5ykQ
Paige Hennessy    (2024-08-23 07:38:24)
362 trading days</t>
        </r>
      </text>
    </comment>
    <comment ref="N186" authorId="1" shapeId="0" xr:uid="{00000000-0006-0000-0600-000008000000}">
      <text>
        <r>
          <rPr>
            <sz val="11"/>
            <color theme="1"/>
            <rFont val="Calibri"/>
            <family val="2"/>
            <scheme val="minor"/>
          </rPr>
          <t>======
ID#AAABUOl5ymY
Paige Hennessy    (2024-08-23 07:38:24)
At full dining capacity</t>
        </r>
      </text>
    </comment>
    <comment ref="O186" authorId="1" shapeId="0" xr:uid="{00000000-0006-0000-0600-000005000000}">
      <text>
        <r>
          <rPr>
            <sz val="11"/>
            <color theme="1"/>
            <rFont val="Calibri"/>
            <family val="2"/>
            <scheme val="minor"/>
          </rPr>
          <t>======
ID#AAABUOl5ym4
Paige Hennessy    (2024-08-23 07:38:24)
At full dining capacity</t>
        </r>
      </text>
    </comment>
    <comment ref="N196" authorId="1" shapeId="0" xr:uid="{00000000-0006-0000-0600-000004000000}">
      <text>
        <r>
          <rPr>
            <sz val="11"/>
            <color theme="1"/>
            <rFont val="Calibri"/>
            <family val="2"/>
            <scheme val="minor"/>
          </rPr>
          <t>======
ID#AAABUOl5ynU
Paige Hennessy    (2024-08-23 07:38:24)
At at 1H23</t>
        </r>
      </text>
    </comment>
    <comment ref="O196" authorId="1" shapeId="0" xr:uid="{00000000-0006-0000-0600-00000D000000}">
      <text>
        <r>
          <rPr>
            <sz val="11"/>
            <color theme="1"/>
            <rFont val="Calibri"/>
            <family val="2"/>
            <scheme val="minor"/>
          </rPr>
          <t>======
ID#AAABUOl5ylE
Paige Hennessy    (2024-08-23 07:38:24)
At at 1H23</t>
        </r>
      </text>
    </comment>
    <comment ref="E200" authorId="1" shapeId="0" xr:uid="{00000000-0006-0000-0600-00000B000000}">
      <text>
        <r>
          <rPr>
            <sz val="11"/>
            <color theme="1"/>
            <rFont val="Calibri"/>
            <family val="2"/>
            <scheme val="minor"/>
          </rPr>
          <t>======
ID#AAABUOl5yl0
Paige Hennessy    (2024-08-23 07:38:24)
NZICC</t>
        </r>
      </text>
    </comment>
    <comment ref="E213" authorId="1" shapeId="0" xr:uid="{00000000-0006-0000-0600-000002000000}">
      <text>
        <r>
          <rPr>
            <sz val="11"/>
            <color theme="1"/>
            <rFont val="Calibri"/>
            <family val="2"/>
            <scheme val="minor"/>
          </rPr>
          <t>======
ID#AAABUOl5yno
Paige Hennessy    (2024-08-23 07:38:24)
NZICC</t>
        </r>
      </text>
    </comment>
    <comment ref="H260" authorId="1" shapeId="0" xr:uid="{00000000-0006-0000-0600-00000A000000}">
      <text>
        <r>
          <rPr>
            <sz val="11"/>
            <color theme="1"/>
            <rFont val="Calibri"/>
            <family val="2"/>
            <scheme val="minor"/>
          </rPr>
          <t>======
ID#AAABUOl5ymE
Paige Hennessy    (2024-08-23 07:38:24)
362 trading days</t>
        </r>
      </text>
    </comment>
    <comment ref="M260" authorId="1" shapeId="0" xr:uid="{00000000-0006-0000-0600-000014000000}">
      <text>
        <r>
          <rPr>
            <sz val="11"/>
            <color theme="1"/>
            <rFont val="Calibri"/>
            <family val="2"/>
            <scheme val="minor"/>
          </rPr>
          <t>======
ID#AAABUOl5ykU
Paige Hennessy    (2024-08-23 07:38:24)
255 trading days due to Covid lockdowns</t>
        </r>
      </text>
    </comment>
    <comment ref="H267" authorId="1" shapeId="0" xr:uid="{00000000-0006-0000-0600-000009000000}">
      <text>
        <r>
          <rPr>
            <sz val="11"/>
            <color theme="1"/>
            <rFont val="Calibri"/>
            <family val="2"/>
            <scheme val="minor"/>
          </rPr>
          <t>======
ID#AAABUOl5ymI
Paige Hennessy    (2024-08-23 07:38:24)
362 trading days</t>
        </r>
      </text>
    </comment>
    <comment ref="L292" authorId="1" shapeId="0" xr:uid="{00000000-0006-0000-0600-000003000000}">
      <text>
        <r>
          <rPr>
            <sz val="11"/>
            <color theme="1"/>
            <rFont val="Calibri"/>
            <family val="2"/>
            <scheme val="minor"/>
          </rPr>
          <t>======
ID#AAABUOl5yns
Paige Hennessy    (2024-08-23 07:38:24)
Hotel open Sep 21</t>
        </r>
      </text>
    </comment>
    <comment ref="H324" authorId="1" shapeId="0" xr:uid="{00000000-0006-0000-0600-000011000000}">
      <text>
        <r>
          <rPr>
            <sz val="11"/>
            <color theme="1"/>
            <rFont val="Calibri"/>
            <family val="2"/>
            <scheme val="minor"/>
          </rPr>
          <t>======
ID#AAABUOl5ykg
Paige Hennessy    (2024-08-23 07:38:24)
362 trading days</t>
        </r>
      </text>
    </comment>
    <comment ref="M324" authorId="1" shapeId="0" xr:uid="{00000000-0006-0000-0600-00000F000000}">
      <text>
        <r>
          <rPr>
            <sz val="11"/>
            <color theme="1"/>
            <rFont val="Calibri"/>
            <family val="2"/>
            <scheme val="minor"/>
          </rPr>
          <t>======
ID#AAABUOl5yks
Paige Hennessy    (2024-08-23 07:38:24)
255 trading days due to Covid lockdowns</t>
        </r>
      </text>
    </comment>
    <comment ref="J330" authorId="1" shapeId="0" xr:uid="{00000000-0006-0000-0600-000007000000}">
      <text>
        <r>
          <rPr>
            <sz val="11"/>
            <color theme="1"/>
            <rFont val="Calibri"/>
            <family val="2"/>
            <scheme val="minor"/>
          </rPr>
          <t>======
ID#AAABUOl5ymc
Paige Hennessy    (2024-08-23 07:38:24)
From 2019 Investor Day. 828 EGMs now going to 1080 post-opening new casino.  Not sure when had 828 relative to AA's old estimate of 900
Tables - currently have 90 and plan to go to 125.
 Can have up to 300 ATGs interchangable with tables at a ratio of 20:1.  Plans to go to 130 post expansion</t>
        </r>
      </text>
    </comment>
    <comment ref="H331" authorId="1" shapeId="0" xr:uid="{00000000-0006-0000-0600-00000E000000}">
      <text>
        <r>
          <rPr>
            <sz val="11"/>
            <color theme="1"/>
            <rFont val="Calibri"/>
            <family val="2"/>
            <scheme val="minor"/>
          </rPr>
          <t>======
ID#AAABUOl5yk8
Paige Hennessy    (2024-08-23 07:38:24)
362 trading days</t>
        </r>
      </text>
    </comment>
    <comment ref="Q357" authorId="5" shapeId="0" xr:uid="{8D7F9CFB-3DAA-4120-A507-9B77AF84C4C3}">
      <text>
        <t>[Threaded comment]
Your version of Excel allows you to read this threaded comment; however, any edits to it will get removed if the file is opened in a newer version of Excel. Learn more: https://go.microsoft.com/fwlink/?linkid=870924
Comment:
    Prep for NZ online regulation</t>
      </text>
    </comment>
    <comment ref="R357" authorId="6" shapeId="0" xr:uid="{FBC01367-917C-44DE-A53F-C646C47512C2}">
      <text>
        <t xml:space="preserve">[Threaded comment]
Your version of Excel allows you to read this threaded comment; however, any edits to it will get removed if the file is opened in a newer version of Excel. Learn more: https://go.microsoft.com/fwlink/?linkid=870924
Comment:
    Potential Implementation of NZ online 
</t>
      </text>
    </comment>
  </commentList>
  <extLst>
    <ext xmlns:r="http://schemas.openxmlformats.org/officeDocument/2006/relationships" uri="GoogleSheetsCustomDataVersion2">
      <go:sheetsCustomData xmlns:go="http://customooxmlschemas.google.com/" r:id="rId1" roundtripDataSignature="AMtx7miHO7px4twUjHaiON8oUnG3/1o0EA=="/>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Citadel 02</author>
  </authors>
  <commentList>
    <comment ref="K36" authorId="0" shapeId="0" xr:uid="{C2E3163B-D89D-4FE9-9365-E853CB3B24FB}">
      <text>
        <r>
          <rPr>
            <b/>
            <sz val="9"/>
            <color indexed="81"/>
            <rFont val="Tahoma"/>
            <family val="2"/>
          </rPr>
          <t>AK:</t>
        </r>
        <r>
          <rPr>
            <sz val="9"/>
            <color indexed="81"/>
            <rFont val="Tahoma"/>
            <family val="2"/>
          </rPr>
          <t xml:space="preserve">
This is International Rev</t>
        </r>
      </text>
    </comment>
    <comment ref="G47" authorId="0" shapeId="0" xr:uid="{1AB31649-00A4-48CE-94A2-05DA09589712}">
      <text>
        <r>
          <rPr>
            <b/>
            <sz val="9"/>
            <color indexed="81"/>
            <rFont val="Tahoma"/>
            <family val="2"/>
          </rPr>
          <t>AK:</t>
        </r>
        <r>
          <rPr>
            <sz val="9"/>
            <color indexed="81"/>
            <rFont val="Tahoma"/>
            <family val="2"/>
          </rPr>
          <t xml:space="preserve">
Car Park EBITDA projected $17M and HH $8M assuming 80%-85% capacity.
Assuming 90% chance of achieving this.</t>
        </r>
      </text>
    </comment>
    <comment ref="E50" authorId="0" shapeId="0" xr:uid="{9E5EB8C9-781E-494B-9BB9-F762A40465B8}">
      <text>
        <r>
          <rPr>
            <b/>
            <sz val="9"/>
            <color indexed="81"/>
            <rFont val="Tahoma"/>
            <family val="2"/>
          </rPr>
          <t>AK:</t>
        </r>
        <r>
          <rPr>
            <sz val="9"/>
            <color indexed="81"/>
            <rFont val="Tahoma"/>
            <family val="2"/>
          </rPr>
          <t xml:space="preserve">
Assuming no further one-off costs as a result of the project</t>
        </r>
      </text>
    </comment>
    <comment ref="G50" authorId="0" shapeId="0" xr:uid="{EBAD45FA-EBE6-4586-A733-3B792F56CA58}">
      <text>
        <r>
          <rPr>
            <b/>
            <sz val="9"/>
            <color indexed="81"/>
            <rFont val="Tahoma"/>
            <family val="2"/>
          </rPr>
          <t>AK:</t>
        </r>
        <r>
          <rPr>
            <sz val="9"/>
            <color indexed="81"/>
            <rFont val="Tahoma"/>
            <family val="2"/>
          </rPr>
          <t xml:space="preserve">
One-off costs is in the range of $20-$30M incl. $11M NZICC/HH pre-opening costs. So taking mid-point cost of $25M, out of this, $11M pertains to NZICC and bal. other one-off $14M</t>
        </r>
      </text>
    </comment>
    <comment ref="K50" authorId="0" shapeId="0" xr:uid="{BD2853E3-5340-43C6-AA55-53CD74078ECF}">
      <text>
        <r>
          <rPr>
            <b/>
            <sz val="9"/>
            <color indexed="81"/>
            <rFont val="Tahoma"/>
            <family val="2"/>
          </rPr>
          <t>AK:</t>
        </r>
        <r>
          <rPr>
            <sz val="9"/>
            <color indexed="81"/>
            <rFont val="Tahoma"/>
            <family val="2"/>
          </rPr>
          <t xml:space="preserve">
This is International</t>
        </r>
      </text>
    </comment>
    <comment ref="I51" authorId="0" shapeId="0" xr:uid="{13AA488E-B36F-4900-95BC-AFB19FADDD0E}">
      <text>
        <r>
          <rPr>
            <b/>
            <sz val="9"/>
            <color indexed="81"/>
            <rFont val="Tahoma"/>
            <family val="2"/>
          </rPr>
          <t>AK:</t>
        </r>
        <r>
          <rPr>
            <sz val="9"/>
            <color indexed="81"/>
            <rFont val="Tahoma"/>
            <family val="2"/>
          </rPr>
          <t xml:space="preserve">
Excl. $2.1M GiG earning</t>
        </r>
      </text>
    </comment>
  </commentList>
</comments>
</file>

<file path=xl/sharedStrings.xml><?xml version="1.0" encoding="utf-8"?>
<sst xmlns="http://schemas.openxmlformats.org/spreadsheetml/2006/main" count="3380" uniqueCount="987">
  <si>
    <t>Generic DCF - High Level</t>
  </si>
  <si>
    <t>DCF Inputs Sheet</t>
  </si>
  <si>
    <t>Constants</t>
  </si>
  <si>
    <t>Forecast Inputs</t>
  </si>
  <si>
    <t>Subject Company</t>
  </si>
  <si>
    <t>Abc</t>
  </si>
  <si>
    <t>SKC.NZ</t>
  </si>
  <si>
    <t>Terminal WACC</t>
  </si>
  <si>
    <t>%</t>
  </si>
  <si>
    <t>Cost of Equity</t>
  </si>
  <si>
    <t>First Input Year</t>
  </si>
  <si>
    <t>#</t>
  </si>
  <si>
    <t>First Historic Financial Year End</t>
  </si>
  <si>
    <t>abc</t>
  </si>
  <si>
    <t>Last Balance Date</t>
  </si>
  <si>
    <t>Valuation Date</t>
  </si>
  <si>
    <t>Last Price</t>
  </si>
  <si>
    <t>$ / share</t>
  </si>
  <si>
    <t>Dividend NTM</t>
  </si>
  <si>
    <t>DCF Timing Settings</t>
  </si>
  <si>
    <t>Next Balance Date</t>
  </si>
  <si>
    <t>Current Date</t>
  </si>
  <si>
    <t>Net Debt</t>
  </si>
  <si>
    <t>Control</t>
  </si>
  <si>
    <t>Include Net Debt Adjustment for Leases?</t>
  </si>
  <si>
    <t>Yes</t>
  </si>
  <si>
    <t xml:space="preserve">&lt;&lt;&lt; Where company reports pre IFRS </t>
  </si>
  <si>
    <t>Short &amp; Long Term Debt</t>
  </si>
  <si>
    <t>$m</t>
  </si>
  <si>
    <t>Lease Liabilities</t>
  </si>
  <si>
    <t>&lt;&lt;&lt; Remove if pre-IFRS</t>
  </si>
  <si>
    <t>Cash &amp; Equivalents</t>
  </si>
  <si>
    <t>Net Cash (Debt)</t>
  </si>
  <si>
    <t>Lease Liability: (CF Statement)</t>
  </si>
  <si>
    <t>FY0</t>
  </si>
  <si>
    <t>Interest Payments on Leases</t>
  </si>
  <si>
    <t>$ 000's</t>
  </si>
  <si>
    <t>Lease Principal Repayments</t>
  </si>
  <si>
    <t>Total Cash Lease Payments</t>
  </si>
  <si>
    <t>Capitalisation of Lease Payments:</t>
  </si>
  <si>
    <t>Estimated Asset Life</t>
  </si>
  <si>
    <t>Years</t>
  </si>
  <si>
    <t>Cost of Secured Debt</t>
  </si>
  <si>
    <t>Lease Capitalisation Rate</t>
  </si>
  <si>
    <t>Lease Liability (Perpetuity)</t>
  </si>
  <si>
    <t>Check:</t>
  </si>
  <si>
    <t>Terminal Value Inputs</t>
  </si>
  <si>
    <t>Terminal Revenue</t>
  </si>
  <si>
    <t>Terminal EBITDA Margin</t>
  </si>
  <si>
    <t>Terminal Growth Rate</t>
  </si>
  <si>
    <t>Applies to Terminal EBITDA</t>
  </si>
  <si>
    <t>Exit Multiple (EV / EBITDA)</t>
  </si>
  <si>
    <t>x</t>
  </si>
  <si>
    <t>Terminal Year Control</t>
  </si>
  <si>
    <t>Year</t>
  </si>
  <si>
    <t>Terminal Value at Exit</t>
  </si>
  <si>
    <t>Method Selected</t>
  </si>
  <si>
    <t>EV/ EBITDA Exit Multiple</t>
  </si>
  <si>
    <t>Live Input (in Terminal)</t>
  </si>
  <si>
    <t>Exit Year &gt;&gt;&gt;</t>
  </si>
  <si>
    <t>Input Pre IFRS EBITDA Margin</t>
  </si>
  <si>
    <t>Input Pre IFRS Depreciation</t>
  </si>
  <si>
    <t>Input Pre IFRS EBITDA Multiple</t>
  </si>
  <si>
    <t>Apportionment</t>
  </si>
  <si>
    <t>Tax Rate (%)</t>
  </si>
  <si>
    <t>Shares Out (Millions) - Direct Input</t>
  </si>
  <si>
    <t>Millions</t>
  </si>
  <si>
    <t>&lt;&lt;&lt; Edit this (flows through to calcs) if IPO (no Reuters data)</t>
  </si>
  <si>
    <t>Shares Out (Millions)</t>
  </si>
  <si>
    <t xml:space="preserve">Millions </t>
  </si>
  <si>
    <t>Named Ranges</t>
  </si>
  <si>
    <t>Months in Year</t>
  </si>
  <si>
    <t>kt</t>
  </si>
  <si>
    <t>Days in year</t>
  </si>
  <si>
    <t>Lists</t>
  </si>
  <si>
    <t>Choice #1</t>
  </si>
  <si>
    <t>Choice #2</t>
  </si>
  <si>
    <t>No</t>
  </si>
  <si>
    <t>END OF SHEET</t>
  </si>
  <si>
    <t>FY20</t>
  </si>
  <si>
    <t>FY21</t>
  </si>
  <si>
    <t>NAV</t>
  </si>
  <si>
    <t>Underlying NPAT</t>
  </si>
  <si>
    <t>Shares</t>
  </si>
  <si>
    <t>NTA P/S</t>
  </si>
  <si>
    <t>AFFO</t>
  </si>
  <si>
    <t>Guided AFFO p/s</t>
  </si>
  <si>
    <t>AFFO Yield</t>
  </si>
  <si>
    <t>Valuation Dashboard</t>
  </si>
  <si>
    <t>DCF Valuation</t>
  </si>
  <si>
    <t>Value of Continuing Operations (EV)</t>
  </si>
  <si>
    <t>(+)</t>
  </si>
  <si>
    <t>Value of Other Assets (adjustments)</t>
  </si>
  <si>
    <t>(-)</t>
  </si>
  <si>
    <t>Current Net Cash (Debt)</t>
  </si>
  <si>
    <t>=</t>
  </si>
  <si>
    <t>Equity Value</t>
  </si>
  <si>
    <t>Shares Outstanding</t>
  </si>
  <si>
    <t>millions</t>
  </si>
  <si>
    <t>DCF Value per Share (spot)</t>
  </si>
  <si>
    <t>$ / Share</t>
  </si>
  <si>
    <t>Gordon growth Valuation</t>
  </si>
  <si>
    <t>12m Target Price</t>
  </si>
  <si>
    <t>Current Price</t>
  </si>
  <si>
    <t>Upside / (Downside) to Spot</t>
  </si>
  <si>
    <t>Dividend Yield NTM</t>
  </si>
  <si>
    <t>Weighted Average Cost of Capital</t>
  </si>
  <si>
    <t>Implied Current EV / EBITDA (cross check)</t>
  </si>
  <si>
    <t>Implied EV / EBIT (cross check)</t>
  </si>
  <si>
    <t>Trading EV / EBITDA (FY1)</t>
  </si>
  <si>
    <t>Trading EV / EBIT (FY1)</t>
  </si>
  <si>
    <t>Investment Returns</t>
  </si>
  <si>
    <t>Implied Price Return</t>
  </si>
  <si>
    <t>Dividend Yield</t>
  </si>
  <si>
    <t>Implied Total Return</t>
  </si>
  <si>
    <t xml:space="preserve">Currency </t>
  </si>
  <si>
    <t>AUD / NZD</t>
  </si>
  <si>
    <t>Scenario &amp; Sensitivity Analysis</t>
  </si>
  <si>
    <t>Scenarios and Sensitivities</t>
  </si>
  <si>
    <t>Cost of Capital &amp; Exit Multiple</t>
  </si>
  <si>
    <t>WACC Inputs</t>
  </si>
  <si>
    <t>Change in Terminal EBITDA Margin</t>
  </si>
  <si>
    <t>Change in WACC</t>
  </si>
  <si>
    <t>Tax Rate</t>
  </si>
  <si>
    <t>Incremental Change in Terminal Growth</t>
  </si>
  <si>
    <t>Change in EV / EBITDA</t>
  </si>
  <si>
    <t>Rf Rate</t>
  </si>
  <si>
    <t>Equity Risk Premium</t>
  </si>
  <si>
    <t>Modelled (FY1) EBITDA Margin</t>
  </si>
  <si>
    <t>Last Actual EBITDA Margin</t>
  </si>
  <si>
    <t xml:space="preserve">Consensus (FY1) EBITDA Margin </t>
  </si>
  <si>
    <t>Asset Beta</t>
  </si>
  <si>
    <t>Long run real gdp @ 2.8% since 2000</t>
  </si>
  <si>
    <t>Equity Beta</t>
  </si>
  <si>
    <t>Current / Offer Multiple</t>
  </si>
  <si>
    <t>n/a</t>
  </si>
  <si>
    <t>Target D/D+E</t>
  </si>
  <si>
    <t>Base Case Exit Multiple (EV / EBITDA)</t>
  </si>
  <si>
    <t>Linked to Inputs</t>
  </si>
  <si>
    <t>Base Case WACC</t>
  </si>
  <si>
    <t>Base Case Terminal Growth Rate</t>
  </si>
  <si>
    <t>Cost of Debt (Before tax)</t>
  </si>
  <si>
    <t>Sensitivity Analysis - GGM Valuation</t>
  </si>
  <si>
    <t>Sensitivity Analysis - EV / EBITDA Valuation</t>
  </si>
  <si>
    <t>Run Calculations in formula tab when inputs are amended (to update data tables)</t>
  </si>
  <si>
    <t>Terminal EBITDA Growth Rate (%)</t>
  </si>
  <si>
    <t>EV EBITDA Valuation</t>
  </si>
  <si>
    <t>Massey - sensitiviy analysis is a really nice to have</t>
  </si>
  <si>
    <t>Google how to do it if you don’t know! Lots of easy tuts online</t>
  </si>
  <si>
    <t>Terminal</t>
  </si>
  <si>
    <t>Cost</t>
  </si>
  <si>
    <t>EBITDA</t>
  </si>
  <si>
    <t>of</t>
  </si>
  <si>
    <t>Margin</t>
  </si>
  <si>
    <t>Capital</t>
  </si>
  <si>
    <t>(%)</t>
  </si>
  <si>
    <t>Next Twelve Months</t>
  </si>
  <si>
    <t>Comparable Companies</t>
  </si>
  <si>
    <t>EV / EBIT</t>
  </si>
  <si>
    <t>P / Earnings</t>
  </si>
  <si>
    <t>EV / EBITDA</t>
  </si>
  <si>
    <t>Scenario Analysis</t>
  </si>
  <si>
    <t xml:space="preserve">Gaming </t>
  </si>
  <si>
    <t>SGR.AX</t>
  </si>
  <si>
    <t>Key Scenario Inputs</t>
  </si>
  <si>
    <t>Realised/Actual Value</t>
  </si>
  <si>
    <t>Paste Values</t>
  </si>
  <si>
    <t>Average forecast Scenario</t>
  </si>
  <si>
    <t>ALL.AX</t>
  </si>
  <si>
    <t>Units</t>
  </si>
  <si>
    <t>Scenario (1)</t>
  </si>
  <si>
    <t>Scenario (2)</t>
  </si>
  <si>
    <t>Scenario (3)</t>
  </si>
  <si>
    <t>TAH.AX</t>
  </si>
  <si>
    <t>Forecast inputs</t>
  </si>
  <si>
    <t>Base Case</t>
  </si>
  <si>
    <t>Pre-Covid reversion</t>
  </si>
  <si>
    <t>Hist growth, stable</t>
  </si>
  <si>
    <t>TLC.AX</t>
  </si>
  <si>
    <t>Average (Annual) - For forecast period</t>
  </si>
  <si>
    <t>Change in Volumes</t>
  </si>
  <si>
    <t>Change in ASP</t>
  </si>
  <si>
    <t>Change in Operating Revenue</t>
  </si>
  <si>
    <t>Gross Margin</t>
  </si>
  <si>
    <t>EBITDA Margin</t>
  </si>
  <si>
    <t>Mean</t>
  </si>
  <si>
    <t>EBIT Margin</t>
  </si>
  <si>
    <t>Median</t>
  </si>
  <si>
    <t>Operating Tax Rate</t>
  </si>
  <si>
    <t>Max</t>
  </si>
  <si>
    <t>Min</t>
  </si>
  <si>
    <t>CAPEX / Sales</t>
  </si>
  <si>
    <t>Range (Max - Min)</t>
  </si>
  <si>
    <t>WC inv. / Sales</t>
  </si>
  <si>
    <t>Valuation inputs</t>
  </si>
  <si>
    <t>Constant WACC</t>
  </si>
  <si>
    <t>Exit EV / EBITDA</t>
  </si>
  <si>
    <t>Terminal EBITDA Growth</t>
  </si>
  <si>
    <t>EV Continuing Operations</t>
  </si>
  <si>
    <t>Other Adjustments (Non operating)</t>
  </si>
  <si>
    <t>Net Debt per share</t>
  </si>
  <si>
    <t>Spot Valuation (EV / EBITDA)</t>
  </si>
  <si>
    <t>Spot Valuation (Gordon Growth)</t>
  </si>
  <si>
    <t>Scenario Valuation</t>
  </si>
  <si>
    <t>Named Scenarios</t>
  </si>
  <si>
    <t>Low</t>
  </si>
  <si>
    <t>High</t>
  </si>
  <si>
    <t>Avg</t>
  </si>
  <si>
    <t>Scenario Weight</t>
  </si>
  <si>
    <t>Weighted Valuation</t>
  </si>
  <si>
    <t>Octagon DCF Valuation</t>
  </si>
  <si>
    <t>Historic Data</t>
  </si>
  <si>
    <t>Discounted Cashflow</t>
  </si>
  <si>
    <t>Year &gt;&gt;&gt;</t>
  </si>
  <si>
    <t>Period</t>
  </si>
  <si>
    <t>Mid Year Factor</t>
  </si>
  <si>
    <t>TVM Factor</t>
  </si>
  <si>
    <t>Financial Year Start</t>
  </si>
  <si>
    <t>Financial Year End</t>
  </si>
  <si>
    <t>Actual / Forecast</t>
  </si>
  <si>
    <t>Operating Flags</t>
  </si>
  <si>
    <t>Terminal Year Flag</t>
  </si>
  <si>
    <t>Header Aligned Check</t>
  </si>
  <si>
    <t>Valuation Cashflows</t>
  </si>
  <si>
    <t>Core Operating Revenue</t>
  </si>
  <si>
    <t>Operating Expenses</t>
  </si>
  <si>
    <t>PP&amp;E Depreciation Expense</t>
  </si>
  <si>
    <t>ROU Asset Depreciation Expense</t>
  </si>
  <si>
    <t>EBITA</t>
  </si>
  <si>
    <t>Amortisation Expense</t>
  </si>
  <si>
    <t>EBIT</t>
  </si>
  <si>
    <t>Adjusted Taxes</t>
  </si>
  <si>
    <t>Net Operating Profit After Tax</t>
  </si>
  <si>
    <t>PP&amp;E Depreciation</t>
  </si>
  <si>
    <t>ROU Asset Depreciation</t>
  </si>
  <si>
    <t>Change in WC</t>
  </si>
  <si>
    <t>Core Capital Expenditure (Tangibles)</t>
  </si>
  <si>
    <t>Core Capital Expenditure (Intangibles)</t>
  </si>
  <si>
    <t>Other Growth Investments</t>
  </si>
  <si>
    <t>Unlevered Free Cashflow</t>
  </si>
  <si>
    <t>Terminal Value (EV / EBITDA)</t>
  </si>
  <si>
    <t>Terminal Value (Gordon Growth)</t>
  </si>
  <si>
    <t>Apportioned Discrete Cashflow</t>
  </si>
  <si>
    <t>Apportioned Terminal Value</t>
  </si>
  <si>
    <t>Time Period to Cashflow</t>
  </si>
  <si>
    <t>Discount Factor</t>
  </si>
  <si>
    <t>PV of Discrete Cashflows</t>
  </si>
  <si>
    <t>PV of Terminal Value (EV/ EBITDA)</t>
  </si>
  <si>
    <t>&lt;&lt;&lt; Time Series does Not Apply &gt;&gt;&gt;</t>
  </si>
  <si>
    <t>Enterprise Value Bridge to Equity Value:</t>
  </si>
  <si>
    <t>&lt;&lt;&lt; Reuters link</t>
  </si>
  <si>
    <t>Dividend per Share NTM</t>
  </si>
  <si>
    <t>CPS</t>
  </si>
  <si>
    <t>&lt;&lt;&lt; Update to current year #'s</t>
  </si>
  <si>
    <t>Gordon Growth Cross Check</t>
  </si>
  <si>
    <t>PV of Terminal Value (Gordon Growth)</t>
  </si>
  <si>
    <t>Value of Continuing Operations</t>
  </si>
  <si>
    <t>DCF Value per Share (spot) G.G</t>
  </si>
  <si>
    <t>DCF Value per Share (spot) EV / EBITDA</t>
  </si>
  <si>
    <t>Valuation Spread (GG over EV / EBITDA)</t>
  </si>
  <si>
    <t>SOTP - Property based valuation</t>
  </si>
  <si>
    <t xml:space="preserve"> </t>
  </si>
  <si>
    <t>FY25 EBITDA</t>
  </si>
  <si>
    <t>EV/EBITDA (x)</t>
  </si>
  <si>
    <t>EV $m</t>
  </si>
  <si>
    <t>Auckland (incl Corporate)</t>
  </si>
  <si>
    <t>Adelaide</t>
  </si>
  <si>
    <t xml:space="preserve">Rest of NZ </t>
  </si>
  <si>
    <t xml:space="preserve">Online </t>
  </si>
  <si>
    <t xml:space="preserve">Enterprise value </t>
  </si>
  <si>
    <t>Net debt (peak) including leases</t>
  </si>
  <si>
    <t>Equity value</t>
  </si>
  <si>
    <t>Shares on issue</t>
  </si>
  <si>
    <t>Valuation (FY25)</t>
  </si>
  <si>
    <t>End of Sheet</t>
  </si>
  <si>
    <t>Summary P&amp;L</t>
  </si>
  <si>
    <t xml:space="preserve">Revenue </t>
  </si>
  <si>
    <t>Opex</t>
  </si>
  <si>
    <t>D&amp;A</t>
  </si>
  <si>
    <t>Lease Depr</t>
  </si>
  <si>
    <t xml:space="preserve">Net interest expense </t>
  </si>
  <si>
    <t>Lease interest expense</t>
  </si>
  <si>
    <t>Extraordinary items</t>
  </si>
  <si>
    <t>PBT</t>
  </si>
  <si>
    <t>Taxation</t>
  </si>
  <si>
    <t>NPAT (Reported)</t>
  </si>
  <si>
    <t>NPAT (Underlying)</t>
  </si>
  <si>
    <t xml:space="preserve">EPS </t>
  </si>
  <si>
    <t>$c</t>
  </si>
  <si>
    <t>Summary Balance Sheet</t>
  </si>
  <si>
    <t xml:space="preserve">Cash and cash equivalents </t>
  </si>
  <si>
    <t xml:space="preserve">Trade and other receivables </t>
  </si>
  <si>
    <t xml:space="preserve">Inventory </t>
  </si>
  <si>
    <t xml:space="preserve">Other current assets </t>
  </si>
  <si>
    <t>Total current assets</t>
  </si>
  <si>
    <t>Property, plant and equipment</t>
  </si>
  <si>
    <t>Intangible assets</t>
  </si>
  <si>
    <t>Right of use assets</t>
  </si>
  <si>
    <t>Other non-current assets</t>
  </si>
  <si>
    <t>Total non-current assets</t>
  </si>
  <si>
    <t>TOTAL ASSETS</t>
  </si>
  <si>
    <t>Trade and other payables</t>
  </si>
  <si>
    <t>Short term debt</t>
  </si>
  <si>
    <t>Lease liabilities</t>
  </si>
  <si>
    <t>Other current liabilities</t>
  </si>
  <si>
    <t>Total current liabilities</t>
  </si>
  <si>
    <t>Non-current lease liabilities</t>
  </si>
  <si>
    <t>Borrowings</t>
  </si>
  <si>
    <t>Other non-current liabilities</t>
  </si>
  <si>
    <t>TOTAL LIABILITIES</t>
  </si>
  <si>
    <t>Net assets</t>
  </si>
  <si>
    <t>Share capital</t>
  </si>
  <si>
    <t>Retained earnings</t>
  </si>
  <si>
    <t>Reserves</t>
  </si>
  <si>
    <t>Total equity</t>
  </si>
  <si>
    <t>balance check</t>
  </si>
  <si>
    <t>Net debt</t>
  </si>
  <si>
    <t>Working capital</t>
  </si>
  <si>
    <t>Change in working capital</t>
  </si>
  <si>
    <t>Summary Cash Flow Statements</t>
  </si>
  <si>
    <t>Interest paid</t>
  </si>
  <si>
    <t>Tax paid</t>
  </si>
  <si>
    <t>Other</t>
  </si>
  <si>
    <t>Net cash from operating activities</t>
  </si>
  <si>
    <t>Acquisition / sale of business</t>
  </si>
  <si>
    <t>Payment for intangibles</t>
  </si>
  <si>
    <t>Capex</t>
  </si>
  <si>
    <t>Other investing cash flows</t>
  </si>
  <si>
    <t>Net cash from investing activities</t>
  </si>
  <si>
    <t>Net borrowing</t>
  </si>
  <si>
    <t>Dividends paid to shareholders</t>
  </si>
  <si>
    <t>Payments for lease principal</t>
  </si>
  <si>
    <t>Other financing cash flows</t>
  </si>
  <si>
    <t>Net cash from financing activities</t>
  </si>
  <si>
    <t>Net movement in cash and cash equivalents</t>
  </si>
  <si>
    <t>Opening cash and cash equivalents</t>
  </si>
  <si>
    <t>Ending cash and cash equivalents</t>
  </si>
  <si>
    <t>check ending cash to BS</t>
  </si>
  <si>
    <t>Free cash flow</t>
  </si>
  <si>
    <t>Operating cash flow (pre-IFRS 16)</t>
  </si>
  <si>
    <t>FCFF</t>
  </si>
  <si>
    <t>Change in net debt</t>
  </si>
  <si>
    <t>FCFE</t>
  </si>
  <si>
    <t>Trade Receivables</t>
  </si>
  <si>
    <t>Trade Payables</t>
  </si>
  <si>
    <t>Net Working Capital</t>
  </si>
  <si>
    <t>Days Receivable</t>
  </si>
  <si>
    <t>Days Payable</t>
  </si>
  <si>
    <t>Core</t>
  </si>
  <si>
    <t>Non-BAU</t>
  </si>
  <si>
    <t>Intagibles</t>
  </si>
  <si>
    <t>Capex % revenue</t>
  </si>
  <si>
    <t>Core % revenue</t>
  </si>
  <si>
    <t>Additional data</t>
  </si>
  <si>
    <t>Depreciation and amortisation (inc leases)</t>
  </si>
  <si>
    <t>Auckland</t>
  </si>
  <si>
    <t>Rest of NZ</t>
  </si>
  <si>
    <t>Corp / Group</t>
  </si>
  <si>
    <t>Depreciation</t>
  </si>
  <si>
    <t>Lease depreciation</t>
  </si>
  <si>
    <t>Amortisation</t>
  </si>
  <si>
    <t>Casino licence (Adelaide)</t>
  </si>
  <si>
    <t>Software</t>
  </si>
  <si>
    <t xml:space="preserve">Gaming machine entitlements </t>
  </si>
  <si>
    <t>% of D&amp;A to revenues</t>
  </si>
  <si>
    <t>Pre-Covid Averages</t>
  </si>
  <si>
    <t xml:space="preserve">Total </t>
  </si>
  <si>
    <t>Dividend payout ratio</t>
  </si>
  <si>
    <t>Policy 60-90% normalised NPAT</t>
  </si>
  <si>
    <t>EBIT adj</t>
  </si>
  <si>
    <t>IFRS-16</t>
  </si>
  <si>
    <t>Right of Use Asset</t>
  </si>
  <si>
    <t>Opening Balance: ROU Asset</t>
  </si>
  <si>
    <t>Add: Theoretical Lease Term Additions</t>
  </si>
  <si>
    <t>Less: Lease Depreciation (to IS)</t>
  </si>
  <si>
    <t>+/-</t>
  </si>
  <si>
    <t>Lease Modifications (Balancing Factor)</t>
  </si>
  <si>
    <t>Closing Balance: Right of Use Asset</t>
  </si>
  <si>
    <t>Lease Liability</t>
  </si>
  <si>
    <t>Opening Balance - Lease Liability</t>
  </si>
  <si>
    <t>Less: Lease Principal Amortisation</t>
  </si>
  <si>
    <t>Closing Balance - Lease Liability</t>
  </si>
  <si>
    <t>Interest Expense on Lease Liability</t>
  </si>
  <si>
    <t>Check: Average Balance - Lease Liability</t>
  </si>
  <si>
    <t>Check: Interest on Avg Lease Liability Balance</t>
  </si>
  <si>
    <t>Lease Liability Interest Rate (IBR)</t>
  </si>
  <si>
    <t>Ending ROU Asset % of Sales</t>
  </si>
  <si>
    <t>Depreciation / Opening ROU Asset</t>
  </si>
  <si>
    <t>Principal Amortisation / Opening Balance</t>
  </si>
  <si>
    <t>Lease Interest / Opening Liability</t>
  </si>
  <si>
    <t>Input Data Raw</t>
  </si>
  <si>
    <t>Company Name</t>
  </si>
  <si>
    <t>Vulcan Steel</t>
  </si>
  <si>
    <t>Latest Completed Financial Year</t>
  </si>
  <si>
    <t>Last Financial Year End</t>
  </si>
  <si>
    <t>Number of Historic Years</t>
  </si>
  <si>
    <t>Company Description</t>
  </si>
  <si>
    <t>Period Number</t>
  </si>
  <si>
    <t>Flag Active</t>
  </si>
  <si>
    <t>Adjusted Period</t>
  </si>
  <si>
    <t>Active Period Counter (Relative)</t>
  </si>
  <si>
    <t>&gt;&gt;&gt;</t>
  </si>
  <si>
    <t>Financial Year</t>
  </si>
  <si>
    <t>Header</t>
  </si>
  <si>
    <t>Description</t>
  </si>
  <si>
    <t>1)</t>
  </si>
  <si>
    <t>Time Periods</t>
  </si>
  <si>
    <t>Period Counter</t>
  </si>
  <si>
    <t>Financial Year Beginning</t>
  </si>
  <si>
    <t>Financial Year Ending</t>
  </si>
  <si>
    <t>2)</t>
  </si>
  <si>
    <t>Financial Statements</t>
  </si>
  <si>
    <t>Profit &amp; Loss</t>
  </si>
  <si>
    <t>Volumes</t>
  </si>
  <si>
    <t>Steel</t>
  </si>
  <si>
    <t>Metals</t>
  </si>
  <si>
    <t>Total Volume</t>
  </si>
  <si>
    <t>Unit Price &amp; Cost</t>
  </si>
  <si>
    <t>Average Selling Price</t>
  </si>
  <si>
    <t>$ / kt</t>
  </si>
  <si>
    <t>Average Cost per unit</t>
  </si>
  <si>
    <t>Revenues</t>
  </si>
  <si>
    <t>Steel Revenue</t>
  </si>
  <si>
    <t>Metals Revenue</t>
  </si>
  <si>
    <t>Operating Revenue</t>
  </si>
  <si>
    <t>COGS</t>
  </si>
  <si>
    <t>Cost of Goods Sold</t>
  </si>
  <si>
    <t>Gross Margin %</t>
  </si>
  <si>
    <t>Operating Costs</t>
  </si>
  <si>
    <t>Employee Benefits</t>
  </si>
  <si>
    <t>Selling &amp; Distribution</t>
  </si>
  <si>
    <t>Occupancy Costs (Post IFRS)</t>
  </si>
  <si>
    <t>General &amp; Administration</t>
  </si>
  <si>
    <t>Total Operating Expenses</t>
  </si>
  <si>
    <t>Normalised EBITDA</t>
  </si>
  <si>
    <t>Add: Other Income &amp; Expenses</t>
  </si>
  <si>
    <t>Equals: Adjusted EBITDA</t>
  </si>
  <si>
    <t>Check: EBITDA</t>
  </si>
  <si>
    <t>Depreciation &amp; Amortisation</t>
  </si>
  <si>
    <t>Unadjusted Depreciation &amp; Amort</t>
  </si>
  <si>
    <t>Depreciation ex ROU Assets</t>
  </si>
  <si>
    <t>Net Interest (Total)</t>
  </si>
  <si>
    <t>Lease Interest</t>
  </si>
  <si>
    <t>Net interest (Pre IFRS 16)</t>
  </si>
  <si>
    <t>Earnings Before Taxes</t>
  </si>
  <si>
    <t>Taxes</t>
  </si>
  <si>
    <t>NPAT</t>
  </si>
  <si>
    <t>Check: NPAT</t>
  </si>
  <si>
    <t>5)</t>
  </si>
  <si>
    <t>Other Company Data</t>
  </si>
  <si>
    <t>a) Geographic Exposure</t>
  </si>
  <si>
    <t>b) Market Segments (End Exposure)</t>
  </si>
  <si>
    <t>Revenues / Customers?</t>
  </si>
  <si>
    <t>New Zealand</t>
  </si>
  <si>
    <t>Engineering</t>
  </si>
  <si>
    <t>NSW</t>
  </si>
  <si>
    <t>Manufacturing</t>
  </si>
  <si>
    <t>VIC</t>
  </si>
  <si>
    <t>Fabricating</t>
  </si>
  <si>
    <t>QLD</t>
  </si>
  <si>
    <t>Sheetmetal</t>
  </si>
  <si>
    <t>SA</t>
  </si>
  <si>
    <t>Transport</t>
  </si>
  <si>
    <t>WA</t>
  </si>
  <si>
    <t>Mining</t>
  </si>
  <si>
    <t>Rollformers</t>
  </si>
  <si>
    <t>Food &amp; Agriculture</t>
  </si>
  <si>
    <t>Australia</t>
  </si>
  <si>
    <t>Total</t>
  </si>
  <si>
    <t>Growth Rates (Volume)</t>
  </si>
  <si>
    <t xml:space="preserve">$m </t>
  </si>
  <si>
    <t>NZ Steel consumption</t>
  </si>
  <si>
    <t>AU Steel consumption</t>
  </si>
  <si>
    <t>Weighted Avg</t>
  </si>
  <si>
    <t>c) Offer Metrics</t>
  </si>
  <si>
    <t>d) Customer Analysis</t>
  </si>
  <si>
    <t>Number of Employees</t>
  </si>
  <si>
    <t>55% hourly</t>
  </si>
  <si>
    <t>45% salaried</t>
  </si>
  <si>
    <t>Customers #1</t>
  </si>
  <si>
    <t>Customers #2 - #20</t>
  </si>
  <si>
    <t>Currency Conversion Rate</t>
  </si>
  <si>
    <t xml:space="preserve">Other Customers </t>
  </si>
  <si>
    <t>Offer Price</t>
  </si>
  <si>
    <t>Offer Size</t>
  </si>
  <si>
    <t>AU $m</t>
  </si>
  <si>
    <t>Shares Available under the Offer</t>
  </si>
  <si>
    <t>Key Risks</t>
  </si>
  <si>
    <t>Number of Shares @ Completion</t>
  </si>
  <si>
    <t>AU</t>
  </si>
  <si>
    <t>NZ</t>
  </si>
  <si>
    <t>Macro Drivers</t>
  </si>
  <si>
    <t xml:space="preserve">Indicative Market Cap </t>
  </si>
  <si>
    <t>AUD $m</t>
  </si>
  <si>
    <t>Indicative Market Cap</t>
  </si>
  <si>
    <t>NZD $m</t>
  </si>
  <si>
    <t>End Markets AU</t>
  </si>
  <si>
    <t>Pro Forma Net Debt incl Lease Liabilities</t>
  </si>
  <si>
    <t>Construction</t>
  </si>
  <si>
    <t>Enterprise Value</t>
  </si>
  <si>
    <t>FY22F EBITDA</t>
  </si>
  <si>
    <t>FY22F EBIT</t>
  </si>
  <si>
    <t>FY22F NPAT</t>
  </si>
  <si>
    <t>End Markets NZ</t>
  </si>
  <si>
    <t>Market Cap / FY22 NPAT</t>
  </si>
  <si>
    <t>4.5 - 6.0%</t>
  </si>
  <si>
    <t>Net Debt / EBITDA (post IFRS 16)</t>
  </si>
  <si>
    <t xml:space="preserve">e) </t>
  </si>
  <si>
    <t>f) Supplier Analysis</t>
  </si>
  <si>
    <t>BLD.AX</t>
  </si>
  <si>
    <t>Top 6 Suppliers</t>
  </si>
  <si>
    <t>Supplier Mix by Location</t>
  </si>
  <si>
    <t>GWA.AX</t>
  </si>
  <si>
    <t>REH.AX</t>
  </si>
  <si>
    <t>Bluescope</t>
  </si>
  <si>
    <t>FBU.NZ</t>
  </si>
  <si>
    <t>Infrabuild</t>
  </si>
  <si>
    <t>Australasia</t>
  </si>
  <si>
    <t>GUD.AX</t>
  </si>
  <si>
    <t>STU.NZ</t>
  </si>
  <si>
    <t>Milltech - Martin Bright</t>
  </si>
  <si>
    <t>Overseas</t>
  </si>
  <si>
    <t>ABC.AX</t>
  </si>
  <si>
    <t>JFE</t>
  </si>
  <si>
    <t>BSL.AX</t>
  </si>
  <si>
    <t>VULCAN STEEL</t>
  </si>
  <si>
    <t>Vulcan</t>
  </si>
  <si>
    <t>CITIC</t>
  </si>
  <si>
    <t>YC INOX</t>
  </si>
  <si>
    <t>Stainless Steel</t>
  </si>
  <si>
    <t>Vulcan Relative to median</t>
  </si>
  <si>
    <t>Engineering Steel</t>
  </si>
  <si>
    <t xml:space="preserve">Adjustments </t>
  </si>
  <si>
    <t>i) Balance Sheet</t>
  </si>
  <si>
    <t>Pre IPO Dist.</t>
  </si>
  <si>
    <t>Impact of Offer</t>
  </si>
  <si>
    <t>h) Volume Drivers, Revenue, COGS</t>
  </si>
  <si>
    <t>Statutory</t>
  </si>
  <si>
    <t>Pro forma</t>
  </si>
  <si>
    <t>Current Assets</t>
  </si>
  <si>
    <t>FY19 (A)</t>
  </si>
  <si>
    <t>FY20 (A)</t>
  </si>
  <si>
    <t>FY21 (A)</t>
  </si>
  <si>
    <t>FY22 (F)</t>
  </si>
  <si>
    <t>Trade &amp; Other Receivables</t>
  </si>
  <si>
    <t>Inventories</t>
  </si>
  <si>
    <t>Derivative Financial Instruments</t>
  </si>
  <si>
    <t>Total Current Assets</t>
  </si>
  <si>
    <t>Non Current Assets</t>
  </si>
  <si>
    <t>Property Plant &amp; Equipment</t>
  </si>
  <si>
    <t xml:space="preserve">Average Unit Cost </t>
  </si>
  <si>
    <t>Right of Use Assets</t>
  </si>
  <si>
    <t>Gross Profit / unit</t>
  </si>
  <si>
    <t>Intangible Assets</t>
  </si>
  <si>
    <t>Deferred Tax Assets</t>
  </si>
  <si>
    <t>Change in Volume</t>
  </si>
  <si>
    <t>Total Non current Assets</t>
  </si>
  <si>
    <t xml:space="preserve">Total Assets </t>
  </si>
  <si>
    <t>Operating Revenue growth</t>
  </si>
  <si>
    <t>Current liabilities</t>
  </si>
  <si>
    <t>Revenue</t>
  </si>
  <si>
    <t>Change</t>
  </si>
  <si>
    <t>Tax payable</t>
  </si>
  <si>
    <t>Construction, manufacturing &amp; mining sector to drive FY22 increase</t>
  </si>
  <si>
    <t>Total Current Liabilities</t>
  </si>
  <si>
    <t>Volumes across Australasia linked to macroeconomic factors</t>
  </si>
  <si>
    <t>Non Current Liabilities</t>
  </si>
  <si>
    <t>j) Operating Expenses</t>
  </si>
  <si>
    <t>FY19</t>
  </si>
  <si>
    <t>FY22</t>
  </si>
  <si>
    <t>Interest Bearing Liabilities</t>
  </si>
  <si>
    <t>Total non-current liabilities</t>
  </si>
  <si>
    <t>Total liabilities</t>
  </si>
  <si>
    <t>Occupancy Costs</t>
  </si>
  <si>
    <t>Net Assets</t>
  </si>
  <si>
    <t>Share Capital</t>
  </si>
  <si>
    <t>Retained Earnings</t>
  </si>
  <si>
    <t>Other Income / (Expense)</t>
  </si>
  <si>
    <t xml:space="preserve">Total Equity </t>
  </si>
  <si>
    <t>l) Capital Expenditures</t>
  </si>
  <si>
    <t>CAPEX</t>
  </si>
  <si>
    <t>Maintenance capex ~5 - 6.5m per annum</t>
  </si>
  <si>
    <t>i) Ownership</t>
  </si>
  <si>
    <t>IFRS 16 Reconciliation</t>
  </si>
  <si>
    <t>Decrease in Operating Lease Expense</t>
  </si>
  <si>
    <t>Depreciation RoU Asset</t>
  </si>
  <si>
    <t>Interest Expense Impact</t>
  </si>
  <si>
    <t>Net Tax Impact</t>
  </si>
  <si>
    <t>Other Costs</t>
  </si>
  <si>
    <t>Net Interest</t>
  </si>
  <si>
    <t>Income Tax</t>
  </si>
  <si>
    <t>l) Cash flows</t>
  </si>
  <si>
    <t>Net Interest (Paid) / Received</t>
  </si>
  <si>
    <t>Non-cash items</t>
  </si>
  <si>
    <t>Operating Cash flow</t>
  </si>
  <si>
    <t>Cash Lease Payments</t>
  </si>
  <si>
    <t>Cashflow before corporate financing &amp; tax</t>
  </si>
  <si>
    <t>FY21 Dividend</t>
  </si>
  <si>
    <t>Debt Drawdown</t>
  </si>
  <si>
    <t>Pre IPO Distribution</t>
  </si>
  <si>
    <t>Income Tax Paid</t>
  </si>
  <si>
    <t>Net Cashflow</t>
  </si>
  <si>
    <t xml:space="preserve"> Add: Offer Costs</t>
  </si>
  <si>
    <t>Net CF Add offer Costs</t>
  </si>
  <si>
    <t>Change in Sales</t>
  </si>
  <si>
    <t>l) Debt Summary</t>
  </si>
  <si>
    <t>Net Debt (Pre IFRS)</t>
  </si>
  <si>
    <t>Net Debt (IFRS 16)</t>
  </si>
  <si>
    <t>Return on Capital Employed</t>
  </si>
  <si>
    <t>Capital Employed</t>
  </si>
  <si>
    <t>Equity + Net Debt + Lease liabilities</t>
  </si>
  <si>
    <t>Octagon SKC Valuation</t>
  </si>
  <si>
    <t>Total revenue</t>
  </si>
  <si>
    <t>Growth rates</t>
  </si>
  <si>
    <t>EBITDA (underlying)</t>
  </si>
  <si>
    <t>Total EBITDA</t>
  </si>
  <si>
    <t>EBIT (underlying)</t>
  </si>
  <si>
    <t xml:space="preserve">Other + online </t>
  </si>
  <si>
    <t>Total EBIT</t>
  </si>
  <si>
    <t>Total D&amp;A</t>
  </si>
  <si>
    <t>Tax</t>
  </si>
  <si>
    <t>Check-Tax at 28%</t>
  </si>
  <si>
    <t>Total Tax</t>
  </si>
  <si>
    <t>Interest Expense</t>
  </si>
  <si>
    <t>Total Interest Expense</t>
  </si>
  <si>
    <t>YoY</t>
  </si>
  <si>
    <t>DPS</t>
  </si>
  <si>
    <t>DPS (cents)</t>
  </si>
  <si>
    <t>Payout Ratio</t>
  </si>
  <si>
    <t>Adjustment Factor</t>
  </si>
  <si>
    <t>DPS Theoretically</t>
  </si>
  <si>
    <t>Difference</t>
  </si>
  <si>
    <t>Adjusted DPS (cents)</t>
  </si>
  <si>
    <t>DPS Theory Adjustment Factor</t>
  </si>
  <si>
    <t xml:space="preserve">Auckland </t>
  </si>
  <si>
    <t>EGM's (inc. GST)</t>
  </si>
  <si>
    <t>Table Games (inc. GST)</t>
  </si>
  <si>
    <t xml:space="preserve">Gaming GST </t>
  </si>
  <si>
    <t xml:space="preserve"> Its 15% but historical GST / gaming revenue is always 13%</t>
  </si>
  <si>
    <t>Gaming revenues</t>
  </si>
  <si>
    <t>Food and beverage</t>
  </si>
  <si>
    <t>Hotels</t>
  </si>
  <si>
    <t>Sky Tower</t>
  </si>
  <si>
    <t>Non-Gaming revenues</t>
  </si>
  <si>
    <t>Total Auckland revenues</t>
  </si>
  <si>
    <t>Non-gaming</t>
  </si>
  <si>
    <t xml:space="preserve">Shared services and property costs </t>
  </si>
  <si>
    <t xml:space="preserve"> LR annual cost growth</t>
  </si>
  <si>
    <t>Other cost i.e. compliance / one -offs</t>
  </si>
  <si>
    <t>EBITDA (norm ex IB)</t>
  </si>
  <si>
    <t>margin</t>
  </si>
  <si>
    <t>Massey team - I think easiest way for you is to forecast revenue growth for the above revenue lines and then either make an assumption on gaming and nongaming EBITDA and back out shared services cost (bit trickier) OR just make an EBITDA margin assumption based on historics and then mix shift in to future</t>
  </si>
  <si>
    <t>i.e. if gaming grows faster then EBITDA margin show grow because gaming has a higher EBITDA margin. I have left the assumptions below so you can understand how I think about EBITDA margins across each contributor but the reality is its just made up as Co does not disclose it!!</t>
  </si>
  <si>
    <t>What is most important is that you make an assumption on the EBITDA profile and margin and you can very clearly explain why you have done so</t>
  </si>
  <si>
    <t xml:space="preserve">Assumptions - I don’t think you need this but ill let you take a look at it </t>
  </si>
  <si>
    <t>EGM's</t>
  </si>
  <si>
    <t>Number of EGM's</t>
  </si>
  <si>
    <t xml:space="preserve">Implied spend per machine per day </t>
  </si>
  <si>
    <t>$</t>
  </si>
  <si>
    <t>growth</t>
  </si>
  <si>
    <t>Table Games</t>
  </si>
  <si>
    <t>Number of Tables</t>
  </si>
  <si>
    <t>Restaurants / cafes</t>
  </si>
  <si>
    <t>Average daily spend</t>
  </si>
  <si>
    <t>Hotel rooms</t>
  </si>
  <si>
    <t>Average room rate</t>
  </si>
  <si>
    <t>Occupancy</t>
  </si>
  <si>
    <t>Carparks</t>
  </si>
  <si>
    <t>Revenue per park per day</t>
  </si>
  <si>
    <t>NZICC</t>
  </si>
  <si>
    <t>Total Rest of NZ revenues</t>
  </si>
  <si>
    <t>Invested capital &amp; returns (EBIT basis)</t>
  </si>
  <si>
    <t>Capital invested</t>
  </si>
  <si>
    <t>Total capex</t>
  </si>
  <si>
    <t>Total invested capital</t>
  </si>
  <si>
    <t>Average</t>
  </si>
  <si>
    <t>ROIC</t>
  </si>
  <si>
    <t>Assumptions - act as a sense check but so long as revenue growth low and EBITDA margin 2-3% below pre-Covid LR then okay</t>
  </si>
  <si>
    <t>A$m</t>
  </si>
  <si>
    <t xml:space="preserve">  YoY</t>
  </si>
  <si>
    <t>Total Adelaide revenues</t>
  </si>
  <si>
    <t>NZD/AUD</t>
  </si>
  <si>
    <t>NZ$m</t>
  </si>
  <si>
    <t xml:space="preserve">Other - Online, International Business, Corporate </t>
  </si>
  <si>
    <t>Online revenues</t>
  </si>
  <si>
    <t>International business</t>
  </si>
  <si>
    <t>Others</t>
  </si>
  <si>
    <t xml:space="preserve">Total other revenues </t>
  </si>
  <si>
    <t>Online</t>
  </si>
  <si>
    <t>Growth</t>
  </si>
  <si>
    <t>Range</t>
  </si>
  <si>
    <t>Log</t>
  </si>
  <si>
    <t>PERCENTAGE</t>
  </si>
  <si>
    <t>SUMMARY OUTPUT</t>
  </si>
  <si>
    <t>Regression Statistics</t>
  </si>
  <si>
    <t>Multiple R</t>
  </si>
  <si>
    <t>R Square</t>
  </si>
  <si>
    <t>Adjusted R Square</t>
  </si>
  <si>
    <t>Standard Error</t>
  </si>
  <si>
    <t>Observations</t>
  </si>
  <si>
    <t>ANOVA</t>
  </si>
  <si>
    <t>df</t>
  </si>
  <si>
    <t>SS</t>
  </si>
  <si>
    <t>MS</t>
  </si>
  <si>
    <t>F</t>
  </si>
  <si>
    <t>Significance F</t>
  </si>
  <si>
    <t>Assumptions over current growth rate</t>
  </si>
  <si>
    <t>Regression</t>
  </si>
  <si>
    <t>Residual</t>
  </si>
  <si>
    <t>Coefficients</t>
  </si>
  <si>
    <t>t Stat</t>
  </si>
  <si>
    <t>P-value</t>
  </si>
  <si>
    <t>Lower 95%</t>
  </si>
  <si>
    <t>Upper 95%</t>
  </si>
  <si>
    <t>Lower 95.0%</t>
  </si>
  <si>
    <t>Upper 95.0%</t>
  </si>
  <si>
    <t>Intercept</t>
  </si>
  <si>
    <t>X Variable 1</t>
  </si>
  <si>
    <t>DPS adjustment factor 2026 onwards, constant.</t>
  </si>
  <si>
    <t>FY 24</t>
  </si>
  <si>
    <t>Rest NZ</t>
  </si>
  <si>
    <t>Group</t>
  </si>
  <si>
    <t>Online Gaming</t>
  </si>
  <si>
    <t>Int'l Business</t>
  </si>
  <si>
    <t>Machine</t>
  </si>
  <si>
    <t>Table</t>
  </si>
  <si>
    <t>Gaming</t>
  </si>
  <si>
    <t>Other segments?</t>
  </si>
  <si>
    <t>Non Gaming</t>
  </si>
  <si>
    <t>GST</t>
  </si>
  <si>
    <t>FY 23</t>
  </si>
  <si>
    <t>FY 22</t>
  </si>
  <si>
    <t>FY 21</t>
  </si>
  <si>
    <t>FY 20</t>
  </si>
  <si>
    <t>EPS</t>
  </si>
  <si>
    <t>Earnings per Share (EPS)</t>
  </si>
  <si>
    <t>Underlying Earnings</t>
  </si>
  <si>
    <t>Total Underlying Earnings</t>
  </si>
  <si>
    <t>Increases in Net Debt</t>
  </si>
  <si>
    <t>Principal Debt Repayments</t>
  </si>
  <si>
    <t>New Debt Issues</t>
  </si>
  <si>
    <t>DCF Value per Share (spot) - FCFE</t>
  </si>
  <si>
    <t>AKL EMGs Revenue</t>
  </si>
  <si>
    <t>Cager</t>
  </si>
  <si>
    <t>Weighted with cagr</t>
  </si>
  <si>
    <t>Forcasting Years</t>
  </si>
  <si>
    <t>Regression Growth rate</t>
  </si>
  <si>
    <t xml:space="preserve">CAGR Growth Rate </t>
  </si>
  <si>
    <t>Forecasted Growth Rate</t>
  </si>
  <si>
    <t>AKL Table Games Revenue</t>
  </si>
  <si>
    <t>AKL Non Gaming Revenue</t>
  </si>
  <si>
    <t>AKL EBITDA</t>
  </si>
  <si>
    <t>Forecasted Growth Rate (EMG)</t>
  </si>
  <si>
    <t>Forecasted Growth Rate (Table Games)</t>
  </si>
  <si>
    <t>Adelaide EMGs Revenue</t>
  </si>
  <si>
    <t>Rest of NZ EMGs Revenue</t>
  </si>
  <si>
    <t>Rest of NZ Table Games Revenue</t>
  </si>
  <si>
    <t>Rest of NZ Non Gaming Revenue</t>
  </si>
  <si>
    <t>Rest of NZ EBITDA</t>
  </si>
  <si>
    <t>Adelaide Table Games Revenue</t>
  </si>
  <si>
    <t>Adelaide Non Gaming Revenue</t>
  </si>
  <si>
    <t>Adelaide EBITDA</t>
  </si>
  <si>
    <t>International Business Revenue</t>
  </si>
  <si>
    <t>Online Revenue</t>
  </si>
  <si>
    <t>Total Others  EBITDA</t>
  </si>
  <si>
    <t>DDM Valuation - Forecasting Method</t>
  </si>
  <si>
    <t>Terminal Value</t>
  </si>
  <si>
    <t xml:space="preserve">Dividends per Share (DPS) </t>
  </si>
  <si>
    <t>DPS Growth (g)</t>
  </si>
  <si>
    <t>Present Value (PV)</t>
  </si>
  <si>
    <t>FY25</t>
  </si>
  <si>
    <t>FY26</t>
  </si>
  <si>
    <t>FY27</t>
  </si>
  <si>
    <t>FY28</t>
  </si>
  <si>
    <t>FY29</t>
  </si>
  <si>
    <t>FY30</t>
  </si>
  <si>
    <t>FY31</t>
  </si>
  <si>
    <t>FY32</t>
  </si>
  <si>
    <t>FY34</t>
  </si>
  <si>
    <t>FY33</t>
  </si>
  <si>
    <t>DDM Value per Share (spot)</t>
  </si>
  <si>
    <t>Relative Valuation Dashboard</t>
  </si>
  <si>
    <t>P/B Ratio</t>
  </si>
  <si>
    <t>Comparable Companies P/B Ratio</t>
  </si>
  <si>
    <t>FY23</t>
  </si>
  <si>
    <t>FY24</t>
  </si>
  <si>
    <t>SKY CITY ENTERTAINMENT (SKC:NZ)</t>
  </si>
  <si>
    <t>DONACO INTL LTD (DNA;ASX)</t>
  </si>
  <si>
    <t>STAR ENTERTAINME (SGR;ASX)</t>
  </si>
  <si>
    <t>TABCORP HLDGS(TAH;ASX)</t>
  </si>
  <si>
    <t>Forecast</t>
  </si>
  <si>
    <t>Expected FY25 Total Assets</t>
  </si>
  <si>
    <t>Expected FY25 Book Value</t>
  </si>
  <si>
    <t>Expected FY25 Total Liabilities</t>
  </si>
  <si>
    <t>B/V Value per Share (spot)</t>
  </si>
  <si>
    <t>Average Comparable P/B Ratios:</t>
  </si>
  <si>
    <t>YoY Average</t>
  </si>
  <si>
    <t>Implied B/V Value per Share (spot)</t>
  </si>
  <si>
    <t>Methodology</t>
  </si>
  <si>
    <t>Intrisic Value</t>
  </si>
  <si>
    <t xml:space="preserve">Weight </t>
  </si>
  <si>
    <t>DDM</t>
  </si>
  <si>
    <t>DCF</t>
  </si>
  <si>
    <t>P/B</t>
  </si>
  <si>
    <t>Variables</t>
  </si>
  <si>
    <t>Scenario Simulator</t>
  </si>
  <si>
    <t>Upside</t>
  </si>
  <si>
    <t>Base</t>
  </si>
  <si>
    <t>Downside</t>
  </si>
  <si>
    <t>Premium/ (Discount)</t>
  </si>
  <si>
    <t xml:space="preserve">Recommendation </t>
  </si>
  <si>
    <t>Market Price</t>
  </si>
  <si>
    <t>Final Price per Share (spot)</t>
  </si>
  <si>
    <t>Summary Dashboard</t>
  </si>
  <si>
    <t>Black Scholes Pricing</t>
  </si>
  <si>
    <t>Inputs</t>
  </si>
  <si>
    <t>Maturity in years (t)</t>
  </si>
  <si>
    <t>Annual standard deviation, percent (σ)</t>
  </si>
  <si>
    <t xml:space="preserve">Interest rate </t>
  </si>
  <si>
    <t>INTERMEDIATE CALCULATIONS:</t>
  </si>
  <si>
    <t>PV(EX)</t>
  </si>
  <si>
    <t>d1 = [ln(P/EX)+(r+σ^2/2)t] / (σ√t)</t>
  </si>
  <si>
    <t>d2  =  d1 - σ√t</t>
  </si>
  <si>
    <t>N(d1) (use the function "NORMDIST")</t>
  </si>
  <si>
    <t>N(d2)</t>
  </si>
  <si>
    <t>OPTION VALUES:</t>
  </si>
  <si>
    <t>Exercise price (EX) (in millions$)</t>
  </si>
  <si>
    <t>Call value (in millions$) = P N(d1)  - EX [e^(-rt)] N(d2)</t>
  </si>
  <si>
    <t>Intrinsic Value</t>
  </si>
  <si>
    <t>Current Price of underlying (P) (in millions$)</t>
  </si>
  <si>
    <t>Just a comment here, every business is different. Whilst we can use a relative valaution its important to make sure we adjust each company if we need to. SGR's P/B ratio is extremely low because of its problems which brings the average peer set down. Why is that fair to discount SKC based on problems in SGR that are NOT found in SKC? At the very least we need to identify these valaution metholodgy short comings in our report</t>
  </si>
  <si>
    <t xml:space="preserve">I suggest you look at this and give it an attempt </t>
  </si>
  <si>
    <t>See comments on SKC segments page, around declining payout ratio</t>
  </si>
  <si>
    <t xml:space="preserve">Other </t>
  </si>
  <si>
    <t>FCFE1</t>
  </si>
  <si>
    <t>Growth rate (Terminal)</t>
  </si>
  <si>
    <t>Value</t>
  </si>
  <si>
    <t>Hold</t>
  </si>
  <si>
    <t>FY 21 Report extracts on Capex</t>
  </si>
  <si>
    <t>$M</t>
  </si>
  <si>
    <t>FY 21 Group Cash Capex</t>
  </si>
  <si>
    <t>Future Major Projects</t>
  </si>
  <si>
    <t xml:space="preserve">FY 21 </t>
  </si>
  <si>
    <t>FY 19</t>
  </si>
  <si>
    <t>Dividends</t>
  </si>
  <si>
    <t>Initial impact of mandatory carded play</t>
  </si>
  <si>
    <t>Growth Capex</t>
  </si>
  <si>
    <t>NZICC/Horizon Hotel</t>
  </si>
  <si>
    <t>$53M</t>
  </si>
  <si>
    <t>15%-20% of annual uncarded gaming revenue</t>
  </si>
  <si>
    <t>Stay in business Capex</t>
  </si>
  <si>
    <t>Adelaide Expansion</t>
  </si>
  <si>
    <t>Dividend payout policy 60%-90% of NPAT</t>
  </si>
  <si>
    <t>Adelaide expansion last time happened from 2018 - 2021</t>
  </si>
  <si>
    <t>D&amp;A $105M</t>
  </si>
  <si>
    <t>Growth Capex primarily relates to major projects in Auckland and Adelaide</t>
  </si>
  <si>
    <t>Stay in business Capex primarily relates to regular refurbishments and upgrades e.g. Kitchen upgrades, Tables and Electronic upgrades, gaming rooms, bars, hotel rooms etc.</t>
  </si>
  <si>
    <t>FY 22 Report extracts on Capex</t>
  </si>
  <si>
    <t>FY 25</t>
  </si>
  <si>
    <t>FY 23 Estimate</t>
  </si>
  <si>
    <t>Maintenance and refurbishment of existing properties required</t>
  </si>
  <si>
    <t>FY 23 Report extracts on Capex</t>
  </si>
  <si>
    <t>Stay in Business</t>
  </si>
  <si>
    <t>Breakdown</t>
  </si>
  <si>
    <t>Corporate</t>
  </si>
  <si>
    <t>Queenstown</t>
  </si>
  <si>
    <t>Hamilton</t>
  </si>
  <si>
    <t>FY 24 Report extracts on Capex</t>
  </si>
  <si>
    <t>NZICC Capex in 2025</t>
  </si>
  <si>
    <t>Gaming equipment investment</t>
  </si>
  <si>
    <t>Growth (NZICC HH)</t>
  </si>
  <si>
    <t>Property maintenance - Lift, Kitchen etc.</t>
  </si>
  <si>
    <t>ICT spend</t>
  </si>
  <si>
    <t>FY25 Capex Outlook</t>
  </si>
  <si>
    <t xml:space="preserve">Stay in business </t>
  </si>
  <si>
    <t>60 - 70M</t>
  </si>
  <si>
    <t>Calculation of Stay in Business Capex</t>
  </si>
  <si>
    <t>25 E</t>
  </si>
  <si>
    <t>26 E</t>
  </si>
  <si>
    <t>27 E</t>
  </si>
  <si>
    <t>28 E</t>
  </si>
  <si>
    <t>29 E</t>
  </si>
  <si>
    <t>30 E</t>
  </si>
  <si>
    <t>31 E</t>
  </si>
  <si>
    <t>32 E</t>
  </si>
  <si>
    <t>33 E</t>
  </si>
  <si>
    <t>34 E</t>
  </si>
  <si>
    <t>Depreciation 25 Additions</t>
  </si>
  <si>
    <t>Depreciation 26 Additions</t>
  </si>
  <si>
    <t>Depreciation 27 Additions</t>
  </si>
  <si>
    <t>Depreciation 28 Additions</t>
  </si>
  <si>
    <t>Depreciation 29 Additions</t>
  </si>
  <si>
    <t>Depreciation 30 Additions</t>
  </si>
  <si>
    <t>Depreciation 31 Additions</t>
  </si>
  <si>
    <t>Depreciation 32 Additions</t>
  </si>
  <si>
    <t>Depreciation 33 Additions</t>
  </si>
  <si>
    <t>Depreciation 34 Additions</t>
  </si>
  <si>
    <t xml:space="preserve">Note: Auckland has mostly concluded its growth expansion in form of NZICC, HH, Car Park etc. We assume that the Company will target increaing Adelaide's growth share in form of growth capex starting FY 30, outlay in the range of ~$300M - $350M. This is in line with last growth Capex in Adelaide during FY 18 - FY 21 </t>
  </si>
  <si>
    <t xml:space="preserve">Growth (Adelaide) </t>
  </si>
  <si>
    <t>Depreciation (Assuming new precints)</t>
  </si>
  <si>
    <t>(Depreciation of 50 years on Building)</t>
  </si>
  <si>
    <t>SLM Depreciation</t>
  </si>
  <si>
    <t>Time</t>
  </si>
  <si>
    <t>Building &amp; Fitout</t>
  </si>
  <si>
    <t>5 - 75 years</t>
  </si>
  <si>
    <t>Plant, equipment &amp; Motor Vehicles</t>
  </si>
  <si>
    <t>2 - 75 years</t>
  </si>
  <si>
    <t>Fixtures &amp; Fittings</t>
  </si>
  <si>
    <t>3 - 20 years</t>
  </si>
  <si>
    <t>Assuming most stay in business capex is Fixtures &amp; Fittings, hence depreciation at an average 20 years SLM basis</t>
  </si>
  <si>
    <t>Segments</t>
  </si>
  <si>
    <t>NZICC Investment</t>
  </si>
  <si>
    <t>(Operation FY25)</t>
  </si>
  <si>
    <t>Furniture &amp; Fixtures</t>
  </si>
  <si>
    <t>EBITDA margin is calculated incl. gaming GST</t>
  </si>
  <si>
    <t>Others incomes in the past included - NZICC Fire income, liquidated damages on NZICC and HH</t>
  </si>
  <si>
    <t>Look at theoretical win rate vs actual win rate 1.35% Theo Vs 1.47% Actual in FY 21</t>
  </si>
  <si>
    <t>Key Points</t>
  </si>
  <si>
    <t xml:space="preserve">Segment Information </t>
  </si>
  <si>
    <t>NZ Other</t>
  </si>
  <si>
    <t>Adelaide in A$</t>
  </si>
  <si>
    <t>Normalised IB Revenue</t>
  </si>
  <si>
    <t>Normalised Revenue (incl. Gaming GST)</t>
  </si>
  <si>
    <t>% of total</t>
  </si>
  <si>
    <t>Corp Costs</t>
  </si>
  <si>
    <t>NZICC/HH Pre-opening</t>
  </si>
  <si>
    <t>Auckland (Excl. GST)</t>
  </si>
  <si>
    <t>Normalised EBITDA (incl. Gaming GST)</t>
  </si>
  <si>
    <t>Normalised EBITDA (incl. Gaming GST) - In Total</t>
  </si>
  <si>
    <t>Normalised Rev - In Total (Exc. GST)</t>
  </si>
  <si>
    <t>Company thinks to build hotel in Adelaide to attract more customers in future</t>
  </si>
  <si>
    <t>NZICC expected to add 30,000 extra tourists and overall 500,000 customers into Skycity yearly</t>
  </si>
  <si>
    <t>Auckland 65% rev and 70% EBITDA</t>
  </si>
  <si>
    <t>Queenstown Wharf closure, expected cost in FY 25 $1.5M</t>
  </si>
  <si>
    <t>Future Growth for the Company - Driven in extra small spending with economy improving</t>
  </si>
  <si>
    <t>Adelaide has a location benefit - Near to sports stadium and shopping centres</t>
  </si>
  <si>
    <t>Skycity Auckland</t>
  </si>
  <si>
    <t>Total visitations as a result will grow to 5M instead of 4.5M currently in Auckland</t>
  </si>
  <si>
    <t>Skycity Adelaide</t>
  </si>
  <si>
    <t>Premium Table Games revenue enhanced by higher theoretical win rate 2.6% against 1.8%</t>
  </si>
  <si>
    <t>Table Games grew due to better labour availability to operate tables</t>
  </si>
  <si>
    <t>Machine gaming revenue impacted by challenging environment</t>
  </si>
  <si>
    <t>FY 24 occupancy at 85%</t>
  </si>
  <si>
    <t>39% EBITDA margin</t>
  </si>
  <si>
    <t>Visitations lower due to lower tourism in South Australia (Interstate and International)</t>
  </si>
  <si>
    <t>Gaming machine revenue usually down in SA</t>
  </si>
  <si>
    <t>Premium Tables win rate 1.63% against 1.35%</t>
  </si>
  <si>
    <t>EOS hotel occupancy 75% reflecting softer leisure market</t>
  </si>
  <si>
    <t>6.8% reduction in expenses</t>
  </si>
  <si>
    <t>Skycity Hamilton and Queenstown</t>
  </si>
  <si>
    <t>New customer offerings in Hamilton</t>
  </si>
  <si>
    <t>Lowering expenses</t>
  </si>
  <si>
    <t>Improved Table games play</t>
  </si>
  <si>
    <t>Casino licence well underway</t>
  </si>
  <si>
    <t>Skycity Online</t>
  </si>
  <si>
    <t>NZ online market grew in FY 24, but revenue impacted by smaller bet size and players</t>
  </si>
  <si>
    <t>$2.2M GiG earnings, but have now sold GiG</t>
  </si>
  <si>
    <t>Facing challenges due to regulation. NZ Govt. expected to take steps in FY26</t>
  </si>
  <si>
    <t>FY25 Outlook</t>
  </si>
  <si>
    <t>MCP - NZ FY 25 and AU FY 26. No card, no play</t>
  </si>
  <si>
    <t>High existing card base to build from current 65% in AKL and 70% in Adelaide to +95%</t>
  </si>
  <si>
    <t>MCP initial impact - 15% to 20% of annual uncarded gaming revenue - high degree of uncertainty with this assumption</t>
  </si>
  <si>
    <t>EBITDA $245M - $265M. With one-off costs related to risk and compliance uplift &amp; NZICC pre-open investment $11M</t>
  </si>
  <si>
    <t>Expected FY 25 stay in business capex to be $60M - $70M</t>
  </si>
  <si>
    <t>One-off costs</t>
  </si>
  <si>
    <t>Car park FY25 EBITDA $17M</t>
  </si>
  <si>
    <t>Assumptions</t>
  </si>
  <si>
    <t>MCP will have 15% - 20% impact on revenue of the company which is already aggressive assumption. We take a base case scenario of 15% as the company believes to build the share of carded base</t>
  </si>
  <si>
    <t>Card</t>
  </si>
  <si>
    <t>Uncard</t>
  </si>
  <si>
    <t>EBITDA impact</t>
  </si>
  <si>
    <t>FY 26</t>
  </si>
  <si>
    <t>FY 27</t>
  </si>
  <si>
    <t>Average Expenses</t>
  </si>
  <si>
    <t>Fy 25 with GST</t>
  </si>
  <si>
    <t>Variable &amp; Fixed Expense</t>
  </si>
  <si>
    <t xml:space="preserve">Arbitrary 15% future regulatory impact </t>
  </si>
  <si>
    <t>Relative</t>
  </si>
  <si>
    <t>Error Factor</t>
  </si>
  <si>
    <t>Included in both CAPM &amp; Fama</t>
  </si>
  <si>
    <t>Included in only Farma</t>
  </si>
  <si>
    <t>Excluded</t>
  </si>
  <si>
    <t>Included  in only CAPM</t>
  </si>
  <si>
    <t xml:space="preserve">Terminal Growth rate </t>
  </si>
  <si>
    <t>Weight of CAPM to Fama</t>
  </si>
  <si>
    <t>Change in Capex</t>
  </si>
  <si>
    <t>Cost of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</si>
</sst>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
    <numFmt numFmtId="41" formatCode="_-* #,##0_-;\-* #,##0_-;_-* &quot;-&quot;_-;_-@_-"/>
    <numFmt numFmtId="44" formatCode="_-&quot;$&quot;* #,##0.00_-;\-&quot;$&quot;* #,##0.00_-;_-&quot;$&quot;* &quot;-&quot;??_-;_-@_-"/>
    <numFmt numFmtId="43" formatCode="_-* #,##0.00_-;\-* #,##0.00_-;_-* &quot;-&quot;??_-;_-@_-"/>
    <numFmt numFmtId="164" formatCode="#,##0.0_);\(#,##0.0\);&quot;-&quot;_);@_)"/>
    <numFmt numFmtId="165" formatCode="0.0"/>
    <numFmt numFmtId="166" formatCode="d\ mmm\ yy_);d\ mmm\ yy_);&quot;-&quot;_);@_)"/>
    <numFmt numFmtId="167" formatCode="0.0%"/>
    <numFmt numFmtId="168" formatCode="0.0%_);\(0.0%\);&quot;-&quot;_);@_)"/>
    <numFmt numFmtId="169" formatCode="#,##0.00_);\(#,##0.00\);&quot;-&quot;_);@_)"/>
    <numFmt numFmtId="170" formatCode="#,##0.000_);\(#,##0.000\);&quot;-&quot;_);@_)"/>
    <numFmt numFmtId="171" formatCode="0.0\x;\(0.0\x\);&quot;–&quot;"/>
    <numFmt numFmtId="172" formatCode="_-* #,##0.00_-;\-* #,##0.00_-;_-* &quot;-&quot;??_-;_-@"/>
    <numFmt numFmtId="173" formatCode="#,##0_);\(#,##0\);&quot;-&quot;_);@_)"/>
    <numFmt numFmtId="174" formatCode="0.00%_);\(0.00%\);&quot;-&quot;_);@_)"/>
    <numFmt numFmtId="175" formatCode="0.00\x;\(0.00\x\);&quot;–&quot;"/>
    <numFmt numFmtId="176" formatCode="0.00\x"/>
    <numFmt numFmtId="177" formatCode="_-&quot;$&quot;* #,##0.00_-;\-&quot;$&quot;* #,##0.00_-;_-&quot;$&quot;* &quot;-&quot;??_-;_-@"/>
    <numFmt numFmtId="178" formatCode="###0_);\(###0\);&quot;-&quot;_);@_)"/>
    <numFmt numFmtId="179" formatCode="0.00000%"/>
    <numFmt numFmtId="180" formatCode="0.000%"/>
    <numFmt numFmtId="181" formatCode="0%_);\(0%\);&quot;-&quot;_);@_)"/>
    <numFmt numFmtId="182" formatCode="#,##0.0"/>
    <numFmt numFmtId="183" formatCode="0.000"/>
    <numFmt numFmtId="184" formatCode="_-* #,##0.0_-;\-* #,##0.0_-;_-* &quot;-&quot;??_-;_-@"/>
    <numFmt numFmtId="185" formatCode="_-* #,##0_-;\-* #,##0_-;_-* &quot;-&quot;??_-;_-@"/>
    <numFmt numFmtId="186" formatCode="###0.0_);\(###0.0\);&quot;-&quot;_);@_)"/>
    <numFmt numFmtId="187" formatCode="_-* #,##0.00_-;\-* #,##0.00_-;_-* &quot;-&quot;_-;_-@"/>
    <numFmt numFmtId="188" formatCode="_-* #,##0.0_-;\-* #,##0.0_-;_-* &quot;-&quot;??_-;_-@_-"/>
    <numFmt numFmtId="189" formatCode="0.00%;\(0.00%\)"/>
    <numFmt numFmtId="190" formatCode="#,##0.000"/>
    <numFmt numFmtId="191" formatCode="&quot;FY&quot;yy"/>
    <numFmt numFmtId="192" formatCode="0.0%;\(0.0%\)"/>
    <numFmt numFmtId="193" formatCode="_(#,##0.00_)_%;\(#,##0.00\)_%;_(&quot;–&quot;_)_%;_(@_)_%"/>
    <numFmt numFmtId="194" formatCode="_(* #,##0.00_);_(* \(#,##0.00\);_(* &quot;-&quot;?_);_(@_)"/>
    <numFmt numFmtId="195" formatCode="0.00;\(0.00\)"/>
    <numFmt numFmtId="196" formatCode="_-* #,##0.00_-;\-* #,##0.00_-;_-* &quot;-&quot;_-;_-@_-"/>
    <numFmt numFmtId="197" formatCode="_-* #,##0_-;\-* #,##0_-;_-* &quot;-&quot;??_-;_-@_-"/>
    <numFmt numFmtId="198" formatCode="0.0000%"/>
    <numFmt numFmtId="199" formatCode="_-* #,##0.000_-;\-* #,##0.000_-;_-* &quot;-&quot;??_-;_-@_-"/>
  </numFmts>
  <fonts count="6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b/>
      <sz val="10"/>
      <color theme="0"/>
      <name val="Arial"/>
      <family val="2"/>
    </font>
    <font>
      <i/>
      <sz val="10"/>
      <color theme="0"/>
      <name val="Arial"/>
      <family val="2"/>
    </font>
    <font>
      <i/>
      <sz val="10"/>
      <color rgb="FF000000"/>
      <name val="Arial"/>
      <family val="2"/>
    </font>
    <font>
      <i/>
      <sz val="10"/>
      <color theme="1"/>
      <name val="Arial"/>
      <family val="2"/>
    </font>
    <font>
      <sz val="10"/>
      <color rgb="FF000000"/>
      <name val="Arial"/>
      <family val="2"/>
    </font>
    <font>
      <sz val="10"/>
      <color rgb="FF0000FF"/>
      <name val="Arial"/>
      <family val="2"/>
    </font>
    <font>
      <u/>
      <sz val="10"/>
      <color theme="1"/>
      <name val="Arial"/>
      <family val="2"/>
    </font>
    <font>
      <b/>
      <i/>
      <sz val="10"/>
      <color theme="1"/>
      <name val="Arial"/>
      <family val="2"/>
    </font>
    <font>
      <b/>
      <i/>
      <sz val="10"/>
      <color rgb="FF000000"/>
      <name val="Arial"/>
      <family val="2"/>
    </font>
    <font>
      <i/>
      <sz val="10"/>
      <color rgb="FF0000FF"/>
      <name val="Arial"/>
      <family val="2"/>
    </font>
    <font>
      <u/>
      <sz val="10"/>
      <color theme="0"/>
      <name val="Arial"/>
      <family val="2"/>
    </font>
    <font>
      <sz val="10"/>
      <color theme="0"/>
      <name val="Arial"/>
      <family val="2"/>
    </font>
    <font>
      <b/>
      <sz val="10"/>
      <color rgb="FF0000FF"/>
      <name val="Arial"/>
      <family val="2"/>
    </font>
    <font>
      <sz val="11"/>
      <name val="Calibri"/>
      <family val="2"/>
    </font>
    <font>
      <u/>
      <sz val="10"/>
      <color theme="1"/>
      <name val="Arial"/>
      <family val="2"/>
    </font>
    <font>
      <i/>
      <u/>
      <sz val="10"/>
      <color theme="1"/>
      <name val="Arial"/>
      <family val="2"/>
    </font>
    <font>
      <u/>
      <sz val="10"/>
      <color rgb="FF0000FF"/>
      <name val="Arial"/>
      <family val="2"/>
    </font>
    <font>
      <b/>
      <sz val="11"/>
      <color theme="1"/>
      <name val="Arial"/>
      <family val="2"/>
    </font>
    <font>
      <b/>
      <sz val="10"/>
      <color rgb="FF000000"/>
      <name val="Arial"/>
      <family val="2"/>
    </font>
    <font>
      <sz val="11"/>
      <color theme="1"/>
      <name val="Calibri"/>
      <family val="2"/>
    </font>
    <font>
      <b/>
      <sz val="11"/>
      <color theme="0"/>
      <name val="Arial"/>
      <family val="2"/>
    </font>
    <font>
      <i/>
      <sz val="11"/>
      <color theme="1"/>
      <name val="Calibri"/>
      <family val="2"/>
    </font>
    <font>
      <b/>
      <sz val="11"/>
      <color theme="1"/>
      <name val="Calibri"/>
      <family val="2"/>
    </font>
    <font>
      <sz val="10"/>
      <color theme="8"/>
      <name val="Arial"/>
      <family val="2"/>
    </font>
    <font>
      <sz val="10"/>
      <color rgb="FF2E75B5"/>
      <name val="Arial"/>
      <family val="2"/>
    </font>
    <font>
      <sz val="9"/>
      <color theme="1"/>
      <name val="Calibri"/>
      <family val="2"/>
    </font>
    <font>
      <i/>
      <sz val="10"/>
      <color rgb="FFFF0000"/>
      <name val="Arial"/>
      <family val="2"/>
    </font>
    <font>
      <sz val="10"/>
      <color rgb="FFFF0000"/>
      <name val="Arial"/>
      <family val="2"/>
    </font>
    <font>
      <sz val="11"/>
      <color theme="1"/>
      <name val="Calibri"/>
      <family val="2"/>
      <scheme val="minor"/>
    </font>
    <font>
      <b/>
      <sz val="10"/>
      <color rgb="FF2E75B5"/>
      <name val="Arial"/>
      <family val="2"/>
    </font>
    <font>
      <u/>
      <sz val="10"/>
      <color theme="1"/>
      <name val="Arial"/>
      <family val="2"/>
    </font>
    <font>
      <b/>
      <i/>
      <sz val="10"/>
      <color rgb="FF0000FF"/>
      <name val="Arial"/>
      <family val="2"/>
    </font>
    <font>
      <sz val="10"/>
      <color rgb="FFADB9CA"/>
      <name val="Arial"/>
      <family val="2"/>
    </font>
    <font>
      <i/>
      <sz val="10"/>
      <color rgb="FF1E4E79"/>
      <name val="Arial"/>
      <family val="2"/>
    </font>
    <font>
      <b/>
      <sz val="11"/>
      <color rgb="FFFF0000"/>
      <name val="Calibri"/>
      <family val="2"/>
    </font>
    <font>
      <sz val="11"/>
      <color rgb="FFFF0000"/>
      <name val="Calibri"/>
      <family val="2"/>
    </font>
    <font>
      <b/>
      <u/>
      <sz val="11"/>
      <color theme="1"/>
      <name val="Calibri"/>
      <family val="2"/>
    </font>
    <font>
      <sz val="11"/>
      <color theme="1"/>
      <name val="Calibri"/>
      <family val="2"/>
      <scheme val="minor"/>
    </font>
    <font>
      <sz val="9"/>
      <color indexed="81"/>
      <name val="Tahoma"/>
      <family val="2"/>
    </font>
    <font>
      <sz val="10"/>
      <color theme="3" tint="0.59999389629810485"/>
      <name val="Arial"/>
      <family val="2"/>
    </font>
    <font>
      <sz val="10"/>
      <color theme="4" tint="-0.249977111117893"/>
      <name val="Arial"/>
      <family val="2"/>
    </font>
    <font>
      <b/>
      <sz val="10"/>
      <name val="Arial"/>
      <family val="2"/>
    </font>
    <font>
      <sz val="10"/>
      <name val="Arial"/>
      <family val="2"/>
    </font>
    <font>
      <b/>
      <sz val="9"/>
      <color indexed="81"/>
      <name val="Tahoma"/>
      <family val="2"/>
    </font>
    <font>
      <b/>
      <sz val="9"/>
      <color rgb="FF000000"/>
      <name val="Tahoma"/>
      <family val="2"/>
    </font>
    <font>
      <sz val="9"/>
      <color rgb="FF000000"/>
      <name val="Tahoma"/>
      <family val="2"/>
    </font>
    <font>
      <i/>
      <sz val="10"/>
      <name val="Arial"/>
      <family val="2"/>
    </font>
    <font>
      <i/>
      <sz val="11"/>
      <color theme="1"/>
      <name val="Calibri"/>
      <family val="2"/>
      <scheme val="minor"/>
    </font>
    <font>
      <sz val="11"/>
      <color theme="1"/>
      <name val="Calibri"/>
      <family val="2"/>
      <scheme val="minor"/>
    </font>
    <font>
      <sz val="8"/>
      <name val="Calibri"/>
      <family val="2"/>
      <scheme val="minor"/>
    </font>
    <font>
      <b/>
      <sz val="10"/>
      <color theme="5"/>
      <name val="Arial"/>
      <family val="2"/>
    </font>
    <font>
      <sz val="10"/>
      <color rgb="FF8496B0"/>
      <name val="Arial"/>
      <family val="2"/>
    </font>
    <font>
      <sz val="10"/>
      <color theme="5"/>
      <name val="Arial"/>
      <family val="2"/>
    </font>
    <font>
      <sz val="11"/>
      <color theme="1"/>
      <name val="Calibri"/>
      <family val="2"/>
      <scheme val="minor"/>
    </font>
    <font>
      <b/>
      <sz val="11"/>
      <color theme="1"/>
      <name val="Calibri"/>
      <family val="2"/>
      <scheme val="minor"/>
    </font>
    <font>
      <b/>
      <u/>
      <sz val="11"/>
      <color theme="1"/>
      <name val="Calibri"/>
      <family val="2"/>
      <scheme val="minor"/>
    </font>
    <font>
      <b/>
      <i/>
      <sz val="11"/>
      <color theme="1"/>
      <name val="Calibri"/>
      <family val="2"/>
      <scheme val="minor"/>
    </font>
    <font>
      <b/>
      <i/>
      <u/>
      <sz val="11"/>
      <color theme="1"/>
      <name val="Calibri"/>
      <family val="2"/>
      <scheme val="minor"/>
    </font>
    <font>
      <i/>
      <u/>
      <sz val="11"/>
      <color theme="1"/>
      <name val="Calibri"/>
      <family val="2"/>
      <scheme val="minor"/>
    </font>
    <font>
      <sz val="11"/>
      <color theme="1"/>
      <name val="Arial"/>
      <family val="2"/>
    </font>
  </fonts>
  <fills count="36">
    <fill>
      <patternFill patternType="none"/>
    </fill>
    <fill>
      <patternFill patternType="gray125"/>
    </fill>
    <fill>
      <patternFill patternType="solid">
        <fgColor rgb="FF44546A"/>
        <bgColor rgb="FF44546A"/>
      </patternFill>
    </fill>
    <fill>
      <patternFill patternType="solid">
        <fgColor rgb="FFE7E6E6"/>
        <bgColor rgb="FFE7E6E6"/>
      </patternFill>
    </fill>
    <fill>
      <patternFill patternType="solid">
        <fgColor rgb="FFFFF1CC"/>
        <bgColor rgb="FFFFF1CC"/>
      </patternFill>
    </fill>
    <fill>
      <patternFill patternType="solid">
        <fgColor rgb="FFD9D9D9"/>
        <bgColor rgb="FFD9D9D9"/>
      </patternFill>
    </fill>
    <fill>
      <patternFill patternType="solid">
        <fgColor rgb="FFD8D8D8"/>
        <bgColor rgb="FFD8D8D8"/>
      </patternFill>
    </fill>
    <fill>
      <patternFill patternType="solid">
        <fgColor rgb="FFFEF2CB"/>
        <bgColor rgb="FFFEF2CB"/>
      </patternFill>
    </fill>
    <fill>
      <patternFill patternType="solid">
        <fgColor rgb="FFD6DCE4"/>
        <bgColor rgb="FFD6DCE4"/>
      </patternFill>
    </fill>
    <fill>
      <patternFill patternType="solid">
        <fgColor rgb="FF7F7F7F"/>
        <bgColor rgb="FF7F7F7F"/>
      </patternFill>
    </fill>
    <fill>
      <patternFill patternType="solid">
        <fgColor rgb="FFFFFF00"/>
        <bgColor rgb="FFFFFF00"/>
      </patternFill>
    </fill>
    <fill>
      <patternFill patternType="solid">
        <fgColor rgb="FFADB9CA"/>
        <bgColor rgb="FFADB9CA"/>
      </patternFill>
    </fill>
    <fill>
      <patternFill patternType="solid">
        <fgColor rgb="FFD0CECE"/>
        <bgColor rgb="FFD0CECE"/>
      </patternFill>
    </fill>
    <fill>
      <patternFill patternType="solid">
        <fgColor rgb="FFDEEAF6"/>
        <bgColor rgb="FFDEEAF6"/>
      </patternFill>
    </fill>
    <fill>
      <patternFill patternType="solid">
        <fgColor rgb="FFAEABAB"/>
        <bgColor rgb="FFAEABAB"/>
      </patternFill>
    </fill>
    <fill>
      <patternFill patternType="solid">
        <fgColor rgb="FFFFFF66"/>
        <bgColor rgb="FFFFFF66"/>
      </patternFill>
    </fill>
    <fill>
      <patternFill patternType="solid">
        <fgColor rgb="FF9CC2E5"/>
        <bgColor rgb="FF9CC2E5"/>
      </patternFill>
    </fill>
    <fill>
      <patternFill patternType="solid">
        <fgColor rgb="FFDADADA"/>
        <bgColor rgb="FFDADADA"/>
      </patternFill>
    </fill>
    <fill>
      <patternFill patternType="solid">
        <fgColor rgb="FFE2EFD9"/>
        <bgColor rgb="FFE2EFD9"/>
      </patternFill>
    </fill>
    <fill>
      <patternFill patternType="solid">
        <fgColor rgb="FFFFFF66"/>
        <bgColor indexed="64"/>
      </patternFill>
    </fill>
    <fill>
      <patternFill patternType="solid">
        <fgColor theme="7"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2" tint="-0.14999847407452621"/>
        <bgColor indexed="64"/>
      </patternFill>
    </fill>
    <fill>
      <patternFill patternType="solid">
        <fgColor rgb="FF44546A"/>
        <bgColor indexed="64"/>
      </patternFill>
    </fill>
    <fill>
      <patternFill patternType="solid">
        <fgColor theme="3" tint="0.59996337778862885"/>
        <bgColor indexed="64"/>
      </patternFill>
    </fill>
    <fill>
      <patternFill patternType="solid">
        <fgColor theme="2" tint="-0.249977111117893"/>
        <bgColor indexed="64"/>
      </patternFill>
    </fill>
    <fill>
      <patternFill patternType="solid">
        <fgColor theme="0"/>
        <bgColor indexed="64"/>
      </patternFill>
    </fill>
    <fill>
      <patternFill patternType="solid">
        <fgColor rgb="FF92D050"/>
        <bgColor rgb="FFD9D9D9"/>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0" tint="-0.14999847407452621"/>
        <bgColor indexed="64"/>
      </patternFill>
    </fill>
  </fills>
  <borders count="62">
    <border>
      <left/>
      <right/>
      <top/>
      <bottom/>
      <diagonal/>
    </border>
    <border>
      <left/>
      <right/>
      <top/>
      <bottom/>
      <diagonal/>
    </border>
    <border>
      <left/>
      <right/>
      <top style="thin">
        <color rgb="FF000000"/>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style="thin">
        <color rgb="FFA6A6A6"/>
      </top>
      <bottom/>
      <diagonal/>
    </border>
    <border>
      <left style="thin">
        <color rgb="FFA6A6A6"/>
      </left>
      <right style="thin">
        <color rgb="FFA6A6A6"/>
      </right>
      <top style="thin">
        <color rgb="FFA6A6A6"/>
      </top>
      <bottom style="thin">
        <color rgb="FFA5A5A5"/>
      </bottom>
      <diagonal/>
    </border>
    <border>
      <left style="thin">
        <color rgb="FFA6A6A6"/>
      </left>
      <right style="thin">
        <color rgb="FFA6A6A6"/>
      </right>
      <top style="thin">
        <color rgb="FFA5A5A5"/>
      </top>
      <bottom style="thin">
        <color rgb="FFA6A6A6"/>
      </bottom>
      <diagonal/>
    </border>
    <border>
      <left style="thin">
        <color rgb="FFA6A6A6"/>
      </left>
      <right style="thin">
        <color rgb="FFA6A6A6"/>
      </right>
      <top/>
      <bottom style="thin">
        <color rgb="FFA6A6A6"/>
      </bottom>
      <diagonal/>
    </border>
    <border>
      <left style="thin">
        <color rgb="FFA5A5A5"/>
      </left>
      <right style="thin">
        <color rgb="FFA5A5A5"/>
      </right>
      <top style="thin">
        <color rgb="FFA5A5A5"/>
      </top>
      <bottom style="thin">
        <color rgb="FFA5A5A5"/>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A6A6A6"/>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A6A6A6"/>
      </left>
      <right/>
      <top style="thin">
        <color rgb="FFA6A6A6"/>
      </top>
      <bottom style="thin">
        <color rgb="FFA6A6A6"/>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A5A5A5"/>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medium">
        <color rgb="FF000000"/>
      </bottom>
      <diagonal/>
    </border>
    <border>
      <left/>
      <right/>
      <top/>
      <bottom style="medium">
        <color indexed="64"/>
      </bottom>
      <diagonal/>
    </border>
    <border>
      <left/>
      <right/>
      <top style="medium">
        <color indexed="64"/>
      </top>
      <bottom style="thin">
        <color indexed="64"/>
      </bottom>
      <diagonal/>
    </border>
    <border>
      <left style="thin">
        <color rgb="FFA6A6A6"/>
      </left>
      <right style="thin">
        <color rgb="FFA6A6A6"/>
      </right>
      <top style="thin">
        <color rgb="FFA6A6A6"/>
      </top>
      <bottom style="thin">
        <color theme="2" tint="-0.499984740745262"/>
      </bottom>
      <diagonal/>
    </border>
    <border>
      <left/>
      <right/>
      <top/>
      <bottom style="thin">
        <color theme="0"/>
      </bottom>
      <diagonal/>
    </border>
    <border>
      <left/>
      <right/>
      <top/>
      <bottom style="thin">
        <color auto="1"/>
      </bottom>
      <diagonal/>
    </border>
    <border>
      <left/>
      <right/>
      <top style="thin">
        <color theme="0"/>
      </top>
      <bottom style="thin">
        <color auto="1"/>
      </bottom>
      <diagonal/>
    </border>
    <border>
      <left/>
      <right/>
      <top style="thin">
        <color indexed="64"/>
      </top>
      <bottom/>
      <diagonal/>
    </border>
    <border>
      <left/>
      <right/>
      <top style="thin">
        <color theme="0"/>
      </top>
      <bottom/>
      <diagonal/>
    </border>
    <border>
      <left style="thin">
        <color indexed="64"/>
      </left>
      <right/>
      <top style="thin">
        <color indexed="64"/>
      </top>
      <bottom style="thin">
        <color indexed="64"/>
      </bottom>
      <diagonal/>
    </border>
    <border>
      <left/>
      <right/>
      <top style="thin">
        <color auto="1"/>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s>
  <cellStyleXfs count="10">
    <xf numFmtId="0" fontId="0" fillId="0" borderId="0"/>
    <xf numFmtId="43" fontId="45" fillId="0" borderId="0" applyFont="0" applyFill="0" applyBorder="0" applyAlignment="0" applyProtection="0"/>
    <xf numFmtId="9" fontId="45" fillId="0" borderId="0" applyFont="0" applyFill="0" applyBorder="0" applyAlignment="0" applyProtection="0"/>
    <xf numFmtId="44" fontId="56" fillId="0" borderId="0" applyFont="0" applyFill="0" applyBorder="0" applyAlignment="0" applyProtection="0"/>
    <xf numFmtId="0" fontId="50" fillId="0" borderId="1"/>
    <xf numFmtId="41" fontId="61" fillId="0" borderId="0" applyFont="0" applyFill="0" applyBorder="0" applyAlignment="0" applyProtection="0"/>
    <xf numFmtId="0" fontId="4" fillId="0" borderId="1"/>
    <xf numFmtId="41" fontId="4" fillId="0" borderId="1" applyFont="0" applyFill="0" applyBorder="0" applyAlignment="0" applyProtection="0"/>
    <xf numFmtId="9" fontId="4" fillId="0" borderId="1" applyFont="0" applyFill="0" applyBorder="0" applyAlignment="0" applyProtection="0"/>
    <xf numFmtId="43" fontId="4" fillId="0" borderId="1" applyFont="0" applyFill="0" applyBorder="0" applyAlignment="0" applyProtection="0"/>
  </cellStyleXfs>
  <cellXfs count="653">
    <xf numFmtId="0" fontId="0" fillId="0" borderId="0" xfId="0"/>
    <xf numFmtId="0" fontId="6" fillId="0" borderId="0" xfId="0" applyFont="1" applyAlignment="1">
      <alignment vertical="center"/>
    </xf>
    <xf numFmtId="0" fontId="7" fillId="0" borderId="0" xfId="0" applyFont="1" applyAlignment="1">
      <alignment vertical="center"/>
    </xf>
    <xf numFmtId="0" fontId="6" fillId="2" borderId="1" xfId="0" applyFont="1" applyFill="1" applyBorder="1" applyAlignment="1">
      <alignment vertical="center"/>
    </xf>
    <xf numFmtId="0" fontId="8" fillId="2" borderId="1" xfId="0" applyFont="1" applyFill="1" applyBorder="1" applyAlignment="1">
      <alignment vertical="center"/>
    </xf>
    <xf numFmtId="164" fontId="9" fillId="2" borderId="1" xfId="0" applyNumberFormat="1" applyFont="1" applyFill="1" applyBorder="1" applyAlignment="1">
      <alignment horizontal="center" vertical="center"/>
    </xf>
    <xf numFmtId="0" fontId="6" fillId="3" borderId="1" xfId="0" applyFont="1" applyFill="1" applyBorder="1" applyAlignment="1">
      <alignment vertical="center"/>
    </xf>
    <xf numFmtId="164" fontId="10" fillId="3" borderId="1" xfId="0" applyNumberFormat="1" applyFont="1" applyFill="1" applyBorder="1" applyAlignment="1">
      <alignment horizontal="center" vertical="center"/>
    </xf>
    <xf numFmtId="165" fontId="6" fillId="3" borderId="1" xfId="0" applyNumberFormat="1" applyFont="1" applyFill="1" applyBorder="1" applyAlignment="1">
      <alignment vertical="center"/>
    </xf>
    <xf numFmtId="0" fontId="11" fillId="3" borderId="1" xfId="0" applyFont="1" applyFill="1" applyBorder="1" applyAlignment="1">
      <alignment horizontal="center" vertical="center"/>
    </xf>
    <xf numFmtId="164" fontId="6" fillId="3" borderId="1" xfId="0" applyNumberFormat="1" applyFont="1" applyFill="1" applyBorder="1" applyAlignment="1">
      <alignment horizontal="right" vertical="center"/>
    </xf>
    <xf numFmtId="166" fontId="12" fillId="3" borderId="1" xfId="0" applyNumberFormat="1" applyFont="1" applyFill="1" applyBorder="1"/>
    <xf numFmtId="164" fontId="12" fillId="3" borderId="1" xfId="0" applyNumberFormat="1" applyFont="1" applyFill="1" applyBorder="1" applyAlignment="1">
      <alignment horizontal="right" vertical="center"/>
    </xf>
    <xf numFmtId="0" fontId="6" fillId="0" borderId="2" xfId="0" applyFont="1" applyBorder="1" applyAlignment="1">
      <alignment vertical="center"/>
    </xf>
    <xf numFmtId="164" fontId="10" fillId="0" borderId="0" xfId="0" applyNumberFormat="1" applyFont="1" applyAlignment="1">
      <alignment horizontal="center" vertical="center"/>
    </xf>
    <xf numFmtId="164" fontId="12" fillId="4" borderId="3" xfId="0" applyNumberFormat="1" applyFont="1" applyFill="1" applyBorder="1" applyAlignment="1">
      <alignment horizontal="right" vertical="center"/>
    </xf>
    <xf numFmtId="167" fontId="12" fillId="5" borderId="3" xfId="0" applyNumberFormat="1" applyFont="1" applyFill="1" applyBorder="1" applyAlignment="1">
      <alignment horizontal="right" vertical="center"/>
    </xf>
    <xf numFmtId="0" fontId="11" fillId="0" borderId="0" xfId="0" applyFont="1" applyAlignment="1">
      <alignment vertical="center"/>
    </xf>
    <xf numFmtId="0" fontId="6" fillId="0" borderId="0" xfId="0" applyFont="1" applyAlignment="1">
      <alignment horizontal="left" vertical="center"/>
    </xf>
    <xf numFmtId="167" fontId="6" fillId="0" borderId="0" xfId="0" applyNumberFormat="1" applyFont="1" applyAlignment="1">
      <alignment horizontal="left" vertical="center"/>
    </xf>
    <xf numFmtId="0" fontId="12" fillId="5" borderId="3" xfId="0" applyFont="1" applyFill="1" applyBorder="1" applyAlignment="1">
      <alignment horizontal="right" vertical="center"/>
    </xf>
    <xf numFmtId="168" fontId="6" fillId="0" borderId="0" xfId="0" applyNumberFormat="1" applyFont="1" applyAlignment="1">
      <alignment horizontal="left" vertical="center"/>
    </xf>
    <xf numFmtId="17" fontId="12" fillId="4" borderId="4" xfId="0" applyNumberFormat="1" applyFont="1" applyFill="1" applyBorder="1" applyAlignment="1">
      <alignment horizontal="right" vertical="center"/>
    </xf>
    <xf numFmtId="17" fontId="12" fillId="4" borderId="5" xfId="0" applyNumberFormat="1" applyFont="1" applyFill="1" applyBorder="1" applyAlignment="1">
      <alignment horizontal="right" vertical="center"/>
    </xf>
    <xf numFmtId="17" fontId="12" fillId="6" borderId="5" xfId="0" applyNumberFormat="1" applyFont="1" applyFill="1" applyBorder="1" applyAlignment="1">
      <alignment horizontal="right" vertical="center"/>
    </xf>
    <xf numFmtId="2" fontId="6" fillId="0" borderId="0" xfId="0" applyNumberFormat="1" applyFont="1" applyAlignment="1">
      <alignment horizontal="left" vertical="center"/>
    </xf>
    <xf numFmtId="169" fontId="12" fillId="5" borderId="5" xfId="0" applyNumberFormat="1" applyFont="1" applyFill="1" applyBorder="1" applyAlignment="1">
      <alignment horizontal="right" vertical="center"/>
    </xf>
    <xf numFmtId="170" fontId="12" fillId="5" borderId="6" xfId="0" applyNumberFormat="1" applyFont="1" applyFill="1" applyBorder="1" applyAlignment="1">
      <alignment horizontal="right" vertical="center"/>
    </xf>
    <xf numFmtId="168" fontId="12" fillId="0" borderId="0" xfId="0" applyNumberFormat="1" applyFont="1" applyAlignment="1">
      <alignment vertical="center"/>
    </xf>
    <xf numFmtId="170" fontId="12" fillId="0" borderId="0" xfId="0" applyNumberFormat="1" applyFont="1" applyAlignment="1">
      <alignment horizontal="right" vertical="center"/>
    </xf>
    <xf numFmtId="17" fontId="12" fillId="5" borderId="7" xfId="0" applyNumberFormat="1" applyFont="1" applyFill="1" applyBorder="1" applyAlignment="1">
      <alignment horizontal="right" vertical="center"/>
    </xf>
    <xf numFmtId="17" fontId="12" fillId="5" borderId="8" xfId="0" applyNumberFormat="1" applyFont="1" applyFill="1" applyBorder="1" applyAlignment="1">
      <alignment horizontal="right" vertical="center"/>
    </xf>
    <xf numFmtId="171" fontId="12" fillId="0" borderId="0" xfId="0" applyNumberFormat="1" applyFont="1" applyAlignment="1">
      <alignment horizontal="right" vertical="center"/>
    </xf>
    <xf numFmtId="164" fontId="12" fillId="0" borderId="0" xfId="0" applyNumberFormat="1" applyFont="1" applyAlignment="1">
      <alignment horizontal="center" vertical="center"/>
    </xf>
    <xf numFmtId="171" fontId="12" fillId="7" borderId="3" xfId="0" applyNumberFormat="1" applyFont="1" applyFill="1" applyBorder="1" applyAlignment="1">
      <alignment horizontal="right" vertical="center"/>
    </xf>
    <xf numFmtId="164" fontId="12" fillId="4" borderId="5" xfId="0" applyNumberFormat="1" applyFont="1" applyFill="1" applyBorder="1" applyAlignment="1">
      <alignment horizontal="right" vertical="center"/>
    </xf>
    <xf numFmtId="164" fontId="13" fillId="5" borderId="5" xfId="0" applyNumberFormat="1" applyFont="1" applyFill="1" applyBorder="1" applyAlignment="1">
      <alignment horizontal="right" vertical="center"/>
    </xf>
    <xf numFmtId="0" fontId="14" fillId="0" borderId="0" xfId="0" applyFont="1" applyAlignment="1">
      <alignment horizontal="right" vertical="center"/>
    </xf>
    <xf numFmtId="164" fontId="6" fillId="0" borderId="2" xfId="0" applyNumberFormat="1" applyFont="1" applyBorder="1" applyAlignment="1">
      <alignment horizontal="right" vertical="center"/>
    </xf>
    <xf numFmtId="164" fontId="6" fillId="0" borderId="0" xfId="0" applyNumberFormat="1" applyFont="1" applyAlignment="1">
      <alignment horizontal="right" vertical="center"/>
    </xf>
    <xf numFmtId="168" fontId="12" fillId="5" borderId="3" xfId="0" applyNumberFormat="1" applyFont="1" applyFill="1" applyBorder="1" applyAlignment="1">
      <alignment vertical="center"/>
    </xf>
    <xf numFmtId="168" fontId="6" fillId="0" borderId="0" xfId="0" applyNumberFormat="1" applyFont="1" applyAlignment="1">
      <alignment vertical="center"/>
    </xf>
    <xf numFmtId="0" fontId="15" fillId="0" borderId="0" xfId="0" applyFont="1" applyAlignment="1">
      <alignment vertical="center"/>
    </xf>
    <xf numFmtId="164" fontId="12" fillId="0" borderId="2" xfId="0" applyNumberFormat="1" applyFont="1" applyBorder="1" applyAlignment="1">
      <alignment horizontal="center" vertical="center"/>
    </xf>
    <xf numFmtId="0" fontId="11" fillId="0" borderId="0" xfId="0" applyFont="1" applyAlignment="1">
      <alignment horizontal="left" vertical="center"/>
    </xf>
    <xf numFmtId="171" fontId="6" fillId="0" borderId="0" xfId="0" applyNumberFormat="1" applyFont="1" applyAlignment="1">
      <alignment horizontal="right" vertical="center"/>
    </xf>
    <xf numFmtId="164" fontId="12" fillId="5" borderId="9" xfId="0" applyNumberFormat="1" applyFont="1" applyFill="1" applyBorder="1" applyAlignment="1">
      <alignment horizontal="right" vertical="center"/>
    </xf>
    <xf numFmtId="10" fontId="12" fillId="5" borderId="5" xfId="0" applyNumberFormat="1" applyFont="1" applyFill="1" applyBorder="1" applyAlignment="1">
      <alignment horizontal="right" vertical="center"/>
    </xf>
    <xf numFmtId="164" fontId="12" fillId="4" borderId="8" xfId="0" applyNumberFormat="1" applyFont="1" applyFill="1" applyBorder="1" applyAlignment="1">
      <alignment horizontal="right" vertical="center"/>
    </xf>
    <xf numFmtId="164" fontId="12" fillId="0" borderId="0" xfId="0" applyNumberFormat="1" applyFont="1" applyAlignment="1">
      <alignment horizontal="right" vertical="center"/>
    </xf>
    <xf numFmtId="164" fontId="13" fillId="5" borderId="3" xfId="0" applyNumberFormat="1" applyFont="1" applyFill="1" applyBorder="1" applyAlignment="1">
      <alignment horizontal="right" vertical="center"/>
    </xf>
    <xf numFmtId="164" fontId="12" fillId="5" borderId="8" xfId="0" applyNumberFormat="1" applyFont="1" applyFill="1" applyBorder="1" applyAlignment="1">
      <alignment horizontal="right" vertical="center"/>
    </xf>
    <xf numFmtId="164" fontId="13" fillId="0" borderId="0" xfId="0" applyNumberFormat="1" applyFont="1" applyAlignment="1">
      <alignment horizontal="right" vertical="center"/>
    </xf>
    <xf numFmtId="167" fontId="12" fillId="0" borderId="0" xfId="0" applyNumberFormat="1" applyFont="1" applyAlignment="1">
      <alignment horizontal="right" vertical="center"/>
    </xf>
    <xf numFmtId="164" fontId="10" fillId="0" borderId="2" xfId="0" applyNumberFormat="1" applyFont="1" applyBorder="1" applyAlignment="1">
      <alignment horizontal="center" vertical="center"/>
    </xf>
    <xf numFmtId="167" fontId="12" fillId="0" borderId="2" xfId="0" applyNumberFormat="1" applyFont="1" applyBorder="1" applyAlignment="1">
      <alignment horizontal="right" vertical="center"/>
    </xf>
    <xf numFmtId="0" fontId="13" fillId="8" borderId="10" xfId="0" applyFont="1" applyFill="1" applyBorder="1" applyAlignment="1">
      <alignment horizontal="left" vertical="center"/>
    </xf>
    <xf numFmtId="164" fontId="10" fillId="8" borderId="11" xfId="0" applyNumberFormat="1" applyFont="1" applyFill="1" applyBorder="1" applyAlignment="1">
      <alignment horizontal="center" vertical="center"/>
    </xf>
    <xf numFmtId="164" fontId="10" fillId="8" borderId="12" xfId="0" applyNumberFormat="1" applyFont="1" applyFill="1" applyBorder="1" applyAlignment="1">
      <alignment horizontal="center" vertical="center"/>
    </xf>
    <xf numFmtId="0" fontId="6" fillId="8" borderId="13" xfId="0" applyFont="1" applyFill="1" applyBorder="1" applyAlignment="1">
      <alignment vertical="center"/>
    </xf>
    <xf numFmtId="164" fontId="10" fillId="8" borderId="1" xfId="0" applyNumberFormat="1" applyFont="1" applyFill="1" applyBorder="1" applyAlignment="1">
      <alignment horizontal="center" vertical="center"/>
    </xf>
    <xf numFmtId="164" fontId="10" fillId="8" borderId="14" xfId="0" applyNumberFormat="1" applyFont="1" applyFill="1" applyBorder="1" applyAlignment="1">
      <alignment horizontal="center" vertical="center"/>
    </xf>
    <xf numFmtId="0" fontId="6" fillId="8" borderId="15" xfId="0" applyFont="1" applyFill="1" applyBorder="1" applyAlignment="1">
      <alignment vertical="center"/>
    </xf>
    <xf numFmtId="164" fontId="10" fillId="8" borderId="16" xfId="0" applyNumberFormat="1" applyFont="1" applyFill="1" applyBorder="1" applyAlignment="1">
      <alignment horizontal="center" vertical="center"/>
    </xf>
    <xf numFmtId="164" fontId="10" fillId="8" borderId="17" xfId="0" applyNumberFormat="1" applyFont="1" applyFill="1" applyBorder="1" applyAlignment="1">
      <alignment horizontal="center" vertical="center"/>
    </xf>
    <xf numFmtId="168" fontId="12" fillId="5" borderId="3" xfId="0" applyNumberFormat="1" applyFont="1" applyFill="1" applyBorder="1" applyAlignment="1">
      <alignment horizontal="right" vertical="center"/>
    </xf>
    <xf numFmtId="167" fontId="12" fillId="4" borderId="3" xfId="0" applyNumberFormat="1" applyFont="1" applyFill="1" applyBorder="1" applyAlignment="1">
      <alignment horizontal="right" vertical="center"/>
    </xf>
    <xf numFmtId="168" fontId="12" fillId="4" borderId="3" xfId="0" applyNumberFormat="1" applyFont="1" applyFill="1" applyBorder="1" applyAlignment="1">
      <alignment horizontal="right" vertical="center"/>
    </xf>
    <xf numFmtId="10" fontId="12" fillId="0" borderId="0" xfId="0" applyNumberFormat="1" applyFont="1" applyAlignment="1">
      <alignment horizontal="right" vertical="center"/>
    </xf>
    <xf numFmtId="164" fontId="10" fillId="0" borderId="18" xfId="0" applyNumberFormat="1" applyFont="1" applyBorder="1" applyAlignment="1">
      <alignment horizontal="center" vertical="center"/>
    </xf>
    <xf numFmtId="172" fontId="12" fillId="5" borderId="8" xfId="0" applyNumberFormat="1" applyFont="1" applyFill="1" applyBorder="1" applyAlignment="1">
      <alignment horizontal="right" vertical="center"/>
    </xf>
    <xf numFmtId="173" fontId="12" fillId="5" borderId="9" xfId="0" applyNumberFormat="1" applyFont="1" applyFill="1" applyBorder="1" applyAlignment="1">
      <alignment horizontal="right" vertical="center"/>
    </xf>
    <xf numFmtId="173" fontId="12" fillId="0" borderId="0" xfId="0" applyNumberFormat="1" applyFont="1" applyAlignment="1">
      <alignment horizontal="right" vertical="center"/>
    </xf>
    <xf numFmtId="0" fontId="9" fillId="0" borderId="0" xfId="0" applyFont="1" applyAlignment="1">
      <alignment vertical="center"/>
    </xf>
    <xf numFmtId="0" fontId="6" fillId="9" borderId="1" xfId="0" applyFont="1" applyFill="1" applyBorder="1" applyAlignment="1">
      <alignment vertical="center"/>
    </xf>
    <xf numFmtId="0" fontId="8" fillId="9" borderId="1" xfId="0" applyFont="1" applyFill="1" applyBorder="1" applyAlignment="1">
      <alignment vertical="center"/>
    </xf>
    <xf numFmtId="0" fontId="6" fillId="0" borderId="0" xfId="0" applyFont="1" applyAlignment="1">
      <alignment horizontal="right" vertical="center"/>
    </xf>
    <xf numFmtId="170" fontId="6" fillId="0" borderId="0" xfId="0" applyNumberFormat="1" applyFont="1" applyAlignment="1">
      <alignment horizontal="right" vertical="center"/>
    </xf>
    <xf numFmtId="0" fontId="8" fillId="3" borderId="1" xfId="0" applyFont="1" applyFill="1" applyBorder="1" applyAlignment="1">
      <alignment vertical="center"/>
    </xf>
    <xf numFmtId="0" fontId="8" fillId="0" borderId="2" xfId="0" applyFont="1" applyBorder="1" applyAlignment="1">
      <alignment vertical="center"/>
    </xf>
    <xf numFmtId="164" fontId="6" fillId="0" borderId="0" xfId="0" applyNumberFormat="1" applyFont="1" applyAlignment="1">
      <alignment vertical="center"/>
    </xf>
    <xf numFmtId="164" fontId="6" fillId="0" borderId="2" xfId="0" applyNumberFormat="1" applyFont="1" applyBorder="1" applyAlignment="1">
      <alignment vertical="center"/>
    </xf>
    <xf numFmtId="164" fontId="16" fillId="0" borderId="0" xfId="0" applyNumberFormat="1" applyFont="1" applyAlignment="1">
      <alignment horizontal="center" vertical="center"/>
    </xf>
    <xf numFmtId="169" fontId="7" fillId="0" borderId="0" xfId="0" applyNumberFormat="1" applyFont="1" applyAlignment="1">
      <alignment horizontal="right" vertical="center"/>
    </xf>
    <xf numFmtId="169" fontId="6" fillId="0" borderId="0" xfId="0" applyNumberFormat="1" applyFont="1" applyAlignment="1">
      <alignment horizontal="right" vertical="center"/>
    </xf>
    <xf numFmtId="169" fontId="13" fillId="0" borderId="0" xfId="0" applyNumberFormat="1" applyFont="1" applyAlignment="1">
      <alignment horizontal="right" vertical="center"/>
    </xf>
    <xf numFmtId="168" fontId="6" fillId="0" borderId="0" xfId="0" applyNumberFormat="1" applyFont="1" applyAlignment="1">
      <alignment horizontal="right" vertical="center"/>
    </xf>
    <xf numFmtId="174" fontId="12" fillId="4" borderId="5" xfId="0" applyNumberFormat="1" applyFont="1" applyFill="1" applyBorder="1" applyAlignment="1">
      <alignment vertical="center"/>
    </xf>
    <xf numFmtId="0" fontId="6" fillId="0" borderId="0" xfId="0" applyFont="1" applyAlignment="1">
      <alignment vertical="center" wrapText="1"/>
    </xf>
    <xf numFmtId="168" fontId="12" fillId="4" borderId="3" xfId="0" applyNumberFormat="1" applyFont="1" applyFill="1" applyBorder="1" applyAlignment="1">
      <alignment vertical="center"/>
    </xf>
    <xf numFmtId="174" fontId="12" fillId="4" borderId="3" xfId="0" applyNumberFormat="1" applyFont="1" applyFill="1" applyBorder="1" applyAlignment="1">
      <alignment vertical="center"/>
    </xf>
    <xf numFmtId="164" fontId="12" fillId="0" borderId="0" xfId="0" applyNumberFormat="1" applyFont="1" applyAlignment="1">
      <alignment horizontal="left" vertical="center"/>
    </xf>
    <xf numFmtId="174" fontId="12" fillId="0" borderId="0" xfId="0" applyNumberFormat="1" applyFont="1" applyAlignment="1">
      <alignment vertical="center"/>
    </xf>
    <xf numFmtId="174" fontId="12" fillId="5" borderId="3" xfId="0" applyNumberFormat="1" applyFont="1" applyFill="1" applyBorder="1" applyAlignment="1">
      <alignment horizontal="right" vertical="center"/>
    </xf>
    <xf numFmtId="2" fontId="12" fillId="4" borderId="3" xfId="0" applyNumberFormat="1" applyFont="1" applyFill="1" applyBorder="1" applyAlignment="1">
      <alignment vertical="center"/>
    </xf>
    <xf numFmtId="175" fontId="12" fillId="4" borderId="3" xfId="0" applyNumberFormat="1" applyFont="1" applyFill="1" applyBorder="1" applyAlignment="1">
      <alignment horizontal="right" vertical="center"/>
    </xf>
    <xf numFmtId="2" fontId="12" fillId="5" borderId="3" xfId="0" applyNumberFormat="1" applyFont="1" applyFill="1" applyBorder="1" applyAlignment="1">
      <alignment horizontal="right" vertical="center"/>
    </xf>
    <xf numFmtId="175" fontId="17" fillId="0" borderId="0" xfId="0" applyNumberFormat="1" applyFont="1" applyAlignment="1">
      <alignment horizontal="right" vertical="center"/>
    </xf>
    <xf numFmtId="171" fontId="13" fillId="0" borderId="0" xfId="0" applyNumberFormat="1" applyFont="1" applyAlignment="1">
      <alignment vertical="center"/>
    </xf>
    <xf numFmtId="174" fontId="13" fillId="0" borderId="0" xfId="0" applyNumberFormat="1" applyFont="1" applyAlignment="1">
      <alignment horizontal="right" vertical="center"/>
    </xf>
    <xf numFmtId="10" fontId="13" fillId="0" borderId="0" xfId="0" applyNumberFormat="1" applyFont="1" applyAlignment="1">
      <alignment vertical="center"/>
    </xf>
    <xf numFmtId="167" fontId="13" fillId="0" borderId="0" xfId="0" applyNumberFormat="1" applyFont="1" applyAlignment="1">
      <alignment vertical="center"/>
    </xf>
    <xf numFmtId="0" fontId="18" fillId="2" borderId="1" xfId="0" applyFont="1" applyFill="1" applyBorder="1" applyAlignment="1">
      <alignment vertical="center"/>
    </xf>
    <xf numFmtId="164" fontId="19" fillId="2" borderId="1" xfId="0" applyNumberFormat="1" applyFont="1" applyFill="1" applyBorder="1" applyAlignment="1">
      <alignment horizontal="center" vertical="center"/>
    </xf>
    <xf numFmtId="0" fontId="19" fillId="2" borderId="1" xfId="0" applyFont="1" applyFill="1" applyBorder="1" applyAlignment="1">
      <alignment vertical="center"/>
    </xf>
    <xf numFmtId="0" fontId="6" fillId="3" borderId="16" xfId="0" applyFont="1" applyFill="1" applyBorder="1" applyAlignment="1">
      <alignment vertical="center"/>
    </xf>
    <xf numFmtId="164" fontId="12" fillId="3" borderId="16" xfId="0" applyNumberFormat="1" applyFont="1" applyFill="1" applyBorder="1" applyAlignment="1">
      <alignment horizontal="center" vertical="center"/>
    </xf>
    <xf numFmtId="164" fontId="10" fillId="0" borderId="0" xfId="0" applyNumberFormat="1" applyFont="1" applyAlignment="1">
      <alignment horizontal="left" vertical="center"/>
    </xf>
    <xf numFmtId="164" fontId="12" fillId="0" borderId="0" xfId="0" applyNumberFormat="1" applyFont="1" applyAlignment="1">
      <alignment vertical="center"/>
    </xf>
    <xf numFmtId="0" fontId="6" fillId="10" borderId="1" xfId="0" applyFont="1" applyFill="1" applyBorder="1" applyAlignment="1">
      <alignment vertical="center"/>
    </xf>
    <xf numFmtId="169" fontId="20" fillId="0" borderId="0" xfId="0" applyNumberFormat="1" applyFont="1" applyAlignment="1">
      <alignment horizontal="right" vertical="center"/>
    </xf>
    <xf numFmtId="174" fontId="6" fillId="0" borderId="0" xfId="0" applyNumberFormat="1" applyFont="1" applyAlignment="1">
      <alignment vertical="center"/>
    </xf>
    <xf numFmtId="174" fontId="13" fillId="0" borderId="0" xfId="0" applyNumberFormat="1" applyFont="1" applyAlignment="1">
      <alignment vertical="center"/>
    </xf>
    <xf numFmtId="169" fontId="7" fillId="0" borderId="0" xfId="0" applyNumberFormat="1" applyFont="1" applyAlignment="1">
      <alignment vertical="center"/>
    </xf>
    <xf numFmtId="171" fontId="6" fillId="0" borderId="0" xfId="0" applyNumberFormat="1" applyFont="1" applyAlignment="1">
      <alignment vertical="center"/>
    </xf>
    <xf numFmtId="169" fontId="6" fillId="0" borderId="19" xfId="0" applyNumberFormat="1" applyFont="1" applyBorder="1" applyAlignment="1">
      <alignment horizontal="right" vertical="center"/>
    </xf>
    <xf numFmtId="169" fontId="6" fillId="0" borderId="2" xfId="0" applyNumberFormat="1" applyFont="1" applyBorder="1" applyAlignment="1">
      <alignment horizontal="right" vertical="center"/>
    </xf>
    <xf numFmtId="169" fontId="6" fillId="0" borderId="20" xfId="0" applyNumberFormat="1" applyFont="1" applyBorder="1" applyAlignment="1">
      <alignment horizontal="right" vertical="center"/>
    </xf>
    <xf numFmtId="168" fontId="13" fillId="10" borderId="1" xfId="0" applyNumberFormat="1" applyFont="1" applyFill="1" applyBorder="1" applyAlignment="1">
      <alignment vertical="center"/>
    </xf>
    <xf numFmtId="169" fontId="12" fillId="0" borderId="20" xfId="0" applyNumberFormat="1" applyFont="1" applyBorder="1" applyAlignment="1">
      <alignment horizontal="right" vertical="center"/>
    </xf>
    <xf numFmtId="168" fontId="13" fillId="0" borderId="0" xfId="0" applyNumberFormat="1" applyFont="1" applyAlignment="1">
      <alignment vertical="center"/>
    </xf>
    <xf numFmtId="0" fontId="19" fillId="2" borderId="1" xfId="0" applyFont="1" applyFill="1" applyBorder="1" applyAlignment="1">
      <alignment horizontal="right" vertical="center"/>
    </xf>
    <xf numFmtId="164" fontId="22" fillId="3" borderId="16" xfId="0" applyNumberFormat="1" applyFont="1" applyFill="1" applyBorder="1" applyAlignment="1">
      <alignment vertical="center"/>
    </xf>
    <xf numFmtId="0" fontId="12" fillId="4" borderId="3" xfId="0" applyFont="1" applyFill="1" applyBorder="1" applyAlignment="1">
      <alignment horizontal="right" vertical="center"/>
    </xf>
    <xf numFmtId="168" fontId="12" fillId="0" borderId="0" xfId="0" applyNumberFormat="1" applyFont="1" applyAlignment="1">
      <alignment horizontal="right" vertical="center"/>
    </xf>
    <xf numFmtId="176" fontId="12" fillId="0" borderId="0" xfId="0" applyNumberFormat="1" applyFont="1" applyAlignment="1">
      <alignment horizontal="right" vertical="center"/>
    </xf>
    <xf numFmtId="0" fontId="11" fillId="8" borderId="24" xfId="0" applyFont="1" applyFill="1" applyBorder="1" applyAlignment="1">
      <alignment vertical="center"/>
    </xf>
    <xf numFmtId="0" fontId="6" fillId="8" borderId="24" xfId="0" applyFont="1" applyFill="1" applyBorder="1" applyAlignment="1">
      <alignment vertical="center"/>
    </xf>
    <xf numFmtId="164" fontId="12" fillId="8" borderId="24" xfId="0" applyNumberFormat="1" applyFont="1" applyFill="1" applyBorder="1" applyAlignment="1">
      <alignment horizontal="center" vertical="center"/>
    </xf>
    <xf numFmtId="0" fontId="6" fillId="0" borderId="0" xfId="0" applyFont="1" applyAlignment="1">
      <alignment horizontal="center" vertical="center"/>
    </xf>
    <xf numFmtId="0" fontId="12" fillId="0" borderId="0" xfId="0" applyFont="1" applyAlignment="1">
      <alignment horizontal="center" vertical="center"/>
    </xf>
    <xf numFmtId="0" fontId="12" fillId="4" borderId="5" xfId="0" applyFont="1" applyFill="1" applyBorder="1" applyAlignment="1">
      <alignment horizontal="right" vertical="center"/>
    </xf>
    <xf numFmtId="0" fontId="12" fillId="4" borderId="27" xfId="0" applyFont="1" applyFill="1" applyBorder="1" applyAlignment="1">
      <alignment horizontal="right" vertical="center"/>
    </xf>
    <xf numFmtId="0" fontId="23" fillId="0" borderId="0" xfId="0" applyFont="1" applyAlignment="1">
      <alignment vertical="center"/>
    </xf>
    <xf numFmtId="174" fontId="6" fillId="0" borderId="0" xfId="0" applyNumberFormat="1" applyFont="1" applyAlignment="1">
      <alignment horizontal="right" vertical="center"/>
    </xf>
    <xf numFmtId="168" fontId="6" fillId="0" borderId="28" xfId="0" applyNumberFormat="1" applyFont="1" applyBorder="1" applyAlignment="1">
      <alignment horizontal="right" vertical="center"/>
    </xf>
    <xf numFmtId="174" fontId="6" fillId="0" borderId="2" xfId="0" applyNumberFormat="1" applyFont="1" applyBorder="1" applyAlignment="1">
      <alignment horizontal="right" vertical="center"/>
    </xf>
    <xf numFmtId="168" fontId="6" fillId="0" borderId="2" xfId="0" applyNumberFormat="1" applyFont="1" applyBorder="1" applyAlignment="1">
      <alignment horizontal="right" vertical="center"/>
    </xf>
    <xf numFmtId="0" fontId="13" fillId="8" borderId="29" xfId="0" applyFont="1" applyFill="1" applyBorder="1" applyAlignment="1">
      <alignment vertical="center"/>
    </xf>
    <xf numFmtId="0" fontId="13" fillId="8" borderId="24" xfId="0" applyFont="1" applyFill="1" applyBorder="1" applyAlignment="1">
      <alignment vertical="center"/>
    </xf>
    <xf numFmtId="164" fontId="24" fillId="8" borderId="24" xfId="0" applyNumberFormat="1" applyFont="1" applyFill="1" applyBorder="1" applyAlignment="1">
      <alignment vertical="center"/>
    </xf>
    <xf numFmtId="168" fontId="13" fillId="8" borderId="24" xfId="0" applyNumberFormat="1" applyFont="1" applyFill="1" applyBorder="1" applyAlignment="1">
      <alignment horizontal="right" vertical="center"/>
    </xf>
    <xf numFmtId="171" fontId="13" fillId="8" borderId="24" xfId="0" applyNumberFormat="1" applyFont="1" applyFill="1" applyBorder="1" applyAlignment="1">
      <alignment horizontal="right" vertical="center"/>
    </xf>
    <xf numFmtId="171" fontId="13" fillId="8" borderId="30" xfId="0" applyNumberFormat="1" applyFont="1" applyFill="1" applyBorder="1" applyAlignment="1">
      <alignment horizontal="right" vertical="center"/>
    </xf>
    <xf numFmtId="168" fontId="6" fillId="0" borderId="2" xfId="0" applyNumberFormat="1" applyFont="1" applyBorder="1" applyAlignment="1">
      <alignment vertical="center"/>
    </xf>
    <xf numFmtId="171" fontId="6" fillId="0" borderId="2" xfId="0" applyNumberFormat="1" applyFont="1" applyBorder="1" applyAlignment="1">
      <alignment horizontal="right" vertical="center"/>
    </xf>
    <xf numFmtId="0" fontId="6" fillId="0" borderId="1" xfId="0" applyFont="1" applyBorder="1" applyAlignment="1">
      <alignment vertical="center"/>
    </xf>
    <xf numFmtId="175" fontId="6" fillId="0" borderId="0" xfId="0" applyNumberFormat="1" applyFont="1" applyAlignment="1">
      <alignment vertical="center"/>
    </xf>
    <xf numFmtId="169" fontId="6" fillId="0" borderId="0" xfId="0" applyNumberFormat="1" applyFont="1" applyAlignment="1">
      <alignment vertical="center"/>
    </xf>
    <xf numFmtId="170" fontId="6" fillId="0" borderId="0" xfId="0" applyNumberFormat="1" applyFont="1" applyAlignment="1">
      <alignment vertical="center"/>
    </xf>
    <xf numFmtId="0" fontId="6" fillId="8" borderId="10" xfId="0" applyFont="1" applyFill="1" applyBorder="1" applyAlignment="1">
      <alignment vertical="center"/>
    </xf>
    <xf numFmtId="0" fontId="6" fillId="8" borderId="11" xfId="0" applyFont="1" applyFill="1" applyBorder="1" applyAlignment="1">
      <alignment vertical="center"/>
    </xf>
    <xf numFmtId="169" fontId="13" fillId="8" borderId="11" xfId="0" applyNumberFormat="1" applyFont="1" applyFill="1" applyBorder="1" applyAlignment="1">
      <alignment horizontal="right" vertical="center"/>
    </xf>
    <xf numFmtId="169" fontId="13" fillId="8" borderId="12" xfId="0" applyNumberFormat="1" applyFont="1" applyFill="1" applyBorder="1" applyAlignment="1">
      <alignment horizontal="right" vertical="center"/>
    </xf>
    <xf numFmtId="0" fontId="6" fillId="8" borderId="16" xfId="0" applyFont="1" applyFill="1" applyBorder="1" applyAlignment="1">
      <alignment vertical="center"/>
    </xf>
    <xf numFmtId="169" fontId="13" fillId="8" borderId="1" xfId="0" applyNumberFormat="1" applyFont="1" applyFill="1" applyBorder="1" applyAlignment="1">
      <alignment horizontal="right" vertical="center"/>
    </xf>
    <xf numFmtId="169" fontId="13" fillId="8" borderId="17" xfId="0" applyNumberFormat="1" applyFont="1" applyFill="1" applyBorder="1" applyAlignment="1">
      <alignment horizontal="right" vertical="center"/>
    </xf>
    <xf numFmtId="0" fontId="13" fillId="0" borderId="0" xfId="0" applyFont="1" applyAlignment="1">
      <alignment vertical="center"/>
    </xf>
    <xf numFmtId="168" fontId="12" fillId="4" borderId="5" xfId="0" applyNumberFormat="1" applyFont="1" applyFill="1" applyBorder="1" applyAlignment="1">
      <alignment vertical="center"/>
    </xf>
    <xf numFmtId="169" fontId="13" fillId="5" borderId="3" xfId="0" applyNumberFormat="1" applyFont="1" applyFill="1" applyBorder="1" applyAlignment="1">
      <alignment horizontal="right" vertical="center"/>
    </xf>
    <xf numFmtId="166" fontId="6" fillId="3" borderId="1" xfId="0" applyNumberFormat="1" applyFont="1" applyFill="1" applyBorder="1" applyAlignment="1">
      <alignment vertical="center"/>
    </xf>
    <xf numFmtId="169" fontId="12" fillId="0" borderId="0" xfId="0" applyNumberFormat="1" applyFont="1" applyAlignment="1">
      <alignment horizontal="right" vertical="center"/>
    </xf>
    <xf numFmtId="0" fontId="12" fillId="0" borderId="0" xfId="0" applyFont="1" applyAlignment="1">
      <alignment vertical="center"/>
    </xf>
    <xf numFmtId="0" fontId="12" fillId="0" borderId="2" xfId="0" applyFont="1" applyBorder="1" applyAlignment="1">
      <alignment vertical="center"/>
    </xf>
    <xf numFmtId="0" fontId="25" fillId="0" borderId="0" xfId="0" applyFont="1" applyAlignment="1">
      <alignment vertical="center"/>
    </xf>
    <xf numFmtId="164" fontId="10" fillId="0" borderId="0" xfId="0" applyNumberFormat="1" applyFont="1" applyAlignment="1">
      <alignment horizontal="right" vertical="center"/>
    </xf>
    <xf numFmtId="0" fontId="7" fillId="0" borderId="2" xfId="0" applyFont="1" applyBorder="1" applyAlignment="1">
      <alignment vertical="center"/>
    </xf>
    <xf numFmtId="164" fontId="7" fillId="0" borderId="2" xfId="0" applyNumberFormat="1" applyFont="1" applyBorder="1" applyAlignment="1">
      <alignment horizontal="right" vertical="center"/>
    </xf>
    <xf numFmtId="164" fontId="20" fillId="0" borderId="2" xfId="0" applyNumberFormat="1" applyFont="1" applyBorder="1" applyAlignment="1">
      <alignment horizontal="right" vertical="center"/>
    </xf>
    <xf numFmtId="164" fontId="26" fillId="0" borderId="2" xfId="0" applyNumberFormat="1" applyFont="1" applyBorder="1" applyAlignment="1">
      <alignment horizontal="right" vertical="center"/>
    </xf>
    <xf numFmtId="164" fontId="20" fillId="0" borderId="0" xfId="0" applyNumberFormat="1" applyFont="1" applyAlignment="1">
      <alignment horizontal="right" vertical="center"/>
    </xf>
    <xf numFmtId="164" fontId="26" fillId="0" borderId="0" xfId="0" applyNumberFormat="1" applyFont="1" applyAlignment="1">
      <alignment horizontal="right" vertical="center"/>
    </xf>
    <xf numFmtId="0" fontId="7" fillId="0" borderId="0" xfId="0" applyFont="1" applyAlignment="1">
      <alignment horizontal="left" vertical="center"/>
    </xf>
    <xf numFmtId="177" fontId="6" fillId="0" borderId="0" xfId="0" applyNumberFormat="1" applyFont="1" applyAlignment="1">
      <alignment vertical="center"/>
    </xf>
    <xf numFmtId="169" fontId="11" fillId="0" borderId="0" xfId="0" applyNumberFormat="1" applyFont="1" applyAlignment="1">
      <alignment horizontal="left" vertical="center"/>
    </xf>
    <xf numFmtId="0" fontId="11" fillId="0" borderId="0" xfId="0" applyFont="1" applyAlignment="1">
      <alignment horizontal="center" vertical="center"/>
    </xf>
    <xf numFmtId="171" fontId="19" fillId="2" borderId="1" xfId="0" applyNumberFormat="1" applyFont="1" applyFill="1" applyBorder="1" applyAlignment="1">
      <alignment horizontal="right" vertical="center"/>
    </xf>
    <xf numFmtId="164" fontId="12" fillId="3" borderId="1" xfId="0" applyNumberFormat="1" applyFont="1" applyFill="1" applyBorder="1" applyAlignment="1">
      <alignment horizontal="center" vertical="center"/>
    </xf>
    <xf numFmtId="171" fontId="6" fillId="3" borderId="1" xfId="0" applyNumberFormat="1" applyFont="1" applyFill="1" applyBorder="1" applyAlignment="1">
      <alignment horizontal="right" vertical="center"/>
    </xf>
    <xf numFmtId="164" fontId="12" fillId="4" borderId="27" xfId="0" applyNumberFormat="1" applyFont="1" applyFill="1" applyBorder="1" applyAlignment="1">
      <alignment horizontal="right" vertical="center"/>
    </xf>
    <xf numFmtId="0" fontId="7" fillId="0" borderId="0" xfId="0" applyFont="1" applyAlignment="1">
      <alignment horizontal="right" vertical="center"/>
    </xf>
    <xf numFmtId="164" fontId="7" fillId="0" borderId="31" xfId="0" applyNumberFormat="1" applyFont="1" applyBorder="1" applyAlignment="1">
      <alignment vertical="center"/>
    </xf>
    <xf numFmtId="164" fontId="7" fillId="0" borderId="0" xfId="0" applyNumberFormat="1" applyFont="1" applyAlignment="1">
      <alignment horizontal="right" vertical="center"/>
    </xf>
    <xf numFmtId="171" fontId="7" fillId="0" borderId="0" xfId="0" applyNumberFormat="1" applyFont="1" applyAlignment="1">
      <alignment horizontal="right" vertical="center"/>
    </xf>
    <xf numFmtId="177" fontId="7" fillId="0" borderId="0" xfId="0" applyNumberFormat="1" applyFont="1" applyAlignment="1">
      <alignment vertical="center"/>
    </xf>
    <xf numFmtId="0" fontId="27" fillId="14" borderId="1" xfId="0" applyFont="1" applyFill="1" applyBorder="1"/>
    <xf numFmtId="0" fontId="28" fillId="14" borderId="1" xfId="0" applyFont="1" applyFill="1" applyBorder="1" applyAlignment="1">
      <alignment vertical="center"/>
    </xf>
    <xf numFmtId="0" fontId="19" fillId="0" borderId="2" xfId="0" applyFont="1" applyBorder="1" applyAlignment="1">
      <alignment vertical="center"/>
    </xf>
    <xf numFmtId="0" fontId="7" fillId="0" borderId="34" xfId="0" applyFont="1" applyBorder="1" applyAlignment="1">
      <alignment vertical="center"/>
    </xf>
    <xf numFmtId="0" fontId="6" fillId="0" borderId="34" xfId="0" applyFont="1" applyBorder="1" applyAlignment="1">
      <alignment vertical="center"/>
    </xf>
    <xf numFmtId="164" fontId="12" fillId="0" borderId="34" xfId="0" applyNumberFormat="1" applyFont="1" applyBorder="1" applyAlignment="1">
      <alignment horizontal="center" vertical="center"/>
    </xf>
    <xf numFmtId="169" fontId="6" fillId="0" borderId="34" xfId="0" applyNumberFormat="1" applyFont="1" applyBorder="1" applyAlignment="1">
      <alignment horizontal="right" vertical="center"/>
    </xf>
    <xf numFmtId="0" fontId="29" fillId="0" borderId="0" xfId="0" applyFont="1"/>
    <xf numFmtId="164" fontId="26" fillId="0" borderId="0" xfId="0" applyNumberFormat="1" applyFont="1" applyAlignment="1">
      <alignment horizontal="center" vertical="center"/>
    </xf>
    <xf numFmtId="0" fontId="30" fillId="0" borderId="0" xfId="0" applyFont="1"/>
    <xf numFmtId="164" fontId="31" fillId="0" borderId="0" xfId="0" applyNumberFormat="1" applyFont="1" applyAlignment="1">
      <alignment horizontal="right" vertical="center"/>
    </xf>
    <xf numFmtId="164" fontId="32" fillId="0" borderId="0" xfId="0" applyNumberFormat="1" applyFont="1" applyAlignment="1">
      <alignment horizontal="right" vertical="center"/>
    </xf>
    <xf numFmtId="10" fontId="12" fillId="0" borderId="0" xfId="0" applyNumberFormat="1" applyFont="1" applyAlignment="1">
      <alignment horizontal="center" vertical="center"/>
    </xf>
    <xf numFmtId="2" fontId="12" fillId="0" borderId="0" xfId="0" applyNumberFormat="1" applyFont="1" applyAlignment="1">
      <alignment vertical="center"/>
    </xf>
    <xf numFmtId="0" fontId="7" fillId="0" borderId="28" xfId="0" applyFont="1" applyBorder="1" applyAlignment="1">
      <alignment vertical="center"/>
    </xf>
    <xf numFmtId="0" fontId="6" fillId="0" borderId="28" xfId="0" applyFont="1" applyBorder="1" applyAlignment="1">
      <alignment vertical="center"/>
    </xf>
    <xf numFmtId="164" fontId="12" fillId="0" borderId="28" xfId="0" applyNumberFormat="1" applyFont="1" applyBorder="1" applyAlignment="1">
      <alignment horizontal="center" vertical="center"/>
    </xf>
    <xf numFmtId="0" fontId="12" fillId="0" borderId="28" xfId="0" applyFont="1" applyBorder="1" applyAlignment="1">
      <alignment vertical="center"/>
    </xf>
    <xf numFmtId="167" fontId="12" fillId="0" borderId="28" xfId="0" applyNumberFormat="1" applyFont="1" applyBorder="1" applyAlignment="1">
      <alignment vertical="center"/>
    </xf>
    <xf numFmtId="164" fontId="12" fillId="7" borderId="1" xfId="0" applyNumberFormat="1" applyFont="1" applyFill="1" applyBorder="1" applyAlignment="1">
      <alignment horizontal="right" vertical="center"/>
    </xf>
    <xf numFmtId="0" fontId="33" fillId="0" borderId="0" xfId="0" applyFont="1" applyAlignment="1">
      <alignment vertical="top" wrapText="1"/>
    </xf>
    <xf numFmtId="0" fontId="34" fillId="0" borderId="0" xfId="0" applyFont="1" applyAlignment="1">
      <alignment vertical="center"/>
    </xf>
    <xf numFmtId="164" fontId="34" fillId="0" borderId="0" xfId="0" applyNumberFormat="1" applyFont="1" applyAlignment="1">
      <alignment horizontal="right" vertical="center"/>
    </xf>
    <xf numFmtId="169" fontId="34" fillId="0" borderId="0" xfId="0" applyNumberFormat="1" applyFont="1" applyAlignment="1">
      <alignment horizontal="right" vertical="center"/>
    </xf>
    <xf numFmtId="169" fontId="6" fillId="0" borderId="28" xfId="0" applyNumberFormat="1" applyFont="1" applyBorder="1" applyAlignment="1">
      <alignment horizontal="right" vertical="center"/>
    </xf>
    <xf numFmtId="169" fontId="12" fillId="0" borderId="28" xfId="0" applyNumberFormat="1" applyFont="1" applyBorder="1" applyAlignment="1">
      <alignment horizontal="right" vertical="center"/>
    </xf>
    <xf numFmtId="164" fontId="35" fillId="0" borderId="0" xfId="0" applyNumberFormat="1" applyFont="1" applyAlignment="1">
      <alignment horizontal="right" vertical="center"/>
    </xf>
    <xf numFmtId="170" fontId="7" fillId="0" borderId="0" xfId="0" applyNumberFormat="1" applyFont="1" applyAlignment="1">
      <alignment horizontal="right" vertical="center"/>
    </xf>
    <xf numFmtId="0" fontId="36" fillId="0" borderId="0" xfId="0" applyFont="1"/>
    <xf numFmtId="164" fontId="6" fillId="7" borderId="1" xfId="0" applyNumberFormat="1" applyFont="1" applyFill="1" applyBorder="1" applyAlignment="1">
      <alignment horizontal="right" vertical="center"/>
    </xf>
    <xf numFmtId="164" fontId="7" fillId="7" borderId="1" xfId="0" applyNumberFormat="1" applyFont="1" applyFill="1" applyBorder="1" applyAlignment="1">
      <alignment horizontal="right" vertical="center"/>
    </xf>
    <xf numFmtId="173" fontId="35" fillId="7" borderId="1" xfId="0" applyNumberFormat="1" applyFont="1" applyFill="1" applyBorder="1" applyAlignment="1">
      <alignment horizontal="right" vertical="center"/>
    </xf>
    <xf numFmtId="173" fontId="32" fillId="0" borderId="0" xfId="0" applyNumberFormat="1" applyFont="1" applyAlignment="1">
      <alignment horizontal="right" vertical="center"/>
    </xf>
    <xf numFmtId="173" fontId="35" fillId="0" borderId="0" xfId="0" applyNumberFormat="1" applyFont="1" applyAlignment="1">
      <alignment horizontal="right" vertical="center"/>
    </xf>
    <xf numFmtId="167" fontId="11" fillId="0" borderId="0" xfId="0" applyNumberFormat="1" applyFont="1" applyAlignment="1">
      <alignment horizontal="right" vertical="center"/>
    </xf>
    <xf numFmtId="167" fontId="34" fillId="0" borderId="0" xfId="0" applyNumberFormat="1" applyFont="1" applyAlignment="1">
      <alignment horizontal="right" vertical="center"/>
    </xf>
    <xf numFmtId="164" fontId="37" fillId="0" borderId="0" xfId="0" applyNumberFormat="1" applyFont="1" applyAlignment="1">
      <alignment horizontal="right" vertical="center"/>
    </xf>
    <xf numFmtId="168" fontId="10" fillId="5" borderId="3" xfId="0" applyNumberFormat="1" applyFont="1" applyFill="1" applyBorder="1" applyAlignment="1">
      <alignment horizontal="right" vertical="center"/>
    </xf>
    <xf numFmtId="168" fontId="27" fillId="0" borderId="0" xfId="0" applyNumberFormat="1" applyFont="1"/>
    <xf numFmtId="10" fontId="26" fillId="0" borderId="0" xfId="0" applyNumberFormat="1" applyFont="1" applyAlignment="1">
      <alignment horizontal="right" vertical="center"/>
    </xf>
    <xf numFmtId="168" fontId="16" fillId="5" borderId="3" xfId="0" applyNumberFormat="1" applyFont="1" applyFill="1" applyBorder="1" applyAlignment="1">
      <alignment horizontal="right" vertical="center"/>
    </xf>
    <xf numFmtId="168" fontId="16" fillId="0" borderId="0" xfId="0" applyNumberFormat="1" applyFont="1" applyAlignment="1">
      <alignment horizontal="right" vertical="center"/>
    </xf>
    <xf numFmtId="9" fontId="6" fillId="0" borderId="0" xfId="0" applyNumberFormat="1" applyFont="1" applyAlignment="1">
      <alignment horizontal="right" vertical="center"/>
    </xf>
    <xf numFmtId="9" fontId="35" fillId="0" borderId="0" xfId="0" applyNumberFormat="1" applyFont="1" applyAlignment="1">
      <alignment horizontal="right" vertical="center"/>
    </xf>
    <xf numFmtId="168" fontId="6" fillId="5" borderId="35" xfId="0" applyNumberFormat="1" applyFont="1" applyFill="1" applyBorder="1" applyAlignment="1">
      <alignment vertical="center"/>
    </xf>
    <xf numFmtId="168" fontId="6" fillId="5" borderId="3" xfId="0" applyNumberFormat="1" applyFont="1" applyFill="1" applyBorder="1" applyAlignment="1">
      <alignment vertical="center"/>
    </xf>
    <xf numFmtId="168" fontId="12" fillId="7" borderId="3" xfId="0" applyNumberFormat="1" applyFont="1" applyFill="1" applyBorder="1" applyAlignment="1">
      <alignment vertical="center"/>
    </xf>
    <xf numFmtId="0" fontId="28" fillId="0" borderId="0" xfId="0" applyFont="1" applyAlignment="1">
      <alignment vertical="center"/>
    </xf>
    <xf numFmtId="15" fontId="12" fillId="4" borderId="5" xfId="0" applyNumberFormat="1" applyFont="1" applyFill="1" applyBorder="1" applyAlignment="1">
      <alignment horizontal="right" vertical="center"/>
    </xf>
    <xf numFmtId="0" fontId="12" fillId="0" borderId="0" xfId="0" applyFont="1" applyAlignment="1">
      <alignment horizontal="right" vertical="center"/>
    </xf>
    <xf numFmtId="164" fontId="6" fillId="0" borderId="0" xfId="0" applyNumberFormat="1" applyFont="1" applyAlignment="1">
      <alignment horizontal="center" vertical="center"/>
    </xf>
    <xf numFmtId="178" fontId="6" fillId="0" borderId="0" xfId="0" applyNumberFormat="1" applyFont="1" applyAlignment="1">
      <alignment horizontal="right" vertical="center"/>
    </xf>
    <xf numFmtId="164" fontId="11" fillId="0" borderId="0" xfId="0" applyNumberFormat="1" applyFont="1" applyAlignment="1">
      <alignment horizontal="right" vertical="center"/>
    </xf>
    <xf numFmtId="0" fontId="8" fillId="2" borderId="1" xfId="0" applyFont="1" applyFill="1" applyBorder="1" applyAlignment="1">
      <alignment horizontal="center" vertical="center"/>
    </xf>
    <xf numFmtId="164" fontId="11" fillId="2" borderId="1" xfId="0" applyNumberFormat="1" applyFont="1" applyFill="1" applyBorder="1" applyAlignment="1">
      <alignment horizontal="right" vertical="center"/>
    </xf>
    <xf numFmtId="0" fontId="8" fillId="0" borderId="0" xfId="0" applyFont="1" applyAlignment="1">
      <alignment vertical="center"/>
    </xf>
    <xf numFmtId="0" fontId="7" fillId="3" borderId="1" xfId="0" applyFont="1" applyFill="1" applyBorder="1" applyAlignment="1">
      <alignment vertical="center"/>
    </xf>
    <xf numFmtId="164" fontId="11" fillId="3" borderId="1" xfId="0" applyNumberFormat="1" applyFont="1" applyFill="1" applyBorder="1" applyAlignment="1">
      <alignment horizontal="right" vertical="center"/>
    </xf>
    <xf numFmtId="178" fontId="12" fillId="0" borderId="0" xfId="0" applyNumberFormat="1" applyFont="1" applyAlignment="1">
      <alignment horizontal="right" vertical="center"/>
    </xf>
    <xf numFmtId="166" fontId="12" fillId="0" borderId="0" xfId="0" applyNumberFormat="1" applyFont="1" applyAlignment="1">
      <alignment horizontal="right" vertical="center"/>
    </xf>
    <xf numFmtId="173" fontId="6" fillId="0" borderId="0" xfId="0" applyNumberFormat="1" applyFont="1" applyAlignment="1">
      <alignment vertical="center"/>
    </xf>
    <xf numFmtId="0" fontId="27" fillId="0" borderId="2" xfId="0" applyFont="1" applyBorder="1"/>
    <xf numFmtId="0" fontId="19" fillId="0" borderId="0" xfId="0" applyFont="1" applyAlignment="1">
      <alignment vertical="center"/>
    </xf>
    <xf numFmtId="168" fontId="12" fillId="4" borderId="5" xfId="0" applyNumberFormat="1" applyFont="1" applyFill="1" applyBorder="1" applyAlignment="1">
      <alignment horizontal="right" vertical="center"/>
    </xf>
    <xf numFmtId="167" fontId="6" fillId="0" borderId="2" xfId="0" applyNumberFormat="1" applyFont="1" applyBorder="1" applyAlignment="1">
      <alignment vertical="center"/>
    </xf>
    <xf numFmtId="0" fontId="8" fillId="11" borderId="1" xfId="0" applyFont="1" applyFill="1" applyBorder="1" applyAlignment="1">
      <alignment vertical="center"/>
    </xf>
    <xf numFmtId="179" fontId="6" fillId="0" borderId="0" xfId="0" applyNumberFormat="1" applyFont="1" applyAlignment="1">
      <alignment vertical="center"/>
    </xf>
    <xf numFmtId="173" fontId="12" fillId="4" borderId="3" xfId="0" applyNumberFormat="1" applyFont="1" applyFill="1" applyBorder="1" applyAlignment="1">
      <alignment horizontal="right" vertical="center"/>
    </xf>
    <xf numFmtId="180" fontId="6" fillId="0" borderId="0" xfId="0" applyNumberFormat="1" applyFont="1" applyAlignment="1">
      <alignment vertical="center"/>
    </xf>
    <xf numFmtId="0" fontId="6" fillId="0" borderId="0" xfId="0" quotePrefix="1" applyFont="1" applyAlignment="1">
      <alignment horizontal="right" vertical="center"/>
    </xf>
    <xf numFmtId="0" fontId="12" fillId="8" borderId="36" xfId="0" applyFont="1" applyFill="1" applyBorder="1" applyAlignment="1">
      <alignment horizontal="right" vertical="center"/>
    </xf>
    <xf numFmtId="176" fontId="13" fillId="8" borderId="24" xfId="0" applyNumberFormat="1" applyFont="1" applyFill="1" applyBorder="1" applyAlignment="1">
      <alignment horizontal="right" vertical="center"/>
    </xf>
    <xf numFmtId="176" fontId="13" fillId="8" borderId="30" xfId="0" applyNumberFormat="1" applyFont="1" applyFill="1" applyBorder="1" applyAlignment="1">
      <alignment horizontal="right" vertical="center"/>
    </xf>
    <xf numFmtId="168" fontId="12" fillId="4" borderId="1" xfId="0" applyNumberFormat="1" applyFont="1" applyFill="1" applyBorder="1" applyAlignment="1">
      <alignment horizontal="right" vertical="center"/>
    </xf>
    <xf numFmtId="15" fontId="19" fillId="2" borderId="1" xfId="0" applyNumberFormat="1" applyFont="1" applyFill="1" applyBorder="1" applyAlignment="1">
      <alignment vertical="center"/>
    </xf>
    <xf numFmtId="15" fontId="19" fillId="2" borderId="1" xfId="0" applyNumberFormat="1" applyFont="1" applyFill="1" applyBorder="1" applyAlignment="1">
      <alignment horizontal="right" vertical="center"/>
    </xf>
    <xf numFmtId="173" fontId="12" fillId="4" borderId="5" xfId="0" applyNumberFormat="1" applyFont="1" applyFill="1" applyBorder="1" applyAlignment="1">
      <alignment horizontal="right" vertical="center"/>
    </xf>
    <xf numFmtId="173" fontId="6" fillId="0" borderId="0" xfId="0" applyNumberFormat="1" applyFont="1" applyAlignment="1">
      <alignment horizontal="right" vertical="center"/>
    </xf>
    <xf numFmtId="181" fontId="6" fillId="0" borderId="0" xfId="0" applyNumberFormat="1" applyFont="1" applyAlignment="1">
      <alignment vertical="center"/>
    </xf>
    <xf numFmtId="164" fontId="12" fillId="0" borderId="2" xfId="0" applyNumberFormat="1" applyFont="1" applyBorder="1" applyAlignment="1">
      <alignment horizontal="right" vertical="center"/>
    </xf>
    <xf numFmtId="182" fontId="6" fillId="0" borderId="0" xfId="0" applyNumberFormat="1" applyFont="1" applyAlignment="1">
      <alignment vertical="center"/>
    </xf>
    <xf numFmtId="0" fontId="38" fillId="0" borderId="0" xfId="0" applyFont="1" applyAlignment="1">
      <alignment vertical="center"/>
    </xf>
    <xf numFmtId="164" fontId="13" fillId="0" borderId="0" xfId="0" applyNumberFormat="1" applyFont="1" applyAlignment="1">
      <alignment vertical="center"/>
    </xf>
    <xf numFmtId="165" fontId="7" fillId="0" borderId="31" xfId="0" applyNumberFormat="1" applyFont="1" applyBorder="1"/>
    <xf numFmtId="165" fontId="30" fillId="0" borderId="0" xfId="0" applyNumberFormat="1" applyFont="1"/>
    <xf numFmtId="168" fontId="39" fillId="15" borderId="1" xfId="0" applyNumberFormat="1" applyFont="1" applyFill="1" applyBorder="1" applyAlignment="1">
      <alignment horizontal="right" vertical="center"/>
    </xf>
    <xf numFmtId="169" fontId="13" fillId="0" borderId="0" xfId="0" applyNumberFormat="1" applyFont="1" applyAlignment="1">
      <alignment vertical="center"/>
    </xf>
    <xf numFmtId="2" fontId="13" fillId="0" borderId="0" xfId="0" applyNumberFormat="1" applyFont="1" applyAlignment="1">
      <alignment vertical="center"/>
    </xf>
    <xf numFmtId="2" fontId="6" fillId="0" borderId="0" xfId="0" applyNumberFormat="1" applyFont="1" applyAlignment="1">
      <alignment vertical="center"/>
    </xf>
    <xf numFmtId="168" fontId="10" fillId="0" borderId="0" xfId="0" applyNumberFormat="1" applyFont="1" applyAlignment="1">
      <alignment horizontal="right" vertical="center"/>
    </xf>
    <xf numFmtId="9" fontId="39" fillId="15" borderId="1" xfId="0" applyNumberFormat="1" applyFont="1" applyFill="1" applyBorder="1" applyAlignment="1">
      <alignment horizontal="right" vertical="center"/>
    </xf>
    <xf numFmtId="167" fontId="35" fillId="0" borderId="37" xfId="0" applyNumberFormat="1" applyFont="1" applyBorder="1" applyAlignment="1">
      <alignment horizontal="center" vertical="center"/>
    </xf>
    <xf numFmtId="172" fontId="27" fillId="0" borderId="0" xfId="0" applyNumberFormat="1" applyFont="1"/>
    <xf numFmtId="169" fontId="27" fillId="0" borderId="0" xfId="0" applyNumberFormat="1" applyFont="1"/>
    <xf numFmtId="183" fontId="30" fillId="0" borderId="0" xfId="0" applyNumberFormat="1" applyFont="1"/>
    <xf numFmtId="0" fontId="7" fillId="16" borderId="16" xfId="0" applyFont="1" applyFill="1" applyBorder="1" applyAlignment="1">
      <alignment vertical="center"/>
    </xf>
    <xf numFmtId="0" fontId="6" fillId="16" borderId="16" xfId="0" applyFont="1" applyFill="1" applyBorder="1" applyAlignment="1">
      <alignment vertical="center"/>
    </xf>
    <xf numFmtId="164" fontId="12" fillId="16" borderId="16" xfId="0" applyNumberFormat="1" applyFont="1" applyFill="1" applyBorder="1" applyAlignment="1">
      <alignment horizontal="center" vertical="center"/>
    </xf>
    <xf numFmtId="0" fontId="12" fillId="16" borderId="16" xfId="0" applyFont="1" applyFill="1" applyBorder="1" applyAlignment="1">
      <alignment vertical="center"/>
    </xf>
    <xf numFmtId="167" fontId="12" fillId="16" borderId="16" xfId="0" applyNumberFormat="1" applyFont="1" applyFill="1" applyBorder="1" applyAlignment="1">
      <alignment vertical="center"/>
    </xf>
    <xf numFmtId="173" fontId="32" fillId="0" borderId="0" xfId="0" applyNumberFormat="1" applyFont="1" applyAlignment="1">
      <alignment vertical="center"/>
    </xf>
    <xf numFmtId="184" fontId="32" fillId="0" borderId="0" xfId="0" applyNumberFormat="1" applyFont="1" applyAlignment="1">
      <alignment vertical="center"/>
    </xf>
    <xf numFmtId="184" fontId="12" fillId="0" borderId="0" xfId="0" applyNumberFormat="1" applyFont="1" applyAlignment="1">
      <alignment vertical="center"/>
    </xf>
    <xf numFmtId="10" fontId="32" fillId="0" borderId="0" xfId="0" applyNumberFormat="1" applyFont="1" applyAlignment="1">
      <alignment vertical="center"/>
    </xf>
    <xf numFmtId="10" fontId="13" fillId="15" borderId="1" xfId="0" applyNumberFormat="1" applyFont="1" applyFill="1" applyBorder="1" applyAlignment="1">
      <alignment vertical="center"/>
    </xf>
    <xf numFmtId="0" fontId="6" fillId="0" borderId="0" xfId="0" applyFont="1" applyAlignment="1">
      <alignment horizontal="left"/>
    </xf>
    <xf numFmtId="0" fontId="11" fillId="0" borderId="0" xfId="0" applyFont="1" applyAlignment="1">
      <alignment horizontal="left"/>
    </xf>
    <xf numFmtId="164" fontId="32" fillId="0" borderId="0" xfId="0" applyNumberFormat="1" applyFont="1" applyAlignment="1">
      <alignment vertical="center"/>
    </xf>
    <xf numFmtId="9" fontId="35" fillId="0" borderId="37" xfId="0" applyNumberFormat="1" applyFont="1" applyBorder="1" applyAlignment="1">
      <alignment horizontal="center" vertical="center"/>
    </xf>
    <xf numFmtId="0" fontId="7" fillId="0" borderId="0" xfId="0" applyFont="1" applyAlignment="1">
      <alignment horizontal="left"/>
    </xf>
    <xf numFmtId="167" fontId="26" fillId="0" borderId="0" xfId="0" applyNumberFormat="1" applyFont="1" applyAlignment="1">
      <alignment horizontal="right" vertical="center"/>
    </xf>
    <xf numFmtId="0" fontId="35" fillId="0" borderId="0" xfId="0" applyFont="1" applyAlignment="1">
      <alignment horizontal="left"/>
    </xf>
    <xf numFmtId="184" fontId="40" fillId="0" borderId="0" xfId="0" applyNumberFormat="1" applyFont="1" applyAlignment="1">
      <alignment vertical="center"/>
    </xf>
    <xf numFmtId="9" fontId="32" fillId="0" borderId="0" xfId="0" applyNumberFormat="1" applyFont="1" applyAlignment="1">
      <alignment vertical="center"/>
    </xf>
    <xf numFmtId="167" fontId="40" fillId="0" borderId="0" xfId="0" applyNumberFormat="1" applyFont="1" applyAlignment="1">
      <alignment vertical="center"/>
    </xf>
    <xf numFmtId="184" fontId="12" fillId="0" borderId="0" xfId="0" applyNumberFormat="1" applyFont="1" applyAlignment="1">
      <alignment horizontal="right" vertical="center"/>
    </xf>
    <xf numFmtId="183" fontId="6" fillId="0" borderId="0" xfId="0" applyNumberFormat="1" applyFont="1" applyAlignment="1">
      <alignment vertical="center"/>
    </xf>
    <xf numFmtId="184" fontId="37" fillId="0" borderId="0" xfId="0" applyNumberFormat="1" applyFont="1" applyAlignment="1">
      <alignment vertical="center"/>
    </xf>
    <xf numFmtId="164" fontId="26" fillId="0" borderId="31" xfId="0" applyNumberFormat="1" applyFont="1" applyBorder="1" applyAlignment="1">
      <alignment horizontal="right" vertical="center"/>
    </xf>
    <xf numFmtId="174" fontId="16" fillId="0" borderId="0" xfId="0" applyNumberFormat="1" applyFont="1" applyAlignment="1">
      <alignment horizontal="right" vertical="center"/>
    </xf>
    <xf numFmtId="185" fontId="12" fillId="0" borderId="0" xfId="0" applyNumberFormat="1" applyFont="1" applyAlignment="1">
      <alignment horizontal="right" vertical="center"/>
    </xf>
    <xf numFmtId="168" fontId="10" fillId="10" borderId="1" xfId="0" applyNumberFormat="1" applyFont="1" applyFill="1" applyBorder="1" applyAlignment="1">
      <alignment horizontal="right" vertical="center"/>
    </xf>
    <xf numFmtId="185" fontId="12" fillId="10" borderId="1" xfId="0" applyNumberFormat="1" applyFont="1" applyFill="1" applyBorder="1" applyAlignment="1">
      <alignment horizontal="right" vertical="center"/>
    </xf>
    <xf numFmtId="185" fontId="35" fillId="10" borderId="1" xfId="0" applyNumberFormat="1" applyFont="1" applyFill="1" applyBorder="1" applyAlignment="1">
      <alignment horizontal="right" vertical="center"/>
    </xf>
    <xf numFmtId="184" fontId="37" fillId="0" borderId="31" xfId="0" applyNumberFormat="1" applyFont="1" applyBorder="1" applyAlignment="1">
      <alignment vertical="center"/>
    </xf>
    <xf numFmtId="9" fontId="37" fillId="0" borderId="0" xfId="0" applyNumberFormat="1" applyFont="1" applyAlignment="1">
      <alignment vertical="center"/>
    </xf>
    <xf numFmtId="0" fontId="11" fillId="10" borderId="1" xfId="0" applyFont="1" applyFill="1" applyBorder="1" applyAlignment="1">
      <alignment horizontal="left"/>
    </xf>
    <xf numFmtId="164" fontId="12" fillId="10" borderId="1" xfId="0" applyNumberFormat="1" applyFont="1" applyFill="1" applyBorder="1" applyAlignment="1">
      <alignment horizontal="center" vertical="center"/>
    </xf>
    <xf numFmtId="0" fontId="6" fillId="0" borderId="0" xfId="0" applyFont="1"/>
    <xf numFmtId="0" fontId="7" fillId="6" borderId="1" xfId="0" applyFont="1" applyFill="1" applyBorder="1"/>
    <xf numFmtId="164" fontId="12" fillId="6" borderId="1" xfId="0" applyNumberFormat="1" applyFont="1" applyFill="1" applyBorder="1" applyAlignment="1">
      <alignment horizontal="center" vertical="center"/>
    </xf>
    <xf numFmtId="164" fontId="31" fillId="6" borderId="1" xfId="0" applyNumberFormat="1" applyFont="1" applyFill="1" applyBorder="1" applyAlignment="1">
      <alignment horizontal="right" vertical="center"/>
    </xf>
    <xf numFmtId="164" fontId="12" fillId="6" borderId="1" xfId="0" applyNumberFormat="1" applyFont="1" applyFill="1" applyBorder="1" applyAlignment="1">
      <alignment horizontal="right" vertical="center"/>
    </xf>
    <xf numFmtId="0" fontId="6" fillId="6" borderId="1" xfId="0" applyFont="1" applyFill="1" applyBorder="1"/>
    <xf numFmtId="173" fontId="32" fillId="6" borderId="1" xfId="0" applyNumberFormat="1" applyFont="1" applyFill="1" applyBorder="1" applyAlignment="1">
      <alignment horizontal="right" vertical="center"/>
    </xf>
    <xf numFmtId="173" fontId="12" fillId="6" borderId="1" xfId="0" applyNumberFormat="1" applyFont="1" applyFill="1" applyBorder="1" applyAlignment="1">
      <alignment horizontal="right" vertical="center"/>
    </xf>
    <xf numFmtId="164" fontId="6" fillId="6" borderId="1" xfId="0" applyNumberFormat="1" applyFont="1" applyFill="1" applyBorder="1" applyAlignment="1">
      <alignment horizontal="right" vertical="center"/>
    </xf>
    <xf numFmtId="0" fontId="11" fillId="6" borderId="1" xfId="0" applyFont="1" applyFill="1" applyBorder="1" applyAlignment="1">
      <alignment horizontal="left"/>
    </xf>
    <xf numFmtId="167" fontId="10" fillId="6" borderId="1" xfId="0" applyNumberFormat="1" applyFont="1" applyFill="1" applyBorder="1" applyAlignment="1">
      <alignment horizontal="right" vertical="center"/>
    </xf>
    <xf numFmtId="167" fontId="34" fillId="6" borderId="1" xfId="0" applyNumberFormat="1" applyFont="1" applyFill="1" applyBorder="1" applyAlignment="1">
      <alignment horizontal="right" vertical="center"/>
    </xf>
    <xf numFmtId="9" fontId="34" fillId="6" borderId="1" xfId="0" applyNumberFormat="1" applyFont="1" applyFill="1" applyBorder="1" applyAlignment="1">
      <alignment horizontal="right" vertical="center"/>
    </xf>
    <xf numFmtId="173" fontId="31" fillId="6" borderId="1" xfId="0" applyNumberFormat="1" applyFont="1" applyFill="1" applyBorder="1" applyAlignment="1">
      <alignment horizontal="right" vertical="center"/>
    </xf>
    <xf numFmtId="164" fontId="31" fillId="5" borderId="1" xfId="0" applyNumberFormat="1" applyFont="1" applyFill="1" applyBorder="1" applyAlignment="1">
      <alignment horizontal="right" vertical="center"/>
    </xf>
    <xf numFmtId="167" fontId="41" fillId="6" borderId="1" xfId="0" applyNumberFormat="1" applyFont="1" applyFill="1" applyBorder="1" applyAlignment="1">
      <alignment horizontal="right" vertical="center"/>
    </xf>
    <xf numFmtId="164" fontId="12" fillId="5" borderId="1" xfId="0" applyNumberFormat="1" applyFont="1" applyFill="1" applyBorder="1" applyAlignment="1">
      <alignment horizontal="right" vertical="center"/>
    </xf>
    <xf numFmtId="165" fontId="12" fillId="5" borderId="1" xfId="0" applyNumberFormat="1" applyFont="1" applyFill="1" applyBorder="1" applyAlignment="1">
      <alignment horizontal="right" vertical="center"/>
    </xf>
    <xf numFmtId="0" fontId="10" fillId="0" borderId="0" xfId="0" applyFont="1" applyAlignment="1">
      <alignment vertical="center"/>
    </xf>
    <xf numFmtId="164" fontId="31" fillId="17" borderId="1" xfId="0" applyNumberFormat="1" applyFont="1" applyFill="1" applyBorder="1" applyAlignment="1">
      <alignment horizontal="right" vertical="center"/>
    </xf>
    <xf numFmtId="164" fontId="12" fillId="17" borderId="1" xfId="0" applyNumberFormat="1" applyFont="1" applyFill="1" applyBorder="1" applyAlignment="1">
      <alignment horizontal="right" vertical="center"/>
    </xf>
    <xf numFmtId="173" fontId="12" fillId="5" borderId="1" xfId="0" applyNumberFormat="1" applyFont="1" applyFill="1" applyBorder="1" applyAlignment="1">
      <alignment horizontal="right" vertical="center"/>
    </xf>
    <xf numFmtId="9" fontId="34" fillId="5" borderId="1" xfId="0" applyNumberFormat="1" applyFont="1" applyFill="1" applyBorder="1" applyAlignment="1">
      <alignment horizontal="right" vertical="center"/>
    </xf>
    <xf numFmtId="164" fontId="35" fillId="17" borderId="1" xfId="0" applyNumberFormat="1" applyFont="1" applyFill="1" applyBorder="1" applyAlignment="1">
      <alignment horizontal="right" vertical="center"/>
    </xf>
    <xf numFmtId="184" fontId="6" fillId="0" borderId="0" xfId="0" applyNumberFormat="1" applyFont="1" applyAlignment="1">
      <alignment vertical="center"/>
    </xf>
    <xf numFmtId="168" fontId="34" fillId="10" borderId="1" xfId="0" applyNumberFormat="1" applyFont="1" applyFill="1" applyBorder="1" applyAlignment="1">
      <alignment horizontal="right" vertical="center"/>
    </xf>
    <xf numFmtId="164" fontId="31" fillId="10" borderId="1" xfId="0" applyNumberFormat="1" applyFont="1" applyFill="1" applyBorder="1" applyAlignment="1">
      <alignment horizontal="right" vertical="center"/>
    </xf>
    <xf numFmtId="164" fontId="12" fillId="10" borderId="1" xfId="0" applyNumberFormat="1" applyFont="1" applyFill="1" applyBorder="1" applyAlignment="1">
      <alignment horizontal="right" vertical="center"/>
    </xf>
    <xf numFmtId="173" fontId="12" fillId="10" borderId="1" xfId="0" applyNumberFormat="1" applyFont="1" applyFill="1" applyBorder="1" applyAlignment="1">
      <alignment horizontal="right" vertical="center"/>
    </xf>
    <xf numFmtId="164" fontId="6" fillId="5" borderId="1" xfId="0" applyNumberFormat="1" applyFont="1" applyFill="1" applyBorder="1" applyAlignment="1">
      <alignment horizontal="right" vertical="center"/>
    </xf>
    <xf numFmtId="0" fontId="7" fillId="0" borderId="0" xfId="0" applyFont="1"/>
    <xf numFmtId="9" fontId="26" fillId="5" borderId="24" xfId="0" applyNumberFormat="1" applyFont="1" applyFill="1" applyBorder="1" applyAlignment="1">
      <alignment horizontal="right" vertical="center"/>
    </xf>
    <xf numFmtId="173" fontId="32" fillId="5" borderId="1" xfId="0" applyNumberFormat="1" applyFont="1" applyFill="1" applyBorder="1" applyAlignment="1">
      <alignment horizontal="right" vertical="center"/>
    </xf>
    <xf numFmtId="165" fontId="10" fillId="0" borderId="0" xfId="0" applyNumberFormat="1" applyFont="1" applyAlignment="1">
      <alignment horizontal="right" vertical="center"/>
    </xf>
    <xf numFmtId="185" fontId="35" fillId="0" borderId="0" xfId="0" applyNumberFormat="1" applyFont="1" applyAlignment="1">
      <alignment horizontal="right" vertical="center"/>
    </xf>
    <xf numFmtId="2" fontId="10" fillId="0" borderId="0" xfId="0" applyNumberFormat="1" applyFont="1" applyAlignment="1">
      <alignment horizontal="right" vertical="center"/>
    </xf>
    <xf numFmtId="169" fontId="32" fillId="0" borderId="0" xfId="0" applyNumberFormat="1" applyFont="1" applyAlignment="1">
      <alignment vertical="center"/>
    </xf>
    <xf numFmtId="165" fontId="12" fillId="0" borderId="0" xfId="0" applyNumberFormat="1" applyFont="1" applyAlignment="1">
      <alignment horizontal="right" vertical="center"/>
    </xf>
    <xf numFmtId="9" fontId="27" fillId="0" borderId="0" xfId="0" applyNumberFormat="1" applyFont="1"/>
    <xf numFmtId="184" fontId="35" fillId="0" borderId="0" xfId="0" applyNumberFormat="1" applyFont="1" applyAlignment="1">
      <alignment vertical="center"/>
    </xf>
    <xf numFmtId="2" fontId="7" fillId="0" borderId="31" xfId="0" applyNumberFormat="1" applyFont="1" applyBorder="1" applyAlignment="1">
      <alignment vertical="center"/>
    </xf>
    <xf numFmtId="186" fontId="7" fillId="0" borderId="31" xfId="0" applyNumberFormat="1" applyFont="1" applyBorder="1" applyAlignment="1">
      <alignment vertical="center"/>
    </xf>
    <xf numFmtId="164" fontId="7" fillId="0" borderId="0" xfId="0" applyNumberFormat="1" applyFont="1" applyAlignment="1">
      <alignment vertical="center"/>
    </xf>
    <xf numFmtId="9" fontId="7" fillId="0" borderId="0" xfId="0" applyNumberFormat="1" applyFont="1" applyAlignment="1">
      <alignment vertical="center"/>
    </xf>
    <xf numFmtId="0" fontId="29" fillId="0" borderId="38" xfId="0" applyFont="1" applyBorder="1" applyAlignment="1">
      <alignment horizontal="center"/>
    </xf>
    <xf numFmtId="0" fontId="27" fillId="0" borderId="0" xfId="0" applyFont="1"/>
    <xf numFmtId="10" fontId="27" fillId="10" borderId="1" xfId="0" applyNumberFormat="1" applyFont="1" applyFill="1" applyBorder="1"/>
    <xf numFmtId="0" fontId="27" fillId="0" borderId="39" xfId="0" applyFont="1" applyBorder="1"/>
    <xf numFmtId="10" fontId="27" fillId="0" borderId="0" xfId="0" applyNumberFormat="1" applyFont="1"/>
    <xf numFmtId="167" fontId="27" fillId="10" borderId="1" xfId="0" applyNumberFormat="1" applyFont="1" applyFill="1" applyBorder="1"/>
    <xf numFmtId="10" fontId="42" fillId="15" borderId="1" xfId="0" applyNumberFormat="1" applyFont="1" applyFill="1" applyBorder="1"/>
    <xf numFmtId="10" fontId="43" fillId="0" borderId="0" xfId="0" applyNumberFormat="1" applyFont="1"/>
    <xf numFmtId="0" fontId="44" fillId="0" borderId="0" xfId="0" applyFont="1"/>
    <xf numFmtId="187" fontId="27" fillId="0" borderId="0" xfId="0" applyNumberFormat="1" applyFont="1"/>
    <xf numFmtId="187" fontId="30" fillId="0" borderId="0" xfId="0" applyNumberFormat="1" applyFont="1"/>
    <xf numFmtId="172" fontId="30" fillId="0" borderId="0" xfId="0" applyNumberFormat="1" applyFont="1"/>
    <xf numFmtId="187" fontId="27" fillId="10" borderId="1" xfId="0" applyNumberFormat="1" applyFont="1" applyFill="1" applyBorder="1"/>
    <xf numFmtId="0" fontId="30" fillId="18" borderId="1" xfId="0" applyFont="1" applyFill="1" applyBorder="1"/>
    <xf numFmtId="188" fontId="47" fillId="0" borderId="1" xfId="1" applyNumberFormat="1" applyFont="1" applyFill="1" applyBorder="1" applyAlignment="1">
      <alignment vertical="center"/>
    </xf>
    <xf numFmtId="10" fontId="6" fillId="0" borderId="0" xfId="2" applyNumberFormat="1" applyFont="1" applyAlignment="1">
      <alignment vertical="center"/>
    </xf>
    <xf numFmtId="10" fontId="0" fillId="0" borderId="0" xfId="2" applyNumberFormat="1" applyFont="1"/>
    <xf numFmtId="167" fontId="13" fillId="19" borderId="1" xfId="2" applyNumberFormat="1" applyFont="1" applyFill="1" applyBorder="1" applyAlignment="1">
      <alignment vertical="center"/>
    </xf>
    <xf numFmtId="164" fontId="48" fillId="0" borderId="0" xfId="0" applyNumberFormat="1" applyFont="1" applyAlignment="1">
      <alignment horizontal="right" vertical="center"/>
    </xf>
    <xf numFmtId="189" fontId="31" fillId="0" borderId="0" xfId="2" applyNumberFormat="1" applyFont="1" applyAlignment="1">
      <alignment horizontal="right" vertical="center"/>
    </xf>
    <xf numFmtId="167" fontId="48" fillId="0" borderId="0" xfId="2" applyNumberFormat="1" applyFont="1" applyAlignment="1">
      <alignment horizontal="right" vertical="center"/>
    </xf>
    <xf numFmtId="164" fontId="49" fillId="0" borderId="0" xfId="0" applyNumberFormat="1" applyFont="1" applyAlignment="1">
      <alignment horizontal="right" vertical="center"/>
    </xf>
    <xf numFmtId="164" fontId="12" fillId="20" borderId="0" xfId="0" applyNumberFormat="1" applyFont="1" applyFill="1" applyAlignment="1">
      <alignment horizontal="right" vertical="center"/>
    </xf>
    <xf numFmtId="169" fontId="50" fillId="0" borderId="0" xfId="0" applyNumberFormat="1" applyFont="1" applyAlignment="1">
      <alignment horizontal="right" vertical="center"/>
    </xf>
    <xf numFmtId="10" fontId="48" fillId="0" borderId="0" xfId="2" applyNumberFormat="1" applyFont="1" applyFill="1" applyAlignment="1">
      <alignment horizontal="right" vertical="center"/>
    </xf>
    <xf numFmtId="10" fontId="48" fillId="0" borderId="0" xfId="2" applyNumberFormat="1" applyFont="1" applyAlignment="1">
      <alignment horizontal="right" vertical="center"/>
    </xf>
    <xf numFmtId="0" fontId="11" fillId="0" borderId="0" xfId="0" applyFont="1" applyAlignment="1">
      <alignment horizontal="left" vertical="center" indent="1"/>
    </xf>
    <xf numFmtId="164" fontId="6" fillId="20" borderId="0" xfId="0" applyNumberFormat="1" applyFont="1" applyFill="1" applyAlignment="1">
      <alignment horizontal="right" vertical="center"/>
    </xf>
    <xf numFmtId="173" fontId="48" fillId="20" borderId="0" xfId="0" applyNumberFormat="1" applyFont="1" applyFill="1" applyAlignment="1">
      <alignment horizontal="right" vertical="center"/>
    </xf>
    <xf numFmtId="167" fontId="54" fillId="0" borderId="1" xfId="2" applyNumberFormat="1" applyFont="1" applyFill="1" applyBorder="1" applyAlignment="1">
      <alignment horizontal="right" vertical="center"/>
    </xf>
    <xf numFmtId="0" fontId="0" fillId="0" borderId="1" xfId="0" applyBorder="1"/>
    <xf numFmtId="0" fontId="0" fillId="0" borderId="40" xfId="0" applyBorder="1"/>
    <xf numFmtId="0" fontId="55" fillId="0" borderId="41" xfId="0" applyFont="1" applyBorder="1" applyAlignment="1">
      <alignment horizontal="center"/>
    </xf>
    <xf numFmtId="0" fontId="55" fillId="0" borderId="41" xfId="0" applyFont="1" applyBorder="1" applyAlignment="1">
      <alignment horizontal="centerContinuous"/>
    </xf>
    <xf numFmtId="168" fontId="30" fillId="0" borderId="0" xfId="0" applyNumberFormat="1" applyFont="1"/>
    <xf numFmtId="10" fontId="0" fillId="0" borderId="0" xfId="0" applyNumberFormat="1"/>
    <xf numFmtId="10" fontId="35" fillId="0" borderId="37" xfId="0" applyNumberFormat="1" applyFont="1" applyBorder="1" applyAlignment="1">
      <alignment horizontal="center" vertical="center"/>
    </xf>
    <xf numFmtId="164" fontId="48" fillId="21" borderId="0" xfId="0" applyNumberFormat="1" applyFont="1" applyFill="1" applyAlignment="1">
      <alignment horizontal="right" vertical="center"/>
    </xf>
    <xf numFmtId="164" fontId="13" fillId="0" borderId="1" xfId="0" applyNumberFormat="1" applyFont="1" applyBorder="1" applyAlignment="1">
      <alignment horizontal="right" vertical="center"/>
    </xf>
    <xf numFmtId="164" fontId="0" fillId="0" borderId="0" xfId="0" applyNumberFormat="1"/>
    <xf numFmtId="164" fontId="6" fillId="0" borderId="0" xfId="0" applyNumberFormat="1" applyFont="1"/>
    <xf numFmtId="164" fontId="50" fillId="0" borderId="1" xfId="0" applyNumberFormat="1" applyFont="1" applyBorder="1" applyAlignment="1">
      <alignment horizontal="right" vertical="center"/>
    </xf>
    <xf numFmtId="164" fontId="50" fillId="0" borderId="0" xfId="0" applyNumberFormat="1" applyFont="1"/>
    <xf numFmtId="190" fontId="50" fillId="0" borderId="0" xfId="0" applyNumberFormat="1" applyFont="1"/>
    <xf numFmtId="171" fontId="6" fillId="0" borderId="1" xfId="0" applyNumberFormat="1" applyFont="1" applyBorder="1" applyAlignment="1">
      <alignment horizontal="right" vertical="center"/>
    </xf>
    <xf numFmtId="190" fontId="49" fillId="0" borderId="0" xfId="0" applyNumberFormat="1" applyFont="1"/>
    <xf numFmtId="43" fontId="6" fillId="0" borderId="0" xfId="0" applyNumberFormat="1" applyFont="1" applyAlignment="1">
      <alignment vertical="center"/>
    </xf>
    <xf numFmtId="9" fontId="30" fillId="0" borderId="0" xfId="2" applyFont="1"/>
    <xf numFmtId="0" fontId="5" fillId="0" borderId="0" xfId="0" applyFont="1"/>
    <xf numFmtId="10" fontId="0" fillId="22" borderId="0" xfId="2" applyNumberFormat="1" applyFont="1" applyFill="1"/>
    <xf numFmtId="0" fontId="0" fillId="22" borderId="0" xfId="0" applyFill="1"/>
    <xf numFmtId="0" fontId="0" fillId="23" borderId="0" xfId="0" applyFill="1"/>
    <xf numFmtId="10" fontId="0" fillId="23" borderId="0" xfId="2" applyNumberFormat="1" applyFont="1" applyFill="1"/>
    <xf numFmtId="0" fontId="0" fillId="24" borderId="0" xfId="0" applyFill="1"/>
    <xf numFmtId="0" fontId="55" fillId="24" borderId="41" xfId="0" applyFont="1" applyFill="1" applyBorder="1" applyAlignment="1">
      <alignment horizontal="centerContinuous"/>
    </xf>
    <xf numFmtId="0" fontId="0" fillId="24" borderId="1" xfId="0" applyFill="1" applyBorder="1"/>
    <xf numFmtId="0" fontId="0" fillId="24" borderId="40" xfId="0" applyFill="1" applyBorder="1"/>
    <xf numFmtId="0" fontId="55" fillId="24" borderId="41" xfId="0" applyFont="1" applyFill="1" applyBorder="1" applyAlignment="1">
      <alignment horizontal="center"/>
    </xf>
    <xf numFmtId="174" fontId="12" fillId="4" borderId="42" xfId="0" applyNumberFormat="1" applyFont="1" applyFill="1" applyBorder="1" applyAlignment="1">
      <alignment vertical="center"/>
    </xf>
    <xf numFmtId="49" fontId="6" fillId="0" borderId="0" xfId="0" applyNumberFormat="1" applyFont="1" applyAlignment="1">
      <alignment horizontal="left"/>
    </xf>
    <xf numFmtId="183" fontId="7" fillId="0" borderId="0" xfId="0" applyNumberFormat="1" applyFont="1"/>
    <xf numFmtId="49" fontId="11" fillId="0" borderId="0" xfId="0" applyNumberFormat="1" applyFont="1" applyAlignment="1">
      <alignment horizontal="left" indent="1"/>
    </xf>
    <xf numFmtId="192" fontId="54" fillId="0" borderId="0" xfId="0" applyNumberFormat="1" applyFont="1"/>
    <xf numFmtId="183" fontId="50" fillId="0" borderId="0" xfId="2" applyNumberFormat="1" applyFont="1" applyFill="1" applyAlignment="1">
      <alignment horizontal="right"/>
    </xf>
    <xf numFmtId="0" fontId="8" fillId="25" borderId="43" xfId="0" applyFont="1" applyFill="1" applyBorder="1" applyAlignment="1">
      <alignment horizontal="center"/>
    </xf>
    <xf numFmtId="49" fontId="6" fillId="25" borderId="44" xfId="0" applyNumberFormat="1" applyFont="1" applyFill="1" applyBorder="1" applyAlignment="1">
      <alignment horizontal="left"/>
    </xf>
    <xf numFmtId="191" fontId="8" fillId="25" borderId="44" xfId="0" applyNumberFormat="1" applyFont="1" applyFill="1" applyBorder="1" applyAlignment="1">
      <alignment horizontal="center"/>
    </xf>
    <xf numFmtId="49" fontId="7" fillId="25" borderId="1" xfId="0" applyNumberFormat="1" applyFont="1" applyFill="1" applyBorder="1" applyAlignment="1">
      <alignment horizontal="left"/>
    </xf>
    <xf numFmtId="0" fontId="6" fillId="0" borderId="23" xfId="0" applyFont="1" applyBorder="1" applyAlignment="1">
      <alignment vertical="center"/>
    </xf>
    <xf numFmtId="183" fontId="7" fillId="0" borderId="46" xfId="0" applyNumberFormat="1" applyFont="1" applyBorder="1"/>
    <xf numFmtId="183" fontId="6" fillId="0" borderId="0" xfId="0" applyNumberFormat="1" applyFont="1"/>
    <xf numFmtId="191" fontId="8" fillId="0" borderId="47" xfId="0" applyNumberFormat="1" applyFont="1" applyBorder="1" applyAlignment="1">
      <alignment horizontal="center"/>
    </xf>
    <xf numFmtId="191" fontId="8" fillId="25" borderId="44" xfId="0" applyNumberFormat="1" applyFont="1" applyFill="1" applyBorder="1" applyAlignment="1">
      <alignment horizontal="center" vertical="center"/>
    </xf>
    <xf numFmtId="191" fontId="8" fillId="25" borderId="45" xfId="0" applyNumberFormat="1" applyFont="1" applyFill="1" applyBorder="1" applyAlignment="1">
      <alignment horizontal="center" vertical="center"/>
    </xf>
    <xf numFmtId="0" fontId="8" fillId="25" borderId="1" xfId="0" applyFont="1" applyFill="1" applyBorder="1" applyAlignment="1">
      <alignment horizontal="center" vertical="center"/>
    </xf>
    <xf numFmtId="168" fontId="0" fillId="0" borderId="0" xfId="0" applyNumberFormat="1"/>
    <xf numFmtId="193" fontId="13" fillId="0" borderId="0" xfId="0" applyNumberFormat="1" applyFont="1"/>
    <xf numFmtId="0" fontId="49" fillId="26" borderId="48" xfId="4" applyFont="1" applyFill="1" applyBorder="1" applyAlignment="1">
      <alignment horizontal="left"/>
    </xf>
    <xf numFmtId="193" fontId="49" fillId="26" borderId="49" xfId="4" applyNumberFormat="1" applyFont="1" applyFill="1" applyBorder="1"/>
    <xf numFmtId="2" fontId="12" fillId="4" borderId="42" xfId="0" applyNumberFormat="1" applyFont="1" applyFill="1" applyBorder="1" applyAlignment="1">
      <alignment vertical="center"/>
    </xf>
    <xf numFmtId="169" fontId="12" fillId="4" borderId="42" xfId="0" applyNumberFormat="1" applyFont="1" applyFill="1" applyBorder="1" applyAlignment="1">
      <alignment vertical="center"/>
    </xf>
    <xf numFmtId="0" fontId="8" fillId="25" borderId="43" xfId="0" applyFont="1" applyFill="1" applyBorder="1" applyAlignment="1">
      <alignment horizontal="center" vertical="center"/>
    </xf>
    <xf numFmtId="167" fontId="6" fillId="0" borderId="0" xfId="2" applyNumberFormat="1" applyFont="1" applyAlignment="1">
      <alignment vertical="center"/>
    </xf>
    <xf numFmtId="194" fontId="13" fillId="0" borderId="0" xfId="0" applyNumberFormat="1" applyFont="1"/>
    <xf numFmtId="167" fontId="11" fillId="0" borderId="0" xfId="2" applyNumberFormat="1" applyFont="1" applyAlignment="1">
      <alignment horizontal="left" vertical="center" indent="1"/>
    </xf>
    <xf numFmtId="168" fontId="6" fillId="0" borderId="0" xfId="2" applyNumberFormat="1" applyFont="1" applyAlignment="1">
      <alignment horizontal="right"/>
    </xf>
    <xf numFmtId="167" fontId="12" fillId="4" borderId="42" xfId="2" applyNumberFormat="1" applyFont="1" applyFill="1" applyBorder="1" applyAlignment="1">
      <alignment vertical="center"/>
    </xf>
    <xf numFmtId="168" fontId="11" fillId="0" borderId="0" xfId="2" applyNumberFormat="1" applyFont="1" applyAlignment="1">
      <alignment horizontal="right"/>
    </xf>
    <xf numFmtId="0" fontId="6" fillId="24" borderId="0" xfId="0" applyFont="1" applyFill="1"/>
    <xf numFmtId="44" fontId="6" fillId="24" borderId="0" xfId="3" applyFont="1" applyFill="1"/>
    <xf numFmtId="0" fontId="6" fillId="27" borderId="0" xfId="0" applyFont="1" applyFill="1"/>
    <xf numFmtId="44" fontId="6" fillId="27" borderId="0" xfId="3" applyFont="1" applyFill="1"/>
    <xf numFmtId="168" fontId="6" fillId="27" borderId="0" xfId="2" applyNumberFormat="1" applyFont="1" applyFill="1"/>
    <xf numFmtId="9" fontId="6" fillId="24" borderId="0" xfId="0" applyNumberFormat="1" applyFont="1" applyFill="1" applyAlignment="1">
      <alignment horizontal="center"/>
    </xf>
    <xf numFmtId="9" fontId="6" fillId="27" borderId="0" xfId="0" applyNumberFormat="1" applyFont="1" applyFill="1" applyAlignment="1">
      <alignment horizontal="center"/>
    </xf>
    <xf numFmtId="9" fontId="6" fillId="0" borderId="0" xfId="0" applyNumberFormat="1" applyFont="1" applyAlignment="1">
      <alignment horizontal="center"/>
    </xf>
    <xf numFmtId="168" fontId="6" fillId="24" borderId="0" xfId="0" applyNumberFormat="1" applyFont="1" applyFill="1" applyAlignment="1">
      <alignment horizontal="center"/>
    </xf>
    <xf numFmtId="10" fontId="6" fillId="27" borderId="0" xfId="0" applyNumberFormat="1" applyFont="1" applyFill="1" applyAlignment="1">
      <alignment horizontal="center"/>
    </xf>
    <xf numFmtId="44" fontId="7" fillId="27" borderId="0" xfId="3" applyFont="1" applyFill="1"/>
    <xf numFmtId="0" fontId="7" fillId="27" borderId="0" xfId="0" applyFont="1" applyFill="1"/>
    <xf numFmtId="44" fontId="6" fillId="24" borderId="0" xfId="3" applyFont="1" applyFill="1" applyAlignment="1">
      <alignment horizontal="center" vertical="center"/>
    </xf>
    <xf numFmtId="44" fontId="6" fillId="27" borderId="0" xfId="3" applyFont="1" applyFill="1" applyAlignment="1">
      <alignment horizontal="center" vertical="center"/>
    </xf>
    <xf numFmtId="0" fontId="6" fillId="28" borderId="0" xfId="0" applyFont="1" applyFill="1"/>
    <xf numFmtId="183" fontId="6" fillId="24" borderId="0" xfId="0" applyNumberFormat="1" applyFont="1" applyFill="1"/>
    <xf numFmtId="2" fontId="6" fillId="24" borderId="0" xfId="0" applyNumberFormat="1" applyFont="1" applyFill="1"/>
    <xf numFmtId="44" fontId="0" fillId="27" borderId="0" xfId="3" applyFont="1" applyFill="1"/>
    <xf numFmtId="169" fontId="7" fillId="21" borderId="0" xfId="0" applyNumberFormat="1" applyFont="1" applyFill="1" applyAlignment="1">
      <alignment horizontal="right" vertical="center"/>
    </xf>
    <xf numFmtId="168" fontId="12" fillId="29" borderId="5" xfId="0" applyNumberFormat="1" applyFont="1" applyFill="1" applyBorder="1" applyAlignment="1">
      <alignment vertical="center"/>
    </xf>
    <xf numFmtId="171" fontId="12" fillId="29" borderId="3" xfId="0" applyNumberFormat="1" applyFont="1" applyFill="1" applyBorder="1" applyAlignment="1">
      <alignment horizontal="right" vertical="center"/>
    </xf>
    <xf numFmtId="168" fontId="12" fillId="29" borderId="4" xfId="0" applyNumberFormat="1" applyFont="1" applyFill="1" applyBorder="1" applyAlignment="1">
      <alignment horizontal="right" vertical="center"/>
    </xf>
    <xf numFmtId="164" fontId="12" fillId="21" borderId="0" xfId="0" applyNumberFormat="1" applyFont="1" applyFill="1" applyAlignment="1">
      <alignment horizontal="right" vertical="center"/>
    </xf>
    <xf numFmtId="164" fontId="6" fillId="21" borderId="2" xfId="0" applyNumberFormat="1" applyFont="1" applyFill="1" applyBorder="1" applyAlignment="1">
      <alignment horizontal="right" vertical="center"/>
    </xf>
    <xf numFmtId="164" fontId="6" fillId="21" borderId="0" xfId="0" applyNumberFormat="1" applyFont="1" applyFill="1" applyAlignment="1">
      <alignment horizontal="right" vertical="center"/>
    </xf>
    <xf numFmtId="169" fontId="6" fillId="21" borderId="0" xfId="0" applyNumberFormat="1" applyFont="1" applyFill="1" applyAlignment="1">
      <alignment horizontal="right" vertical="center"/>
    </xf>
    <xf numFmtId="0" fontId="6" fillId="21" borderId="2" xfId="0" applyFont="1" applyFill="1" applyBorder="1" applyAlignment="1">
      <alignment vertical="center"/>
    </xf>
    <xf numFmtId="0" fontId="0" fillId="21" borderId="0" xfId="0" applyFill="1"/>
    <xf numFmtId="164" fontId="49" fillId="21" borderId="0" xfId="0" applyNumberFormat="1" applyFont="1" applyFill="1" applyAlignment="1">
      <alignment horizontal="right" vertical="center"/>
    </xf>
    <xf numFmtId="168" fontId="10" fillId="29" borderId="3" xfId="0" applyNumberFormat="1" applyFont="1" applyFill="1" applyBorder="1" applyAlignment="1">
      <alignment horizontal="right" vertical="center"/>
    </xf>
    <xf numFmtId="168" fontId="16" fillId="29" borderId="3" xfId="0" applyNumberFormat="1" applyFont="1" applyFill="1" applyBorder="1" applyAlignment="1">
      <alignment horizontal="right" vertical="center"/>
    </xf>
    <xf numFmtId="9" fontId="35" fillId="21" borderId="0" xfId="0" applyNumberFormat="1" applyFont="1" applyFill="1" applyAlignment="1">
      <alignment horizontal="right" vertical="center"/>
    </xf>
    <xf numFmtId="167" fontId="35" fillId="21" borderId="37" xfId="0" applyNumberFormat="1" applyFont="1" applyFill="1" applyBorder="1" applyAlignment="1">
      <alignment horizontal="center" vertical="center"/>
    </xf>
    <xf numFmtId="168" fontId="16" fillId="21" borderId="0" xfId="0" applyNumberFormat="1" applyFont="1" applyFill="1" applyAlignment="1">
      <alignment horizontal="right" vertical="center"/>
    </xf>
    <xf numFmtId="164" fontId="6" fillId="21" borderId="0" xfId="0" applyNumberFormat="1" applyFont="1" applyFill="1" applyAlignment="1">
      <alignment vertical="center"/>
    </xf>
    <xf numFmtId="165" fontId="7" fillId="21" borderId="31" xfId="0" applyNumberFormat="1" applyFont="1" applyFill="1" applyBorder="1"/>
    <xf numFmtId="9" fontId="58" fillId="0" borderId="0" xfId="0" applyNumberFormat="1" applyFont="1" applyAlignment="1">
      <alignment horizontal="right" vertical="center"/>
    </xf>
    <xf numFmtId="184" fontId="59" fillId="0" borderId="0" xfId="0" applyNumberFormat="1" applyFont="1" applyAlignment="1">
      <alignment vertical="center"/>
    </xf>
    <xf numFmtId="10" fontId="59" fillId="0" borderId="0" xfId="0" applyNumberFormat="1" applyFont="1" applyAlignment="1">
      <alignment vertical="center"/>
    </xf>
    <xf numFmtId="167" fontId="60" fillId="0" borderId="0" xfId="0" applyNumberFormat="1" applyFont="1" applyAlignment="1">
      <alignment horizontal="right" vertical="center"/>
    </xf>
    <xf numFmtId="167" fontId="32" fillId="0" borderId="0" xfId="0" applyNumberFormat="1" applyFont="1" applyAlignment="1">
      <alignment vertical="center"/>
    </xf>
    <xf numFmtId="9" fontId="59" fillId="0" borderId="0" xfId="0" applyNumberFormat="1" applyFont="1" applyAlignment="1">
      <alignment vertical="center"/>
    </xf>
    <xf numFmtId="190" fontId="6" fillId="0" borderId="0" xfId="0" applyNumberFormat="1" applyFont="1" applyAlignment="1">
      <alignment vertical="center"/>
    </xf>
    <xf numFmtId="10" fontId="13" fillId="15" borderId="1" xfId="2" applyNumberFormat="1" applyFont="1" applyFill="1" applyBorder="1" applyAlignment="1">
      <alignment vertical="center"/>
    </xf>
    <xf numFmtId="0" fontId="63" fillId="0" borderId="1" xfId="6" applyFont="1"/>
    <xf numFmtId="0" fontId="4" fillId="0" borderId="1" xfId="6"/>
    <xf numFmtId="0" fontId="62" fillId="0" borderId="48" xfId="6" applyFont="1" applyBorder="1" applyAlignment="1">
      <alignment horizontal="center"/>
    </xf>
    <xf numFmtId="0" fontId="62" fillId="0" borderId="49" xfId="6" applyFont="1" applyBorder="1" applyAlignment="1">
      <alignment horizontal="center"/>
    </xf>
    <xf numFmtId="0" fontId="62" fillId="0" borderId="51" xfId="6" applyFont="1" applyBorder="1" applyAlignment="1">
      <alignment horizontal="center"/>
    </xf>
    <xf numFmtId="0" fontId="62" fillId="0" borderId="1" xfId="6" applyFont="1"/>
    <xf numFmtId="0" fontId="62" fillId="0" borderId="48" xfId="6" applyFont="1" applyBorder="1" applyAlignment="1">
      <alignment horizontal="center" vertical="center"/>
    </xf>
    <xf numFmtId="0" fontId="62" fillId="0" borderId="53" xfId="6" applyFont="1" applyBorder="1" applyAlignment="1">
      <alignment horizontal="center"/>
    </xf>
    <xf numFmtId="0" fontId="4" fillId="0" borderId="54" xfId="6" applyBorder="1"/>
    <xf numFmtId="41" fontId="0" fillId="0" borderId="55" xfId="7" applyFont="1" applyBorder="1"/>
    <xf numFmtId="41" fontId="0" fillId="0" borderId="54" xfId="7" applyFont="1" applyBorder="1"/>
    <xf numFmtId="41" fontId="0" fillId="0" borderId="56" xfId="7" applyFont="1" applyBorder="1"/>
    <xf numFmtId="0" fontId="4" fillId="0" borderId="52" xfId="6" applyBorder="1"/>
    <xf numFmtId="41" fontId="0" fillId="0" borderId="57" xfId="7" applyFont="1" applyBorder="1"/>
    <xf numFmtId="41" fontId="0" fillId="0" borderId="52" xfId="7" applyFont="1" applyBorder="1"/>
    <xf numFmtId="41" fontId="0" fillId="0" borderId="58" xfId="7" applyFont="1" applyBorder="1"/>
    <xf numFmtId="0" fontId="64" fillId="0" borderId="1" xfId="6" applyFont="1"/>
    <xf numFmtId="0" fontId="55" fillId="0" borderId="1" xfId="6" applyFont="1"/>
    <xf numFmtId="0" fontId="4" fillId="0" borderId="56" xfId="6" applyBorder="1"/>
    <xf numFmtId="0" fontId="4" fillId="0" borderId="58" xfId="6" applyBorder="1"/>
    <xf numFmtId="0" fontId="62" fillId="0" borderId="1" xfId="6" applyFont="1" applyAlignment="1">
      <alignment horizontal="center"/>
    </xf>
    <xf numFmtId="0" fontId="4" fillId="0" borderId="48" xfId="6" applyBorder="1"/>
    <xf numFmtId="0" fontId="4" fillId="0" borderId="51" xfId="6" applyBorder="1"/>
    <xf numFmtId="0" fontId="4" fillId="0" borderId="55" xfId="6" applyBorder="1"/>
    <xf numFmtId="41" fontId="4" fillId="0" borderId="56" xfId="7" applyFont="1" applyBorder="1"/>
    <xf numFmtId="0" fontId="4" fillId="0" borderId="57" xfId="6" applyBorder="1"/>
    <xf numFmtId="41" fontId="4" fillId="0" borderId="58" xfId="7" applyFont="1" applyBorder="1"/>
    <xf numFmtId="41" fontId="62" fillId="0" borderId="51" xfId="7" applyFont="1" applyFill="1" applyBorder="1"/>
    <xf numFmtId="0" fontId="4" fillId="0" borderId="53" xfId="6" applyBorder="1"/>
    <xf numFmtId="0" fontId="63" fillId="31" borderId="1" xfId="6" applyFont="1" applyFill="1"/>
    <xf numFmtId="0" fontId="64" fillId="0" borderId="48" xfId="6" applyFont="1" applyBorder="1"/>
    <xf numFmtId="195" fontId="64" fillId="0" borderId="49" xfId="7" applyNumberFormat="1" applyFont="1" applyBorder="1"/>
    <xf numFmtId="195" fontId="64" fillId="0" borderId="51" xfId="7" applyNumberFormat="1" applyFont="1" applyBorder="1"/>
    <xf numFmtId="195" fontId="0" fillId="0" borderId="49" xfId="7" applyNumberFormat="1" applyFont="1" applyBorder="1"/>
    <xf numFmtId="195" fontId="0" fillId="0" borderId="1" xfId="7" applyNumberFormat="1" applyFont="1" applyBorder="1"/>
    <xf numFmtId="196" fontId="0" fillId="0" borderId="1" xfId="7" applyNumberFormat="1" applyFont="1" applyBorder="1"/>
    <xf numFmtId="196" fontId="0" fillId="0" borderId="56" xfId="7" applyNumberFormat="1" applyFont="1" applyBorder="1"/>
    <xf numFmtId="195" fontId="0" fillId="0" borderId="44" xfId="7" applyNumberFormat="1" applyFont="1" applyBorder="1"/>
    <xf numFmtId="196" fontId="0" fillId="0" borderId="44" xfId="7" applyNumberFormat="1" applyFont="1" applyBorder="1"/>
    <xf numFmtId="196" fontId="0" fillId="0" borderId="58" xfId="7" applyNumberFormat="1" applyFont="1" applyBorder="1"/>
    <xf numFmtId="9" fontId="0" fillId="0" borderId="1" xfId="8" applyFont="1"/>
    <xf numFmtId="195" fontId="0" fillId="0" borderId="1" xfId="7" applyNumberFormat="1" applyFont="1"/>
    <xf numFmtId="0" fontId="65" fillId="31" borderId="48" xfId="6" applyFont="1" applyFill="1" applyBorder="1"/>
    <xf numFmtId="0" fontId="4" fillId="0" borderId="49" xfId="6" applyBorder="1"/>
    <xf numFmtId="9" fontId="0" fillId="0" borderId="49" xfId="8" applyFont="1" applyBorder="1"/>
    <xf numFmtId="195" fontId="62" fillId="0" borderId="49" xfId="7" applyNumberFormat="1" applyFont="1" applyBorder="1"/>
    <xf numFmtId="195" fontId="64" fillId="0" borderId="49" xfId="6" applyNumberFormat="1" applyFont="1" applyBorder="1"/>
    <xf numFmtId="195" fontId="64" fillId="0" borderId="51" xfId="6" applyNumberFormat="1" applyFont="1" applyBorder="1"/>
    <xf numFmtId="9" fontId="0" fillId="0" borderId="1" xfId="8" applyFont="1" applyBorder="1"/>
    <xf numFmtId="195" fontId="0" fillId="0" borderId="56" xfId="7" applyNumberFormat="1" applyFont="1" applyBorder="1"/>
    <xf numFmtId="0" fontId="4" fillId="0" borderId="44" xfId="6" applyBorder="1"/>
    <xf numFmtId="195" fontId="0" fillId="0" borderId="58" xfId="7" applyNumberFormat="1" applyFont="1" applyBorder="1"/>
    <xf numFmtId="0" fontId="66" fillId="0" borderId="1" xfId="6" applyFont="1"/>
    <xf numFmtId="0" fontId="4" fillId="0" borderId="48" xfId="6" applyBorder="1" applyAlignment="1">
      <alignment horizontal="center"/>
    </xf>
    <xf numFmtId="0" fontId="4" fillId="0" borderId="49" xfId="6" applyBorder="1" applyAlignment="1">
      <alignment horizontal="center"/>
    </xf>
    <xf numFmtId="0" fontId="4" fillId="0" borderId="51" xfId="6" applyBorder="1" applyAlignment="1">
      <alignment horizontal="center"/>
    </xf>
    <xf numFmtId="197" fontId="0" fillId="0" borderId="1" xfId="9" applyNumberFormat="1" applyFont="1" applyBorder="1"/>
    <xf numFmtId="197" fontId="0" fillId="0" borderId="56" xfId="9" applyNumberFormat="1" applyFont="1" applyBorder="1"/>
    <xf numFmtId="0" fontId="62" fillId="0" borderId="48" xfId="6" applyFont="1" applyBorder="1"/>
    <xf numFmtId="197" fontId="62" fillId="0" borderId="49" xfId="9" applyNumberFormat="1" applyFont="1" applyBorder="1"/>
    <xf numFmtId="197" fontId="62" fillId="0" borderId="51" xfId="9" applyNumberFormat="1" applyFont="1" applyBorder="1"/>
    <xf numFmtId="0" fontId="4" fillId="0" borderId="1" xfId="6" applyAlignment="1">
      <alignment horizontal="center"/>
    </xf>
    <xf numFmtId="43" fontId="0" fillId="0" borderId="1" xfId="9" applyFont="1"/>
    <xf numFmtId="43" fontId="4" fillId="0" borderId="1" xfId="6" applyNumberFormat="1"/>
    <xf numFmtId="41" fontId="0" fillId="0" borderId="1" xfId="5" applyFont="1" applyBorder="1"/>
    <xf numFmtId="41" fontId="0" fillId="0" borderId="56" xfId="5" applyFont="1" applyBorder="1"/>
    <xf numFmtId="0" fontId="3" fillId="0" borderId="0" xfId="0" applyFont="1"/>
    <xf numFmtId="0" fontId="62" fillId="0" borderId="0" xfId="0" applyFont="1"/>
    <xf numFmtId="0" fontId="63" fillId="0" borderId="0" xfId="0" applyFont="1"/>
    <xf numFmtId="0" fontId="65" fillId="0" borderId="0" xfId="0" applyFont="1"/>
    <xf numFmtId="0" fontId="55" fillId="0" borderId="0" xfId="0" applyFont="1"/>
    <xf numFmtId="0" fontId="0" fillId="0" borderId="0" xfId="0" applyAlignment="1">
      <alignment horizontal="center" vertical="center"/>
    </xf>
    <xf numFmtId="9" fontId="0" fillId="0" borderId="0" xfId="2" applyFont="1"/>
    <xf numFmtId="9" fontId="0" fillId="31" borderId="0" xfId="2" applyFont="1" applyFill="1"/>
    <xf numFmtId="0" fontId="62" fillId="0" borderId="0" xfId="0" applyFont="1" applyAlignment="1">
      <alignment horizontal="center" vertical="center"/>
    </xf>
    <xf numFmtId="41" fontId="0" fillId="0" borderId="0" xfId="5" applyFont="1"/>
    <xf numFmtId="41" fontId="0" fillId="0" borderId="0" xfId="0" applyNumberFormat="1"/>
    <xf numFmtId="180" fontId="0" fillId="0" borderId="0" xfId="0" applyNumberFormat="1"/>
    <xf numFmtId="41" fontId="62" fillId="0" borderId="0" xfId="5" applyFont="1"/>
    <xf numFmtId="9" fontId="62" fillId="0" borderId="0" xfId="2" applyFont="1"/>
    <xf numFmtId="41" fontId="62" fillId="0" borderId="0" xfId="0" applyNumberFormat="1" applyFont="1"/>
    <xf numFmtId="43" fontId="0" fillId="0" borderId="0" xfId="0" applyNumberFormat="1"/>
    <xf numFmtId="167" fontId="0" fillId="31" borderId="0" xfId="2" applyNumberFormat="1" applyFont="1" applyFill="1"/>
    <xf numFmtId="9" fontId="0" fillId="0" borderId="0" xfId="0" applyNumberFormat="1"/>
    <xf numFmtId="198" fontId="0" fillId="0" borderId="0" xfId="0" applyNumberFormat="1"/>
    <xf numFmtId="0" fontId="0" fillId="0" borderId="0" xfId="0"/>
    <xf numFmtId="164" fontId="12" fillId="0" borderId="0" xfId="0" applyNumberFormat="1" applyFont="1" applyAlignment="1">
      <alignment horizontal="center" vertical="center"/>
    </xf>
    <xf numFmtId="0" fontId="2" fillId="0" borderId="0" xfId="0" applyFont="1"/>
    <xf numFmtId="164" fontId="6" fillId="0" borderId="0" xfId="0" applyNumberFormat="1" applyFont="1" applyFill="1" applyAlignment="1">
      <alignment vertical="center"/>
    </xf>
    <xf numFmtId="9" fontId="6" fillId="0" borderId="0" xfId="2" applyFont="1" applyAlignment="1">
      <alignment horizontal="right" vertical="center"/>
    </xf>
    <xf numFmtId="9" fontId="6" fillId="0" borderId="0" xfId="2" applyNumberFormat="1" applyFont="1" applyAlignment="1">
      <alignment horizontal="right" vertical="center"/>
    </xf>
    <xf numFmtId="165" fontId="7" fillId="0" borderId="1" xfId="0" applyNumberFormat="1" applyFont="1" applyBorder="1"/>
    <xf numFmtId="167" fontId="7" fillId="0" borderId="1" xfId="2" applyNumberFormat="1" applyFont="1" applyBorder="1"/>
    <xf numFmtId="9" fontId="7" fillId="0" borderId="0" xfId="2" applyFont="1" applyAlignment="1">
      <alignment horizontal="right" vertical="center"/>
    </xf>
    <xf numFmtId="9" fontId="31" fillId="0" borderId="0" xfId="2" applyFont="1" applyAlignment="1">
      <alignment horizontal="right" vertical="center"/>
    </xf>
    <xf numFmtId="0" fontId="49" fillId="0" borderId="0" xfId="0" applyFont="1" applyAlignment="1">
      <alignment vertical="center"/>
    </xf>
    <xf numFmtId="164" fontId="49" fillId="0" borderId="0" xfId="0" applyNumberFormat="1" applyFont="1" applyAlignment="1">
      <alignment horizontal="center" vertical="center"/>
    </xf>
    <xf numFmtId="167" fontId="49" fillId="0" borderId="0" xfId="2" applyNumberFormat="1" applyFont="1" applyAlignment="1">
      <alignment horizontal="right" vertical="center"/>
    </xf>
    <xf numFmtId="167" fontId="7" fillId="0" borderId="0" xfId="2" applyNumberFormat="1" applyFont="1" applyAlignment="1">
      <alignment horizontal="right" vertical="center"/>
    </xf>
    <xf numFmtId="197" fontId="6" fillId="0" borderId="0" xfId="1" applyNumberFormat="1" applyFont="1" applyAlignment="1">
      <alignment vertical="center"/>
    </xf>
    <xf numFmtId="0" fontId="6" fillId="30" borderId="0" xfId="0" applyFont="1" applyFill="1" applyAlignment="1">
      <alignment horizontal="center" vertical="center"/>
    </xf>
    <xf numFmtId="199" fontId="6" fillId="0" borderId="0" xfId="1" applyNumberFormat="1" applyFont="1" applyAlignment="1">
      <alignment vertical="center"/>
    </xf>
    <xf numFmtId="0" fontId="0" fillId="0" borderId="0" xfId="0"/>
    <xf numFmtId="0" fontId="7" fillId="0" borderId="0" xfId="0" applyFont="1" applyAlignment="1">
      <alignment horizontal="center" vertical="center"/>
    </xf>
    <xf numFmtId="0" fontId="0" fillId="0" borderId="0" xfId="0"/>
    <xf numFmtId="164" fontId="12" fillId="0" borderId="0" xfId="0" applyNumberFormat="1" applyFont="1" applyAlignment="1">
      <alignment horizontal="center" vertical="center"/>
    </xf>
    <xf numFmtId="164" fontId="8" fillId="11" borderId="21" xfId="0" applyNumberFormat="1" applyFont="1" applyFill="1" applyBorder="1" applyAlignment="1">
      <alignment horizontal="center" vertical="center"/>
    </xf>
    <xf numFmtId="0" fontId="21" fillId="0" borderId="22" xfId="0" applyFont="1" applyBorder="1"/>
    <xf numFmtId="0" fontId="21" fillId="0" borderId="23" xfId="0" applyFont="1" applyBorder="1"/>
    <xf numFmtId="164" fontId="12" fillId="8" borderId="25" xfId="0" applyNumberFormat="1" applyFont="1" applyFill="1" applyBorder="1" applyAlignment="1">
      <alignment horizontal="center" vertical="center"/>
    </xf>
    <xf numFmtId="0" fontId="21" fillId="0" borderId="26" xfId="0" applyFont="1" applyBorder="1"/>
    <xf numFmtId="0" fontId="8" fillId="2" borderId="1" xfId="0" applyFont="1" applyFill="1" applyBorder="1" applyAlignment="1">
      <alignment horizontal="center" vertical="center"/>
    </xf>
    <xf numFmtId="164" fontId="10" fillId="12" borderId="25" xfId="0" applyNumberFormat="1" applyFont="1" applyFill="1" applyBorder="1" applyAlignment="1">
      <alignment horizontal="center" vertical="center"/>
    </xf>
    <xf numFmtId="0" fontId="21" fillId="0" borderId="31" xfId="0" applyFont="1" applyBorder="1"/>
    <xf numFmtId="164" fontId="12" fillId="13" borderId="32" xfId="0" applyNumberFormat="1" applyFont="1" applyFill="1" applyBorder="1" applyAlignment="1">
      <alignment horizontal="center" vertical="center"/>
    </xf>
    <xf numFmtId="0" fontId="21" fillId="0" borderId="33" xfId="0" applyFont="1" applyBorder="1"/>
    <xf numFmtId="0" fontId="8" fillId="25" borderId="43" xfId="0" applyFont="1" applyFill="1" applyBorder="1" applyAlignment="1">
      <alignment horizontal="center"/>
    </xf>
    <xf numFmtId="0" fontId="0" fillId="21" borderId="0" xfId="0" applyFill="1" applyAlignment="1">
      <alignment horizontal="center" vertical="top" wrapText="1"/>
    </xf>
    <xf numFmtId="164" fontId="13" fillId="3" borderId="21" xfId="0" applyNumberFormat="1" applyFont="1" applyFill="1" applyBorder="1" applyAlignment="1">
      <alignment horizontal="center" vertical="center"/>
    </xf>
    <xf numFmtId="0" fontId="62" fillId="0" borderId="48" xfId="6" applyFont="1" applyBorder="1" applyAlignment="1">
      <alignment horizontal="center"/>
    </xf>
    <xf numFmtId="0" fontId="62" fillId="0" borderId="51" xfId="6" applyFont="1" applyBorder="1" applyAlignment="1">
      <alignment horizontal="center"/>
    </xf>
    <xf numFmtId="0" fontId="55" fillId="0" borderId="48" xfId="6" applyFont="1" applyBorder="1" applyAlignment="1">
      <alignment horizontal="center"/>
    </xf>
    <xf numFmtId="0" fontId="55" fillId="0" borderId="51" xfId="6" applyFont="1" applyBorder="1" applyAlignment="1">
      <alignment horizontal="center"/>
    </xf>
    <xf numFmtId="0" fontId="64" fillId="0" borderId="59" xfId="6" applyFont="1" applyBorder="1" applyAlignment="1">
      <alignment horizontal="left" wrapText="1"/>
    </xf>
    <xf numFmtId="0" fontId="64" fillId="0" borderId="46" xfId="6" applyFont="1" applyBorder="1" applyAlignment="1">
      <alignment horizontal="left" wrapText="1"/>
    </xf>
    <xf numFmtId="0" fontId="64" fillId="0" borderId="60" xfId="6" applyFont="1" applyBorder="1" applyAlignment="1">
      <alignment horizontal="left" wrapText="1"/>
    </xf>
    <xf numFmtId="0" fontId="64" fillId="0" borderId="57" xfId="6" applyFont="1" applyBorder="1" applyAlignment="1">
      <alignment horizontal="left" wrapText="1"/>
    </xf>
    <xf numFmtId="0" fontId="64" fillId="0" borderId="44" xfId="6" applyFont="1" applyBorder="1" applyAlignment="1">
      <alignment horizontal="left" wrapText="1"/>
    </xf>
    <xf numFmtId="0" fontId="64" fillId="0" borderId="58" xfId="6" applyFont="1" applyBorder="1" applyAlignment="1">
      <alignment horizontal="left" wrapText="1"/>
    </xf>
    <xf numFmtId="0" fontId="62" fillId="0" borderId="50" xfId="6" applyFont="1" applyBorder="1" applyAlignment="1">
      <alignment horizontal="center" vertical="center"/>
    </xf>
    <xf numFmtId="0" fontId="62" fillId="0" borderId="52" xfId="6" applyFont="1" applyBorder="1" applyAlignment="1">
      <alignment horizontal="center" vertical="center"/>
    </xf>
    <xf numFmtId="0" fontId="62" fillId="0" borderId="49" xfId="6" applyFont="1" applyBorder="1" applyAlignment="1">
      <alignment horizontal="center"/>
    </xf>
    <xf numFmtId="0" fontId="29" fillId="0" borderId="38" xfId="0" applyFont="1" applyBorder="1" applyAlignment="1">
      <alignment horizontal="center"/>
    </xf>
    <xf numFmtId="0" fontId="21" fillId="0" borderId="38" xfId="0" applyFont="1" applyBorder="1"/>
    <xf numFmtId="0" fontId="1" fillId="0" borderId="0" xfId="0" applyFont="1"/>
    <xf numFmtId="44" fontId="0" fillId="0" borderId="0" xfId="3" applyFont="1"/>
    <xf numFmtId="44" fontId="0" fillId="31" borderId="0" xfId="0" applyNumberFormat="1" applyFill="1"/>
    <xf numFmtId="44" fontId="62" fillId="0" borderId="0" xfId="3" applyFont="1"/>
    <xf numFmtId="44" fontId="1" fillId="0" borderId="0" xfId="3" applyFont="1"/>
    <xf numFmtId="167" fontId="0" fillId="0" borderId="0" xfId="0" applyNumberFormat="1"/>
    <xf numFmtId="167" fontId="0" fillId="31" borderId="0" xfId="0" applyNumberFormat="1" applyFill="1"/>
    <xf numFmtId="167" fontId="0" fillId="32" borderId="0" xfId="0" applyNumberFormat="1" applyFill="1"/>
    <xf numFmtId="10" fontId="6" fillId="0" borderId="0" xfId="0" applyNumberFormat="1" applyFont="1" applyAlignment="1">
      <alignment vertical="center"/>
    </xf>
    <xf numFmtId="10" fontId="6" fillId="32" borderId="0" xfId="0" applyNumberFormat="1" applyFont="1" applyFill="1" applyAlignment="1">
      <alignment vertical="center"/>
    </xf>
    <xf numFmtId="0" fontId="67" fillId="0" borderId="0" xfId="0" applyFont="1"/>
    <xf numFmtId="167" fontId="25" fillId="0" borderId="0" xfId="2" applyNumberFormat="1" applyFont="1" applyAlignment="1">
      <alignment horizontal="center"/>
    </xf>
    <xf numFmtId="10" fontId="25" fillId="0" borderId="0" xfId="2" applyNumberFormat="1" applyFont="1"/>
    <xf numFmtId="2" fontId="67" fillId="0" borderId="0" xfId="0" applyNumberFormat="1" applyFont="1"/>
    <xf numFmtId="10" fontId="25" fillId="32" borderId="0" xfId="2" applyNumberFormat="1" applyFont="1" applyFill="1"/>
    <xf numFmtId="167" fontId="25" fillId="32" borderId="0" xfId="2" applyNumberFormat="1" applyFont="1" applyFill="1" applyAlignment="1">
      <alignment horizontal="center"/>
    </xf>
    <xf numFmtId="167" fontId="25" fillId="0" borderId="0" xfId="2" applyNumberFormat="1" applyFont="1" applyFill="1" applyAlignment="1">
      <alignment horizontal="center"/>
    </xf>
    <xf numFmtId="44" fontId="67" fillId="0" borderId="0" xfId="3" applyFont="1"/>
    <xf numFmtId="44" fontId="67" fillId="31" borderId="0" xfId="0" applyNumberFormat="1" applyFont="1" applyFill="1"/>
    <xf numFmtId="0" fontId="25" fillId="33" borderId="61" xfId="0" applyFont="1" applyFill="1" applyBorder="1"/>
    <xf numFmtId="0" fontId="25" fillId="33" borderId="50" xfId="0" applyFont="1" applyFill="1" applyBorder="1"/>
    <xf numFmtId="9" fontId="67" fillId="34" borderId="53" xfId="0" applyNumberFormat="1" applyFont="1" applyFill="1" applyBorder="1"/>
    <xf numFmtId="10" fontId="67" fillId="34" borderId="53" xfId="2" applyNumberFormat="1" applyFont="1" applyFill="1" applyBorder="1"/>
    <xf numFmtId="9" fontId="67" fillId="35" borderId="53" xfId="0" applyNumberFormat="1" applyFont="1" applyFill="1" applyBorder="1"/>
    <xf numFmtId="10" fontId="67" fillId="35" borderId="53" xfId="2" applyNumberFormat="1" applyFont="1" applyFill="1" applyBorder="1"/>
    <xf numFmtId="10" fontId="67" fillId="35" borderId="53" xfId="0" applyNumberFormat="1" applyFont="1" applyFill="1" applyBorder="1"/>
    <xf numFmtId="0" fontId="67" fillId="34" borderId="53" xfId="0" applyFont="1" applyFill="1" applyBorder="1"/>
    <xf numFmtId="10" fontId="67" fillId="34" borderId="53" xfId="0" applyNumberFormat="1" applyFont="1" applyFill="1" applyBorder="1"/>
    <xf numFmtId="9" fontId="67" fillId="34" borderId="53" xfId="2" applyFont="1" applyFill="1" applyBorder="1"/>
    <xf numFmtId="9" fontId="67" fillId="35" borderId="53" xfId="2" applyFont="1" applyFill="1" applyBorder="1"/>
  </cellXfs>
  <cellStyles count="10">
    <cellStyle name="Comma" xfId="1" builtinId="3"/>
    <cellStyle name="Comma [0]" xfId="5" builtinId="6"/>
    <cellStyle name="Comma [0] 2" xfId="7" xr:uid="{3AABF0CB-18F9-4DC4-B785-4FA64CF3FBAD}"/>
    <cellStyle name="Comma 2" xfId="9" xr:uid="{A742DA02-6327-4B56-B7C8-688880191AB5}"/>
    <cellStyle name="Currency" xfId="3" builtinId="4"/>
    <cellStyle name="Normal" xfId="0" builtinId="0"/>
    <cellStyle name="Normal 2" xfId="4" xr:uid="{F5A5EEAB-2AD9-4C80-AC0E-F476468DEA60}"/>
    <cellStyle name="Normal 3" xfId="6" xr:uid="{56E94441-3ED8-482C-B0E8-26D72C8C1AC7}"/>
    <cellStyle name="Percent" xfId="2" builtinId="5"/>
    <cellStyle name="Percent 2" xfId="8" xr:uid="{B604BA8A-58A3-4CF7-A24C-05C3A42E8AA1}"/>
  </cellStyles>
  <dxfs count="8">
    <dxf>
      <numFmt numFmtId="171" formatCode="0.0\x;\(0.0\x\);&quot;–&quot;"/>
      <fill>
        <patternFill patternType="none"/>
      </fill>
    </dxf>
    <dxf>
      <numFmt numFmtId="168" formatCode="0.0%_);\(0.0%\);&quot;-&quot;_);@_)"/>
      <fill>
        <patternFill patternType="none"/>
      </fill>
    </dxf>
    <dxf>
      <numFmt numFmtId="171" formatCode="0.0\x;\(0.0\x\);&quot;–&quot;"/>
      <fill>
        <patternFill patternType="none"/>
      </fill>
    </dxf>
    <dxf>
      <numFmt numFmtId="168" formatCode="0.0%_);\(0.0%\);&quot;-&quot;_);@_)"/>
      <fill>
        <patternFill patternType="none"/>
      </fill>
    </dxf>
    <dxf>
      <numFmt numFmtId="171" formatCode="0.0\x;\(0.0\x\);&quot;–&quot;"/>
      <fill>
        <patternFill patternType="none"/>
      </fill>
    </dxf>
    <dxf>
      <numFmt numFmtId="168" formatCode="0.0%_);\(0.0%\);&quot;-&quot;_);@_)"/>
      <fill>
        <patternFill patternType="none"/>
      </fill>
    </dxf>
    <dxf>
      <numFmt numFmtId="171" formatCode="0.0\x;\(0.0\x\);&quot;–&quot;"/>
      <fill>
        <patternFill patternType="none"/>
      </fill>
    </dxf>
    <dxf>
      <numFmt numFmtId="168" formatCode="0.0%_);\(0.0%\);&quot;-&quot;_);@_)"/>
      <fill>
        <patternFill patternType="none"/>
      </fill>
    </dxf>
  </dxfs>
  <tableStyles count="0" defaultTableStyle="TableStyleMedium2" defaultPivotStyle="PivotStyleLight16"/>
  <colors>
    <mruColors>
      <color rgb="FF8496B0"/>
      <color rgb="FF0000FF"/>
      <color rgb="FFF7ADA7"/>
      <color rgb="FFFFF1CC"/>
      <color rgb="FF44546A"/>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4.xml.rels><?xml version="1.0" encoding="UTF-8" standalone="yes"?>
<Relationships xmlns="http://schemas.openxmlformats.org/package/2006/relationships"><Relationship Id="rId1" Type="http://customschemas.google.com/relationships/workbookmetadata" Target="commentsmeta0"/></Relationships>
</file>

<file path=xl/_rels/comments5.xml.rels><?xml version="1.0" encoding="UTF-8" standalone="yes"?>
<Relationships xmlns="http://schemas.openxmlformats.org/package/2006/relationships"><Relationship Id="rId1" Type="http://customschemas.google.com/relationships/workbookmetadata" Target="commentsmeta1"/></Relationships>
</file>

<file path=xl/_rels/comments6.xml.rels><?xml version="1.0" encoding="UTF-8" standalone="yes"?>
<Relationships xmlns="http://schemas.openxmlformats.org/package/2006/relationships"><Relationship Id="rId1" Type="http://customschemas.google.com/relationships/workbookmetadata" Target="commentsmeta2"/></Relationships>
</file>

<file path=xl/_rels/comments7.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000" b="1" i="0">
                <a:solidFill>
                  <a:srgbClr val="757575"/>
                </a:solidFill>
                <a:latin typeface="Arial"/>
              </a:defRPr>
            </a:pPr>
            <a:r>
              <a:rPr lang="en-NZ" sz="1000" b="1" i="0">
                <a:solidFill>
                  <a:srgbClr val="757575"/>
                </a:solidFill>
                <a:latin typeface="Arial"/>
              </a:rPr>
              <a:t>Free Cashflow / EBITDA Profile
Forecast ($m)
</a:t>
            </a:r>
          </a:p>
        </c:rich>
      </c:tx>
      <c:layout>
        <c:manualLayout>
          <c:xMode val="edge"/>
          <c:yMode val="edge"/>
          <c:x val="1.1595840428457536E-3"/>
          <c:y val="0"/>
        </c:manualLayout>
      </c:layout>
      <c:overlay val="0"/>
    </c:title>
    <c:autoTitleDeleted val="0"/>
    <c:plotArea>
      <c:layout>
        <c:manualLayout>
          <c:xMode val="edge"/>
          <c:yMode val="edge"/>
          <c:x val="0.11876421697287839"/>
          <c:y val="0.21759259259259259"/>
          <c:w val="0.7638464566929134"/>
          <c:h val="0.70379629629629625"/>
        </c:manualLayout>
      </c:layout>
      <c:areaChart>
        <c:grouping val="standard"/>
        <c:varyColors val="1"/>
        <c:ser>
          <c:idx val="0"/>
          <c:order val="0"/>
          <c:tx>
            <c:v>EBITDA</c:v>
          </c:tx>
          <c:spPr>
            <a:solidFill>
              <a:srgbClr val="5B9BD5">
                <a:alpha val="30000"/>
              </a:srgbClr>
            </a:solidFill>
            <a:ln cmpd="sng">
              <a:solidFill>
                <a:srgbClr val="5B9BD5"/>
              </a:solidFill>
            </a:ln>
          </c:spPr>
          <c:cat>
            <c:numRef>
              <c:f>'&gt;&gt; Valuation'!$N$4:$W$4</c:f>
              <c:numCache>
                <c:formatCode>General</c:formatCode>
                <c:ptCount val="10"/>
                <c:pt idx="0">
                  <c:v>2023</c:v>
                </c:pt>
                <c:pt idx="1">
                  <c:v>2024</c:v>
                </c:pt>
                <c:pt idx="2">
                  <c:v>2025</c:v>
                </c:pt>
                <c:pt idx="3">
                  <c:v>2026</c:v>
                </c:pt>
                <c:pt idx="4">
                  <c:v>2027</c:v>
                </c:pt>
                <c:pt idx="5">
                  <c:v>2028</c:v>
                </c:pt>
                <c:pt idx="6">
                  <c:v>2029</c:v>
                </c:pt>
                <c:pt idx="7">
                  <c:v>2030</c:v>
                </c:pt>
                <c:pt idx="8">
                  <c:v>2031</c:v>
                </c:pt>
                <c:pt idx="9">
                  <c:v>2032</c:v>
                </c:pt>
              </c:numCache>
            </c:numRef>
          </c:cat>
          <c:val>
            <c:numRef>
              <c:f>'&gt;&gt; Valuation'!$N$23:$W$23</c:f>
              <c:numCache>
                <c:formatCode>#,##0.0_);\(#,##0.0\);"-"_);@_)</c:formatCode>
                <c:ptCount val="10"/>
                <c:pt idx="0">
                  <c:v>330.03146049336669</c:v>
                </c:pt>
                <c:pt idx="1">
                  <c:v>286.72706882878208</c:v>
                </c:pt>
                <c:pt idx="2">
                  <c:v>252.57252334410083</c:v>
                </c:pt>
                <c:pt idx="3">
                  <c:v>265.07076539672704</c:v>
                </c:pt>
                <c:pt idx="4">
                  <c:v>270.37218070466162</c:v>
                </c:pt>
                <c:pt idx="5">
                  <c:v>275.77962431875483</c:v>
                </c:pt>
                <c:pt idx="6">
                  <c:v>281.29521680513</c:v>
                </c:pt>
                <c:pt idx="7">
                  <c:v>286.92112114123262</c:v>
                </c:pt>
                <c:pt idx="8">
                  <c:v>292.65954356405723</c:v>
                </c:pt>
                <c:pt idx="9">
                  <c:v>298.51273443533836</c:v>
                </c:pt>
              </c:numCache>
            </c:numRef>
          </c:val>
          <c:extLst>
            <c:ext xmlns:c16="http://schemas.microsoft.com/office/drawing/2014/chart" uri="{C3380CC4-5D6E-409C-BE32-E72D297353CC}">
              <c16:uniqueId val="{00000000-4E72-4739-AC39-4F33D91E2140}"/>
            </c:ext>
          </c:extLst>
        </c:ser>
        <c:dLbls>
          <c:showLegendKey val="0"/>
          <c:showVal val="0"/>
          <c:showCatName val="0"/>
          <c:showSerName val="0"/>
          <c:showPercent val="0"/>
          <c:showBubbleSize val="0"/>
        </c:dLbls>
        <c:axId val="1831724695"/>
        <c:axId val="1634545883"/>
      </c:areaChart>
      <c:barChart>
        <c:barDir val="col"/>
        <c:grouping val="clustered"/>
        <c:varyColors val="1"/>
        <c:ser>
          <c:idx val="1"/>
          <c:order val="1"/>
          <c:tx>
            <c:v>Unlevered Free Cashflow</c:v>
          </c:tx>
          <c:spPr>
            <a:solidFill>
              <a:srgbClr val="ED7D31"/>
            </a:solidFill>
            <a:ln cmpd="sng">
              <a:solidFill>
                <a:srgbClr val="000000"/>
              </a:solidFill>
            </a:ln>
          </c:spPr>
          <c:invertIfNegative val="1"/>
          <c:cat>
            <c:numRef>
              <c:f>'&gt;&gt; Valuation'!$N$4:$W$4</c:f>
              <c:numCache>
                <c:formatCode>General</c:formatCode>
                <c:ptCount val="10"/>
                <c:pt idx="0">
                  <c:v>2023</c:v>
                </c:pt>
                <c:pt idx="1">
                  <c:v>2024</c:v>
                </c:pt>
                <c:pt idx="2">
                  <c:v>2025</c:v>
                </c:pt>
                <c:pt idx="3">
                  <c:v>2026</c:v>
                </c:pt>
                <c:pt idx="4">
                  <c:v>2027</c:v>
                </c:pt>
                <c:pt idx="5">
                  <c:v>2028</c:v>
                </c:pt>
                <c:pt idx="6">
                  <c:v>2029</c:v>
                </c:pt>
                <c:pt idx="7">
                  <c:v>2030</c:v>
                </c:pt>
                <c:pt idx="8">
                  <c:v>2031</c:v>
                </c:pt>
                <c:pt idx="9">
                  <c:v>2032</c:v>
                </c:pt>
              </c:numCache>
            </c:numRef>
          </c:cat>
          <c:val>
            <c:numRef>
              <c:f>'&gt;&gt; Valuation'!$N$43:$W$43</c:f>
              <c:numCache>
                <c:formatCode>#,##0.0_);\(#,##0.0\);"-"_);@_)</c:formatCode>
                <c:ptCount val="10"/>
                <c:pt idx="0">
                  <c:v>-4.1413084447759427</c:v>
                </c:pt>
                <c:pt idx="1">
                  <c:v>-106.58463044327695</c:v>
                </c:pt>
                <c:pt idx="2">
                  <c:v>52.183132917544896</c:v>
                </c:pt>
                <c:pt idx="3">
                  <c:v>155.71618517451131</c:v>
                </c:pt>
                <c:pt idx="4">
                  <c:v>158.34487152615861</c:v>
                </c:pt>
                <c:pt idx="5">
                  <c:v>161.07047312645238</c:v>
                </c:pt>
                <c:pt idx="6">
                  <c:v>163.86237629209435</c:v>
                </c:pt>
                <c:pt idx="7">
                  <c:v>166.4474487581079</c:v>
                </c:pt>
                <c:pt idx="8">
                  <c:v>117.43369726252809</c:v>
                </c:pt>
                <c:pt idx="9">
                  <c:v>118.32015874691024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E72-4739-AC39-4F33D91E2140}"/>
            </c:ext>
          </c:extLst>
        </c:ser>
        <c:dLbls>
          <c:showLegendKey val="0"/>
          <c:showVal val="0"/>
          <c:showCatName val="0"/>
          <c:showSerName val="0"/>
          <c:showPercent val="0"/>
          <c:showBubbleSize val="0"/>
        </c:dLbls>
        <c:gapWidth val="150"/>
        <c:axId val="1831724695"/>
        <c:axId val="1634545883"/>
      </c:barChart>
      <c:catAx>
        <c:axId val="1831724695"/>
        <c:scaling>
          <c:orientation val="minMax"/>
        </c:scaling>
        <c:delete val="0"/>
        <c:axPos val="b"/>
        <c:title>
          <c:tx>
            <c:rich>
              <a:bodyPr/>
              <a:lstStyle/>
              <a:p>
                <a:pPr lvl="0">
                  <a:defRPr b="0">
                    <a:solidFill>
                      <a:srgbClr val="000000"/>
                    </a:solidFill>
                    <a:latin typeface="+mn-lt"/>
                  </a:defRPr>
                </a:pPr>
                <a:endParaRPr lang="en-NZ"/>
              </a:p>
            </c:rich>
          </c:tx>
          <c:overlay val="0"/>
        </c:title>
        <c:numFmt formatCode="General" sourceLinked="1"/>
        <c:majorTickMark val="none"/>
        <c:minorTickMark val="none"/>
        <c:tickLblPos val="nextTo"/>
        <c:txPr>
          <a:bodyPr/>
          <a:lstStyle/>
          <a:p>
            <a:pPr lvl="0">
              <a:defRPr sz="900" b="0" i="0">
                <a:solidFill>
                  <a:srgbClr val="000000"/>
                </a:solidFill>
                <a:latin typeface="Arial"/>
              </a:defRPr>
            </a:pPr>
            <a:endParaRPr lang="en-US"/>
          </a:p>
        </c:txPr>
        <c:crossAx val="1634545883"/>
        <c:crosses val="autoZero"/>
        <c:auto val="1"/>
        <c:lblAlgn val="ctr"/>
        <c:lblOffset val="100"/>
        <c:noMultiLvlLbl val="1"/>
      </c:catAx>
      <c:valAx>
        <c:axId val="1634545883"/>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Arial"/>
                  </a:defRPr>
                </a:pPr>
                <a:r>
                  <a:rPr lang="en-NZ" sz="1000" b="0" i="0">
                    <a:solidFill>
                      <a:srgbClr val="000000"/>
                    </a:solidFill>
                    <a:latin typeface="Arial"/>
                  </a:rPr>
                  <a:t>U FCF</a:t>
                </a:r>
              </a:p>
            </c:rich>
          </c:tx>
          <c:overlay val="0"/>
        </c:title>
        <c:numFmt formatCode="#,##0.0_);\(#,##0.0\);&quot;-&quot;_);@_)" sourceLinked="1"/>
        <c:majorTickMark val="none"/>
        <c:minorTickMark val="none"/>
        <c:tickLblPos val="nextTo"/>
        <c:spPr>
          <a:ln/>
        </c:spPr>
        <c:txPr>
          <a:bodyPr/>
          <a:lstStyle/>
          <a:p>
            <a:pPr lvl="0">
              <a:defRPr sz="900" b="0" i="0">
                <a:solidFill>
                  <a:srgbClr val="000000"/>
                </a:solidFill>
                <a:latin typeface="Arial"/>
              </a:defRPr>
            </a:pPr>
            <a:endParaRPr lang="en-US"/>
          </a:p>
        </c:txPr>
        <c:crossAx val="1831724695"/>
        <c:crosses val="autoZero"/>
        <c:crossBetween val="between"/>
      </c:valAx>
    </c:plotArea>
    <c:legend>
      <c:legendPos val="b"/>
      <c:layout>
        <c:manualLayout>
          <c:xMode val="edge"/>
          <c:yMode val="edge"/>
          <c:x val="0.38733502949362369"/>
          <c:y val="7.5322926201301224E-2"/>
        </c:manualLayout>
      </c:layout>
      <c:overlay val="0"/>
      <c:txPr>
        <a:bodyPr/>
        <a:lstStyle/>
        <a:p>
          <a:pPr lvl="0">
            <a:defRPr sz="1000" b="0" i="0">
              <a:solidFill>
                <a:srgbClr val="1A1A1A"/>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000" b="1" i="0">
                <a:solidFill>
                  <a:srgbClr val="757575"/>
                </a:solidFill>
                <a:latin typeface="Arial"/>
              </a:defRPr>
            </a:pPr>
            <a:r>
              <a:rPr lang="en-NZ" sz="1000" b="1" i="0">
                <a:solidFill>
                  <a:srgbClr val="757575"/>
                </a:solidFill>
                <a:latin typeface="Arial"/>
              </a:rPr>
              <a:t>NOPAT / EBITDA Margin Profile
Forecast ($m)
</a:t>
            </a:r>
          </a:p>
        </c:rich>
      </c:tx>
      <c:layout>
        <c:manualLayout>
          <c:xMode val="edge"/>
          <c:yMode val="edge"/>
          <c:x val="1.1596675415573054E-3"/>
          <c:y val="0"/>
        </c:manualLayout>
      </c:layout>
      <c:overlay val="0"/>
    </c:title>
    <c:autoTitleDeleted val="0"/>
    <c:plotArea>
      <c:layout>
        <c:manualLayout>
          <c:xMode val="edge"/>
          <c:yMode val="edge"/>
          <c:x val="0.14042030182443285"/>
          <c:y val="0.21759259259259259"/>
          <c:w val="0.74219041453255974"/>
          <c:h val="0.70379629629629625"/>
        </c:manualLayout>
      </c:layout>
      <c:barChart>
        <c:barDir val="col"/>
        <c:grouping val="clustered"/>
        <c:varyColors val="1"/>
        <c:ser>
          <c:idx val="0"/>
          <c:order val="0"/>
          <c:tx>
            <c:v>Net Operating Profit After Tax</c:v>
          </c:tx>
          <c:spPr>
            <a:solidFill>
              <a:srgbClr val="5B9BD5"/>
            </a:solidFill>
            <a:ln cmpd="sng">
              <a:solidFill>
                <a:srgbClr val="000000"/>
              </a:solidFill>
            </a:ln>
          </c:spPr>
          <c:invertIfNegative val="1"/>
          <c:cat>
            <c:numRef>
              <c:f>'&gt;&gt; Valuation'!$N$4:$W$4</c:f>
              <c:numCache>
                <c:formatCode>General</c:formatCode>
                <c:ptCount val="10"/>
                <c:pt idx="0">
                  <c:v>2023</c:v>
                </c:pt>
                <c:pt idx="1">
                  <c:v>2024</c:v>
                </c:pt>
                <c:pt idx="2">
                  <c:v>2025</c:v>
                </c:pt>
                <c:pt idx="3">
                  <c:v>2026</c:v>
                </c:pt>
                <c:pt idx="4">
                  <c:v>2027</c:v>
                </c:pt>
                <c:pt idx="5">
                  <c:v>2028</c:v>
                </c:pt>
                <c:pt idx="6">
                  <c:v>2029</c:v>
                </c:pt>
                <c:pt idx="7">
                  <c:v>2030</c:v>
                </c:pt>
                <c:pt idx="8">
                  <c:v>2031</c:v>
                </c:pt>
                <c:pt idx="9">
                  <c:v>2032</c:v>
                </c:pt>
              </c:numCache>
            </c:numRef>
          </c:cat>
          <c:val>
            <c:numRef>
              <c:f>'&gt;&gt; Valuation'!$N$34:$W$34</c:f>
              <c:numCache>
                <c:formatCode>#,##0.0_);\(#,##0.0\);"-"_);@_)</c:formatCode>
                <c:ptCount val="10"/>
                <c:pt idx="0">
                  <c:v>181.93569155522403</c:v>
                </c:pt>
                <c:pt idx="1">
                  <c:v>145.21036955672309</c:v>
                </c:pt>
                <c:pt idx="2">
                  <c:v>116.14409108766796</c:v>
                </c:pt>
                <c:pt idx="3">
                  <c:v>127.26843090054825</c:v>
                </c:pt>
                <c:pt idx="4">
                  <c:v>133.40340614912424</c:v>
                </c:pt>
                <c:pt idx="5">
                  <c:v>136.29345359116388</c:v>
                </c:pt>
                <c:pt idx="6">
                  <c:v>139.08515777860521</c:v>
                </c:pt>
                <c:pt idx="7">
                  <c:v>142.46668931141673</c:v>
                </c:pt>
                <c:pt idx="8">
                  <c:v>146.78691405083623</c:v>
                </c:pt>
                <c:pt idx="9">
                  <c:v>151.30649275124802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279-4DA5-98C9-8D287AA0AFC7}"/>
            </c:ext>
          </c:extLst>
        </c:ser>
        <c:dLbls>
          <c:showLegendKey val="0"/>
          <c:showVal val="0"/>
          <c:showCatName val="0"/>
          <c:showSerName val="0"/>
          <c:showPercent val="0"/>
          <c:showBubbleSize val="0"/>
        </c:dLbls>
        <c:gapWidth val="150"/>
        <c:axId val="690579371"/>
        <c:axId val="568808707"/>
      </c:barChart>
      <c:catAx>
        <c:axId val="690579371"/>
        <c:scaling>
          <c:orientation val="minMax"/>
        </c:scaling>
        <c:delete val="0"/>
        <c:axPos val="b"/>
        <c:title>
          <c:tx>
            <c:rich>
              <a:bodyPr/>
              <a:lstStyle/>
              <a:p>
                <a:pPr lvl="0">
                  <a:defRPr b="0">
                    <a:solidFill>
                      <a:srgbClr val="000000"/>
                    </a:solidFill>
                    <a:latin typeface="+mn-lt"/>
                  </a:defRPr>
                </a:pPr>
                <a:endParaRPr lang="en-NZ"/>
              </a:p>
            </c:rich>
          </c:tx>
          <c:overlay val="0"/>
        </c:title>
        <c:numFmt formatCode="General" sourceLinked="1"/>
        <c:majorTickMark val="none"/>
        <c:minorTickMark val="none"/>
        <c:tickLblPos val="nextTo"/>
        <c:txPr>
          <a:bodyPr/>
          <a:lstStyle/>
          <a:p>
            <a:pPr lvl="0">
              <a:defRPr sz="900" b="0" i="0">
                <a:solidFill>
                  <a:srgbClr val="000000"/>
                </a:solidFill>
                <a:latin typeface="Arial"/>
              </a:defRPr>
            </a:pPr>
            <a:endParaRPr lang="en-US"/>
          </a:p>
        </c:txPr>
        <c:crossAx val="568808707"/>
        <c:crosses val="autoZero"/>
        <c:auto val="1"/>
        <c:lblAlgn val="ctr"/>
        <c:lblOffset val="100"/>
        <c:noMultiLvlLbl val="1"/>
      </c:catAx>
      <c:valAx>
        <c:axId val="568808707"/>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Arial"/>
                  </a:defRPr>
                </a:pPr>
                <a:r>
                  <a:rPr lang="en-NZ" sz="1000" b="0" i="0">
                    <a:solidFill>
                      <a:srgbClr val="000000"/>
                    </a:solidFill>
                    <a:latin typeface="Arial"/>
                  </a:rPr>
                  <a:t>EBITDA Margin</a:t>
                </a:r>
              </a:p>
            </c:rich>
          </c:tx>
          <c:overlay val="0"/>
        </c:title>
        <c:numFmt formatCode="#,##0.0_);\(#,##0.0\);&quot;-&quot;_);@_)" sourceLinked="1"/>
        <c:majorTickMark val="none"/>
        <c:minorTickMark val="none"/>
        <c:tickLblPos val="nextTo"/>
        <c:spPr>
          <a:ln/>
        </c:spPr>
        <c:txPr>
          <a:bodyPr/>
          <a:lstStyle/>
          <a:p>
            <a:pPr lvl="0">
              <a:defRPr sz="900" b="0" i="0">
                <a:solidFill>
                  <a:srgbClr val="000000"/>
                </a:solidFill>
                <a:latin typeface="Arial"/>
              </a:defRPr>
            </a:pPr>
            <a:endParaRPr lang="en-US"/>
          </a:p>
        </c:txPr>
        <c:crossAx val="690579371"/>
        <c:crosses val="autoZero"/>
        <c:crossBetween val="between"/>
      </c:valAx>
    </c:plotArea>
    <c:legend>
      <c:legendPos val="b"/>
      <c:layout>
        <c:manualLayout>
          <c:xMode val="edge"/>
          <c:yMode val="edge"/>
          <c:x val="0.33326038860781482"/>
          <c:y val="0.10211186549332711"/>
        </c:manualLayout>
      </c:layout>
      <c:overlay val="0"/>
      <c:txPr>
        <a:bodyPr/>
        <a:lstStyle/>
        <a:p>
          <a:pPr lvl="0">
            <a:defRPr sz="1000" b="0" i="0">
              <a:solidFill>
                <a:srgbClr val="1A1A1A"/>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'Scenario analysis'!$F$1</c:f>
              <c:strCache>
                <c:ptCount val="1"/>
                <c:pt idx="0">
                  <c:v>Intrinsic Value</c:v>
                </c:pt>
              </c:strCache>
            </c:strRef>
          </c:tx>
          <c:spPr>
            <a:ln w="28575" cap="rnd">
              <a:solidFill>
                <a:schemeClr val="accent1"/>
              </a:solidFill>
              <a:round/>
            </a:ln>
            <a:effectLst/>
          </c:spPr>
          <c:marker>
            <c:symbol val="none"/>
          </c:marker>
          <c:cat>
            <c:numRef>
              <c:f>'Scenario analysis'!$A$2:$A$22</c:f>
              <c:numCache>
                <c:formatCode>0%</c:formatCode>
                <c:ptCount val="21"/>
                <c:pt idx="0">
                  <c:v>1</c:v>
                </c:pt>
                <c:pt idx="1">
                  <c:v>0.95</c:v>
                </c:pt>
                <c:pt idx="2">
                  <c:v>0.89999999999999991</c:v>
                </c:pt>
                <c:pt idx="3">
                  <c:v>0.84999999999999987</c:v>
                </c:pt>
                <c:pt idx="4">
                  <c:v>0.79999999999999982</c:v>
                </c:pt>
                <c:pt idx="5">
                  <c:v>0.74999999999999978</c:v>
                </c:pt>
                <c:pt idx="6">
                  <c:v>0.69999999999999973</c:v>
                </c:pt>
                <c:pt idx="7">
                  <c:v>0.64999999999999969</c:v>
                </c:pt>
                <c:pt idx="8">
                  <c:v>0.59999999999999964</c:v>
                </c:pt>
                <c:pt idx="9">
                  <c:v>0.5499999999999996</c:v>
                </c:pt>
                <c:pt idx="10">
                  <c:v>0.49999999999999961</c:v>
                </c:pt>
                <c:pt idx="11">
                  <c:v>0.44999999999999962</c:v>
                </c:pt>
                <c:pt idx="12">
                  <c:v>0.39999999999999963</c:v>
                </c:pt>
                <c:pt idx="13">
                  <c:v>0.34999999999999964</c:v>
                </c:pt>
                <c:pt idx="14">
                  <c:v>0.29999999999999966</c:v>
                </c:pt>
                <c:pt idx="15">
                  <c:v>0.24999999999999967</c:v>
                </c:pt>
                <c:pt idx="16">
                  <c:v>0.19999999999999968</c:v>
                </c:pt>
                <c:pt idx="17">
                  <c:v>0.14999999999999969</c:v>
                </c:pt>
                <c:pt idx="18">
                  <c:v>9.9999999999999686E-2</c:v>
                </c:pt>
                <c:pt idx="19">
                  <c:v>4.9999999999999684E-2</c:v>
                </c:pt>
                <c:pt idx="20">
                  <c:v>-3.1918911957973251E-16</c:v>
                </c:pt>
              </c:numCache>
            </c:numRef>
          </c:cat>
          <c:val>
            <c:numRef>
              <c:f>'Scenario analysis'!$F$2:$F$22</c:f>
              <c:numCache>
                <c:formatCode>_("$"* #,##0.00_);_("$"* \(#,##0.00\);_("$"* "-"??_);_(@_)</c:formatCode>
                <c:ptCount val="21"/>
                <c:pt idx="0">
                  <c:v>1.3724077486359103</c:v>
                </c:pt>
                <c:pt idx="1">
                  <c:v>1.3674077486359104</c:v>
                </c:pt>
                <c:pt idx="2">
                  <c:v>1.3649077486359102</c:v>
                </c:pt>
                <c:pt idx="3">
                  <c:v>1.3599077486359104</c:v>
                </c:pt>
                <c:pt idx="4">
                  <c:v>1.3574077486359104</c:v>
                </c:pt>
                <c:pt idx="5">
                  <c:v>1.3524077486359105</c:v>
                </c:pt>
                <c:pt idx="6">
                  <c:v>1.3499077486359106</c:v>
                </c:pt>
                <c:pt idx="7">
                  <c:v>1.3449077486359104</c:v>
                </c:pt>
                <c:pt idx="8">
                  <c:v>1.3424077486359105</c:v>
                </c:pt>
                <c:pt idx="9">
                  <c:v>1.3374077486359104</c:v>
                </c:pt>
                <c:pt idx="10">
                  <c:v>1.3349221624602128</c:v>
                </c:pt>
                <c:pt idx="11">
                  <c:v>1.3307605027324088</c:v>
                </c:pt>
                <c:pt idx="12">
                  <c:v>1.3273093702603358</c:v>
                </c:pt>
                <c:pt idx="13">
                  <c:v>1.3231881227105873</c:v>
                </c:pt>
                <c:pt idx="14">
                  <c:v>1.3197703629679276</c:v>
                </c:pt>
                <c:pt idx="15">
                  <c:v>1.3156888033609668</c:v>
                </c:pt>
                <c:pt idx="16">
                  <c:v>1.3123038217411023</c:v>
                </c:pt>
                <c:pt idx="17">
                  <c:v>1.3082612470349078</c:v>
                </c:pt>
                <c:pt idx="18">
                  <c:v>1.3049084662383708</c:v>
                </c:pt>
                <c:pt idx="19">
                  <c:v>1.3009041937455552</c:v>
                </c:pt>
                <c:pt idx="20">
                  <c:v>1.2975830530982808</c:v>
                </c:pt>
              </c:numCache>
            </c:numRef>
          </c:val>
          <c:smooth val="0"/>
          <c:extLst>
            <c:ext xmlns:c16="http://schemas.microsoft.com/office/drawing/2014/chart" uri="{C3380CC4-5D6E-409C-BE32-E72D297353CC}">
              <c16:uniqueId val="{00000000-34F7-4B84-A7DA-177E5CB2169D}"/>
            </c:ext>
          </c:extLst>
        </c:ser>
        <c:dLbls>
          <c:showLegendKey val="0"/>
          <c:showVal val="0"/>
          <c:showCatName val="0"/>
          <c:showSerName val="0"/>
          <c:showPercent val="0"/>
          <c:showBubbleSize val="0"/>
        </c:dLbls>
        <c:smooth val="0"/>
        <c:axId val="1513844560"/>
        <c:axId val="1513848880"/>
      </c:lineChart>
      <c:catAx>
        <c:axId val="151384456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848880"/>
        <c:crosses val="autoZero"/>
        <c:auto val="1"/>
        <c:lblAlgn val="ctr"/>
        <c:lblOffset val="100"/>
        <c:noMultiLvlLbl val="0"/>
      </c:catAx>
      <c:valAx>
        <c:axId val="151384888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8445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'Scenario analysis'!$AB$1</c:f>
              <c:strCache>
                <c:ptCount val="1"/>
                <c:pt idx="0">
                  <c:v>Intrinsic Value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'Scenario analysis'!$X$2:$X$18</c:f>
              <c:numCache>
                <c:formatCode>0%</c:formatCode>
                <c:ptCount val="17"/>
                <c:pt idx="0">
                  <c:v>0.08</c:v>
                </c:pt>
                <c:pt idx="1">
                  <c:v>7.0000000000000007E-2</c:v>
                </c:pt>
                <c:pt idx="2">
                  <c:v>0.06</c:v>
                </c:pt>
                <c:pt idx="3">
                  <c:v>0.05</c:v>
                </c:pt>
                <c:pt idx="4">
                  <c:v>0.04</c:v>
                </c:pt>
                <c:pt idx="5">
                  <c:v>0.03</c:v>
                </c:pt>
                <c:pt idx="6">
                  <c:v>0.02</c:v>
                </c:pt>
                <c:pt idx="7">
                  <c:v>0.01</c:v>
                </c:pt>
                <c:pt idx="8">
                  <c:v>0</c:v>
                </c:pt>
                <c:pt idx="9">
                  <c:v>-0.01</c:v>
                </c:pt>
                <c:pt idx="10">
                  <c:v>-0.02</c:v>
                </c:pt>
                <c:pt idx="11">
                  <c:v>-0.03</c:v>
                </c:pt>
                <c:pt idx="12">
                  <c:v>-0.04</c:v>
                </c:pt>
                <c:pt idx="13">
                  <c:v>-0.05</c:v>
                </c:pt>
                <c:pt idx="14">
                  <c:v>-0.06</c:v>
                </c:pt>
                <c:pt idx="15">
                  <c:v>-7.0000000000000007E-2</c:v>
                </c:pt>
                <c:pt idx="16">
                  <c:v>-0.08</c:v>
                </c:pt>
              </c:numCache>
            </c:numRef>
          </c:xVal>
          <c:yVal>
            <c:numRef>
              <c:f>'Scenario analysis'!$AB$2:$AB$18</c:f>
              <c:numCache>
                <c:formatCode>_("$"* #,##0.00_);_("$"* \(#,##0.00\);_("$"* "-"??_);_(@_)</c:formatCode>
                <c:ptCount val="17"/>
                <c:pt idx="0">
                  <c:v>1.3008718101802803</c:v>
                </c:pt>
                <c:pt idx="1">
                  <c:v>1.3041765051902874</c:v>
                </c:pt>
                <c:pt idx="2">
                  <c:v>1.3074812002002942</c:v>
                </c:pt>
                <c:pt idx="3">
                  <c:v>1.3107858952103011</c:v>
                </c:pt>
                <c:pt idx="4">
                  <c:v>1.3140905902203077</c:v>
                </c:pt>
                <c:pt idx="5">
                  <c:v>1.3173952852303148</c:v>
                </c:pt>
                <c:pt idx="6">
                  <c:v>1.3206999802403219</c:v>
                </c:pt>
                <c:pt idx="7">
                  <c:v>1.3240046752503287</c:v>
                </c:pt>
                <c:pt idx="8">
                  <c:v>1.3273093702603358</c:v>
                </c:pt>
                <c:pt idx="9">
                  <c:v>1.3306140652703413</c:v>
                </c:pt>
                <c:pt idx="10">
                  <c:v>1.3339187602803482</c:v>
                </c:pt>
                <c:pt idx="11">
                  <c:v>1.3372234552903552</c:v>
                </c:pt>
                <c:pt idx="12">
                  <c:v>1.3405281503003621</c:v>
                </c:pt>
                <c:pt idx="13">
                  <c:v>1.3438328453103692</c:v>
                </c:pt>
                <c:pt idx="14">
                  <c:v>1.3471375403203758</c:v>
                </c:pt>
                <c:pt idx="15">
                  <c:v>1.3504422353303827</c:v>
                </c:pt>
                <c:pt idx="16">
                  <c:v>1.3537469303403897</c:v>
                </c:pt>
              </c:numCache>
            </c:numRef>
          </c:yVal>
          <c:smooth val="0"/>
          <c:extLst>
            <c:ext xmlns:c16="http://schemas.microsoft.com/office/drawing/2014/chart" uri="{C3380CC4-5D6E-409C-BE32-E72D297353CC}">
              <c16:uniqueId val="{00000000-5B4E-48D0-95B3-9AADE9821CB0}"/>
            </c:ext>
          </c:extLst>
        </c:ser>
        <c:dLbls>
          <c:showLegendKey val="0"/>
          <c:showVal val="0"/>
          <c:showCatName val="0"/>
          <c:showSerName val="0"/>
          <c:showPercent val="0"/>
          <c:showBubbleSize val="0"/>
        </c:dLbls>
        <c:axId val="1513854160"/>
        <c:axId val="1513862320"/>
      </c:scatterChart>
      <c:valAx>
        <c:axId val="15138541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862320"/>
        <c:crosses val="autoZero"/>
        <c:crossBetween val="midCat"/>
      </c:valAx>
      <c:valAx>
        <c:axId val="151386232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8541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Error Factor</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cs typeface="Calibri"/>
            </a:rPr>
            <a:t>Error Factor</a:t>
          </a:r>
        </a:p>
      </cx:txPr>
    </cx:title>
    <cx:plotArea>
      <cx:plotAreaRegion>
        <cx:series layoutId="waterfall" uniqueId="{01DBB3AC-855D-4907-A921-EEF75CF6CB9A}">
          <cx:tx>
            <cx:txData>
              <cx:f>_xlchart.v1.4</cx:f>
              <cx:v>Intrinsic Value</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14/relationships/chartEx" Target="../charts/chartEx1.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200025</xdr:colOff>
      <xdr:row>4</xdr:row>
      <xdr:rowOff>19050</xdr:rowOff>
    </xdr:from>
    <xdr:ext cx="7610475" cy="4400550"/>
    <xdr:graphicFrame macro="">
      <xdr:nvGraphicFramePr>
        <xdr:cNvPr id="628780943" name="Chart 1">
          <a:extLst>
            <a:ext uri="{FF2B5EF4-FFF2-40B4-BE49-F238E27FC236}">
              <a16:creationId xmlns:a16="http://schemas.microsoft.com/office/drawing/2014/main" id="{00000000-0008-0000-0200-00008F6F7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19</xdr:col>
      <xdr:colOff>304800</xdr:colOff>
      <xdr:row>4</xdr:row>
      <xdr:rowOff>28575</xdr:rowOff>
    </xdr:from>
    <xdr:ext cx="7058025" cy="4419600"/>
    <xdr:graphicFrame macro="">
      <xdr:nvGraphicFramePr>
        <xdr:cNvPr id="1799946277" name="Chart 2">
          <a:extLst>
            <a:ext uri="{FF2B5EF4-FFF2-40B4-BE49-F238E27FC236}">
              <a16:creationId xmlns:a16="http://schemas.microsoft.com/office/drawing/2014/main" id="{00000000-0008-0000-0200-0000250049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11</xdr:col>
      <xdr:colOff>28575</xdr:colOff>
      <xdr:row>33</xdr:row>
      <xdr:rowOff>28575</xdr:rowOff>
    </xdr:from>
    <xdr:ext cx="4610100" cy="38100"/>
    <xdr:grpSp>
      <xdr:nvGrpSpPr>
        <xdr:cNvPr id="2" name="Shape 2">
          <a:extLst>
            <a:ext uri="{FF2B5EF4-FFF2-40B4-BE49-F238E27FC236}">
              <a16:creationId xmlns:a16="http://schemas.microsoft.com/office/drawing/2014/main" id="{00000000-0008-0000-0200-000002000000}"/>
            </a:ext>
          </a:extLst>
        </xdr:cNvPr>
        <xdr:cNvGrpSpPr/>
      </xdr:nvGrpSpPr>
      <xdr:grpSpPr>
        <a:xfrm>
          <a:off x="7381875" y="5067300"/>
          <a:ext cx="4610100" cy="38100"/>
          <a:chOff x="3040950" y="3775238"/>
          <a:chExt cx="4610100" cy="9525"/>
        </a:xfrm>
      </xdr:grpSpPr>
      <xdr:cxnSp macro="">
        <xdr:nvCxnSpPr>
          <xdr:cNvPr id="3" name="Shape 3">
            <a:extLst>
              <a:ext uri="{FF2B5EF4-FFF2-40B4-BE49-F238E27FC236}">
                <a16:creationId xmlns:a16="http://schemas.microsoft.com/office/drawing/2014/main" id="{00000000-0008-0000-0200-000003000000}"/>
              </a:ext>
            </a:extLst>
          </xdr:cNvPr>
          <xdr:cNvCxnSpPr/>
        </xdr:nvCxnSpPr>
        <xdr:spPr>
          <a:xfrm rot="10800000" flipH="1">
            <a:off x="3040950" y="3775238"/>
            <a:ext cx="4610100" cy="9525"/>
          </a:xfrm>
          <a:prstGeom prst="straightConnector1">
            <a:avLst/>
          </a:prstGeom>
          <a:noFill/>
          <a:ln w="22225" cap="flat" cmpd="sng">
            <a:solidFill>
              <a:schemeClr val="dk1"/>
            </a:solidFill>
            <a:prstDash val="solid"/>
            <a:miter lim="800000"/>
            <a:headEnd type="none" w="sm" len="sm"/>
            <a:tailEnd type="triangle" w="med" len="med"/>
          </a:ln>
        </xdr:spPr>
      </xdr:cxnSp>
    </xdr:grpSp>
    <xdr:clientData fLocksWithSheet="0"/>
  </xdr:oneCellAnchor>
  <xdr:oneCellAnchor>
    <xdr:from>
      <xdr:col>22</xdr:col>
      <xdr:colOff>47625</xdr:colOff>
      <xdr:row>33</xdr:row>
      <xdr:rowOff>38100</xdr:rowOff>
    </xdr:from>
    <xdr:ext cx="4095750" cy="38100"/>
    <xdr:grpSp>
      <xdr:nvGrpSpPr>
        <xdr:cNvPr id="4" name="Shape 2">
          <a:extLst>
            <a:ext uri="{FF2B5EF4-FFF2-40B4-BE49-F238E27FC236}">
              <a16:creationId xmlns:a16="http://schemas.microsoft.com/office/drawing/2014/main" id="{00000000-0008-0000-0200-000004000000}"/>
            </a:ext>
          </a:extLst>
        </xdr:cNvPr>
        <xdr:cNvGrpSpPr/>
      </xdr:nvGrpSpPr>
      <xdr:grpSpPr>
        <a:xfrm>
          <a:off x="12973050" y="5067300"/>
          <a:ext cx="4095750" cy="38100"/>
          <a:chOff x="3298125" y="3775238"/>
          <a:chExt cx="4095750" cy="9525"/>
        </a:xfrm>
      </xdr:grpSpPr>
      <xdr:cxnSp macro="">
        <xdr:nvCxnSpPr>
          <xdr:cNvPr id="5" name="Shape 4">
            <a:extLst>
              <a:ext uri="{FF2B5EF4-FFF2-40B4-BE49-F238E27FC236}">
                <a16:creationId xmlns:a16="http://schemas.microsoft.com/office/drawing/2014/main" id="{00000000-0008-0000-0200-000005000000}"/>
              </a:ext>
            </a:extLst>
          </xdr:cNvPr>
          <xdr:cNvCxnSpPr/>
        </xdr:nvCxnSpPr>
        <xdr:spPr>
          <a:xfrm rot="10800000" flipH="1">
            <a:off x="3298125" y="3775238"/>
            <a:ext cx="4095750" cy="9525"/>
          </a:xfrm>
          <a:prstGeom prst="straightConnector1">
            <a:avLst/>
          </a:prstGeom>
          <a:noFill/>
          <a:ln w="19050" cap="flat" cmpd="sng">
            <a:solidFill>
              <a:schemeClr val="dk1"/>
            </a:solidFill>
            <a:prstDash val="solid"/>
            <a:miter lim="800000"/>
            <a:headEnd type="none" w="sm" len="sm"/>
            <a:tailEnd type="triangle" w="med" len="med"/>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6</xdr:col>
      <xdr:colOff>285750</xdr:colOff>
      <xdr:row>1</xdr:row>
      <xdr:rowOff>14287</xdr:rowOff>
    </xdr:from>
    <xdr:to>
      <xdr:col>13</xdr:col>
      <xdr:colOff>590550</xdr:colOff>
      <xdr:row>15</xdr:row>
      <xdr:rowOff>90487</xdr:rowOff>
    </xdr:to>
    <xdr:graphicFrame macro="">
      <xdr:nvGraphicFramePr>
        <xdr:cNvPr id="2" name="Chart 1">
          <a:extLst>
            <a:ext uri="{FF2B5EF4-FFF2-40B4-BE49-F238E27FC236}">
              <a16:creationId xmlns:a16="http://schemas.microsoft.com/office/drawing/2014/main" id="{277A3EBC-3BCD-12AE-4C66-6719C460E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561975</xdr:colOff>
      <xdr:row>30</xdr:row>
      <xdr:rowOff>119062</xdr:rowOff>
    </xdr:from>
    <xdr:to>
      <xdr:col>5</xdr:col>
      <xdr:colOff>781050</xdr:colOff>
      <xdr:row>45</xdr:row>
      <xdr:rowOff>4762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3927CFE-C921-FF93-3B01-39D4F1D516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61975" y="5834062"/>
              <a:ext cx="5838825" cy="2743200"/>
            </a:xfrm>
            <a:prstGeom prst="rect">
              <a:avLst/>
            </a:prstGeom>
            <a:solidFill>
              <a:prstClr val="white"/>
            </a:solidFill>
            <a:ln w="1">
              <a:solidFill>
                <a:prstClr val="green"/>
              </a:solidFill>
            </a:ln>
          </xdr:spPr>
          <xdr:txBody>
            <a:bodyPr vertOverflow="clip" horzOverflow="clip"/>
            <a:lstStyle/>
            <a:p>
              <a:r>
                <a:rPr lang="en-NZ"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409575</xdr:colOff>
      <xdr:row>0</xdr:row>
      <xdr:rowOff>109537</xdr:rowOff>
    </xdr:from>
    <xdr:to>
      <xdr:col>38</xdr:col>
      <xdr:colOff>152400</xdr:colOff>
      <xdr:row>14</xdr:row>
      <xdr:rowOff>185737</xdr:rowOff>
    </xdr:to>
    <xdr:graphicFrame macro="">
      <xdr:nvGraphicFramePr>
        <xdr:cNvPr id="5" name="Chart 4">
          <a:extLst>
            <a:ext uri="{FF2B5EF4-FFF2-40B4-BE49-F238E27FC236}">
              <a16:creationId xmlns:a16="http://schemas.microsoft.com/office/drawing/2014/main" id="{28D0D5B4-DD97-A3E7-5396-46AD93BCE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24</xdr:col>
      <xdr:colOff>171450</xdr:colOff>
      <xdr:row>148</xdr:row>
      <xdr:rowOff>47625</xdr:rowOff>
    </xdr:from>
    <xdr:ext cx="5895975" cy="5553075"/>
    <xdr:pic>
      <xdr:nvPicPr>
        <xdr:cNvPr id="2" name="image2.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76200</xdr:colOff>
      <xdr:row>36</xdr:row>
      <xdr:rowOff>114300</xdr:rowOff>
    </xdr:from>
    <xdr:ext cx="5324475" cy="4095750"/>
    <xdr:pic>
      <xdr:nvPicPr>
        <xdr:cNvPr id="3" name="image1.pn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457200</xdr:colOff>
      <xdr:row>88</xdr:row>
      <xdr:rowOff>104775</xdr:rowOff>
    </xdr:from>
    <xdr:ext cx="6381750" cy="5457825"/>
    <xdr:pic>
      <xdr:nvPicPr>
        <xdr:cNvPr id="4" name="image3.png">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23001533\Downloads\CFA%20Team%202024%20Valuation%20Model%20V5%20(1).xlsx" TargetMode="External"/><Relationship Id="rId1" Type="http://schemas.openxmlformats.org/officeDocument/2006/relationships/externalLinkPath" Target="/Users/23001533/Downloads/CFA%20Team%202024%20Valuation%20Model%20V5%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newton/Desktop/Valuation%20Model/DCF%20Model%20v1.2%20-%20Generi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Forecasting"/>
      <sheetName val="WACC"/>
      <sheetName val="Financial Statements"/>
      <sheetName val="DCF"/>
      <sheetName val="DDM"/>
      <sheetName val="Relative"/>
      <sheetName val="Public_Comps"/>
      <sheetName val="ValSum"/>
    </sheetNames>
    <sheetDataSet>
      <sheetData sheetId="0" refreshError="1"/>
      <sheetData sheetId="1" refreshError="1"/>
      <sheetData sheetId="2"/>
      <sheetData sheetId="3" refreshError="1"/>
      <sheetData sheetId="4">
        <row r="7">
          <cell r="K7">
            <v>45526</v>
          </cell>
        </row>
      </sheetData>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t;&gt; Model"/>
      <sheetName val="&gt;&gt; Inputs"/>
      <sheetName val="&gt;&gt; Calculations"/>
      <sheetName val="&gt;&gt; Waterfall"/>
      <sheetName val="&gt;&gt; Dash"/>
      <sheetName val="Data_Raw"/>
      <sheetName val="Data_Paste"/>
      <sheetName val="MFB Data_Raw"/>
      <sheetName val="GDP"/>
    </sheetNames>
    <sheetDataSet>
      <sheetData sheetId="0"/>
      <sheetData sheetId="1">
        <row r="41">
          <cell r="E41" t="str">
            <v>Include Net Debt Adjustment for Leases?</v>
          </cell>
        </row>
      </sheetData>
      <sheetData sheetId="2"/>
      <sheetData sheetId="3"/>
      <sheetData sheetId="4"/>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Joshua Gomez" id="{995802B8-6F78-4AE2-8E3A-D0ED8E33CB91}" userId="S::23001533@massey.ac.nz::c04212a1-f481-4275-b31c-c37564681c60" providerId="AD"/>
  <person displayName="Tomasz Osuchowski" id="{10FDC306-6318-49A6-9847-EFE0C3419A69}" userId="S::23016087@massey.ac.nz::fe39aa5e-9d38-425a-985d-894c59321474"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Z51" dT="2024-09-06T03:30:09.66" personId="{995802B8-6F78-4AE2-8E3A-D0ED8E33CB91}" id="{1801D080-A5AE-444A-9E16-B77E276B7A1D}">
    <text>BBG Cost of Debt Calculator</text>
  </threadedComment>
</ThreadedComments>
</file>

<file path=xl/threadedComments/threadedComment2.xml><?xml version="1.0" encoding="utf-8"?>
<ThreadedComments xmlns="http://schemas.microsoft.com/office/spreadsheetml/2018/threadedcomments" xmlns:x="http://schemas.openxmlformats.org/spreadsheetml/2006/main">
  <threadedComment ref="S1" dT="2024-09-20T02:46:04.43" personId="{10FDC306-6318-49A6-9847-EFE0C3419A69}" id="{430D2F54-9371-4139-BA8A-28C61C053BF6}">
    <text>DCF should be affected by Terminal growth rate changes</text>
  </threadedComment>
</ThreadedComments>
</file>

<file path=xl/threadedComments/threadedComment3.xml><?xml version="1.0" encoding="utf-8"?>
<ThreadedComments xmlns="http://schemas.microsoft.com/office/spreadsheetml/2018/threadedcomments" xmlns:x="http://schemas.openxmlformats.org/spreadsheetml/2006/main">
  <threadedComment ref="E23" dT="2024-09-05T02:39:48.05" personId="{995802B8-6F78-4AE2-8E3A-D0ED8E33CB91}" id="{9BFEB722-6FDF-4CC1-A0F2-FECF5A14DCEA}">
    <text>From forecast segment model</text>
  </threadedComment>
  <threadedComment ref="E30" dT="2024-09-05T02:40:02.58" personId="{995802B8-6F78-4AE2-8E3A-D0ED8E33CB91}" id="{8898AF1E-9DCF-439E-96AE-238C21054094}">
    <text>From forecast segment model</text>
  </threadedComment>
  <threadedComment ref="E59" dT="2024-09-11T06:20:14.05" personId="{995802B8-6F78-4AE2-8E3A-D0ED8E33CB91}" id="{E7C194D9-6752-44CB-929C-F9D792BF77B2}">
    <text>Assume lease liabilities stays constant from FY24 to FY34.</text>
  </threadedComment>
</ThreadedComments>
</file>

<file path=xl/threadedComments/threadedComment4.xml><?xml version="1.0" encoding="utf-8"?>
<ThreadedComments xmlns="http://schemas.microsoft.com/office/spreadsheetml/2018/threadedcomments" xmlns:x="http://schemas.openxmlformats.org/spreadsheetml/2006/main">
  <threadedComment ref="Q134" dT="2024-09-17T05:54:18.50" personId="{995802B8-6F78-4AE2-8E3A-D0ED8E33CB91}" id="{B27F821A-E9E4-4C25-B7BC-B5A3CEFA314B}">
    <text>Carded Play Mandate</text>
  </threadedComment>
  <threadedComment ref="P141" dT="2024-09-17T05:54:39.37" personId="{995802B8-6F78-4AE2-8E3A-D0ED8E33CB91}" id="{AAC6B3B9-5523-49EF-B8B7-D5EDFA8876D5}">
    <text>Horizon Hotel Opening</text>
  </threadedComment>
  <threadedComment ref="Q159" dT="2024-09-17T06:14:37.37" personId="{995802B8-6F78-4AE2-8E3A-D0ED8E33CB91}" id="{5F9A85E7-3E13-4E6D-A3FE-00FED996E53E}">
    <text>Harmean</text>
  </threadedComment>
  <threadedComment ref="Q357" dT="2024-09-17T06:15:11.93" personId="{995802B8-6F78-4AE2-8E3A-D0ED8E33CB91}" id="{8D7F9CFB-3DAA-4120-A507-9B77AF84C4C3}">
    <text>Prep for NZ online regulation</text>
  </threadedComment>
  <threadedComment ref="R357" dT="2024-09-17T06:16:00.32" personId="{995802B8-6F78-4AE2-8E3A-D0ED8E33CB91}" id="{FBC01367-917C-44DE-A53F-C646C47512C2}">
    <text xml:space="preserve">Potential Implementation of NZ online 
</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EEAF6"/>
  </sheetPr>
  <dimension ref="A21:A1000"/>
  <sheetViews>
    <sheetView workbookViewId="0"/>
  </sheetViews>
  <sheetFormatPr defaultColWidth="14.42578125" defaultRowHeight="15" customHeight="1" x14ac:dyDescent="0.25"/>
  <cols>
    <col min="1" max="26" width="8.855468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EABAB"/>
  </sheetPr>
  <dimension ref="A1:AI1000"/>
  <sheetViews>
    <sheetView showGridLines="0" workbookViewId="0">
      <pane xSplit="5" ySplit="10" topLeftCell="F33" activePane="bottomRight" state="frozen"/>
      <selection pane="topRight" activeCell="F1" sqref="F1"/>
      <selection pane="bottomLeft" activeCell="A11" sqref="A11"/>
      <selection pane="bottomRight" activeCell="G55" sqref="G55"/>
    </sheetView>
  </sheetViews>
  <sheetFormatPr defaultColWidth="14.42578125" defaultRowHeight="15" customHeight="1" x14ac:dyDescent="0.25"/>
  <cols>
    <col min="1" max="2" width="2.7109375" customWidth="1"/>
    <col min="3" max="3" width="1.7109375" customWidth="1"/>
    <col min="4" max="4" width="2.85546875" customWidth="1"/>
    <col min="5" max="5" width="37.7109375" customWidth="1"/>
    <col min="6" max="6" width="14" customWidth="1"/>
    <col min="7" max="7" width="23.140625" customWidth="1"/>
    <col min="8" max="8" width="14.42578125" customWidth="1"/>
    <col min="9" max="23" width="13.42578125" customWidth="1"/>
    <col min="24" max="25" width="10.42578125" customWidth="1"/>
    <col min="26" max="26" width="12.42578125" customWidth="1"/>
    <col min="27" max="35" width="9.140625" customWidth="1"/>
  </cols>
  <sheetData>
    <row r="1" spans="1:35" ht="12.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12.75" customHeight="1" x14ac:dyDescent="0.25">
      <c r="A2" s="1"/>
      <c r="B2" s="1"/>
      <c r="C2" s="2" t="s">
        <v>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12.75" customHeight="1" x14ac:dyDescent="0.25">
      <c r="A3" s="1"/>
      <c r="B3" s="1"/>
      <c r="C3" s="2"/>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7.5" customHeight="1" x14ac:dyDescent="0.25">
      <c r="A4" s="1"/>
      <c r="B4" s="1"/>
      <c r="C4" s="2"/>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ht="12.75" customHeight="1" x14ac:dyDescent="0.25">
      <c r="A5" s="1"/>
      <c r="B5" s="1"/>
      <c r="C5" s="3"/>
      <c r="D5" s="4" t="s">
        <v>1</v>
      </c>
      <c r="E5" s="3"/>
      <c r="F5" s="5" t="str">
        <f>'&gt;&gt; Valuation'!F4</f>
        <v>Year &gt;&gt;&gt;</v>
      </c>
      <c r="G5" s="5" t="s">
        <v>2</v>
      </c>
      <c r="H5" s="4">
        <f>'&gt;&gt; Valuation'!H4</f>
        <v>2017</v>
      </c>
      <c r="I5" s="4">
        <f>'&gt;&gt; Valuation'!I4</f>
        <v>2018</v>
      </c>
      <c r="J5" s="4">
        <f>'&gt;&gt; Valuation'!J4</f>
        <v>2019</v>
      </c>
      <c r="K5" s="4">
        <f>'&gt;&gt; Valuation'!K4</f>
        <v>2020</v>
      </c>
      <c r="L5" s="4">
        <f>'&gt;&gt; Valuation'!L4</f>
        <v>2021</v>
      </c>
      <c r="M5" s="4">
        <f>'&gt;&gt; Valuation'!M4</f>
        <v>2022</v>
      </c>
      <c r="N5" s="4">
        <f>'&gt;&gt; Valuation'!N4</f>
        <v>2023</v>
      </c>
      <c r="O5" s="4">
        <f>'&gt;&gt; Valuation'!O4</f>
        <v>2024</v>
      </c>
      <c r="P5" s="4">
        <f>'&gt;&gt; Valuation'!P4</f>
        <v>2025</v>
      </c>
      <c r="Q5" s="4">
        <f>'&gt;&gt; Valuation'!Q4</f>
        <v>2026</v>
      </c>
      <c r="R5" s="4">
        <f>'&gt;&gt; Valuation'!R4</f>
        <v>2027</v>
      </c>
      <c r="S5" s="4">
        <f>'&gt;&gt; Valuation'!S4</f>
        <v>2028</v>
      </c>
      <c r="T5" s="4">
        <f>'&gt;&gt; Valuation'!T4</f>
        <v>2029</v>
      </c>
      <c r="U5" s="4">
        <f>'&gt;&gt; Valuation'!U4</f>
        <v>2030</v>
      </c>
      <c r="V5" s="4">
        <f>'&gt;&gt; Valuation'!V4</f>
        <v>2031</v>
      </c>
      <c r="W5" s="4">
        <f>'&gt;&gt; Valuation'!W4</f>
        <v>2032</v>
      </c>
      <c r="X5" s="4">
        <f>'&gt;&gt; Valuation'!X4</f>
        <v>2033</v>
      </c>
      <c r="Y5" s="4">
        <f>'&gt;&gt; Valuation'!Y4</f>
        <v>2034</v>
      </c>
      <c r="Z5" s="1"/>
      <c r="AA5" s="1"/>
      <c r="AB5" s="1"/>
      <c r="AC5" s="1"/>
      <c r="AD5" s="1"/>
      <c r="AE5" s="1"/>
      <c r="AF5" s="1"/>
      <c r="AG5" s="1"/>
      <c r="AH5" s="1"/>
      <c r="AI5" s="1"/>
    </row>
    <row r="6" spans="1:35" ht="12.75" customHeight="1" x14ac:dyDescent="0.25">
      <c r="A6" s="1"/>
      <c r="B6" s="1"/>
      <c r="C6" s="6"/>
      <c r="D6" s="6"/>
      <c r="E6" s="6" t="str">
        <f>'&gt;&gt; Valuation'!E5</f>
        <v>Period</v>
      </c>
      <c r="F6" s="7" t="str">
        <f>'&gt;&gt; Valuation'!F5</f>
        <v>Units</v>
      </c>
      <c r="G6" s="7"/>
      <c r="H6" s="8">
        <f>'&gt;&gt; Valuation'!H5</f>
        <v>-6</v>
      </c>
      <c r="I6" s="8">
        <f>'&gt;&gt; Valuation'!I5</f>
        <v>-5</v>
      </c>
      <c r="J6" s="8">
        <f>'&gt;&gt; Valuation'!J5</f>
        <v>-4</v>
      </c>
      <c r="K6" s="8">
        <f>'&gt;&gt; Valuation'!K5</f>
        <v>-3</v>
      </c>
      <c r="L6" s="8">
        <f>'&gt;&gt; Valuation'!L5</f>
        <v>-2</v>
      </c>
      <c r="M6" s="8">
        <f>'&gt;&gt; Valuation'!M5</f>
        <v>-1</v>
      </c>
      <c r="N6" s="8">
        <f>'&gt;&gt; Valuation'!N5</f>
        <v>0</v>
      </c>
      <c r="O6" s="8">
        <f>'&gt;&gt; Valuation'!O5</f>
        <v>0</v>
      </c>
      <c r="P6" s="8">
        <f>'&gt;&gt; Valuation'!P5</f>
        <v>1</v>
      </c>
      <c r="Q6" s="8">
        <f>'&gt;&gt; Valuation'!Q5</f>
        <v>2</v>
      </c>
      <c r="R6" s="8">
        <f>'&gt;&gt; Valuation'!R5</f>
        <v>3</v>
      </c>
      <c r="S6" s="8">
        <f>'&gt;&gt; Valuation'!S5</f>
        <v>4</v>
      </c>
      <c r="T6" s="8">
        <f>'&gt;&gt; Valuation'!T5</f>
        <v>5</v>
      </c>
      <c r="U6" s="8">
        <f>'&gt;&gt; Valuation'!U5</f>
        <v>6</v>
      </c>
      <c r="V6" s="8">
        <f>'&gt;&gt; Valuation'!V5</f>
        <v>7</v>
      </c>
      <c r="W6" s="8">
        <f>'&gt;&gt; Valuation'!W5</f>
        <v>8</v>
      </c>
      <c r="X6" s="8">
        <f>'&gt;&gt; Valuation'!X5</f>
        <v>9</v>
      </c>
      <c r="Y6" s="8">
        <f>'&gt;&gt; Valuation'!Y5</f>
        <v>10</v>
      </c>
      <c r="Z6" s="1"/>
      <c r="AA6" s="1"/>
      <c r="AB6" s="1"/>
      <c r="AC6" s="1"/>
      <c r="AD6" s="1"/>
      <c r="AE6" s="1"/>
      <c r="AF6" s="1"/>
      <c r="AG6" s="1"/>
      <c r="AH6" s="1"/>
      <c r="AI6" s="1"/>
    </row>
    <row r="7" spans="1:35" ht="12.75" customHeight="1" x14ac:dyDescent="0.25">
      <c r="A7" s="1"/>
      <c r="B7" s="1"/>
      <c r="C7" s="6"/>
      <c r="D7" s="6"/>
      <c r="E7" s="6" t="str">
        <f>'&gt;&gt; Valuation'!E6</f>
        <v>Mid Year Factor</v>
      </c>
      <c r="F7" s="9" t="str">
        <f>'&gt;&gt; Valuation'!F6</f>
        <v>TVM Factor</v>
      </c>
      <c r="G7" s="9"/>
      <c r="H7" s="10">
        <f>'&gt;&gt; Valuation'!H6</f>
        <v>0</v>
      </c>
      <c r="I7" s="10">
        <f>'&gt;&gt; Valuation'!I6</f>
        <v>0</v>
      </c>
      <c r="J7" s="10">
        <f>'&gt;&gt; Valuation'!J6</f>
        <v>0</v>
      </c>
      <c r="K7" s="10">
        <f>'&gt;&gt; Valuation'!K6</f>
        <v>0.5</v>
      </c>
      <c r="L7" s="10">
        <f>'&gt;&gt; Valuation'!L6</f>
        <v>1.5</v>
      </c>
      <c r="M7" s="10">
        <f>'&gt;&gt; Valuation'!M6</f>
        <v>2.5</v>
      </c>
      <c r="N7" s="10">
        <f>'&gt;&gt; Valuation'!N6</f>
        <v>3.5</v>
      </c>
      <c r="O7" s="10">
        <f>'&gt;&gt; Valuation'!O6</f>
        <v>4.5</v>
      </c>
      <c r="P7" s="10">
        <f>'&gt;&gt; Valuation'!P6</f>
        <v>5.5</v>
      </c>
      <c r="Q7" s="10">
        <f>'&gt;&gt; Valuation'!Q6</f>
        <v>6.5</v>
      </c>
      <c r="R7" s="10">
        <f>'&gt;&gt; Valuation'!R6</f>
        <v>7.5</v>
      </c>
      <c r="S7" s="10">
        <f>'&gt;&gt; Valuation'!S6</f>
        <v>8.5</v>
      </c>
      <c r="T7" s="10">
        <f>'&gt;&gt; Valuation'!T6</f>
        <v>9.5</v>
      </c>
      <c r="U7" s="10">
        <f>'&gt;&gt; Valuation'!U6</f>
        <v>10.5</v>
      </c>
      <c r="V7" s="10">
        <f>'&gt;&gt; Valuation'!V6</f>
        <v>11.5</v>
      </c>
      <c r="W7" s="10">
        <f>'&gt;&gt; Valuation'!W6</f>
        <v>12.5</v>
      </c>
      <c r="X7" s="10">
        <f>'&gt;&gt; Valuation'!X6</f>
        <v>13.5</v>
      </c>
      <c r="Y7" s="10">
        <f>'&gt;&gt; Valuation'!Y6</f>
        <v>14.5</v>
      </c>
      <c r="Z7" s="1"/>
      <c r="AA7" s="1"/>
      <c r="AB7" s="1"/>
      <c r="AC7" s="1"/>
      <c r="AD7" s="1"/>
      <c r="AE7" s="1"/>
      <c r="AF7" s="1"/>
      <c r="AG7" s="1"/>
      <c r="AH7" s="1"/>
      <c r="AI7" s="1"/>
    </row>
    <row r="8" spans="1:35" ht="12.75" customHeight="1" x14ac:dyDescent="0.25">
      <c r="A8" s="1"/>
      <c r="B8" s="1"/>
      <c r="C8" s="6"/>
      <c r="D8" s="6"/>
      <c r="E8" s="6" t="str">
        <f>'&gt;&gt; Valuation'!E7</f>
        <v>Financial Year Start</v>
      </c>
      <c r="F8" s="9" t="str">
        <f>'&gt;&gt; Valuation'!F7</f>
        <v>Abc</v>
      </c>
      <c r="G8" s="9"/>
      <c r="H8" s="11">
        <f>'&gt;&gt; Valuation'!H7</f>
        <v>42552</v>
      </c>
      <c r="I8" s="11">
        <f>'&gt;&gt; Valuation'!I7</f>
        <v>42917</v>
      </c>
      <c r="J8" s="11">
        <f>'&gt;&gt; Valuation'!J7</f>
        <v>43282</v>
      </c>
      <c r="K8" s="11">
        <f>'&gt;&gt; Valuation'!K7</f>
        <v>43647</v>
      </c>
      <c r="L8" s="11">
        <f>'&gt;&gt; Valuation'!L7</f>
        <v>44013</v>
      </c>
      <c r="M8" s="11">
        <f>'&gt;&gt; Valuation'!M7</f>
        <v>44378</v>
      </c>
      <c r="N8" s="11">
        <f>'&gt;&gt; Valuation'!N7</f>
        <v>44743</v>
      </c>
      <c r="O8" s="11">
        <f>'&gt;&gt; Valuation'!O7</f>
        <v>45108</v>
      </c>
      <c r="P8" s="11">
        <f>'&gt;&gt; Valuation'!P7</f>
        <v>45474</v>
      </c>
      <c r="Q8" s="11">
        <f>'&gt;&gt; Valuation'!Q7</f>
        <v>45839</v>
      </c>
      <c r="R8" s="11">
        <f>'&gt;&gt; Valuation'!R7</f>
        <v>46204</v>
      </c>
      <c r="S8" s="11">
        <f>'&gt;&gt; Valuation'!S7</f>
        <v>46569</v>
      </c>
      <c r="T8" s="11">
        <f>'&gt;&gt; Valuation'!T7</f>
        <v>46935</v>
      </c>
      <c r="U8" s="11">
        <f>'&gt;&gt; Valuation'!U7</f>
        <v>47300</v>
      </c>
      <c r="V8" s="11">
        <f>'&gt;&gt; Valuation'!V7</f>
        <v>47665</v>
      </c>
      <c r="W8" s="11">
        <f>'&gt;&gt; Valuation'!W7</f>
        <v>48030</v>
      </c>
      <c r="X8" s="11">
        <f>'&gt;&gt; Valuation'!X7</f>
        <v>48396</v>
      </c>
      <c r="Y8" s="11">
        <f>'&gt;&gt; Valuation'!Y7</f>
        <v>48761</v>
      </c>
      <c r="Z8" s="1"/>
      <c r="AA8" s="1"/>
      <c r="AB8" s="1"/>
      <c r="AC8" s="1"/>
      <c r="AD8" s="1"/>
      <c r="AE8" s="1"/>
      <c r="AF8" s="1"/>
      <c r="AG8" s="1"/>
      <c r="AH8" s="1"/>
      <c r="AI8" s="1"/>
    </row>
    <row r="9" spans="1:35" ht="12.75" customHeight="1" x14ac:dyDescent="0.25">
      <c r="A9" s="1"/>
      <c r="B9" s="1"/>
      <c r="C9" s="6"/>
      <c r="D9" s="6"/>
      <c r="E9" s="6" t="str">
        <f>'&gt;&gt; Valuation'!E8</f>
        <v>Financial Year End</v>
      </c>
      <c r="F9" s="9" t="str">
        <f>'&gt;&gt; Valuation'!F8</f>
        <v>Abc</v>
      </c>
      <c r="G9" s="9"/>
      <c r="H9" s="11">
        <f>'&gt;&gt; Valuation'!H8</f>
        <v>42916</v>
      </c>
      <c r="I9" s="11">
        <f>'&gt;&gt; Valuation'!I8</f>
        <v>43281</v>
      </c>
      <c r="J9" s="11">
        <f>'&gt;&gt; Valuation'!J8</f>
        <v>43646</v>
      </c>
      <c r="K9" s="11">
        <f>'&gt;&gt; Valuation'!K8</f>
        <v>44012</v>
      </c>
      <c r="L9" s="11">
        <f>'&gt;&gt; Valuation'!L8</f>
        <v>44377</v>
      </c>
      <c r="M9" s="11">
        <f>'&gt;&gt; Valuation'!M8</f>
        <v>44742</v>
      </c>
      <c r="N9" s="11">
        <f>'&gt;&gt; Valuation'!N8</f>
        <v>45107</v>
      </c>
      <c r="O9" s="11">
        <f>'&gt;&gt; Valuation'!O8</f>
        <v>45473</v>
      </c>
      <c r="P9" s="11">
        <f>'&gt;&gt; Valuation'!P8</f>
        <v>45838</v>
      </c>
      <c r="Q9" s="11">
        <f>'&gt;&gt; Valuation'!Q8</f>
        <v>46203</v>
      </c>
      <c r="R9" s="11">
        <f>'&gt;&gt; Valuation'!R8</f>
        <v>46568</v>
      </c>
      <c r="S9" s="11">
        <f>'&gt;&gt; Valuation'!S8</f>
        <v>46934</v>
      </c>
      <c r="T9" s="11">
        <f>'&gt;&gt; Valuation'!T8</f>
        <v>47299</v>
      </c>
      <c r="U9" s="11">
        <f>'&gt;&gt; Valuation'!U8</f>
        <v>47664</v>
      </c>
      <c r="V9" s="11">
        <f>'&gt;&gt; Valuation'!V8</f>
        <v>48029</v>
      </c>
      <c r="W9" s="11">
        <f>'&gt;&gt; Valuation'!W8</f>
        <v>48395</v>
      </c>
      <c r="X9" s="11">
        <f>'&gt;&gt; Valuation'!X8</f>
        <v>48760</v>
      </c>
      <c r="Y9" s="11">
        <f>'&gt;&gt; Valuation'!Y8</f>
        <v>49125</v>
      </c>
      <c r="Z9" s="1"/>
      <c r="AA9" s="1"/>
      <c r="AB9" s="1"/>
      <c r="AC9" s="1"/>
      <c r="AD9" s="1"/>
      <c r="AE9" s="1"/>
      <c r="AF9" s="1"/>
      <c r="AG9" s="1"/>
      <c r="AH9" s="1"/>
      <c r="AI9" s="1"/>
    </row>
    <row r="10" spans="1:35" ht="12.75" customHeight="1" x14ac:dyDescent="0.25">
      <c r="A10" s="1"/>
      <c r="B10" s="1"/>
      <c r="C10" s="6"/>
      <c r="D10" s="6"/>
      <c r="E10" s="6" t="str">
        <f>'&gt;&gt; Valuation'!E9</f>
        <v>Actual / Forecast</v>
      </c>
      <c r="F10" s="9" t="str">
        <f>'&gt;&gt; Valuation'!F9</f>
        <v>#</v>
      </c>
      <c r="G10" s="9"/>
      <c r="H10" s="12" t="str">
        <f ca="1">'&gt;&gt; Valuation'!H9</f>
        <v>Actual</v>
      </c>
      <c r="I10" s="12" t="str">
        <f ca="1">'&gt;&gt; Valuation'!I9</f>
        <v>Actual</v>
      </c>
      <c r="J10" s="12" t="str">
        <f ca="1">'&gt;&gt; Valuation'!J9</f>
        <v>Actual</v>
      </c>
      <c r="K10" s="12" t="str">
        <f ca="1">'&gt;&gt; Valuation'!K9</f>
        <v>Actual</v>
      </c>
      <c r="L10" s="12" t="str">
        <f ca="1">'&gt;&gt; Valuation'!L9</f>
        <v>Actual</v>
      </c>
      <c r="M10" s="12" t="str">
        <f ca="1">'&gt;&gt; Valuation'!M9</f>
        <v>Actual</v>
      </c>
      <c r="N10" s="12" t="str">
        <f ca="1">'&gt;&gt; Valuation'!N9</f>
        <v>Actual</v>
      </c>
      <c r="O10" s="12" t="str">
        <f ca="1">'&gt;&gt; Valuation'!O9</f>
        <v>Actual</v>
      </c>
      <c r="P10" s="12" t="str">
        <f ca="1">'&gt;&gt; Valuation'!P9</f>
        <v>Forecast</v>
      </c>
      <c r="Q10" s="12" t="str">
        <f ca="1">'&gt;&gt; Valuation'!Q9</f>
        <v>Forecast</v>
      </c>
      <c r="R10" s="12" t="str">
        <f ca="1">'&gt;&gt; Valuation'!R9</f>
        <v>Forecast</v>
      </c>
      <c r="S10" s="12" t="str">
        <f ca="1">'&gt;&gt; Valuation'!S9</f>
        <v>Forecast</v>
      </c>
      <c r="T10" s="12" t="str">
        <f ca="1">'&gt;&gt; Valuation'!T9</f>
        <v>Forecast</v>
      </c>
      <c r="U10" s="12" t="str">
        <f ca="1">'&gt;&gt; Valuation'!U9</f>
        <v>Forecast</v>
      </c>
      <c r="V10" s="12" t="str">
        <f ca="1">'&gt;&gt; Valuation'!V9</f>
        <v>Forecast</v>
      </c>
      <c r="W10" s="12" t="str">
        <f ca="1">'&gt;&gt; Valuation'!W9</f>
        <v>Forecast</v>
      </c>
      <c r="X10" s="12" t="str">
        <f ca="1">'&gt;&gt; Valuation'!X9</f>
        <v>Forecast</v>
      </c>
      <c r="Y10" s="12" t="str">
        <f ca="1">'&gt;&gt; Valuation'!Y9</f>
        <v>Forecast</v>
      </c>
      <c r="Z10" s="1"/>
      <c r="AA10" s="1"/>
      <c r="AB10" s="1"/>
      <c r="AC10" s="1"/>
      <c r="AD10" s="1"/>
      <c r="AE10" s="1"/>
      <c r="AF10" s="1"/>
      <c r="AG10" s="1"/>
      <c r="AH10" s="1"/>
      <c r="AI10" s="1"/>
    </row>
    <row r="11" spans="1:35" ht="6.75" customHeight="1" x14ac:dyDescent="0.25">
      <c r="A11" s="1"/>
      <c r="B11" s="1"/>
      <c r="C11" s="13"/>
      <c r="D11" s="13"/>
      <c r="E11" s="13"/>
      <c r="F11" s="13"/>
      <c r="G11" s="13"/>
      <c r="H11" s="13"/>
      <c r="I11" s="13"/>
      <c r="J11" s="13"/>
      <c r="K11" s="13"/>
      <c r="L11" s="13"/>
      <c r="M11" s="13"/>
      <c r="N11" s="13"/>
      <c r="O11" s="13"/>
      <c r="P11" s="13"/>
      <c r="Q11" s="13"/>
      <c r="R11" s="13"/>
      <c r="S11" s="13"/>
      <c r="T11" s="13"/>
      <c r="U11" s="1"/>
      <c r="V11" s="1"/>
      <c r="W11" s="1"/>
      <c r="X11" s="1"/>
      <c r="Y11" s="1"/>
      <c r="Z11" s="1"/>
      <c r="AA11" s="1"/>
      <c r="AB11" s="1"/>
      <c r="AC11" s="1"/>
      <c r="AD11" s="1"/>
      <c r="AE11" s="1"/>
      <c r="AF11" s="1"/>
      <c r="AG11" s="1"/>
      <c r="AH11" s="1"/>
      <c r="AI11" s="1"/>
    </row>
    <row r="12" spans="1:35" ht="6.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ht="12.75" customHeight="1" x14ac:dyDescent="0.25">
      <c r="A13" s="1"/>
      <c r="B13" s="1"/>
      <c r="C13" s="1"/>
      <c r="D13" s="2" t="s">
        <v>3</v>
      </c>
      <c r="E13" s="1"/>
      <c r="F13" s="1"/>
      <c r="G13" s="1"/>
      <c r="H13" s="14"/>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ht="12.75" customHeight="1" x14ac:dyDescent="0.25">
      <c r="A14" s="1"/>
      <c r="B14" s="1"/>
      <c r="C14" s="1"/>
      <c r="D14" s="2"/>
      <c r="E14" s="1" t="s">
        <v>4</v>
      </c>
      <c r="F14" s="14" t="s">
        <v>5</v>
      </c>
      <c r="G14" s="15" t="s">
        <v>6</v>
      </c>
      <c r="H14" s="1"/>
      <c r="I14" s="1"/>
      <c r="J14" s="1"/>
      <c r="K14" s="1"/>
      <c r="L14" s="1"/>
      <c r="M14" s="592"/>
      <c r="N14" s="593"/>
      <c r="O14" s="593"/>
      <c r="P14" s="593"/>
      <c r="Q14" s="593"/>
      <c r="R14" s="1"/>
      <c r="S14" s="1"/>
      <c r="T14" s="1"/>
      <c r="U14" s="1"/>
      <c r="V14" s="1"/>
      <c r="W14" s="1"/>
      <c r="X14" s="1"/>
      <c r="Y14" s="1"/>
      <c r="Z14" s="1"/>
      <c r="AA14" s="1"/>
      <c r="AB14" s="1"/>
      <c r="AC14" s="1"/>
      <c r="AD14" s="1"/>
      <c r="AE14" s="1"/>
      <c r="AF14" s="1"/>
      <c r="AG14" s="1"/>
      <c r="AH14" s="1"/>
      <c r="AI14" s="1"/>
    </row>
    <row r="15" spans="1:35" ht="12.75" customHeight="1" x14ac:dyDescent="0.25">
      <c r="A15" s="1"/>
      <c r="B15" s="1"/>
      <c r="C15" s="1"/>
      <c r="D15" s="1"/>
      <c r="E15" s="1" t="s">
        <v>7</v>
      </c>
      <c r="F15" s="14" t="s">
        <v>8</v>
      </c>
      <c r="G15" s="16">
        <f>'&gt;&gt; Dash'!U47</f>
        <v>0.11343075168</v>
      </c>
      <c r="H15" s="1"/>
      <c r="I15" s="17"/>
      <c r="J15" s="1"/>
      <c r="K15" s="1"/>
      <c r="L15" s="1"/>
      <c r="M15" s="1"/>
      <c r="N15" s="1"/>
      <c r="O15" s="2"/>
      <c r="P15" s="2"/>
      <c r="Q15" s="2"/>
      <c r="R15" s="1"/>
      <c r="S15" s="1"/>
      <c r="T15" s="1"/>
      <c r="U15" s="1"/>
      <c r="V15" s="1"/>
      <c r="W15" s="1"/>
      <c r="X15" s="1"/>
      <c r="Y15" s="1"/>
      <c r="Z15" s="1"/>
      <c r="AA15" s="1"/>
      <c r="AB15" s="1"/>
      <c r="AC15" s="1"/>
      <c r="AD15" s="1"/>
      <c r="AE15" s="1"/>
      <c r="AF15" s="1"/>
      <c r="AG15" s="1"/>
      <c r="AH15" s="1"/>
      <c r="AI15" s="1"/>
    </row>
    <row r="16" spans="1:35" ht="12.75" customHeight="1" x14ac:dyDescent="0.25">
      <c r="A16" s="1"/>
      <c r="B16" s="1"/>
      <c r="C16" s="1"/>
      <c r="D16" s="1"/>
      <c r="E16" s="1" t="s">
        <v>9</v>
      </c>
      <c r="F16" s="14" t="s">
        <v>8</v>
      </c>
      <c r="G16" s="16">
        <f>'&gt;&gt; Dash'!Z50</f>
        <v>0.15090000000000001</v>
      </c>
      <c r="H16" s="1"/>
      <c r="I16" s="17"/>
      <c r="J16" s="1"/>
      <c r="K16" s="1"/>
      <c r="L16" s="1"/>
      <c r="M16" s="1"/>
      <c r="N16" s="1"/>
      <c r="O16" s="18"/>
      <c r="P16" s="19"/>
      <c r="Q16" s="19"/>
      <c r="R16" s="1"/>
      <c r="S16" s="1"/>
      <c r="T16" s="1"/>
      <c r="U16" s="1"/>
      <c r="V16" s="1"/>
      <c r="W16" s="1"/>
      <c r="X16" s="1"/>
      <c r="Y16" s="1"/>
      <c r="Z16" s="1"/>
      <c r="AA16" s="1"/>
      <c r="AB16" s="1"/>
      <c r="AC16" s="1"/>
      <c r="AD16" s="1"/>
      <c r="AE16" s="1"/>
      <c r="AF16" s="1"/>
      <c r="AG16" s="1"/>
      <c r="AH16" s="1"/>
      <c r="AI16" s="1"/>
    </row>
    <row r="17" spans="1:35" ht="12.75" customHeight="1" x14ac:dyDescent="0.25">
      <c r="A17" s="1"/>
      <c r="B17" s="1"/>
      <c r="C17" s="1"/>
      <c r="D17" s="1"/>
      <c r="E17" s="1" t="s">
        <v>10</v>
      </c>
      <c r="F17" s="14" t="s">
        <v>11</v>
      </c>
      <c r="G17" s="20">
        <v>2017</v>
      </c>
      <c r="H17" s="1"/>
      <c r="I17" s="1"/>
      <c r="J17" s="1"/>
      <c r="K17" s="1"/>
      <c r="L17" s="1"/>
      <c r="M17" s="1"/>
      <c r="N17" s="1"/>
      <c r="O17" s="18"/>
      <c r="P17" s="21"/>
      <c r="Q17" s="19"/>
      <c r="R17" s="1"/>
      <c r="S17" s="1"/>
      <c r="T17" s="1"/>
      <c r="U17" s="1"/>
      <c r="V17" s="1"/>
      <c r="W17" s="1"/>
      <c r="X17" s="1"/>
      <c r="Y17" s="1"/>
      <c r="Z17" s="1"/>
      <c r="AA17" s="1"/>
      <c r="AB17" s="1"/>
      <c r="AC17" s="1"/>
      <c r="AD17" s="1"/>
      <c r="AE17" s="1"/>
      <c r="AF17" s="1"/>
      <c r="AG17" s="1"/>
      <c r="AH17" s="1"/>
      <c r="AI17" s="1"/>
    </row>
    <row r="18" spans="1:35" ht="12.75" customHeight="1" x14ac:dyDescent="0.25">
      <c r="A18" s="1"/>
      <c r="B18" s="1"/>
      <c r="C18" s="1"/>
      <c r="D18" s="1"/>
      <c r="E18" s="1" t="s">
        <v>12</v>
      </c>
      <c r="F18" s="14" t="s">
        <v>13</v>
      </c>
      <c r="G18" s="22">
        <v>42916</v>
      </c>
      <c r="H18" s="1"/>
      <c r="I18" s="17"/>
      <c r="J18" s="1"/>
      <c r="K18" s="1"/>
      <c r="L18" s="1"/>
      <c r="M18" s="1"/>
      <c r="N18" s="1"/>
      <c r="O18" s="18"/>
      <c r="P18" s="19"/>
      <c r="Q18" s="18"/>
      <c r="R18" s="1"/>
      <c r="S18" s="1"/>
      <c r="T18" s="1"/>
      <c r="U18" s="1"/>
      <c r="V18" s="1"/>
      <c r="W18" s="1"/>
      <c r="X18" s="1"/>
      <c r="Y18" s="1"/>
      <c r="Z18" s="1"/>
      <c r="AA18" s="1"/>
      <c r="AB18" s="1"/>
      <c r="AC18" s="1"/>
      <c r="AD18" s="1"/>
      <c r="AE18" s="1"/>
      <c r="AF18" s="1"/>
      <c r="AG18" s="1"/>
      <c r="AH18" s="1"/>
      <c r="AI18" s="1"/>
    </row>
    <row r="19" spans="1:35" ht="12.75" customHeight="1" x14ac:dyDescent="0.25">
      <c r="A19" s="1"/>
      <c r="B19" s="1"/>
      <c r="C19" s="1"/>
      <c r="D19" s="1"/>
      <c r="E19" s="1" t="s">
        <v>14</v>
      </c>
      <c r="F19" s="14"/>
      <c r="G19" s="23">
        <v>45473</v>
      </c>
      <c r="H19" s="1"/>
      <c r="I19" s="17"/>
      <c r="J19" s="1"/>
      <c r="K19" s="1"/>
      <c r="L19" s="1"/>
      <c r="M19" s="1"/>
      <c r="N19" s="1"/>
      <c r="O19" s="18"/>
      <c r="P19" s="19"/>
      <c r="Q19" s="18"/>
      <c r="R19" s="1"/>
      <c r="S19" s="1"/>
      <c r="T19" s="1"/>
      <c r="U19" s="1"/>
      <c r="V19" s="1"/>
      <c r="W19" s="1"/>
      <c r="X19" s="1"/>
      <c r="Y19" s="1"/>
      <c r="Z19" s="1"/>
      <c r="AA19" s="1"/>
      <c r="AB19" s="1"/>
      <c r="AC19" s="1"/>
      <c r="AD19" s="1"/>
      <c r="AE19" s="1"/>
      <c r="AF19" s="1"/>
      <c r="AG19" s="1"/>
      <c r="AH19" s="1"/>
      <c r="AI19" s="1"/>
    </row>
    <row r="20" spans="1:35" ht="12.75" customHeight="1" x14ac:dyDescent="0.25">
      <c r="A20" s="1"/>
      <c r="B20" s="1"/>
      <c r="C20" s="1"/>
      <c r="D20" s="1"/>
      <c r="E20" s="1" t="s">
        <v>15</v>
      </c>
      <c r="F20" s="14" t="s">
        <v>13</v>
      </c>
      <c r="G20" s="24">
        <f ca="1">G27</f>
        <v>45555</v>
      </c>
      <c r="H20" s="1"/>
      <c r="I20" s="1"/>
      <c r="J20" s="1"/>
      <c r="K20" s="1"/>
      <c r="L20" s="1"/>
      <c r="M20" s="1"/>
      <c r="N20" s="1"/>
      <c r="O20" s="18"/>
      <c r="P20" s="25"/>
      <c r="Q20" s="18"/>
      <c r="R20" s="1"/>
      <c r="S20" s="1"/>
      <c r="T20" s="1"/>
      <c r="U20" s="1"/>
      <c r="V20" s="1"/>
      <c r="W20" s="1"/>
      <c r="X20" s="1"/>
      <c r="Y20" s="1"/>
      <c r="Z20" s="1"/>
      <c r="AA20" s="1"/>
      <c r="AB20" s="1"/>
      <c r="AC20" s="1"/>
      <c r="AD20" s="1"/>
      <c r="AE20" s="1"/>
      <c r="AF20" s="1"/>
      <c r="AG20" s="1"/>
      <c r="AH20" s="1"/>
      <c r="AI20" s="1"/>
    </row>
    <row r="21" spans="1:35" ht="12.75" customHeight="1" x14ac:dyDescent="0.25">
      <c r="A21" s="1"/>
      <c r="B21" s="1"/>
      <c r="C21" s="1"/>
      <c r="D21" s="1"/>
      <c r="E21" s="1" t="s">
        <v>16</v>
      </c>
      <c r="F21" s="14" t="s">
        <v>17</v>
      </c>
      <c r="G21" s="26">
        <v>1.34</v>
      </c>
      <c r="H21" s="1"/>
      <c r="I21" s="17"/>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ht="12.75" customHeight="1" x14ac:dyDescent="0.25">
      <c r="A22" s="1"/>
      <c r="B22" s="1"/>
      <c r="C22" s="1"/>
      <c r="D22" s="1"/>
      <c r="E22" s="1" t="s">
        <v>18</v>
      </c>
      <c r="F22" s="14" t="s">
        <v>17</v>
      </c>
      <c r="G22" s="27">
        <v>0</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ht="12.75" customHeight="1" x14ac:dyDescent="0.25">
      <c r="A23" s="1"/>
      <c r="B23" s="1"/>
      <c r="C23" s="1"/>
      <c r="D23" s="1"/>
      <c r="E23" s="1"/>
      <c r="F23" s="14"/>
      <c r="G23" s="28"/>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ht="12.75" customHeight="1" x14ac:dyDescent="0.25">
      <c r="A24" s="1"/>
      <c r="B24" s="1"/>
      <c r="C24" s="1"/>
      <c r="D24" s="1"/>
      <c r="E24" s="1"/>
      <c r="F24" s="14"/>
      <c r="G24" s="29"/>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12.75" customHeight="1" x14ac:dyDescent="0.25">
      <c r="A25" s="1"/>
      <c r="B25" s="1"/>
      <c r="C25" s="1"/>
      <c r="D25" s="2" t="s">
        <v>19</v>
      </c>
      <c r="E25" s="1"/>
      <c r="F25" s="14"/>
      <c r="G25" s="29"/>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ht="12.75" customHeight="1" x14ac:dyDescent="0.25">
      <c r="A26" s="1"/>
      <c r="B26" s="1"/>
      <c r="C26" s="1"/>
      <c r="D26" s="2"/>
      <c r="E26" s="1" t="s">
        <v>20</v>
      </c>
      <c r="F26" s="14" t="s">
        <v>13</v>
      </c>
      <c r="G26" s="30">
        <f>EOMONTH( G19, 12 )</f>
        <v>45838</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ht="12.75" customHeight="1" x14ac:dyDescent="0.25">
      <c r="A27" s="1"/>
      <c r="B27" s="1"/>
      <c r="C27" s="1"/>
      <c r="D27" s="1"/>
      <c r="E27" s="1" t="s">
        <v>21</v>
      </c>
      <c r="F27" s="14" t="s">
        <v>13</v>
      </c>
      <c r="G27" s="31">
        <f ca="1">TODAY()</f>
        <v>45555</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12.75" customHeight="1" x14ac:dyDescent="0.25">
      <c r="A28" s="1"/>
      <c r="B28" s="1"/>
      <c r="C28" s="1"/>
      <c r="D28" s="1"/>
      <c r="E28" s="1"/>
      <c r="F28" s="1"/>
      <c r="G28" s="32"/>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ht="12.75" customHeight="1" x14ac:dyDescent="0.25">
      <c r="A29" s="1"/>
      <c r="B29" s="1"/>
      <c r="C29" s="1"/>
      <c r="D29" s="2" t="s">
        <v>22</v>
      </c>
      <c r="E29" s="1"/>
      <c r="F29" s="1"/>
      <c r="G29" s="32"/>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ht="11.25" customHeight="1" x14ac:dyDescent="0.25">
      <c r="A30" s="1"/>
      <c r="B30" s="1"/>
      <c r="C30" s="1"/>
      <c r="D30" s="2"/>
      <c r="E30" s="2" t="s">
        <v>23</v>
      </c>
      <c r="F30" s="1"/>
      <c r="G30" s="32"/>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ht="11.25" customHeight="1" x14ac:dyDescent="0.25">
      <c r="A31" s="1"/>
      <c r="B31" s="1"/>
      <c r="C31" s="1"/>
      <c r="D31" s="1"/>
      <c r="E31" s="18" t="s">
        <v>24</v>
      </c>
      <c r="F31" s="33" t="s">
        <v>13</v>
      </c>
      <c r="G31" s="34" t="s">
        <v>25</v>
      </c>
      <c r="H31" s="32"/>
      <c r="I31" s="17" t="s">
        <v>26</v>
      </c>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ht="12.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row>
    <row r="33" spans="1:35" ht="12.75" customHeight="1" x14ac:dyDescent="0.25">
      <c r="A33" s="1"/>
      <c r="B33" s="1"/>
      <c r="C33" s="1"/>
      <c r="D33" s="2"/>
      <c r="E33" s="1" t="s">
        <v>27</v>
      </c>
      <c r="F33" s="14" t="s">
        <v>28</v>
      </c>
      <c r="G33" s="35">
        <f>'&gt;&gt; Fin Stmts'!O68+'&gt;&gt; Fin Stmts'!O58</f>
        <v>-609.49699999999996</v>
      </c>
      <c r="H33" s="1"/>
      <c r="I33" s="17"/>
      <c r="J33" s="1"/>
      <c r="K33" s="1"/>
      <c r="L33" s="1"/>
      <c r="M33" s="1"/>
      <c r="N33" s="1"/>
      <c r="O33" s="1"/>
      <c r="P33" s="1"/>
      <c r="Q33" s="1"/>
      <c r="R33" s="1"/>
      <c r="S33" s="1"/>
      <c r="T33" s="1"/>
      <c r="U33" s="1"/>
      <c r="V33" s="1"/>
      <c r="W33" s="1"/>
      <c r="X33" s="1"/>
      <c r="Y33" s="1"/>
      <c r="Z33" s="1"/>
      <c r="AA33" s="1"/>
      <c r="AB33" s="1"/>
      <c r="AC33" s="1"/>
      <c r="AD33" s="1"/>
      <c r="AE33" s="1"/>
      <c r="AF33" s="1"/>
      <c r="AG33" s="1"/>
      <c r="AH33" s="1"/>
      <c r="AI33" s="1"/>
    </row>
    <row r="34" spans="1:35" ht="12.75" customHeight="1" x14ac:dyDescent="0.25">
      <c r="A34" s="1"/>
      <c r="B34" s="1"/>
      <c r="C34" s="1"/>
      <c r="D34" s="2"/>
      <c r="E34" s="1" t="s">
        <v>29</v>
      </c>
      <c r="F34" s="14" t="s">
        <v>28</v>
      </c>
      <c r="G34" s="35">
        <f>'&gt;&gt; Fin Stmts'!O60+'&gt;&gt; Fin Stmts'!O66</f>
        <v>-121.432</v>
      </c>
      <c r="H34" s="1"/>
      <c r="I34" s="17" t="s">
        <v>30</v>
      </c>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ht="12.75" customHeight="1" x14ac:dyDescent="0.25">
      <c r="A35" s="1"/>
      <c r="B35" s="1"/>
      <c r="C35" s="1"/>
      <c r="D35" s="2"/>
      <c r="E35" s="1" t="s">
        <v>31</v>
      </c>
      <c r="F35" s="14" t="s">
        <v>28</v>
      </c>
      <c r="G35" s="35">
        <f>'&gt;&gt; Fin Stmts'!O35</f>
        <v>60.545999999999999</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row>
    <row r="36" spans="1:35" ht="12.75" customHeight="1" x14ac:dyDescent="0.25">
      <c r="A36" s="1"/>
      <c r="B36" s="1"/>
      <c r="C36" s="1"/>
      <c r="D36" s="1"/>
      <c r="E36" s="1" t="s">
        <v>32</v>
      </c>
      <c r="F36" s="14" t="s">
        <v>28</v>
      </c>
      <c r="G36" s="36">
        <f>SUM(G33:G35)</f>
        <v>-670.38299999999992</v>
      </c>
      <c r="H36" s="1"/>
      <c r="I36" s="17"/>
      <c r="J36" s="1"/>
      <c r="K36" s="1"/>
      <c r="L36" s="1"/>
      <c r="M36" s="1"/>
      <c r="N36" s="1"/>
      <c r="O36" s="1"/>
      <c r="P36" s="1"/>
      <c r="Q36" s="1"/>
      <c r="R36" s="1"/>
      <c r="S36" s="1"/>
      <c r="T36" s="1"/>
      <c r="U36" s="1"/>
      <c r="V36" s="1"/>
      <c r="W36" s="1"/>
      <c r="X36" s="1"/>
      <c r="Y36" s="1"/>
      <c r="Z36" s="1"/>
      <c r="AA36" s="1"/>
      <c r="AB36" s="1"/>
      <c r="AC36" s="1"/>
      <c r="AD36" s="1"/>
      <c r="AE36" s="1"/>
      <c r="AF36" s="1"/>
      <c r="AG36" s="1"/>
      <c r="AH36" s="1"/>
      <c r="AI36" s="1"/>
    </row>
    <row r="37" spans="1:35" ht="12.75" customHeight="1" x14ac:dyDescent="0.25">
      <c r="A37" s="1"/>
      <c r="B37" s="1"/>
      <c r="C37" s="1"/>
      <c r="D37" s="1"/>
      <c r="E37" s="13"/>
      <c r="F37" s="13"/>
      <c r="G37" s="13"/>
      <c r="H37" s="32"/>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row>
    <row r="38" spans="1:35" ht="12.75" customHeight="1" x14ac:dyDescent="0.25">
      <c r="A38" s="1"/>
      <c r="B38" s="1"/>
      <c r="C38" s="1"/>
      <c r="D38" s="17"/>
      <c r="E38" s="1" t="s">
        <v>33</v>
      </c>
      <c r="F38" s="1"/>
      <c r="G38" s="37" t="s">
        <v>34</v>
      </c>
      <c r="H38" s="32"/>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ht="12.75" customHeight="1" x14ac:dyDescent="0.25">
      <c r="A39" s="1"/>
      <c r="B39" s="1"/>
      <c r="C39" s="1"/>
      <c r="D39" s="1"/>
      <c r="E39" s="1" t="s">
        <v>35</v>
      </c>
      <c r="F39" s="14" t="s">
        <v>36</v>
      </c>
      <c r="G39" s="35">
        <f>-'&gt;&gt; Fin Stmts'!O25</f>
        <v>6.5</v>
      </c>
      <c r="H39" s="32"/>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spans="1:35" ht="12.75" customHeight="1" x14ac:dyDescent="0.25">
      <c r="A40" s="1"/>
      <c r="B40" s="1"/>
      <c r="C40" s="1"/>
      <c r="D40" s="1"/>
      <c r="E40" s="1" t="s">
        <v>37</v>
      </c>
      <c r="F40" s="14" t="s">
        <v>36</v>
      </c>
      <c r="G40" s="35">
        <f>-'&gt;&gt; Fin Stmts'!N107</f>
        <v>10.106999999999999</v>
      </c>
      <c r="H40" s="32"/>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ht="12.75" customHeight="1" x14ac:dyDescent="0.25">
      <c r="A41" s="1"/>
      <c r="B41" s="1"/>
      <c r="C41" s="1"/>
      <c r="D41" s="1"/>
      <c r="E41" s="13" t="s">
        <v>38</v>
      </c>
      <c r="F41" s="13"/>
      <c r="G41" s="38">
        <f>G39 + G40</f>
        <v>16.606999999999999</v>
      </c>
      <c r="H41" s="32"/>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ht="12.75" customHeight="1" x14ac:dyDescent="0.25">
      <c r="A42" s="1"/>
      <c r="B42" s="1"/>
      <c r="C42" s="1"/>
      <c r="D42" s="1"/>
      <c r="E42" s="1"/>
      <c r="F42" s="1"/>
      <c r="G42" s="39"/>
      <c r="H42" s="32"/>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spans="1:35" ht="12.75" customHeight="1" x14ac:dyDescent="0.25">
      <c r="A43" s="1"/>
      <c r="B43" s="1"/>
      <c r="C43" s="1"/>
      <c r="D43" s="1"/>
      <c r="E43" s="1" t="s">
        <v>39</v>
      </c>
      <c r="F43" s="1"/>
      <c r="G43" s="39"/>
      <c r="H43" s="32"/>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ht="12.75" customHeight="1" x14ac:dyDescent="0.25">
      <c r="A44" s="1"/>
      <c r="B44" s="1"/>
      <c r="C44" s="1"/>
      <c r="D44" s="1"/>
      <c r="E44" s="1" t="s">
        <v>40</v>
      </c>
      <c r="F44" s="14" t="s">
        <v>41</v>
      </c>
      <c r="G44" s="35">
        <v>12</v>
      </c>
      <c r="H44" s="32"/>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row>
    <row r="45" spans="1:35" ht="12.75" customHeight="1" x14ac:dyDescent="0.25">
      <c r="A45" s="1"/>
      <c r="B45" s="1"/>
      <c r="C45" s="1"/>
      <c r="D45" s="1"/>
      <c r="E45" s="1" t="s">
        <v>42</v>
      </c>
      <c r="F45" s="14" t="s">
        <v>8</v>
      </c>
      <c r="G45" s="40">
        <f>'&gt;&gt; Dash'!Z51</f>
        <v>7.8827999999999995E-2</v>
      </c>
      <c r="H45" s="32"/>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ht="12.75" customHeight="1" x14ac:dyDescent="0.25">
      <c r="A46" s="1"/>
      <c r="B46" s="1"/>
      <c r="C46" s="1"/>
      <c r="D46" s="1"/>
      <c r="E46" s="1" t="s">
        <v>43</v>
      </c>
      <c r="F46" s="14" t="s">
        <v>8</v>
      </c>
      <c r="G46" s="41">
        <f>G45 + 1 / G44</f>
        <v>0.16216133333333332</v>
      </c>
      <c r="H46" s="32"/>
      <c r="I46" s="42"/>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2.75" customHeight="1" x14ac:dyDescent="0.25">
      <c r="A47" s="1"/>
      <c r="B47" s="1"/>
      <c r="C47" s="1"/>
      <c r="D47" s="1"/>
      <c r="E47" s="13" t="s">
        <v>44</v>
      </c>
      <c r="F47" s="43" t="s">
        <v>28</v>
      </c>
      <c r="G47" s="38">
        <f>G41 / G46</f>
        <v>102.41035676404569</v>
      </c>
      <c r="H47" s="32"/>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2.75" customHeight="1" x14ac:dyDescent="0.25">
      <c r="A48" s="1"/>
      <c r="B48" s="1"/>
      <c r="C48" s="1"/>
      <c r="D48" s="1"/>
      <c r="E48" s="1"/>
      <c r="F48" s="33"/>
      <c r="G48" s="39"/>
      <c r="H48" s="32"/>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2.75" customHeight="1" x14ac:dyDescent="0.25">
      <c r="A49" s="1"/>
      <c r="B49" s="1"/>
      <c r="C49" s="1"/>
      <c r="D49" s="1"/>
      <c r="E49" s="44" t="s">
        <v>45</v>
      </c>
      <c r="F49" s="1"/>
      <c r="G49" s="45">
        <f>1 / G46</f>
        <v>6.1666981853462808</v>
      </c>
      <c r="H49" s="32"/>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2.75" customHeight="1" x14ac:dyDescent="0.25">
      <c r="A50" s="1"/>
      <c r="B50" s="1"/>
      <c r="C50" s="1"/>
      <c r="D50" s="1"/>
      <c r="E50" s="1"/>
      <c r="F50" s="1"/>
      <c r="G50" s="1"/>
      <c r="H50" s="32"/>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2.75" customHeight="1" x14ac:dyDescent="0.25">
      <c r="A51" s="1"/>
      <c r="B51" s="1"/>
      <c r="C51" s="1"/>
      <c r="D51" s="2" t="s">
        <v>46</v>
      </c>
      <c r="E51" s="1"/>
      <c r="F51" s="1"/>
      <c r="G51" s="1"/>
      <c r="H51" s="14"/>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2.75" customHeight="1" x14ac:dyDescent="0.25">
      <c r="A52" s="1"/>
      <c r="B52" s="1"/>
      <c r="C52" s="1"/>
      <c r="D52" s="1"/>
      <c r="E52" s="1" t="s">
        <v>47</v>
      </c>
      <c r="F52" s="14" t="s">
        <v>28</v>
      </c>
      <c r="G52" s="46">
        <f t="array" ref="G52">INDEX( '&gt;&gt; Valuation'!$I$21:$AB$21, MATCH( G56, '&gt;&gt; Valuation'!$I$5:$AB$5, 0 ) )</f>
        <v>1027.7815077564012</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2.75" customHeight="1" x14ac:dyDescent="0.25">
      <c r="A53" s="1"/>
      <c r="B53" s="1"/>
      <c r="C53" s="1"/>
      <c r="D53" s="1"/>
      <c r="E53" s="1" t="s">
        <v>48</v>
      </c>
      <c r="F53" s="14" t="s">
        <v>8</v>
      </c>
      <c r="G53" s="466">
        <f>'&gt;&gt; Dash'!H47</f>
        <v>0.30217769687692819</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2.75" customHeight="1" x14ac:dyDescent="0.25">
      <c r="A54" s="1"/>
      <c r="B54" s="1"/>
      <c r="C54" s="1"/>
      <c r="D54" s="1"/>
      <c r="E54" s="1" t="s">
        <v>49</v>
      </c>
      <c r="F54" s="14" t="s">
        <v>8</v>
      </c>
      <c r="G54" s="47">
        <f>'&gt;&gt; Dash'!Z44</f>
        <v>0.02</v>
      </c>
      <c r="H54" s="1"/>
      <c r="I54" s="17" t="s">
        <v>50</v>
      </c>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2.75" customHeight="1" x14ac:dyDescent="0.25">
      <c r="A55" s="1"/>
      <c r="B55" s="1"/>
      <c r="C55" s="1"/>
      <c r="D55" s="1"/>
      <c r="E55" s="1" t="s">
        <v>51</v>
      </c>
      <c r="F55" s="14" t="s">
        <v>52</v>
      </c>
      <c r="G55" s="465">
        <f>'&gt;&gt; Dash'!U48</f>
        <v>8</v>
      </c>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2.75" customHeight="1" x14ac:dyDescent="0.25">
      <c r="A56" s="1"/>
      <c r="B56" s="1"/>
      <c r="C56" s="1"/>
      <c r="D56" s="1"/>
      <c r="E56" s="1" t="s">
        <v>53</v>
      </c>
      <c r="F56" s="14" t="s">
        <v>54</v>
      </c>
      <c r="G56" s="48">
        <v>10</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ht="12.75" customHeight="1" x14ac:dyDescent="0.25">
      <c r="A57" s="1"/>
      <c r="B57" s="1"/>
      <c r="C57" s="1"/>
      <c r="D57" s="1"/>
      <c r="E57" s="1" t="s">
        <v>55</v>
      </c>
      <c r="F57" s="14" t="s">
        <v>28</v>
      </c>
      <c r="G57" s="49">
        <f>( ( G52 * G53 ) * ( 1 + G54 ) )  * G55</f>
        <v>2534.2728150772523</v>
      </c>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ht="7.5" customHeight="1" x14ac:dyDescent="0.25">
      <c r="A58" s="1"/>
      <c r="B58" s="1"/>
      <c r="C58" s="1"/>
      <c r="D58" s="1"/>
      <c r="E58" s="1"/>
      <c r="F58" s="1"/>
      <c r="G58" s="49"/>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ht="12.75" customHeight="1" x14ac:dyDescent="0.25">
      <c r="A59" s="1"/>
      <c r="B59" s="1"/>
      <c r="C59" s="1"/>
      <c r="D59" s="1"/>
      <c r="E59" s="1" t="s">
        <v>56</v>
      </c>
      <c r="F59" s="1"/>
      <c r="G59" s="50" t="s">
        <v>57</v>
      </c>
      <c r="H59" s="1"/>
      <c r="I59" s="1"/>
      <c r="J59" s="1"/>
      <c r="K59" s="17"/>
      <c r="L59" s="1"/>
      <c r="M59" s="1"/>
      <c r="N59" s="1"/>
      <c r="O59" s="1"/>
      <c r="P59" s="1"/>
      <c r="Q59" s="1"/>
      <c r="R59" s="1"/>
      <c r="S59" s="1"/>
      <c r="T59" s="1"/>
      <c r="U59" s="1"/>
      <c r="V59" s="1"/>
      <c r="W59" s="1"/>
      <c r="X59" s="1"/>
      <c r="Y59" s="1"/>
      <c r="Z59" s="1"/>
      <c r="AA59" s="1"/>
      <c r="AB59" s="1"/>
      <c r="AC59" s="1"/>
      <c r="AD59" s="1"/>
      <c r="AE59" s="1"/>
      <c r="AF59" s="1"/>
      <c r="AG59" s="1"/>
      <c r="AH59" s="1"/>
      <c r="AI59" s="1"/>
    </row>
    <row r="60" spans="1:35" ht="12.75" customHeight="1" x14ac:dyDescent="0.25">
      <c r="A60" s="1"/>
      <c r="B60" s="1"/>
      <c r="C60" s="1"/>
      <c r="D60" s="1"/>
      <c r="E60" s="1" t="s">
        <v>58</v>
      </c>
      <c r="F60" s="14" t="s">
        <v>28</v>
      </c>
      <c r="G60" s="51">
        <f>G57</f>
        <v>2534.2728150772523</v>
      </c>
      <c r="H60" s="1"/>
      <c r="I60" s="1"/>
      <c r="J60" s="1"/>
      <c r="K60" s="17"/>
      <c r="L60" s="1"/>
      <c r="M60" s="1"/>
      <c r="N60" s="1"/>
      <c r="O60" s="1"/>
      <c r="P60" s="1"/>
      <c r="Q60" s="1"/>
      <c r="R60" s="1"/>
      <c r="S60" s="1"/>
      <c r="T60" s="1"/>
      <c r="U60" s="1"/>
      <c r="V60" s="1"/>
      <c r="W60" s="1"/>
      <c r="X60" s="1"/>
      <c r="Y60" s="1"/>
      <c r="Z60" s="1"/>
      <c r="AA60" s="1"/>
      <c r="AB60" s="1"/>
      <c r="AC60" s="1"/>
      <c r="AD60" s="1"/>
      <c r="AE60" s="1"/>
      <c r="AF60" s="1"/>
      <c r="AG60" s="1"/>
      <c r="AH60" s="1"/>
      <c r="AI60" s="1"/>
    </row>
    <row r="61" spans="1:35" ht="6" customHeight="1" x14ac:dyDescent="0.25">
      <c r="A61" s="1"/>
      <c r="B61" s="1"/>
      <c r="C61" s="1"/>
      <c r="D61" s="1"/>
      <c r="E61" s="1"/>
      <c r="F61" s="1"/>
      <c r="G61" s="49"/>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ht="12.75" customHeight="1" x14ac:dyDescent="0.25">
      <c r="A62" s="1"/>
      <c r="B62" s="1"/>
      <c r="C62" s="1"/>
      <c r="D62" s="1"/>
      <c r="E62" s="1" t="s">
        <v>59</v>
      </c>
      <c r="F62" s="14" t="s">
        <v>11</v>
      </c>
      <c r="G62" s="52">
        <f>G56</f>
        <v>10</v>
      </c>
      <c r="H62" s="1"/>
      <c r="I62" s="1"/>
      <c r="J62" s="1"/>
      <c r="K62" s="17"/>
      <c r="L62" s="1"/>
      <c r="M62" s="1"/>
      <c r="N62" s="1"/>
      <c r="O62" s="1"/>
      <c r="P62" s="1"/>
      <c r="Q62" s="1"/>
      <c r="R62" s="1"/>
      <c r="S62" s="1"/>
      <c r="T62" s="1"/>
      <c r="U62" s="1"/>
      <c r="V62" s="1"/>
      <c r="W62" s="1"/>
      <c r="X62" s="1"/>
      <c r="Y62" s="1"/>
      <c r="Z62" s="1"/>
      <c r="AA62" s="1"/>
      <c r="AB62" s="1"/>
      <c r="AC62" s="1"/>
      <c r="AD62" s="1"/>
      <c r="AE62" s="1"/>
      <c r="AF62" s="1"/>
      <c r="AG62" s="1"/>
      <c r="AH62" s="1"/>
      <c r="AI62" s="1"/>
    </row>
    <row r="63" spans="1:35" ht="12.75" customHeight="1" x14ac:dyDescent="0.25">
      <c r="A63" s="1"/>
      <c r="B63" s="1"/>
      <c r="C63" s="1"/>
      <c r="D63" s="1"/>
      <c r="E63" s="1"/>
      <c r="F63" s="1"/>
      <c r="G63" s="1"/>
      <c r="H63" s="1"/>
      <c r="I63" s="53"/>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ht="12.75" customHeight="1" x14ac:dyDescent="0.25">
      <c r="A64" s="1"/>
      <c r="B64" s="1"/>
      <c r="C64" s="1"/>
      <c r="D64" s="1"/>
      <c r="E64" s="13"/>
      <c r="F64" s="54"/>
      <c r="G64" s="54"/>
      <c r="H64" s="13"/>
      <c r="I64" s="55"/>
      <c r="J64" s="13"/>
      <c r="K64" s="1"/>
      <c r="L64" s="1"/>
      <c r="M64" s="1"/>
      <c r="N64" s="1"/>
      <c r="O64" s="17"/>
      <c r="P64" s="1"/>
      <c r="Q64" s="1"/>
      <c r="R64" s="1"/>
      <c r="S64" s="1"/>
      <c r="T64" s="1"/>
      <c r="U64" s="1"/>
      <c r="V64" s="1"/>
      <c r="W64" s="1"/>
      <c r="X64" s="1"/>
      <c r="Y64" s="1"/>
      <c r="Z64" s="1"/>
      <c r="AA64" s="1"/>
      <c r="AB64" s="1"/>
      <c r="AC64" s="1"/>
      <c r="AD64" s="1"/>
      <c r="AE64" s="1"/>
      <c r="AF64" s="1"/>
      <c r="AG64" s="1"/>
      <c r="AH64" s="1"/>
      <c r="AI64" s="1"/>
    </row>
    <row r="65" spans="1:35" ht="12.75" customHeight="1" x14ac:dyDescent="0.25">
      <c r="A65" s="1"/>
      <c r="B65" s="1"/>
      <c r="C65" s="1"/>
      <c r="D65" s="1"/>
      <c r="E65" s="56" t="str">
        <f>'[2]&gt;&gt; Inputs'!E41</f>
        <v>Include Net Debt Adjustment for Leases?</v>
      </c>
      <c r="F65" s="57" t="s">
        <v>13</v>
      </c>
      <c r="G65" s="58" t="str">
        <f>$G$31</f>
        <v>Yes</v>
      </c>
      <c r="H65" s="1"/>
      <c r="I65" s="53"/>
      <c r="J65" s="1"/>
      <c r="K65" s="1"/>
      <c r="L65" s="1"/>
      <c r="M65" s="1"/>
      <c r="N65" s="1"/>
      <c r="O65" s="17"/>
      <c r="P65" s="1"/>
      <c r="Q65" s="1"/>
      <c r="R65" s="1"/>
      <c r="S65" s="1"/>
      <c r="T65" s="1"/>
      <c r="U65" s="1"/>
      <c r="V65" s="1"/>
      <c r="W65" s="1"/>
      <c r="X65" s="1"/>
      <c r="Y65" s="1"/>
      <c r="Z65" s="1"/>
      <c r="AA65" s="1"/>
      <c r="AB65" s="1"/>
      <c r="AC65" s="1"/>
      <c r="AD65" s="1"/>
      <c r="AE65" s="1"/>
      <c r="AF65" s="1"/>
      <c r="AG65" s="1"/>
      <c r="AH65" s="1"/>
      <c r="AI65" s="1"/>
    </row>
    <row r="66" spans="1:35" ht="12.75" customHeight="1" x14ac:dyDescent="0.25">
      <c r="A66" s="1"/>
      <c r="B66" s="1"/>
      <c r="C66" s="1"/>
      <c r="D66" s="1"/>
      <c r="E66" s="59" t="s">
        <v>60</v>
      </c>
      <c r="F66" s="60" t="s">
        <v>13</v>
      </c>
      <c r="G66" s="61" t="str">
        <f t="shared" ref="G66:G68" si="0">IF( $G$65 = "Yes", "No", "Yes")</f>
        <v>No</v>
      </c>
      <c r="H66" s="1"/>
      <c r="I66" s="53"/>
      <c r="J66" s="1"/>
      <c r="K66" s="1"/>
      <c r="L66" s="1"/>
      <c r="M66" s="1"/>
      <c r="N66" s="1"/>
      <c r="O66" s="17"/>
      <c r="P66" s="1"/>
      <c r="Q66" s="1"/>
      <c r="R66" s="1"/>
      <c r="S66" s="1"/>
      <c r="T66" s="1"/>
      <c r="U66" s="1"/>
      <c r="V66" s="1"/>
      <c r="W66" s="1"/>
      <c r="X66" s="1"/>
      <c r="Y66" s="1"/>
      <c r="Z66" s="1"/>
      <c r="AA66" s="1"/>
      <c r="AB66" s="1"/>
      <c r="AC66" s="1"/>
      <c r="AD66" s="1"/>
      <c r="AE66" s="1"/>
      <c r="AF66" s="1"/>
      <c r="AG66" s="1"/>
      <c r="AH66" s="1"/>
      <c r="AI66" s="1"/>
    </row>
    <row r="67" spans="1:35" ht="12.75" customHeight="1" x14ac:dyDescent="0.25">
      <c r="A67" s="1"/>
      <c r="B67" s="1"/>
      <c r="C67" s="1"/>
      <c r="D67" s="1"/>
      <c r="E67" s="59" t="s">
        <v>61</v>
      </c>
      <c r="F67" s="60" t="s">
        <v>13</v>
      </c>
      <c r="G67" s="61" t="str">
        <f t="shared" si="0"/>
        <v>No</v>
      </c>
      <c r="H67" s="1"/>
      <c r="I67" s="53"/>
      <c r="J67" s="1"/>
      <c r="K67" s="1"/>
      <c r="L67" s="1"/>
      <c r="M67" s="1"/>
      <c r="N67" s="1"/>
      <c r="O67" s="17"/>
      <c r="P67" s="1"/>
      <c r="Q67" s="1"/>
      <c r="R67" s="1"/>
      <c r="S67" s="1"/>
      <c r="T67" s="1"/>
      <c r="U67" s="1"/>
      <c r="V67" s="1"/>
      <c r="W67" s="1"/>
      <c r="X67" s="1"/>
      <c r="Y67" s="1"/>
      <c r="Z67" s="1"/>
      <c r="AA67" s="1"/>
      <c r="AB67" s="1"/>
      <c r="AC67" s="1"/>
      <c r="AD67" s="1"/>
      <c r="AE67" s="1"/>
      <c r="AF67" s="1"/>
      <c r="AG67" s="1"/>
      <c r="AH67" s="1"/>
      <c r="AI67" s="1"/>
    </row>
    <row r="68" spans="1:35" ht="12.75" customHeight="1" x14ac:dyDescent="0.25">
      <c r="A68" s="1"/>
      <c r="B68" s="1"/>
      <c r="C68" s="1"/>
      <c r="D68" s="1"/>
      <c r="E68" s="62" t="s">
        <v>62</v>
      </c>
      <c r="F68" s="63" t="s">
        <v>13</v>
      </c>
      <c r="G68" s="64" t="str">
        <f t="shared" si="0"/>
        <v>No</v>
      </c>
      <c r="H68" s="1"/>
      <c r="I68" s="53"/>
      <c r="J68" s="1"/>
      <c r="K68" s="1"/>
      <c r="L68" s="1"/>
      <c r="M68" s="1"/>
      <c r="N68" s="1"/>
      <c r="O68" s="17"/>
      <c r="P68" s="1"/>
      <c r="Q68" s="1"/>
      <c r="R68" s="1"/>
      <c r="S68" s="1"/>
      <c r="T68" s="1"/>
      <c r="U68" s="1"/>
      <c r="V68" s="1"/>
      <c r="W68" s="1"/>
      <c r="X68" s="1"/>
      <c r="Y68" s="1"/>
      <c r="Z68" s="1"/>
      <c r="AA68" s="1"/>
      <c r="AB68" s="1"/>
      <c r="AC68" s="1"/>
      <c r="AD68" s="1"/>
      <c r="AE68" s="1"/>
      <c r="AF68" s="1"/>
      <c r="AG68" s="1"/>
      <c r="AH68" s="1"/>
      <c r="AI68" s="1"/>
    </row>
    <row r="69" spans="1:35" ht="12.75" customHeight="1" x14ac:dyDescent="0.25">
      <c r="A69" s="1"/>
      <c r="B69" s="1"/>
      <c r="C69" s="1"/>
      <c r="D69" s="1"/>
      <c r="E69" s="1"/>
      <c r="F69" s="14"/>
      <c r="G69" s="14"/>
      <c r="H69" s="1"/>
      <c r="I69" s="53"/>
      <c r="J69" s="1"/>
      <c r="K69" s="1"/>
      <c r="L69" s="1"/>
      <c r="M69" s="1"/>
      <c r="N69" s="1"/>
      <c r="O69" s="17"/>
      <c r="P69" s="1"/>
      <c r="Q69" s="1"/>
      <c r="R69" s="1"/>
      <c r="S69" s="1"/>
      <c r="T69" s="1"/>
      <c r="U69" s="1"/>
      <c r="V69" s="1"/>
      <c r="W69" s="1"/>
      <c r="X69" s="1"/>
      <c r="Y69" s="1"/>
      <c r="Z69" s="1"/>
      <c r="AA69" s="1"/>
      <c r="AB69" s="1"/>
      <c r="AC69" s="1"/>
      <c r="AD69" s="1"/>
      <c r="AE69" s="1"/>
      <c r="AF69" s="1"/>
      <c r="AG69" s="1"/>
      <c r="AH69" s="1"/>
      <c r="AI69" s="1"/>
    </row>
    <row r="70" spans="1:35" ht="12.75" customHeight="1" x14ac:dyDescent="0.25">
      <c r="A70" s="1"/>
      <c r="B70" s="1"/>
      <c r="C70" s="1"/>
      <c r="D70" s="1"/>
      <c r="E70" s="1"/>
      <c r="F70" s="14"/>
      <c r="G70" s="14"/>
      <c r="Z70" s="1"/>
      <c r="AA70" s="1"/>
      <c r="AB70" s="1"/>
      <c r="AC70" s="1"/>
      <c r="AD70" s="1"/>
      <c r="AE70" s="1"/>
      <c r="AF70" s="1"/>
      <c r="AG70" s="1"/>
      <c r="AH70" s="1"/>
      <c r="AI70" s="1"/>
    </row>
    <row r="71" spans="1:35" ht="12.75" customHeight="1" x14ac:dyDescent="0.25">
      <c r="A71" s="1"/>
      <c r="B71" s="1"/>
      <c r="C71" s="1"/>
      <c r="D71" s="1"/>
      <c r="E71" s="1" t="s">
        <v>63</v>
      </c>
      <c r="F71" s="14" t="s">
        <v>8</v>
      </c>
      <c r="G71" s="14"/>
      <c r="H71" s="65">
        <f t="shared" ref="H71:N71" si="1">IF(H6&lt;1,1,MIN(((H9-$G20)/DiY),1))</f>
        <v>1</v>
      </c>
      <c r="I71" s="65">
        <f t="shared" si="1"/>
        <v>1</v>
      </c>
      <c r="J71" s="65">
        <f t="shared" si="1"/>
        <v>1</v>
      </c>
      <c r="K71" s="65">
        <f t="shared" si="1"/>
        <v>1</v>
      </c>
      <c r="L71" s="65">
        <f t="shared" si="1"/>
        <v>1</v>
      </c>
      <c r="M71" s="65">
        <f t="shared" si="1"/>
        <v>1</v>
      </c>
      <c r="N71" s="65">
        <f t="shared" si="1"/>
        <v>1</v>
      </c>
      <c r="O71" s="66">
        <v>1</v>
      </c>
      <c r="P71" s="65">
        <f t="shared" ref="P71:Y71" ca="1" si="2">IF(P6&lt;1,1,MIN(((P9-$G20)/DiY),1))</f>
        <v>0.77534246575342469</v>
      </c>
      <c r="Q71" s="65">
        <f t="shared" ca="1" si="2"/>
        <v>1</v>
      </c>
      <c r="R71" s="65">
        <f t="shared" ca="1" si="2"/>
        <v>1</v>
      </c>
      <c r="S71" s="65">
        <f t="shared" ca="1" si="2"/>
        <v>1</v>
      </c>
      <c r="T71" s="65">
        <f t="shared" ca="1" si="2"/>
        <v>1</v>
      </c>
      <c r="U71" s="65">
        <f t="shared" ca="1" si="2"/>
        <v>1</v>
      </c>
      <c r="V71" s="65">
        <f t="shared" ca="1" si="2"/>
        <v>1</v>
      </c>
      <c r="W71" s="65">
        <f t="shared" ca="1" si="2"/>
        <v>1</v>
      </c>
      <c r="X71" s="65">
        <f t="shared" ca="1" si="2"/>
        <v>1</v>
      </c>
      <c r="Y71" s="65">
        <f t="shared" ca="1" si="2"/>
        <v>1</v>
      </c>
      <c r="Z71" s="1"/>
      <c r="AA71" s="1"/>
      <c r="AB71" s="1"/>
      <c r="AC71" s="1"/>
      <c r="AD71" s="1"/>
      <c r="AE71" s="1"/>
      <c r="AF71" s="1"/>
      <c r="AG71" s="1"/>
      <c r="AH71" s="1"/>
      <c r="AI71" s="1"/>
    </row>
    <row r="72" spans="1:35" ht="12.75" customHeight="1" x14ac:dyDescent="0.25">
      <c r="A72" s="1"/>
      <c r="B72" s="1"/>
      <c r="C72" s="1"/>
      <c r="D72" s="1"/>
      <c r="E72" s="1" t="s">
        <v>64</v>
      </c>
      <c r="F72" s="14" t="s">
        <v>8</v>
      </c>
      <c r="G72" s="67">
        <v>0.28000000000000003</v>
      </c>
      <c r="H72" s="1"/>
      <c r="I72" s="1"/>
      <c r="J72" s="68"/>
      <c r="K72" s="68"/>
      <c r="L72" s="68"/>
      <c r="M72" s="68"/>
      <c r="N72" s="68"/>
      <c r="O72" s="68"/>
      <c r="P72" s="68"/>
      <c r="Q72" s="68"/>
      <c r="R72" s="68"/>
      <c r="S72" s="68"/>
      <c r="T72" s="68"/>
      <c r="U72" s="68"/>
      <c r="V72" s="68"/>
      <c r="W72" s="68"/>
      <c r="X72" s="68"/>
      <c r="Y72" s="68"/>
      <c r="Z72" s="1"/>
      <c r="AA72" s="1"/>
      <c r="AB72" s="1"/>
      <c r="AC72" s="1"/>
      <c r="AD72" s="1"/>
      <c r="AE72" s="1"/>
      <c r="AF72" s="1"/>
      <c r="AG72" s="1"/>
      <c r="AH72" s="1"/>
      <c r="AI72" s="1"/>
    </row>
    <row r="73" spans="1:35" ht="14.25" customHeight="1" x14ac:dyDescent="0.25">
      <c r="A73" s="1"/>
      <c r="B73" s="1"/>
      <c r="C73" s="1"/>
      <c r="D73" s="1"/>
      <c r="E73" s="1" t="s">
        <v>65</v>
      </c>
      <c r="F73" s="14" t="s">
        <v>66</v>
      </c>
      <c r="G73" s="51"/>
      <c r="H73" s="17"/>
      <c r="I73" s="17" t="s">
        <v>67</v>
      </c>
      <c r="J73" s="1"/>
      <c r="K73" s="1"/>
      <c r="L73" s="68"/>
      <c r="M73" s="68"/>
      <c r="N73" s="68"/>
      <c r="O73" s="68"/>
      <c r="P73" s="68"/>
      <c r="Q73" s="68"/>
      <c r="R73" s="68"/>
      <c r="S73" s="68"/>
      <c r="T73" s="68"/>
      <c r="U73" s="68"/>
      <c r="V73" s="68"/>
      <c r="W73" s="68"/>
      <c r="X73" s="68"/>
      <c r="Y73" s="68"/>
      <c r="Z73" s="1"/>
      <c r="AA73" s="1"/>
      <c r="AB73" s="1"/>
      <c r="AC73" s="1"/>
      <c r="AD73" s="1"/>
      <c r="AE73" s="1"/>
      <c r="AF73" s="1"/>
      <c r="AG73" s="1"/>
      <c r="AH73" s="1"/>
      <c r="AI73" s="1"/>
    </row>
    <row r="74" spans="1:35" ht="12.75" customHeight="1" x14ac:dyDescent="0.25">
      <c r="A74" s="1"/>
      <c r="B74" s="1"/>
      <c r="C74" s="1"/>
      <c r="D74" s="1"/>
      <c r="E74" s="1" t="s">
        <v>68</v>
      </c>
      <c r="F74" s="69" t="s">
        <v>69</v>
      </c>
      <c r="G74" s="70">
        <v>760.20520899999997</v>
      </c>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ht="12.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ht="12.75" customHeight="1" x14ac:dyDescent="0.25">
      <c r="A76" s="1"/>
      <c r="B76" s="1"/>
      <c r="C76" s="1"/>
      <c r="D76" s="1"/>
      <c r="E76" s="13"/>
      <c r="F76" s="13"/>
      <c r="G76" s="13"/>
      <c r="H76" s="13"/>
      <c r="I76" s="13"/>
      <c r="J76" s="13"/>
      <c r="K76" s="13"/>
      <c r="L76" s="13"/>
      <c r="M76" s="13"/>
      <c r="N76" s="13"/>
      <c r="O76" s="13"/>
      <c r="P76" s="13"/>
      <c r="Q76" s="13"/>
      <c r="R76" s="13"/>
      <c r="S76" s="13"/>
      <c r="T76" s="13"/>
      <c r="U76" s="1"/>
      <c r="V76" s="1"/>
      <c r="W76" s="1"/>
      <c r="X76" s="1"/>
      <c r="Y76" s="1"/>
      <c r="Z76" s="1"/>
      <c r="AA76" s="1"/>
      <c r="AB76" s="1"/>
      <c r="AC76" s="1"/>
      <c r="AD76" s="1"/>
      <c r="AE76" s="1"/>
      <c r="AF76" s="1"/>
      <c r="AG76" s="1"/>
      <c r="AH76" s="1"/>
      <c r="AI76" s="1"/>
    </row>
    <row r="77" spans="1:35" ht="12.75" customHeight="1" x14ac:dyDescent="0.25">
      <c r="A77" s="1"/>
      <c r="B77" s="1"/>
      <c r="C77" s="1"/>
      <c r="D77" s="2" t="s">
        <v>70</v>
      </c>
      <c r="E77" s="1"/>
      <c r="F77" s="1"/>
      <c r="G77" s="1"/>
      <c r="H77" s="1"/>
      <c r="I77" s="403"/>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ht="12.75" customHeight="1" x14ac:dyDescent="0.25">
      <c r="A78" s="1"/>
      <c r="B78" s="1"/>
      <c r="C78" s="1"/>
      <c r="D78" s="1"/>
      <c r="E78" s="1" t="s">
        <v>71</v>
      </c>
      <c r="F78" s="33" t="s">
        <v>13</v>
      </c>
      <c r="G78" s="71">
        <v>12</v>
      </c>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ht="12.75" customHeight="1" x14ac:dyDescent="0.25">
      <c r="A79" s="1"/>
      <c r="B79" s="1"/>
      <c r="C79" s="1"/>
      <c r="D79" s="1"/>
      <c r="E79" s="1" t="s">
        <v>66</v>
      </c>
      <c r="F79" s="33" t="s">
        <v>11</v>
      </c>
      <c r="G79" s="71">
        <v>1000000</v>
      </c>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ht="12.75" customHeight="1" x14ac:dyDescent="0.25">
      <c r="A80" s="1"/>
      <c r="B80" s="1"/>
      <c r="C80" s="1"/>
      <c r="D80" s="1"/>
      <c r="E80" s="1" t="s">
        <v>72</v>
      </c>
      <c r="F80" s="33" t="s">
        <v>11</v>
      </c>
      <c r="G80" s="71">
        <f>10 ^ 3</f>
        <v>1000</v>
      </c>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ht="12.75" customHeight="1" x14ac:dyDescent="0.25">
      <c r="A81" s="1"/>
      <c r="B81" s="1"/>
      <c r="C81" s="1"/>
      <c r="D81" s="1"/>
      <c r="E81" s="1" t="s">
        <v>73</v>
      </c>
      <c r="F81" s="33" t="s">
        <v>13</v>
      </c>
      <c r="G81" s="71">
        <v>365</v>
      </c>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ht="12.75" customHeight="1" x14ac:dyDescent="0.25">
      <c r="A82" s="1"/>
      <c r="B82" s="1"/>
      <c r="C82" s="1"/>
      <c r="D82" s="1"/>
      <c r="E82" s="1"/>
      <c r="F82" s="33"/>
      <c r="G82" s="72"/>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ht="12.75" customHeight="1" x14ac:dyDescent="0.25">
      <c r="A83" s="1"/>
      <c r="B83" s="1"/>
      <c r="C83" s="1"/>
      <c r="D83" s="2" t="s">
        <v>74</v>
      </c>
      <c r="E83" s="1"/>
      <c r="F83" s="33"/>
      <c r="G83" s="72"/>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ht="12.75" customHeight="1" x14ac:dyDescent="0.25">
      <c r="A84" s="1"/>
      <c r="B84" s="1"/>
      <c r="C84" s="1"/>
      <c r="D84" s="1"/>
      <c r="E84" s="1" t="s">
        <v>75</v>
      </c>
      <c r="F84" s="1"/>
      <c r="G84" s="71" t="s">
        <v>25</v>
      </c>
      <c r="H84" s="73">
        <v>1</v>
      </c>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ht="12.75" customHeight="1" x14ac:dyDescent="0.25">
      <c r="A85" s="1"/>
      <c r="B85" s="1"/>
      <c r="C85" s="1"/>
      <c r="D85" s="1"/>
      <c r="E85" s="1" t="s">
        <v>76</v>
      </c>
      <c r="F85" s="1"/>
      <c r="G85" s="71" t="s">
        <v>77</v>
      </c>
      <c r="H85" s="73">
        <v>0</v>
      </c>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spans="1:35" ht="12.75" customHeight="1" x14ac:dyDescent="0.25">
      <c r="A86" s="1"/>
      <c r="B86" s="1"/>
      <c r="C86" s="1"/>
      <c r="D86" s="2"/>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ht="12.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ht="12.75" customHeight="1" x14ac:dyDescent="0.25">
      <c r="A88" s="74"/>
      <c r="B88" s="75" t="s">
        <v>78</v>
      </c>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row>
    <row r="89" spans="1:35" ht="12.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ht="12.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ht="12.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ht="12.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ht="12.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ht="12.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spans="1:35" ht="12.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ht="12.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ht="12.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spans="1:35" ht="12.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1:35" ht="12.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spans="1:35" ht="12.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ht="12.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ht="12.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ht="12.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ht="12.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35" ht="12.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ht="12.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ht="12.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ht="12.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ht="12.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35" ht="12.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ht="12.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35" ht="12.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35" ht="12.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35" ht="12.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35" ht="12.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35" ht="12.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35" ht="12.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35" ht="12.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35" ht="12.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35" ht="12.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35" ht="12.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35" ht="12.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35" ht="12.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35" ht="12.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35" ht="12.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35" ht="12.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35" ht="12.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35" ht="12.75" customHeight="1" x14ac:dyDescent="0.25">
      <c r="A128" s="1"/>
      <c r="B128" s="1"/>
      <c r="C128" s="1"/>
      <c r="D128" s="1"/>
      <c r="E128" s="1"/>
      <c r="F128" s="41"/>
      <c r="G128" s="41"/>
      <c r="H128" s="4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ht="12.75" customHeight="1" x14ac:dyDescent="0.25">
      <c r="A129" s="1"/>
      <c r="B129" s="1"/>
      <c r="C129" s="1"/>
      <c r="D129" s="1"/>
      <c r="E129" s="1"/>
      <c r="F129" s="41"/>
      <c r="G129" s="41"/>
      <c r="H129" s="4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ht="12.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ht="12.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ht="12.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ht="12.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ht="12.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35" ht="12.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35" ht="12.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35" ht="12.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35" ht="12.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35" ht="12.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35" ht="12.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35" ht="12.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35" ht="12.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35" ht="12.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spans="1:35" ht="12.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spans="1:35" ht="12.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spans="1:35" ht="12.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spans="1:35" ht="12.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spans="1:35" ht="12.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spans="1:35" ht="12.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spans="1:35" ht="12.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spans="1:35" ht="12.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spans="1:35" ht="12.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spans="1:35" ht="12.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spans="1:35" ht="12.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spans="1:35" ht="12.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spans="1:35" ht="12.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spans="1:35" ht="12.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spans="1:35" ht="12.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spans="1:35" ht="12.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spans="1:35" ht="12.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spans="1:35" ht="12.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spans="1:35" ht="12.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spans="1:35" ht="12.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spans="1:35" ht="12.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76" t="s">
        <v>79</v>
      </c>
      <c r="AG164" s="76" t="s">
        <v>80</v>
      </c>
      <c r="AH164" s="1"/>
      <c r="AI164" s="1"/>
    </row>
    <row r="165" spans="1:35" ht="12.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spans="1:35" ht="12.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35" ht="12.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t="s">
        <v>81</v>
      </c>
      <c r="AF167" s="39">
        <v>20820</v>
      </c>
      <c r="AG167" s="39">
        <v>24093</v>
      </c>
      <c r="AH167" s="1"/>
      <c r="AI167" s="1"/>
    </row>
    <row r="168" spans="1:35" ht="12.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spans="1:35" ht="12.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spans="1:35" ht="12.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t="s">
        <v>82</v>
      </c>
      <c r="AF170" s="39">
        <v>213</v>
      </c>
      <c r="AG170" s="39">
        <v>3002</v>
      </c>
      <c r="AH170" s="1"/>
      <c r="AI170" s="1"/>
    </row>
    <row r="171" spans="1:35" ht="12.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t="s">
        <v>83</v>
      </c>
      <c r="AF171" s="39">
        <v>175000</v>
      </c>
      <c r="AG171" s="39">
        <v>175455</v>
      </c>
      <c r="AH171" s="1"/>
      <c r="AI171" s="1"/>
    </row>
    <row r="172" spans="1:35" ht="12.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t="s">
        <v>84</v>
      </c>
      <c r="AF172" s="77">
        <f t="shared" ref="AF172:AG172" si="3">AF167 / AF171</f>
        <v>0.11897142857142858</v>
      </c>
      <c r="AG172" s="77">
        <f t="shared" si="3"/>
        <v>0.13731726083611182</v>
      </c>
      <c r="AH172" s="1"/>
      <c r="AI172" s="1"/>
    </row>
    <row r="173" spans="1:35" ht="12.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t="s">
        <v>85</v>
      </c>
      <c r="AF173" s="1"/>
      <c r="AG173" s="39">
        <f>AI174</f>
        <v>4200</v>
      </c>
      <c r="AH173" s="1"/>
      <c r="AI173" s="1">
        <f>3.7 +4.7</f>
        <v>8.4</v>
      </c>
    </row>
    <row r="174" spans="1:35" ht="12.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t="s">
        <v>86</v>
      </c>
      <c r="AF174" s="1"/>
      <c r="AG174" s="77">
        <f>AG173 / AG171</f>
        <v>2.3937761819269897E-2</v>
      </c>
      <c r="AH174" s="1"/>
      <c r="AI174" s="1">
        <f>AI173 / 2 * 1000</f>
        <v>4200</v>
      </c>
    </row>
    <row r="175" spans="1:35" ht="12.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spans="1:35" ht="12.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t="s">
        <v>87</v>
      </c>
      <c r="AF176" s="1"/>
      <c r="AG176" s="1">
        <v>0.9</v>
      </c>
      <c r="AH176" s="1"/>
      <c r="AI176" s="1"/>
    </row>
    <row r="177" spans="1:35" ht="12.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41">
        <f>AG174 / AG176</f>
        <v>2.6597513132522108E-2</v>
      </c>
      <c r="AH177" s="1"/>
      <c r="AI177" s="1"/>
    </row>
    <row r="178" spans="1:35" ht="12.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spans="1:35" ht="12.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spans="1:35" ht="12.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spans="1:35" ht="12.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spans="1:35" ht="12.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spans="1:35" ht="12.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spans="1:35" ht="12.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spans="1:35" ht="12.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spans="1:35" ht="12.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spans="1:35" ht="12.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spans="1:35" ht="12.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spans="1:35" ht="12.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spans="1:35" ht="12.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spans="1:35" ht="12.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spans="1:35" ht="12.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spans="1:35" ht="12.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spans="1:35" ht="12.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spans="1:35" ht="12.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spans="1:35" ht="12.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spans="1:35" ht="12.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spans="1:35" ht="12.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spans="1:35" ht="12.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spans="1:35" ht="12.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spans="1:35" ht="12.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spans="1:35" ht="12.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spans="1:35" ht="12.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spans="1:35" ht="12.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spans="1:35" ht="12.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spans="1:35" ht="12.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spans="1:35" ht="12.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spans="1:35" ht="12.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spans="1:35" ht="12.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spans="1:35" ht="12.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spans="1:35" ht="12.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spans="1:35" ht="12.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spans="1:35" ht="12.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spans="1:35" ht="12.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spans="1:35" ht="12.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spans="1:35" ht="12.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spans="1:35" ht="12.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spans="1:35" ht="12.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spans="1:35" ht="12.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spans="1:35" ht="12.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spans="1:35" ht="12.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spans="1:35" ht="12.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spans="1:35"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spans="1:35" ht="12.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spans="1:35" ht="12.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spans="1:35" ht="12.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spans="1:35" ht="12.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spans="1:35" ht="12.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spans="1:35" ht="12.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spans="1:35" ht="12.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spans="1:35" ht="12.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spans="1:35" ht="12.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spans="1:35" ht="12.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spans="1:35" ht="12.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spans="1:35" ht="12.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spans="1:35" ht="12.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spans="1:35" ht="12.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spans="1:35" ht="12.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spans="1:35" ht="12.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spans="1:35" ht="12.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spans="1:35" ht="12.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spans="1:35" ht="12.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spans="1:35" ht="12.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spans="1:35" ht="12.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spans="1:35" ht="12.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spans="1:35" ht="12.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spans="1:35" ht="12.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spans="1:35" ht="12.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spans="1:35" ht="12.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spans="1:35" ht="12.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spans="1:35" ht="12.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spans="1:35" ht="12.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spans="1:35" ht="12.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spans="1:35" ht="12.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spans="1:35" ht="12.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spans="1:35" ht="12.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spans="1:35" ht="12.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row r="258" spans="1:35" ht="12.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row>
    <row r="259" spans="1:35" ht="12.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row>
    <row r="260" spans="1:35" ht="12.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row>
    <row r="261" spans="1:35" ht="12.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row>
    <row r="262" spans="1:35" ht="12.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row>
    <row r="263" spans="1:35" ht="12.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row>
    <row r="264" spans="1:35" ht="12.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row>
    <row r="265" spans="1:35" ht="12.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row>
    <row r="266" spans="1:35" ht="12.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row>
    <row r="267" spans="1:35" ht="12.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row>
    <row r="268" spans="1:35" ht="12.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row>
    <row r="269" spans="1:35" ht="12.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row>
    <row r="270" spans="1:35" ht="12.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row>
    <row r="271" spans="1:35" ht="12.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row>
    <row r="272" spans="1:35" ht="12.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row>
    <row r="273" spans="1:35" ht="12.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row>
    <row r="274" spans="1:35" ht="12.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row>
    <row r="275" spans="1:35" ht="12.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row>
    <row r="276" spans="1:35" ht="12.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row>
    <row r="277" spans="1:35" ht="12.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row>
    <row r="278" spans="1:35" ht="12.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row>
    <row r="279" spans="1:35" ht="12.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row>
    <row r="280" spans="1:35" ht="12.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row>
    <row r="281" spans="1:35" ht="12.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row>
    <row r="282" spans="1:35" ht="12.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row>
    <row r="283" spans="1:35" ht="12.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row>
    <row r="284" spans="1:35" ht="12.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row>
    <row r="285" spans="1:35" ht="12.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row>
    <row r="286" spans="1:35" ht="12.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row>
    <row r="287" spans="1:35" ht="12.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row>
    <row r="288" spans="1:35" ht="12.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row>
    <row r="289" spans="1:35" ht="12.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row>
    <row r="290" spans="1:35" ht="12.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row>
    <row r="291" spans="1:35" ht="12.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row>
    <row r="292" spans="1:35" ht="12.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row>
    <row r="293" spans="1:35" ht="12.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row>
    <row r="294" spans="1:35" ht="12.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row>
    <row r="295" spans="1:35" ht="12.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row>
    <row r="296" spans="1:35" ht="12.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row>
    <row r="297" spans="1:35" ht="12.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row>
    <row r="298" spans="1:35" ht="12.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row>
    <row r="299" spans="1:35" ht="12.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row>
    <row r="300" spans="1:35" ht="12.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row>
    <row r="301" spans="1:35" ht="12.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row>
    <row r="302" spans="1:35" ht="12.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row>
    <row r="303" spans="1:35" ht="12.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row>
    <row r="304" spans="1:35" ht="12.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row>
    <row r="305" spans="1:35" ht="12.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row>
    <row r="306" spans="1:35" ht="12.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row>
    <row r="307" spans="1:35" ht="12.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row>
    <row r="308" spans="1:35" ht="12.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row>
    <row r="309" spans="1:35" ht="12.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row>
    <row r="310" spans="1:35" ht="12.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row>
    <row r="311" spans="1:35" ht="12.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row>
    <row r="312" spans="1:35" ht="12.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row>
    <row r="313" spans="1:35" ht="12.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row>
    <row r="314" spans="1:35" ht="12.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row>
    <row r="315" spans="1:35" ht="12.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row>
    <row r="316" spans="1:35" ht="12.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row>
    <row r="317" spans="1:35" ht="12.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row>
    <row r="318" spans="1:35" ht="12.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row>
    <row r="319" spans="1:35" ht="12.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row>
    <row r="320" spans="1:35" ht="12.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row>
    <row r="321" spans="1:35" ht="12.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row>
    <row r="322" spans="1:35" ht="12.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row>
    <row r="323" spans="1:35" ht="12.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row>
    <row r="324" spans="1:35" ht="12.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row>
    <row r="325" spans="1:35" ht="12.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row>
    <row r="326" spans="1:35" ht="12.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row>
    <row r="327" spans="1:35" ht="12.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row>
    <row r="328" spans="1:35" ht="12.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row>
    <row r="329" spans="1:35" ht="12.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row>
    <row r="330" spans="1:35" ht="12.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row>
    <row r="331" spans="1:35" ht="12.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row>
    <row r="332" spans="1:35" ht="12.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row>
    <row r="333" spans="1:35" ht="12.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row>
    <row r="334" spans="1:35" ht="12.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row>
    <row r="335" spans="1:35" ht="12.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row>
    <row r="336" spans="1:35" ht="12.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row>
    <row r="337" spans="1:35" ht="12.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row>
    <row r="338" spans="1:35" ht="12.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row>
    <row r="339" spans="1:35" ht="12.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row>
    <row r="340" spans="1:35" ht="12.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row>
    <row r="341" spans="1:35" ht="12.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row>
    <row r="342" spans="1:35" ht="12.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row>
    <row r="343" spans="1:35" ht="12.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row>
    <row r="344" spans="1:35" ht="12.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row>
    <row r="345" spans="1:35" ht="12.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row>
    <row r="346" spans="1:35" ht="12.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row>
    <row r="347" spans="1:35" ht="12.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row>
    <row r="348" spans="1:35" ht="12.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row>
    <row r="349" spans="1:35" ht="12.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row>
    <row r="350" spans="1:35" ht="12.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row>
    <row r="351" spans="1:35" ht="12.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row>
    <row r="352" spans="1:35" ht="12.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row>
    <row r="353" spans="1:35" ht="12.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row>
    <row r="354" spans="1:35" ht="12.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row>
    <row r="355" spans="1:35" ht="12.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row>
    <row r="356" spans="1:35" ht="12.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row>
    <row r="357" spans="1:35" ht="12.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row>
    <row r="358" spans="1:35" ht="12.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row>
    <row r="359" spans="1:35" ht="12.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row>
    <row r="360" spans="1:35" ht="12.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row>
    <row r="361" spans="1:35" ht="12.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row>
    <row r="362" spans="1:35" ht="12.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row>
    <row r="363" spans="1:35" ht="12.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row>
    <row r="364" spans="1:35" ht="12.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row>
    <row r="365" spans="1:35" ht="12.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row>
    <row r="366" spans="1:35" ht="12.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row>
    <row r="367" spans="1:35" ht="12.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row>
    <row r="368" spans="1:35" ht="12.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row>
    <row r="369" spans="1:35" ht="12.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row>
    <row r="370" spans="1:35" ht="12.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row>
    <row r="371" spans="1:35" ht="12.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row>
    <row r="372" spans="1:35" ht="12.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row>
    <row r="373" spans="1:35" ht="12.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row>
    <row r="374" spans="1:35" ht="12.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row>
    <row r="375" spans="1:35" ht="12.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row>
    <row r="376" spans="1:35" ht="12.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row>
    <row r="377" spans="1:35" ht="12.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row>
    <row r="378" spans="1:35" ht="12.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row>
    <row r="379" spans="1:35" ht="12.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row>
    <row r="380" spans="1:35" ht="12.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row>
    <row r="381" spans="1:35" ht="12.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row>
    <row r="382" spans="1:35" ht="12.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row>
    <row r="383" spans="1:35" ht="12.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row>
    <row r="384" spans="1:35" ht="12.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row>
    <row r="385" spans="1:35" ht="12.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row>
    <row r="386" spans="1:35" ht="12.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row>
    <row r="387" spans="1:35" ht="12.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row>
    <row r="388" spans="1:35" ht="12.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row>
    <row r="389" spans="1:35" ht="12.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row>
    <row r="390" spans="1:35" ht="12.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row>
    <row r="391" spans="1:35" ht="12.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row>
    <row r="392" spans="1:35" ht="12.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row>
    <row r="393" spans="1:35" ht="12.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row>
    <row r="394" spans="1:35" ht="12.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row>
    <row r="395" spans="1:35" ht="12.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row>
    <row r="396" spans="1:35" ht="12.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row>
    <row r="397" spans="1:35" ht="12.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row>
    <row r="398" spans="1:35" ht="12.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row>
    <row r="399" spans="1:35" ht="12.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row>
    <row r="400" spans="1:35" ht="12.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row>
    <row r="401" spans="1:35" ht="12.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row>
    <row r="402" spans="1:35" ht="12.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row>
    <row r="403" spans="1:35" ht="12.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row>
    <row r="404" spans="1:35" ht="12.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row>
    <row r="405" spans="1:35" ht="12.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row>
    <row r="406" spans="1:35" ht="12.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row>
    <row r="407" spans="1:35" ht="12.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row>
    <row r="408" spans="1:35" ht="12.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row>
    <row r="409" spans="1:35" ht="12.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row>
    <row r="410" spans="1:35" ht="12.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row>
    <row r="411" spans="1:35" ht="12.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row>
    <row r="412" spans="1:35" ht="12.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row>
    <row r="413" spans="1:35" ht="12.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row>
    <row r="414" spans="1:35" ht="12.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row>
    <row r="415" spans="1:35" ht="12.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row>
    <row r="416" spans="1:35" ht="12.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row>
    <row r="417" spans="1:35" ht="12.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row>
    <row r="418" spans="1:35" ht="12.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row>
    <row r="419" spans="1:35" ht="12.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row>
    <row r="420" spans="1:35" ht="12.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row>
    <row r="421" spans="1:35" ht="12.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row>
    <row r="422" spans="1:35" ht="12.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row>
    <row r="423" spans="1:35" ht="12.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row>
    <row r="424" spans="1:35" ht="12.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row>
    <row r="425" spans="1:35" ht="12.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row>
    <row r="426" spans="1:35" ht="12.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row>
    <row r="427" spans="1:35" ht="12.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row>
    <row r="428" spans="1:35" ht="12.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row>
    <row r="429" spans="1:35" ht="12.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row>
    <row r="430" spans="1:35" ht="12.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row>
    <row r="431" spans="1:35" ht="12.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row>
    <row r="432" spans="1:35" ht="12.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row>
    <row r="433" spans="1:35" ht="12.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row>
    <row r="434" spans="1:35" ht="12.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row>
    <row r="435" spans="1:35" ht="12.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row>
    <row r="436" spans="1:35" ht="12.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row>
    <row r="437" spans="1:35" ht="12.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row>
    <row r="438" spans="1:35" ht="12.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row>
    <row r="439" spans="1:35" ht="12.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row>
    <row r="440" spans="1:35" ht="12.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row>
    <row r="441" spans="1:35" ht="12.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row>
    <row r="442" spans="1:35" ht="12.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row>
    <row r="443" spans="1:35" ht="12.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row>
    <row r="444" spans="1:35" ht="12.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row>
    <row r="445" spans="1:35" ht="12.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row>
    <row r="446" spans="1:35" ht="12.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row>
    <row r="447" spans="1:35" ht="12.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row>
    <row r="448" spans="1:35" ht="12.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row>
    <row r="449" spans="1:35" ht="12.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row>
    <row r="450" spans="1:35" ht="12.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row>
    <row r="451" spans="1:35" ht="12.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row>
    <row r="452" spans="1:35" ht="12.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row>
    <row r="453" spans="1:35" ht="12.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row>
    <row r="454" spans="1:35" ht="12.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row>
    <row r="455" spans="1:35" ht="12.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row>
    <row r="456" spans="1:35" ht="12.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row>
    <row r="457" spans="1:35" ht="12.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row>
    <row r="458" spans="1:35" ht="12.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row>
    <row r="459" spans="1:35" ht="12.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row>
    <row r="460" spans="1:35" ht="12.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row>
    <row r="461" spans="1:35" ht="12.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row>
    <row r="462" spans="1:35" ht="12.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row>
    <row r="463" spans="1:35" ht="12.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row>
    <row r="464" spans="1:35" ht="12.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row>
    <row r="465" spans="1:35" ht="12.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row>
    <row r="466" spans="1:35" ht="12.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row>
    <row r="467" spans="1:35" ht="12.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row>
    <row r="468" spans="1:35" ht="12.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row>
    <row r="469" spans="1:35" ht="12.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row>
    <row r="470" spans="1:35" ht="12.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row>
    <row r="471" spans="1:35" ht="12.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row>
    <row r="472" spans="1:35" ht="12.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row>
    <row r="473" spans="1:35" ht="12.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row>
    <row r="474" spans="1:35" ht="12.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row>
    <row r="475" spans="1:35" ht="12.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row>
    <row r="476" spans="1:35" ht="12.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row>
    <row r="477" spans="1:35" ht="12.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row>
    <row r="478" spans="1:35" ht="12.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row>
    <row r="479" spans="1:35" ht="12.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row>
    <row r="480" spans="1:35" ht="12.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row>
    <row r="481" spans="1:35" ht="12.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row>
    <row r="482" spans="1:35" ht="12.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row>
    <row r="483" spans="1:35" ht="12.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row>
    <row r="484" spans="1:35" ht="12.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row>
    <row r="485" spans="1:35" ht="12.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row>
    <row r="486" spans="1:35" ht="12.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row>
    <row r="487" spans="1:35" ht="12.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row>
    <row r="488" spans="1:35" ht="12.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row>
    <row r="489" spans="1:35" ht="12.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row>
    <row r="490" spans="1:35" ht="12.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row>
    <row r="491" spans="1:35" ht="12.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row>
    <row r="492" spans="1:35" ht="12.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row>
    <row r="493" spans="1:35" ht="12.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row>
    <row r="494" spans="1:35" ht="12.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row>
    <row r="495" spans="1:35" ht="12.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row>
    <row r="496" spans="1:35" ht="12.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row>
    <row r="497" spans="1:35" ht="12.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row>
    <row r="498" spans="1:35" ht="12.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row>
    <row r="499" spans="1:35" ht="12.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row>
    <row r="500" spans="1:35" ht="12.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row>
    <row r="501" spans="1:35" ht="12.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row>
    <row r="502" spans="1:35" ht="12.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row>
    <row r="503" spans="1:35" ht="12.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row>
    <row r="504" spans="1:35" ht="12.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row>
    <row r="505" spans="1:35" ht="12.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row>
    <row r="506" spans="1:35" ht="12.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row>
    <row r="507" spans="1:35" ht="12.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row>
    <row r="508" spans="1:35" ht="12.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row>
    <row r="509" spans="1:35" ht="12.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row>
    <row r="510" spans="1:35" ht="12.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row>
    <row r="511" spans="1:35" ht="12.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row>
    <row r="512" spans="1:35" ht="12.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row>
    <row r="513" spans="1:35" ht="12.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row>
    <row r="514" spans="1:35" ht="12.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row>
    <row r="515" spans="1:35" ht="12.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row>
    <row r="516" spans="1:35" ht="12.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row>
    <row r="517" spans="1:35" ht="12.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row>
    <row r="518" spans="1:35" ht="12.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row>
    <row r="519" spans="1:35" ht="12.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row>
    <row r="520" spans="1:35" ht="12.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row>
    <row r="521" spans="1:35" ht="12.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row>
    <row r="522" spans="1:35" ht="12.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row>
    <row r="523" spans="1:35" ht="12.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row>
    <row r="524" spans="1:35" ht="12.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row>
    <row r="525" spans="1:35" ht="12.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row>
    <row r="526" spans="1:35" ht="12.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row>
    <row r="527" spans="1:35" ht="12.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row>
    <row r="528" spans="1:35" ht="12.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row>
    <row r="529" spans="1:35" ht="12.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row>
    <row r="530" spans="1:35" ht="12.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row>
    <row r="531" spans="1:35" ht="12.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row>
    <row r="532" spans="1:35" ht="12.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row>
    <row r="533" spans="1:35" ht="12.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row>
    <row r="534" spans="1:35" ht="12.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row>
    <row r="535" spans="1:35" ht="12.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row>
    <row r="536" spans="1:35" ht="12.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row>
    <row r="537" spans="1:35" ht="12.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row>
    <row r="538" spans="1:35" ht="12.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row>
    <row r="539" spans="1:35" ht="12.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row>
    <row r="540" spans="1:35" ht="12.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row>
    <row r="541" spans="1:35" ht="12.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row>
    <row r="542" spans="1:35" ht="12.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row>
    <row r="543" spans="1:35" ht="12.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row>
    <row r="544" spans="1:35" ht="12.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row>
    <row r="545" spans="1:35" ht="12.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row>
    <row r="546" spans="1:35" ht="12.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row>
    <row r="547" spans="1:35" ht="12.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row>
    <row r="548" spans="1:35" ht="12.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row>
    <row r="549" spans="1:35" ht="12.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row>
    <row r="550" spans="1:35" ht="12.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row>
    <row r="551" spans="1:35" ht="12.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row>
    <row r="552" spans="1:35" ht="12.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row>
    <row r="553" spans="1:35" ht="12.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row>
    <row r="554" spans="1:35" ht="12.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row>
    <row r="555" spans="1:35" ht="12.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row>
    <row r="556" spans="1:35" ht="12.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row>
    <row r="557" spans="1:35" ht="12.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row>
    <row r="558" spans="1:35" ht="12.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row>
    <row r="559" spans="1:35" ht="12.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row>
    <row r="560" spans="1:35" ht="12.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row>
    <row r="561" spans="1:35" ht="12.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row>
    <row r="562" spans="1:35" ht="12.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row>
    <row r="563" spans="1:35" ht="12.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row>
    <row r="564" spans="1:35" ht="12.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row>
    <row r="565" spans="1:35" ht="12.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row>
    <row r="566" spans="1:35" ht="12.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row>
    <row r="567" spans="1:35" ht="12.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row>
    <row r="568" spans="1:35" ht="12.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row>
    <row r="569" spans="1:35" ht="12.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row>
    <row r="570" spans="1:35" ht="12.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row>
    <row r="571" spans="1:35" ht="12.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row>
    <row r="572" spans="1:35" ht="12.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row>
    <row r="573" spans="1:35" ht="12.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row>
    <row r="574" spans="1:35" ht="12.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row>
    <row r="575" spans="1:35" ht="12.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row>
    <row r="576" spans="1:35" ht="12.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row>
    <row r="577" spans="1:35" ht="12.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row>
    <row r="578" spans="1:35" ht="12.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row>
    <row r="579" spans="1:35" ht="12.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row>
    <row r="580" spans="1:35" ht="12.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row>
    <row r="581" spans="1:35" ht="12.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row>
    <row r="582" spans="1:35" ht="12.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row>
    <row r="583" spans="1:35" ht="12.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row>
    <row r="584" spans="1:35" ht="12.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row>
    <row r="585" spans="1:35" ht="12.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row>
    <row r="586" spans="1:35" ht="12.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row>
    <row r="587" spans="1:35" ht="12.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row>
    <row r="588" spans="1:35" ht="12.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row>
    <row r="589" spans="1:35" ht="12.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row>
    <row r="590" spans="1:35" ht="12.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row>
    <row r="591" spans="1:35" ht="12.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row>
    <row r="592" spans="1:35" ht="12.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row>
    <row r="593" spans="1:35" ht="12.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row>
    <row r="594" spans="1:35" ht="12.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row>
    <row r="595" spans="1:35" ht="12.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row>
    <row r="596" spans="1:35" ht="12.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row>
    <row r="597" spans="1:35" ht="12.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row>
    <row r="598" spans="1:35" ht="12.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row>
    <row r="599" spans="1:35" ht="12.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row>
    <row r="600" spans="1:35" ht="12.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row>
    <row r="601" spans="1:35" ht="12.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row>
    <row r="602" spans="1:35" ht="12.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row>
    <row r="603" spans="1:35" ht="12.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row>
    <row r="604" spans="1:35" ht="12.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row>
    <row r="605" spans="1:35" ht="12.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row>
    <row r="606" spans="1:35" ht="12.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row>
    <row r="607" spans="1:35" ht="12.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row>
    <row r="608" spans="1:35" ht="12.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row>
    <row r="609" spans="1:35" ht="12.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row>
    <row r="610" spans="1:35" ht="12.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row>
    <row r="611" spans="1:35" ht="12.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row>
    <row r="612" spans="1:35" ht="12.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row>
    <row r="613" spans="1:35" ht="12.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row>
    <row r="614" spans="1:35" ht="12.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row>
    <row r="615" spans="1:35" ht="12.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row>
    <row r="616" spans="1:35" ht="12.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row>
    <row r="617" spans="1:35" ht="12.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row>
    <row r="618" spans="1:35" ht="12.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row>
    <row r="619" spans="1:35" ht="12.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row>
    <row r="620" spans="1:35" ht="12.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row>
    <row r="621" spans="1:35" ht="12.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row>
    <row r="622" spans="1:35" ht="12.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row>
    <row r="623" spans="1:35" ht="12.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row>
    <row r="624" spans="1:35" ht="12.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row>
    <row r="625" spans="1:35" ht="12.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row>
    <row r="626" spans="1:35" ht="12.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row>
    <row r="627" spans="1:35" ht="12.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row>
    <row r="628" spans="1:35" ht="12.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row>
    <row r="629" spans="1:35" ht="12.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row>
    <row r="630" spans="1:35" ht="12.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row>
    <row r="631" spans="1:35" ht="12.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row>
    <row r="632" spans="1:35" ht="12.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row>
    <row r="633" spans="1:35" ht="12.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row>
    <row r="634" spans="1:35" ht="12.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row>
    <row r="635" spans="1:35" ht="12.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row>
    <row r="636" spans="1:35" ht="12.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row>
    <row r="637" spans="1:35" ht="12.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row>
    <row r="638" spans="1:35" ht="12.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row>
    <row r="639" spans="1:35" ht="12.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row>
    <row r="640" spans="1:35" ht="12.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row>
    <row r="641" spans="1:35" ht="12.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row>
    <row r="642" spans="1:35" ht="12.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row>
    <row r="643" spans="1:35" ht="12.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row>
    <row r="644" spans="1:35" ht="12.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row>
    <row r="645" spans="1:35" ht="12.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row>
    <row r="646" spans="1:35" ht="12.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row>
    <row r="647" spans="1:35" ht="12.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row>
    <row r="648" spans="1:35" ht="12.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row>
    <row r="649" spans="1:35" ht="12.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row>
    <row r="650" spans="1:35" ht="12.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row>
    <row r="651" spans="1:35" ht="12.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row>
    <row r="652" spans="1:35" ht="12.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row>
    <row r="653" spans="1:35" ht="12.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row>
    <row r="654" spans="1:35" ht="12.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row>
    <row r="655" spans="1:35" ht="12.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row>
    <row r="656" spans="1:35" ht="12.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row>
    <row r="657" spans="1:35" ht="12.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row>
    <row r="658" spans="1:35" ht="12.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row>
    <row r="659" spans="1:35" ht="12.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row>
    <row r="660" spans="1:35" ht="12.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row>
    <row r="661" spans="1:35" ht="12.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row>
    <row r="662" spans="1:35" ht="12.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row>
    <row r="663" spans="1:35" ht="12.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row>
    <row r="664" spans="1:35" ht="12.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row>
    <row r="665" spans="1:35" ht="12.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row>
    <row r="666" spans="1:35" ht="12.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row>
    <row r="667" spans="1:35" ht="12.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row>
    <row r="668" spans="1:35" ht="12.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row>
    <row r="669" spans="1:35" ht="12.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row>
    <row r="670" spans="1:35" ht="12.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row>
    <row r="671" spans="1:35" ht="12.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row>
    <row r="672" spans="1:35" ht="12.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row>
    <row r="673" spans="1:35" ht="12.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row>
    <row r="674" spans="1:35" ht="12.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row>
    <row r="675" spans="1:35" ht="12.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row>
    <row r="676" spans="1:35" ht="12.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row>
    <row r="677" spans="1:35" ht="12.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row>
    <row r="678" spans="1:35" ht="12.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row>
    <row r="679" spans="1:35" ht="12.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row>
    <row r="680" spans="1:35" ht="12.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row>
    <row r="681" spans="1:35" ht="12.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row>
    <row r="682" spans="1:35" ht="12.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row>
    <row r="683" spans="1:35" ht="12.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row>
    <row r="684" spans="1:35" ht="12.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row>
    <row r="685" spans="1:35" ht="12.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row>
    <row r="686" spans="1:35" ht="12.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row>
    <row r="687" spans="1:35" ht="12.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row>
    <row r="688" spans="1:35" ht="12.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row>
    <row r="689" spans="1:35" ht="12.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row>
    <row r="690" spans="1:35" ht="12.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row>
    <row r="691" spans="1:35" ht="12.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row>
    <row r="692" spans="1:35" ht="12.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row>
    <row r="693" spans="1:35" ht="12.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row>
    <row r="694" spans="1:35" ht="12.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row>
    <row r="695" spans="1:35" ht="12.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row>
    <row r="696" spans="1:35" ht="12.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row>
    <row r="697" spans="1:35" ht="12.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row>
    <row r="698" spans="1:35" ht="12.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row>
    <row r="699" spans="1:35" ht="12.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row>
    <row r="700" spans="1:35" ht="12.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row>
    <row r="701" spans="1:35" ht="12.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row>
    <row r="702" spans="1:35" ht="12.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row>
    <row r="703" spans="1:35" ht="12.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row>
    <row r="704" spans="1:35" ht="12.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row>
    <row r="705" spans="1:35" ht="12.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row>
    <row r="706" spans="1:35" ht="12.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row>
    <row r="707" spans="1:35" ht="12.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row>
    <row r="708" spans="1:35" ht="12.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row>
    <row r="709" spans="1:35" ht="12.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row>
    <row r="710" spans="1:35" ht="12.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row>
    <row r="711" spans="1:35" ht="12.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row>
    <row r="712" spans="1:35" ht="12.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row>
    <row r="713" spans="1:35" ht="12.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row>
    <row r="714" spans="1:35" ht="12.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row>
    <row r="715" spans="1:35" ht="12.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row>
    <row r="716" spans="1:35" ht="12.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row>
    <row r="717" spans="1:35" ht="12.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row>
    <row r="718" spans="1:35" ht="12.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row>
    <row r="719" spans="1:35" ht="12.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row>
    <row r="720" spans="1:35" ht="12.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row>
    <row r="721" spans="1:35" ht="12.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row>
    <row r="722" spans="1:35" ht="12.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row>
    <row r="723" spans="1:35" ht="12.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row>
    <row r="724" spans="1:35" ht="12.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row>
    <row r="725" spans="1:35" ht="12.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row>
    <row r="726" spans="1:35" ht="12.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row>
    <row r="727" spans="1:35" ht="12.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row>
    <row r="728" spans="1:35" ht="12.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row>
    <row r="729" spans="1:35" ht="12.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row>
    <row r="730" spans="1:35" ht="12.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row>
    <row r="731" spans="1:35" ht="12.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row>
    <row r="732" spans="1:35" ht="12.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row>
    <row r="733" spans="1:35" ht="12.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row>
    <row r="734" spans="1:35" ht="12.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row>
    <row r="735" spans="1:35" ht="12.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row>
    <row r="736" spans="1:35" ht="12.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row>
    <row r="737" spans="1:35" ht="12.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row>
    <row r="738" spans="1:35" ht="12.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row>
    <row r="739" spans="1:35" ht="12.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row>
    <row r="740" spans="1:35" ht="12.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row>
    <row r="741" spans="1:35" ht="12.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row>
    <row r="742" spans="1:35" ht="12.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row>
    <row r="743" spans="1:35" ht="12.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row>
    <row r="744" spans="1:35" ht="12.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row>
    <row r="745" spans="1:35" ht="12.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row>
    <row r="746" spans="1:35" ht="12.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row>
    <row r="747" spans="1:35" ht="12.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row>
    <row r="748" spans="1:35" ht="12.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row>
    <row r="749" spans="1:35" ht="12.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row>
    <row r="750" spans="1:35" ht="12.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row>
    <row r="751" spans="1:35" ht="12.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row>
    <row r="752" spans="1:35" ht="12.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row>
    <row r="753" spans="1:35" ht="12.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row>
    <row r="754" spans="1:35" ht="12.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row>
    <row r="755" spans="1:35" ht="12.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row>
    <row r="756" spans="1:35" ht="12.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row>
    <row r="757" spans="1:35" ht="12.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row>
    <row r="758" spans="1:35" ht="12.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row>
    <row r="759" spans="1:35" ht="12.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row>
    <row r="760" spans="1:35" ht="12.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row>
    <row r="761" spans="1:35" ht="12.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row>
    <row r="762" spans="1:35" ht="12.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row>
    <row r="763" spans="1:35" ht="12.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row>
    <row r="764" spans="1:35" ht="12.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row>
    <row r="765" spans="1:35" ht="12.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row>
    <row r="766" spans="1:35" ht="12.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row>
    <row r="767" spans="1:35" ht="12.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row>
    <row r="768" spans="1:35" ht="12.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row>
    <row r="769" spans="1:35" ht="12.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row>
    <row r="770" spans="1:35" ht="12.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row>
    <row r="771" spans="1:35" ht="12.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row>
    <row r="772" spans="1:35" ht="12.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row>
    <row r="773" spans="1:35" ht="12.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row>
    <row r="774" spans="1:35" ht="12.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row>
    <row r="775" spans="1:35" ht="12.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row>
    <row r="776" spans="1:35" ht="12.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row>
    <row r="777" spans="1:35" ht="12.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row>
    <row r="778" spans="1:35" ht="12.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row>
    <row r="779" spans="1:35" ht="12.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row>
    <row r="780" spans="1:35" ht="12.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row>
    <row r="781" spans="1:35" ht="12.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row>
    <row r="782" spans="1:35" ht="12.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row>
    <row r="783" spans="1:35" ht="12.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row>
    <row r="784" spans="1:35" ht="12.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row>
    <row r="785" spans="1:35" ht="12.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row>
    <row r="786" spans="1:35" ht="12.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row>
    <row r="787" spans="1:35" ht="12.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row>
    <row r="788" spans="1:35" ht="12.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row>
    <row r="789" spans="1:35" ht="12.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row>
    <row r="790" spans="1:35" ht="12.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row>
    <row r="791" spans="1:35" ht="12.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row>
    <row r="792" spans="1:35" ht="12.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row>
    <row r="793" spans="1:35" ht="12.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row>
    <row r="794" spans="1:35" ht="12.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row>
    <row r="795" spans="1:35" ht="12.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row>
    <row r="796" spans="1:35" ht="12.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row>
    <row r="797" spans="1:35" ht="12.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row>
    <row r="798" spans="1:35" ht="12.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row>
    <row r="799" spans="1:35" ht="12.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row>
    <row r="800" spans="1:35" ht="12.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row>
    <row r="801" spans="1:35" ht="12.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row>
    <row r="802" spans="1:35" ht="12.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row>
    <row r="803" spans="1:35" ht="12.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row>
    <row r="804" spans="1:35" ht="12.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row>
    <row r="805" spans="1:35" ht="12.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row>
    <row r="806" spans="1:35" ht="12.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row>
    <row r="807" spans="1:35" ht="12.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row>
    <row r="808" spans="1:35" ht="12.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row>
    <row r="809" spans="1:35" ht="12.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row>
    <row r="810" spans="1:35" ht="12.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row>
    <row r="811" spans="1:35" ht="12.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row>
    <row r="812" spans="1:35" ht="12.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row>
    <row r="813" spans="1:35" ht="12.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row>
    <row r="814" spans="1:35" ht="12.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row>
    <row r="815" spans="1:35" ht="12.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row>
    <row r="816" spans="1:35" ht="12.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row>
    <row r="817" spans="1:35" ht="12.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row>
    <row r="818" spans="1:35" ht="12.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row>
    <row r="819" spans="1:35" ht="12.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row>
    <row r="820" spans="1:35" ht="12.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row>
    <row r="821" spans="1:35" ht="12.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row>
    <row r="822" spans="1:35" ht="12.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row>
    <row r="823" spans="1:35" ht="12.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row>
    <row r="824" spans="1:35" ht="12.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row>
    <row r="825" spans="1:35" ht="12.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row>
    <row r="826" spans="1:35" ht="12.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row>
    <row r="827" spans="1:35" ht="12.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row>
    <row r="828" spans="1:35" ht="12.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row>
    <row r="829" spans="1:35" ht="12.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row>
    <row r="830" spans="1:35" ht="12.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row>
    <row r="831" spans="1:35" ht="12.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row>
    <row r="832" spans="1:35" ht="12.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row>
    <row r="833" spans="1:35" ht="12.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row>
    <row r="834" spans="1:35" ht="12.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row>
    <row r="835" spans="1:35" ht="12.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row>
    <row r="836" spans="1:35" ht="12.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row>
    <row r="837" spans="1:35" ht="12.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row>
    <row r="838" spans="1:35" ht="12.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row>
    <row r="839" spans="1:35" ht="12.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row>
    <row r="840" spans="1:35" ht="12.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row>
    <row r="841" spans="1:35" ht="12.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row>
    <row r="842" spans="1:35" ht="12.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row>
    <row r="843" spans="1:35" ht="12.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row>
    <row r="844" spans="1:35" ht="12.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row>
    <row r="845" spans="1:35" ht="12.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row>
    <row r="846" spans="1:35" ht="12.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row>
    <row r="847" spans="1:35" ht="12.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row>
    <row r="848" spans="1:35" ht="12.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row>
    <row r="849" spans="1:35" ht="12.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row>
    <row r="850" spans="1:35" ht="12.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row>
    <row r="851" spans="1:35" ht="12.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row>
    <row r="852" spans="1:35" ht="12.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row>
    <row r="853" spans="1:35" ht="12.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row>
    <row r="854" spans="1:35" ht="12.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row>
    <row r="855" spans="1:35" ht="12.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row>
    <row r="856" spans="1:35" ht="12.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row>
    <row r="857" spans="1:35" ht="12.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row>
    <row r="858" spans="1:35" ht="12.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row>
    <row r="859" spans="1:35" ht="12.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row>
    <row r="860" spans="1:35" ht="12.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row>
    <row r="861" spans="1:35" ht="12.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row>
    <row r="862" spans="1:35" ht="12.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row>
    <row r="863" spans="1:35" ht="12.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row>
    <row r="864" spans="1:35" ht="12.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row>
    <row r="865" spans="1:35" ht="12.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row>
    <row r="866" spans="1:35" ht="12.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row>
    <row r="867" spans="1:35" ht="12.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row>
    <row r="868" spans="1:35" ht="12.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row>
    <row r="869" spans="1:35" ht="12.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row>
    <row r="870" spans="1:35" ht="12.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row>
    <row r="871" spans="1:35" ht="12.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row>
    <row r="872" spans="1:35" ht="12.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row>
    <row r="873" spans="1:35" ht="12.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row>
    <row r="874" spans="1:35" ht="12.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row>
    <row r="875" spans="1:35" ht="12.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row>
    <row r="876" spans="1:35" ht="12.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row>
    <row r="877" spans="1:35" ht="12.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row>
    <row r="878" spans="1:35" ht="12.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row>
    <row r="879" spans="1:35" ht="12.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row>
    <row r="880" spans="1:35" ht="12.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row>
    <row r="881" spans="1:35" ht="12.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row>
    <row r="882" spans="1:35" ht="12.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row>
    <row r="883" spans="1:35" ht="12.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row>
    <row r="884" spans="1:35" ht="12.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row>
    <row r="885" spans="1:35" ht="12.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row>
    <row r="886" spans="1:35" ht="12.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row>
    <row r="887" spans="1:35" ht="12.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row>
    <row r="888" spans="1:35" ht="12.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row>
    <row r="889" spans="1:35" ht="12.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row>
    <row r="890" spans="1:35" ht="12.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row>
    <row r="891" spans="1:35" ht="12.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row>
    <row r="892" spans="1:35" ht="12.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row>
    <row r="893" spans="1:35" ht="12.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row>
    <row r="894" spans="1:35" ht="12.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row>
    <row r="895" spans="1:35" ht="12.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row>
    <row r="896" spans="1:35" ht="12.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row>
    <row r="897" spans="1:35" ht="12.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row>
    <row r="898" spans="1:35" ht="12.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row>
    <row r="899" spans="1:35" ht="12.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row>
    <row r="900" spans="1:35" ht="12.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row>
    <row r="901" spans="1:35" ht="12.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row>
    <row r="902" spans="1:35" ht="12.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row>
    <row r="903" spans="1:35" ht="12.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row>
    <row r="904" spans="1:35" ht="12.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row>
    <row r="905" spans="1:35" ht="12.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row>
    <row r="906" spans="1:35" ht="12.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row>
    <row r="907" spans="1:35" ht="12.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row>
    <row r="908" spans="1:35" ht="12.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row>
    <row r="909" spans="1:35" ht="12.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row>
    <row r="910" spans="1:35" ht="12.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row>
    <row r="911" spans="1:35" ht="12.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row>
    <row r="912" spans="1:35" ht="12.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row>
    <row r="913" spans="1:35" ht="12.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row>
    <row r="914" spans="1:35" ht="12.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row>
    <row r="915" spans="1:35" ht="12.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row>
    <row r="916" spans="1:35" ht="12.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row>
    <row r="917" spans="1:35" ht="12.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row>
    <row r="918" spans="1:35" ht="12.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row>
    <row r="919" spans="1:35" ht="12.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row>
    <row r="920" spans="1:35" ht="12.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row>
    <row r="921" spans="1:35" ht="12.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row>
    <row r="922" spans="1:35" ht="12.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row>
    <row r="923" spans="1:35" ht="12.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row>
    <row r="924" spans="1:35" ht="12.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row>
    <row r="925" spans="1:35" ht="12.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row>
    <row r="926" spans="1:35" ht="12.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row>
    <row r="927" spans="1:35" ht="12.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row>
    <row r="928" spans="1:35" ht="12.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row>
    <row r="929" spans="1:35" ht="12.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row>
    <row r="930" spans="1:35" ht="12.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row>
    <row r="931" spans="1:35" ht="12.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row>
    <row r="932" spans="1:35" ht="12.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row>
    <row r="933" spans="1:35" ht="12.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row>
    <row r="934" spans="1:35" ht="12.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row>
    <row r="935" spans="1:35" ht="12.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row>
    <row r="936" spans="1:35" ht="12.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row>
    <row r="937" spans="1:35" ht="12.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row>
    <row r="938" spans="1:35" ht="12.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row>
    <row r="939" spans="1:35" ht="12.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row>
    <row r="940" spans="1:35" ht="12.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row>
    <row r="941" spans="1:35" ht="12.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row>
    <row r="942" spans="1:35" ht="12.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row>
    <row r="943" spans="1:35" ht="12.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row>
    <row r="944" spans="1:35" ht="12.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row>
    <row r="945" spans="1:35" ht="12.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row>
    <row r="946" spans="1:35" ht="12.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row>
    <row r="947" spans="1:35" ht="12.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row>
    <row r="948" spans="1:35" ht="12.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row>
    <row r="949" spans="1:35" ht="12.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row>
    <row r="950" spans="1:35" ht="12.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row>
    <row r="951" spans="1:35" ht="12.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row>
    <row r="952" spans="1:35" ht="12.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row>
    <row r="953" spans="1:35" ht="12.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row>
    <row r="954" spans="1:35" ht="12.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row>
    <row r="955" spans="1:35" ht="12.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row>
    <row r="956" spans="1:35" ht="12.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row>
    <row r="957" spans="1:35" ht="12.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row>
    <row r="958" spans="1:35" ht="12.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row>
    <row r="959" spans="1:35" ht="12.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row>
    <row r="960" spans="1:35" ht="12.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row>
    <row r="961" spans="1:35" ht="12.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row>
    <row r="962" spans="1:35" ht="12.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row>
    <row r="963" spans="1:35" ht="12.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row>
    <row r="964" spans="1:35" ht="12.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row>
    <row r="965" spans="1:35" ht="12.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row>
    <row r="966" spans="1:35" ht="12.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row>
    <row r="967" spans="1:35" ht="12.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row>
    <row r="968" spans="1:35" ht="12.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row>
    <row r="969" spans="1:35" ht="12.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row>
    <row r="970" spans="1:35" ht="12.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row>
    <row r="971" spans="1:35" ht="12.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row>
    <row r="972" spans="1:35" ht="12.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row>
    <row r="973" spans="1:35" ht="12.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row>
    <row r="974" spans="1:35" ht="12.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row>
    <row r="975" spans="1:35" ht="12.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row>
    <row r="976" spans="1:35" ht="12.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row>
    <row r="977" spans="1:35" ht="12.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row>
    <row r="978" spans="1:35" ht="12.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row>
    <row r="979" spans="1:35" ht="12.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row>
    <row r="980" spans="1:35" ht="12.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row>
    <row r="981" spans="1:35" ht="12.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row>
    <row r="982" spans="1:35" ht="12.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row>
    <row r="983" spans="1:35" ht="12.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row>
    <row r="984" spans="1:35" ht="12.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row>
    <row r="985" spans="1:35" ht="12.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row>
    <row r="986" spans="1:35" ht="12.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row>
    <row r="987" spans="1:35" ht="12.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row>
    <row r="988" spans="1:35" ht="12.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row>
    <row r="989" spans="1:35" ht="12.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row>
    <row r="990" spans="1:35" ht="12.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row>
    <row r="991" spans="1:35" ht="12.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row>
    <row r="992" spans="1:35" ht="12.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row>
    <row r="993" spans="1:35" ht="12.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row>
    <row r="994" spans="1:35" ht="12.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row>
    <row r="995" spans="1:35" ht="12.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row>
    <row r="996" spans="1:35" ht="12.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row>
    <row r="997" spans="1:35" ht="12.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row>
    <row r="998" spans="1:35" ht="12.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row>
    <row r="999" spans="1:35" ht="12.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row>
    <row r="1000" spans="1:35" ht="12.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row>
  </sheetData>
  <mergeCells count="1">
    <mergeCell ref="M14:Q14"/>
  </mergeCells>
  <conditionalFormatting sqref="G52">
    <cfRule type="expression" dxfId="7" priority="1">
      <formula>$G$59=#REF!</formula>
    </cfRule>
    <cfRule type="expression" dxfId="6" priority="2">
      <formula>$G$59 = $E$52</formula>
    </cfRule>
  </conditionalFormatting>
  <conditionalFormatting sqref="G60">
    <cfRule type="expression" dxfId="5" priority="3">
      <formula>$G$59=#REF!</formula>
    </cfRule>
    <cfRule type="expression" dxfId="4" priority="4">
      <formula>$G$59 = $E$52</formula>
    </cfRule>
  </conditionalFormatting>
  <conditionalFormatting sqref="G78:G81">
    <cfRule type="expression" dxfId="3" priority="5">
      <formula>$G$59=#REF!</formula>
    </cfRule>
    <cfRule type="expression" dxfId="2" priority="6">
      <formula>$G$59 = $E$52</formula>
    </cfRule>
  </conditionalFormatting>
  <conditionalFormatting sqref="G84:G85">
    <cfRule type="expression" dxfId="1" priority="7">
      <formula>$G$59=#REF!</formula>
    </cfRule>
    <cfRule type="expression" dxfId="0" priority="8">
      <formula>$G$59 = $E$52</formula>
    </cfRule>
  </conditionalFormatting>
  <dataValidations count="1">
    <dataValidation type="list" allowBlank="1" showErrorMessage="1" sqref="G31" xr:uid="{00000000-0002-0000-0100-000000000000}">
      <formula1>$G$84:$G$85</formula1>
    </dataValidation>
  </dataValidation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4546A"/>
  </sheetPr>
  <dimension ref="A1:AH1000"/>
  <sheetViews>
    <sheetView showGridLines="0" topLeftCell="A19" workbookViewId="0">
      <selection activeCell="T145" sqref="T145:AO166"/>
    </sheetView>
  </sheetViews>
  <sheetFormatPr defaultColWidth="14.42578125" defaultRowHeight="15" customHeight="1" outlineLevelRow="1" outlineLevelCol="1" x14ac:dyDescent="0.25"/>
  <cols>
    <col min="1" max="2" width="2.42578125" customWidth="1"/>
    <col min="3" max="3" width="1.28515625" customWidth="1"/>
    <col min="4" max="4" width="3.28515625" customWidth="1"/>
    <col min="5" max="5" width="38" customWidth="1"/>
    <col min="6" max="7" width="9.140625" customWidth="1"/>
    <col min="8" max="11" width="11.140625" customWidth="1"/>
    <col min="12" max="12" width="9.140625" customWidth="1"/>
    <col min="13" max="15" width="9.140625" hidden="1" customWidth="1" outlineLevel="1"/>
    <col min="16" max="16" width="9.140625" customWidth="1" collapsed="1"/>
    <col min="17" max="17" width="3.42578125" customWidth="1"/>
    <col min="18" max="18" width="23.7109375" customWidth="1"/>
    <col min="19" max="20" width="9.140625" customWidth="1"/>
    <col min="21" max="21" width="10.7109375" customWidth="1"/>
    <col min="22" max="23" width="9.140625" customWidth="1"/>
    <col min="24" max="24" width="12.28515625" customWidth="1"/>
    <col min="25" max="25" width="17.42578125" customWidth="1"/>
    <col min="26" max="26" width="17.28515625" customWidth="1"/>
    <col min="27" max="27" width="15.7109375" customWidth="1"/>
    <col min="28" max="29" width="9.140625" customWidth="1"/>
  </cols>
  <sheetData>
    <row r="1" spans="1:29" ht="12.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2.75" customHeight="1" x14ac:dyDescent="0.25">
      <c r="A2" s="1"/>
      <c r="B2" s="1"/>
      <c r="C2" s="3"/>
      <c r="D2" s="4" t="s">
        <v>88</v>
      </c>
      <c r="E2" s="4"/>
      <c r="F2" s="3"/>
      <c r="G2" s="3"/>
      <c r="H2" s="3"/>
      <c r="I2" s="3"/>
      <c r="J2" s="3"/>
      <c r="K2" s="3"/>
      <c r="L2" s="3"/>
      <c r="M2" s="3"/>
      <c r="N2" s="3"/>
      <c r="O2" s="3"/>
      <c r="P2" s="3"/>
      <c r="Q2" s="3"/>
      <c r="R2" s="3"/>
      <c r="S2" s="3"/>
      <c r="T2" s="3"/>
      <c r="U2" s="3"/>
      <c r="V2" s="3"/>
      <c r="W2" s="3"/>
      <c r="X2" s="3"/>
      <c r="Y2" s="3"/>
      <c r="Z2" s="3"/>
      <c r="AA2" s="3"/>
      <c r="AB2" s="3"/>
      <c r="AC2" s="3"/>
    </row>
    <row r="3" spans="1:29" ht="12.75" customHeight="1" x14ac:dyDescent="0.25">
      <c r="A3" s="1"/>
      <c r="B3" s="1"/>
      <c r="C3" s="6"/>
      <c r="D3" s="6"/>
      <c r="E3" s="6"/>
      <c r="F3" s="6"/>
      <c r="G3" s="6"/>
      <c r="H3" s="6"/>
      <c r="I3" s="6"/>
      <c r="J3" s="6"/>
      <c r="K3" s="6"/>
      <c r="L3" s="6"/>
      <c r="M3" s="6"/>
      <c r="N3" s="6"/>
      <c r="O3" s="6"/>
      <c r="P3" s="6"/>
      <c r="Q3" s="6"/>
      <c r="R3" s="6"/>
      <c r="S3" s="6"/>
      <c r="T3" s="6"/>
      <c r="U3" s="6"/>
      <c r="V3" s="6"/>
      <c r="W3" s="6"/>
      <c r="X3" s="6"/>
      <c r="Y3" s="6"/>
      <c r="Z3" s="6"/>
      <c r="AA3" s="6"/>
      <c r="AB3" s="6"/>
      <c r="AC3" s="6"/>
    </row>
    <row r="4" spans="1:29" ht="12.75" customHeight="1" x14ac:dyDescent="0.25">
      <c r="A4" s="1"/>
      <c r="B4" s="1"/>
      <c r="C4" s="13"/>
      <c r="D4" s="13"/>
      <c r="E4" s="13"/>
      <c r="F4" s="13"/>
      <c r="G4" s="13"/>
      <c r="H4" s="13"/>
      <c r="I4" s="13"/>
      <c r="J4" s="13"/>
      <c r="K4" s="13"/>
      <c r="L4" s="13"/>
      <c r="M4" s="13"/>
      <c r="N4" s="13"/>
      <c r="O4" s="13"/>
      <c r="P4" s="13"/>
      <c r="Q4" s="13"/>
      <c r="R4" s="13"/>
      <c r="S4" s="13"/>
      <c r="T4" s="13"/>
      <c r="U4" s="13"/>
      <c r="V4" s="13"/>
      <c r="W4" s="13"/>
      <c r="X4" s="13"/>
      <c r="Y4" s="13"/>
      <c r="Z4" s="13"/>
      <c r="AA4" s="13"/>
      <c r="AB4" s="13"/>
      <c r="AC4" s="13"/>
    </row>
    <row r="5" spans="1:29" ht="12.75" customHeight="1" x14ac:dyDescent="0.25">
      <c r="A5" s="1"/>
      <c r="B5" s="1"/>
      <c r="C5" s="4"/>
      <c r="D5" s="4" t="s">
        <v>89</v>
      </c>
      <c r="E5" s="4"/>
      <c r="F5" s="4"/>
      <c r="G5" s="4"/>
      <c r="H5" s="4"/>
      <c r="I5" s="1"/>
      <c r="J5" s="1"/>
      <c r="K5" s="1"/>
      <c r="L5" s="1"/>
      <c r="M5" s="1"/>
      <c r="N5" s="1"/>
      <c r="O5" s="1"/>
      <c r="P5" s="1"/>
      <c r="Q5" s="1"/>
      <c r="R5" s="1"/>
      <c r="S5" s="1"/>
      <c r="T5" s="1"/>
      <c r="U5" s="1"/>
      <c r="V5" s="1"/>
      <c r="W5" s="1"/>
      <c r="X5" s="1"/>
      <c r="Y5" s="1"/>
      <c r="Z5" s="1"/>
      <c r="AA5" s="1"/>
      <c r="AB5" s="1"/>
      <c r="AC5" s="1"/>
    </row>
    <row r="6" spans="1:29" ht="7.5" customHeight="1" x14ac:dyDescent="0.25">
      <c r="A6" s="1"/>
      <c r="B6" s="1"/>
      <c r="C6" s="78"/>
      <c r="D6" s="78"/>
      <c r="E6" s="78"/>
      <c r="F6" s="78"/>
      <c r="G6" s="78"/>
      <c r="H6" s="78"/>
      <c r="I6" s="1"/>
      <c r="J6" s="1"/>
      <c r="K6" s="1"/>
      <c r="L6" s="1"/>
      <c r="M6" s="1"/>
      <c r="N6" s="1"/>
      <c r="O6" s="1"/>
      <c r="P6" s="1"/>
      <c r="Q6" s="1"/>
      <c r="R6" s="1"/>
      <c r="S6" s="1"/>
      <c r="T6" s="1"/>
      <c r="U6" s="1"/>
      <c r="V6" s="1"/>
      <c r="W6" s="1"/>
      <c r="X6" s="1"/>
      <c r="Y6" s="1"/>
      <c r="Z6" s="1"/>
      <c r="AA6" s="1"/>
      <c r="AB6" s="1"/>
      <c r="AC6" s="1"/>
    </row>
    <row r="7" spans="1:29" ht="7.5" customHeight="1" x14ac:dyDescent="0.25">
      <c r="A7" s="1"/>
      <c r="B7" s="1"/>
      <c r="C7" s="13"/>
      <c r="D7" s="79"/>
      <c r="E7" s="79"/>
      <c r="F7" s="79"/>
      <c r="G7" s="79"/>
      <c r="H7" s="79"/>
      <c r="I7" s="1"/>
      <c r="J7" s="1"/>
      <c r="K7" s="1"/>
      <c r="L7" s="1"/>
      <c r="M7" s="1"/>
      <c r="N7" s="1"/>
      <c r="O7" s="1"/>
      <c r="P7" s="1"/>
      <c r="Q7" s="1"/>
      <c r="R7" s="1"/>
      <c r="S7" s="1"/>
      <c r="T7" s="1"/>
      <c r="U7" s="1"/>
      <c r="V7" s="1"/>
      <c r="W7" s="1"/>
      <c r="X7" s="1"/>
      <c r="Y7" s="1"/>
      <c r="Z7" s="1"/>
      <c r="AA7" s="1"/>
      <c r="AB7" s="1"/>
      <c r="AC7" s="1"/>
    </row>
    <row r="8" spans="1:29" ht="12.75" customHeight="1" x14ac:dyDescent="0.25">
      <c r="A8" s="1"/>
      <c r="B8" s="1"/>
      <c r="C8" s="1"/>
      <c r="D8" s="18"/>
      <c r="E8" s="1" t="s">
        <v>90</v>
      </c>
      <c r="F8" s="33" t="s">
        <v>28</v>
      </c>
      <c r="G8" s="14"/>
      <c r="H8" s="80">
        <f t="array" aca="1" ref="H8" ca="1">INDEX( '&gt;&gt; Valuation'!$H$77:$H$95, MATCH( '&gt;&gt; Dash'!E8, '&gt;&gt; Valuation'!$E$77:$E$95, 0 ) )</f>
        <v>1679.9258721912893</v>
      </c>
      <c r="I8" s="1"/>
      <c r="J8" s="1"/>
      <c r="K8" s="1"/>
      <c r="L8" s="1"/>
      <c r="M8" s="1"/>
      <c r="N8" s="1"/>
      <c r="O8" s="1"/>
      <c r="P8" s="1"/>
      <c r="Q8" s="1"/>
      <c r="R8" s="1"/>
      <c r="S8" s="1"/>
      <c r="T8" s="1"/>
      <c r="U8" s="1"/>
      <c r="V8" s="1"/>
      <c r="W8" s="1"/>
      <c r="X8" s="1"/>
      <c r="Y8" s="1"/>
      <c r="Z8" s="1"/>
      <c r="AA8" s="1"/>
      <c r="AB8" s="1"/>
      <c r="AC8" s="1"/>
    </row>
    <row r="9" spans="1:29" ht="12.75" customHeight="1" x14ac:dyDescent="0.25">
      <c r="A9" s="1"/>
      <c r="B9" s="1"/>
      <c r="C9" s="1"/>
      <c r="D9" s="18" t="s">
        <v>91</v>
      </c>
      <c r="E9" s="1" t="s">
        <v>92</v>
      </c>
      <c r="F9" s="33" t="s">
        <v>28</v>
      </c>
      <c r="G9" s="14"/>
      <c r="H9" s="80">
        <f t="array" ref="H9">INDEX( '&gt;&gt; Valuation'!$H$77:$H$95, MATCH( '&gt;&gt; Dash'!E9, '&gt;&gt; Valuation'!$E$77:$E$95, 0 ) )</f>
        <v>0</v>
      </c>
      <c r="I9" s="1"/>
      <c r="J9" s="1"/>
      <c r="K9" s="1"/>
      <c r="L9" s="1"/>
      <c r="M9" s="1"/>
      <c r="N9" s="1"/>
      <c r="O9" s="1"/>
      <c r="P9" s="1"/>
      <c r="Q9" s="1"/>
      <c r="R9" s="1"/>
      <c r="S9" s="1"/>
      <c r="T9" s="1"/>
      <c r="U9" s="1"/>
      <c r="V9" s="1"/>
      <c r="W9" s="1"/>
      <c r="X9" s="1"/>
      <c r="Y9" s="1"/>
      <c r="Z9" s="1"/>
      <c r="AA9" s="1"/>
      <c r="AB9" s="1"/>
      <c r="AC9" s="1"/>
    </row>
    <row r="10" spans="1:29" ht="12.75" customHeight="1" x14ac:dyDescent="0.25">
      <c r="A10" s="1"/>
      <c r="B10" s="1"/>
      <c r="C10" s="1"/>
      <c r="D10" s="18" t="s">
        <v>93</v>
      </c>
      <c r="E10" s="1" t="s">
        <v>94</v>
      </c>
      <c r="F10" s="33" t="s">
        <v>28</v>
      </c>
      <c r="G10" s="14"/>
      <c r="H10" s="80">
        <f t="array" ref="H10">INDEX( '&gt;&gt; Valuation'!$H$77:$H$95, MATCH( '&gt;&gt; Dash'!E10, '&gt;&gt; Valuation'!$E$77:$E$95, 0 ) )</f>
        <v>-670.38299999999992</v>
      </c>
      <c r="I10" s="1"/>
      <c r="J10" s="1"/>
      <c r="K10" s="1"/>
      <c r="L10" s="1"/>
      <c r="M10" s="1"/>
      <c r="N10" s="1"/>
      <c r="O10" s="1"/>
      <c r="P10" s="1"/>
      <c r="Q10" s="1"/>
      <c r="R10" s="1"/>
      <c r="S10" s="1"/>
      <c r="T10" s="1"/>
      <c r="U10" s="1"/>
      <c r="V10" s="1"/>
      <c r="W10" s="1"/>
      <c r="X10" s="1"/>
      <c r="Y10" s="1"/>
      <c r="Z10" s="1"/>
      <c r="AA10" s="1"/>
      <c r="AB10" s="1"/>
      <c r="AC10" s="1"/>
    </row>
    <row r="11" spans="1:29" ht="12.75" customHeight="1" x14ac:dyDescent="0.25">
      <c r="A11" s="1"/>
      <c r="B11" s="1"/>
      <c r="C11" s="1"/>
      <c r="D11" s="33" t="s">
        <v>95</v>
      </c>
      <c r="E11" s="13" t="s">
        <v>96</v>
      </c>
      <c r="F11" s="43" t="s">
        <v>28</v>
      </c>
      <c r="G11" s="54"/>
      <c r="H11" s="81">
        <f t="array" aca="1" ref="H11" ca="1">INDEX( '&gt;&gt; Valuation'!$H$77:$H$95, MATCH( '&gt;&gt; Dash'!E11, '&gt;&gt; Valuation'!$E$77:$E$95, 0 ) )</f>
        <v>1009.5428721912893</v>
      </c>
      <c r="I11" s="1"/>
      <c r="J11" s="1"/>
      <c r="K11" s="1"/>
      <c r="L11" s="1"/>
      <c r="M11" s="1"/>
      <c r="N11" s="1"/>
      <c r="O11" s="1"/>
      <c r="P11" s="1"/>
      <c r="Q11" s="1"/>
      <c r="R11" s="1"/>
      <c r="S11" s="1"/>
      <c r="T11" s="1"/>
      <c r="U11" s="1"/>
      <c r="V11" s="1"/>
      <c r="W11" s="1"/>
      <c r="X11" s="1"/>
      <c r="Y11" s="1"/>
      <c r="Z11" s="1"/>
      <c r="AA11" s="1"/>
      <c r="AB11" s="1"/>
      <c r="AC11" s="1"/>
    </row>
    <row r="12" spans="1:29" ht="12.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spans="1:29" ht="12.75" customHeight="1" x14ac:dyDescent="0.25">
      <c r="A13" s="1"/>
      <c r="B13" s="1"/>
      <c r="C13" s="1"/>
      <c r="D13" s="1"/>
      <c r="E13" s="1" t="s">
        <v>97</v>
      </c>
      <c r="F13" s="33" t="s">
        <v>98</v>
      </c>
      <c r="G13" s="33"/>
      <c r="H13" s="39">
        <f t="array" ref="H13">INDEX( '&gt;&gt; Valuation'!$H$77:$H$95, MATCH( '&gt;&gt; Dash'!E13, '&gt;&gt; Valuation'!$E$77:$E$95, 0 ) )</f>
        <v>760.20520899999997</v>
      </c>
      <c r="I13" s="1"/>
      <c r="J13" s="1"/>
      <c r="K13" s="1"/>
      <c r="L13" s="1"/>
      <c r="M13" s="1"/>
      <c r="N13" s="1"/>
      <c r="O13" s="1"/>
      <c r="P13" s="1"/>
      <c r="Q13" s="1"/>
      <c r="R13" s="1"/>
      <c r="S13" s="1"/>
      <c r="T13" s="1"/>
      <c r="U13" s="1"/>
      <c r="V13" s="1"/>
      <c r="W13" s="1"/>
      <c r="X13" s="1"/>
      <c r="Y13" s="1"/>
      <c r="Z13" s="1"/>
      <c r="AA13" s="1"/>
      <c r="AB13" s="1"/>
      <c r="AC13" s="1"/>
    </row>
    <row r="14" spans="1:29" ht="12.75" customHeight="1" x14ac:dyDescent="0.25">
      <c r="A14" s="1"/>
      <c r="B14" s="1"/>
      <c r="C14" s="1"/>
      <c r="D14" s="1"/>
      <c r="E14" s="2" t="s">
        <v>99</v>
      </c>
      <c r="F14" s="33" t="s">
        <v>100</v>
      </c>
      <c r="G14" s="82"/>
      <c r="H14" s="83">
        <f ca="1">INDEX( '&gt;&gt; Valuation'!$H$77:$H$95, MATCH( '&gt;&gt; Dash'!E14, '&gt;&gt; Valuation'!$E$77:$E$95, 0 ) )</f>
        <v>1.3279873121617736</v>
      </c>
      <c r="I14" s="1"/>
      <c r="J14" s="1"/>
      <c r="K14" s="1"/>
      <c r="L14" s="1"/>
      <c r="M14" s="1"/>
      <c r="N14" s="1"/>
      <c r="O14" s="1"/>
      <c r="P14" s="1"/>
      <c r="Q14" s="1"/>
      <c r="R14" s="1"/>
      <c r="S14" s="1"/>
      <c r="T14" s="1"/>
      <c r="U14" s="1"/>
      <c r="V14" s="1"/>
      <c r="W14" s="1"/>
      <c r="X14" s="1"/>
      <c r="Y14" s="1"/>
      <c r="Z14" s="1"/>
      <c r="AA14" s="1"/>
      <c r="AB14" s="1"/>
      <c r="AC14" s="1"/>
    </row>
    <row r="15" spans="1:29" ht="12.75" customHeight="1" x14ac:dyDescent="0.25">
      <c r="A15" s="1"/>
      <c r="B15" s="1"/>
      <c r="C15" s="1"/>
      <c r="D15" s="1"/>
      <c r="E15" s="2" t="s">
        <v>101</v>
      </c>
      <c r="F15" s="33" t="s">
        <v>100</v>
      </c>
      <c r="G15" s="82"/>
      <c r="H15" s="83">
        <f ca="1">'&gt;&gt; Valuation'!H125</f>
        <v>1.2754545394520265</v>
      </c>
      <c r="I15" s="1"/>
      <c r="J15" s="1"/>
      <c r="K15" s="1"/>
      <c r="L15" s="1"/>
      <c r="M15" s="1"/>
      <c r="N15" s="1"/>
      <c r="O15" s="1"/>
      <c r="P15" s="1"/>
      <c r="Q15" s="1"/>
      <c r="R15" s="1"/>
      <c r="S15" s="1"/>
      <c r="T15" s="1"/>
      <c r="U15" s="1"/>
      <c r="V15" s="1"/>
      <c r="W15" s="1"/>
      <c r="X15" s="1"/>
      <c r="Y15" s="1"/>
      <c r="Z15" s="1"/>
      <c r="AA15" s="1"/>
      <c r="AB15" s="1"/>
      <c r="AC15" s="1"/>
    </row>
    <row r="16" spans="1:29" ht="12.75" customHeight="1" x14ac:dyDescent="0.25">
      <c r="A16" s="1"/>
      <c r="B16" s="1"/>
      <c r="C16" s="1"/>
      <c r="D16" s="1"/>
      <c r="E16" s="1" t="s">
        <v>102</v>
      </c>
      <c r="F16" s="33" t="s">
        <v>100</v>
      </c>
      <c r="G16" s="14"/>
      <c r="H16" s="84">
        <f t="array" aca="1" ref="H16" ca="1">INDEX( '&gt;&gt; Valuation'!$H$77:$H$95, MATCH( '&gt;&gt; Dash'!E16, '&gt;&gt; Valuation'!$E$77:$E$95, 0 ) )</f>
        <v>1.5283805975669853</v>
      </c>
      <c r="I16" s="1"/>
      <c r="J16" s="1"/>
      <c r="K16" s="1"/>
      <c r="L16" s="1"/>
      <c r="M16" s="1"/>
      <c r="N16" s="1"/>
      <c r="O16" s="1"/>
      <c r="P16" s="1"/>
      <c r="Q16" s="1"/>
      <c r="R16" s="1"/>
      <c r="S16" s="1"/>
      <c r="T16" s="1"/>
      <c r="U16" s="1"/>
      <c r="V16" s="1"/>
      <c r="W16" s="1"/>
      <c r="X16" s="1"/>
      <c r="Y16" s="1"/>
      <c r="Z16" s="1"/>
      <c r="AA16" s="1"/>
      <c r="AB16" s="1"/>
      <c r="AC16" s="1"/>
    </row>
    <row r="17" spans="1:29" ht="12.75" customHeight="1" x14ac:dyDescent="0.25">
      <c r="A17" s="1"/>
      <c r="B17" s="1"/>
      <c r="C17" s="1"/>
      <c r="D17" s="1"/>
      <c r="E17" s="2"/>
      <c r="F17" s="33"/>
      <c r="G17" s="82"/>
      <c r="H17" s="83"/>
      <c r="I17" s="1"/>
      <c r="J17" s="1"/>
      <c r="K17" s="1"/>
      <c r="L17" s="1"/>
      <c r="M17" s="1"/>
      <c r="N17" s="1"/>
      <c r="O17" s="1"/>
      <c r="P17" s="1"/>
      <c r="Q17" s="1"/>
      <c r="R17" s="1"/>
      <c r="S17" s="1"/>
      <c r="T17" s="1"/>
      <c r="U17" s="1"/>
      <c r="V17" s="1"/>
      <c r="W17" s="1"/>
      <c r="X17" s="1"/>
      <c r="Y17" s="1"/>
      <c r="Z17" s="1"/>
      <c r="AA17" s="1"/>
      <c r="AB17" s="1"/>
      <c r="AC17" s="1"/>
    </row>
    <row r="18" spans="1:29" ht="12.75" customHeight="1" x14ac:dyDescent="0.25">
      <c r="A18" s="1"/>
      <c r="B18" s="1"/>
      <c r="C18" s="1"/>
      <c r="D18" s="1"/>
      <c r="E18" s="1" t="s">
        <v>103</v>
      </c>
      <c r="F18" s="33" t="s">
        <v>100</v>
      </c>
      <c r="G18" s="82"/>
      <c r="H18" s="85">
        <f>'&gt;&gt; Inputs'!G21</f>
        <v>1.34</v>
      </c>
      <c r="I18" s="1"/>
      <c r="J18" s="1"/>
      <c r="K18" s="1"/>
      <c r="L18" s="1"/>
      <c r="M18" s="1"/>
      <c r="N18" s="1"/>
      <c r="O18" s="1"/>
      <c r="P18" s="1"/>
      <c r="Q18" s="1"/>
      <c r="R18" s="1"/>
      <c r="S18" s="1"/>
      <c r="T18" s="1"/>
      <c r="U18" s="1"/>
      <c r="V18" s="1"/>
      <c r="W18" s="1"/>
      <c r="X18" s="1"/>
      <c r="Y18" s="1"/>
      <c r="Z18" s="1"/>
      <c r="AA18" s="1"/>
      <c r="AB18" s="1"/>
      <c r="AC18" s="1"/>
    </row>
    <row r="19" spans="1:29" ht="12.75" customHeight="1" x14ac:dyDescent="0.25">
      <c r="A19" s="1"/>
      <c r="B19" s="1"/>
      <c r="C19" s="1"/>
      <c r="D19" s="1"/>
      <c r="E19" s="1" t="s">
        <v>104</v>
      </c>
      <c r="F19" s="33" t="s">
        <v>8</v>
      </c>
      <c r="G19" s="82"/>
      <c r="H19" s="86">
        <f t="array" aca="1" ref="H19" ca="1">INDEX( '&gt;&gt; Valuation'!$H$77:$H$95, MATCH( '&gt;&gt; Dash'!E19, '&gt;&gt; Valuation'!$E$77:$E$95, 0 ) )</f>
        <v>-8.9646924165869279E-3</v>
      </c>
      <c r="I19" s="1"/>
      <c r="J19" s="1"/>
      <c r="K19" s="1"/>
      <c r="L19" s="1"/>
      <c r="M19" s="1"/>
      <c r="N19" s="1"/>
      <c r="O19" s="1"/>
      <c r="P19" s="1"/>
      <c r="Q19" s="1"/>
      <c r="R19" s="1"/>
      <c r="S19" s="1"/>
      <c r="T19" s="1"/>
      <c r="U19" s="1"/>
      <c r="V19" s="1"/>
      <c r="W19" s="1"/>
      <c r="X19" s="1"/>
      <c r="Y19" s="1"/>
      <c r="Z19" s="1"/>
      <c r="AA19" s="1"/>
      <c r="AB19" s="1"/>
      <c r="AC19" s="1"/>
    </row>
    <row r="20" spans="1:29" ht="12.75" customHeight="1" x14ac:dyDescent="0.25">
      <c r="A20" s="1"/>
      <c r="B20" s="1"/>
      <c r="C20" s="1"/>
      <c r="D20" s="1"/>
      <c r="E20" s="1" t="s">
        <v>105</v>
      </c>
      <c r="F20" s="33" t="s">
        <v>8</v>
      </c>
      <c r="G20" s="82"/>
      <c r="H20" s="86">
        <f>'&gt;&gt; Inputs'!G22 / H18</f>
        <v>0</v>
      </c>
      <c r="I20" s="1"/>
      <c r="J20" s="1"/>
      <c r="K20" s="1"/>
      <c r="L20" s="1"/>
      <c r="M20" s="1"/>
      <c r="N20" s="1"/>
      <c r="O20" s="1"/>
      <c r="P20" s="1"/>
      <c r="Q20" s="1"/>
      <c r="R20" s="1"/>
      <c r="S20" s="1"/>
      <c r="T20" s="1"/>
      <c r="U20" s="1"/>
      <c r="V20" s="1"/>
      <c r="W20" s="1"/>
      <c r="X20" s="1"/>
      <c r="Y20" s="1"/>
      <c r="Z20" s="1"/>
      <c r="AA20" s="1"/>
      <c r="AB20" s="1"/>
      <c r="AC20" s="1"/>
    </row>
    <row r="21" spans="1:29" ht="12.75" customHeight="1" x14ac:dyDescent="0.25">
      <c r="A21" s="1"/>
      <c r="B21" s="1"/>
      <c r="C21" s="1"/>
      <c r="D21" s="1"/>
      <c r="E21" s="1" t="s">
        <v>9</v>
      </c>
      <c r="F21" s="33" t="s">
        <v>8</v>
      </c>
      <c r="G21" s="82"/>
      <c r="H21" s="41">
        <f t="array" ref="H21">INDEX( '&gt;&gt; Valuation'!$H$77:$H$95, MATCH( '&gt;&gt; Dash'!E21, '&gt;&gt; Valuation'!$E$77:$E$95, 0 ) )</f>
        <v>0.15090000000000001</v>
      </c>
      <c r="I21" s="1"/>
      <c r="J21" s="1"/>
      <c r="K21" s="1"/>
      <c r="L21" s="1"/>
      <c r="M21" s="1"/>
      <c r="N21" s="1"/>
      <c r="O21" s="1"/>
      <c r="P21" s="1"/>
      <c r="Q21" s="1"/>
      <c r="R21" s="1"/>
      <c r="S21" s="1"/>
      <c r="T21" s="1"/>
      <c r="U21" s="1"/>
      <c r="V21" s="1"/>
      <c r="W21" s="1"/>
      <c r="X21" s="1"/>
      <c r="Y21" s="1"/>
      <c r="Z21" s="1"/>
      <c r="AA21" s="1"/>
      <c r="AB21" s="1"/>
      <c r="AC21" s="1"/>
    </row>
    <row r="22" spans="1:29" ht="12.75" customHeight="1" x14ac:dyDescent="0.25">
      <c r="A22" s="1"/>
      <c r="B22" s="1"/>
      <c r="C22" s="1"/>
      <c r="D22" s="1"/>
      <c r="E22" s="1" t="s">
        <v>106</v>
      </c>
      <c r="F22" s="33" t="s">
        <v>8</v>
      </c>
      <c r="G22" s="82"/>
      <c r="H22" s="41">
        <f>U47</f>
        <v>0.11343075168</v>
      </c>
      <c r="I22" s="1"/>
      <c r="J22" s="1"/>
      <c r="K22" s="1"/>
      <c r="L22" s="1"/>
      <c r="M22" s="1"/>
      <c r="N22" s="1"/>
      <c r="O22" s="1"/>
      <c r="P22" s="1"/>
      <c r="Q22" s="1"/>
      <c r="R22" s="1"/>
      <c r="S22" s="1"/>
      <c r="T22" s="1"/>
      <c r="U22" s="1"/>
      <c r="V22" s="1"/>
      <c r="W22" s="1"/>
      <c r="X22" s="1"/>
      <c r="Y22" s="1"/>
      <c r="Z22" s="1"/>
      <c r="AA22" s="1"/>
      <c r="AB22" s="1"/>
      <c r="AC22" s="1"/>
    </row>
    <row r="23" spans="1:29" ht="6.75" customHeight="1" x14ac:dyDescent="0.25">
      <c r="A23" s="1"/>
      <c r="B23" s="1"/>
      <c r="C23" s="1"/>
      <c r="D23" s="1"/>
      <c r="E23" s="1"/>
      <c r="F23" s="33"/>
      <c r="G23" s="1"/>
      <c r="H23" s="1"/>
      <c r="I23" s="1"/>
      <c r="J23" s="1"/>
      <c r="K23" s="1"/>
      <c r="L23" s="1"/>
      <c r="M23" s="1"/>
      <c r="N23" s="1"/>
      <c r="O23" s="1"/>
      <c r="P23" s="1"/>
      <c r="Q23" s="1"/>
      <c r="R23" s="1"/>
      <c r="S23" s="1"/>
      <c r="T23" s="1"/>
      <c r="U23" s="1"/>
      <c r="V23" s="1"/>
      <c r="W23" s="1"/>
      <c r="X23" s="1"/>
      <c r="Y23" s="1"/>
      <c r="Z23" s="1"/>
      <c r="AA23" s="1"/>
      <c r="AB23" s="1"/>
      <c r="AC23" s="1"/>
    </row>
    <row r="24" spans="1:29" ht="12.75" customHeight="1" x14ac:dyDescent="0.25">
      <c r="A24" s="1"/>
      <c r="B24" s="1"/>
      <c r="C24" s="1"/>
      <c r="D24" s="1"/>
      <c r="E24" s="1" t="s">
        <v>107</v>
      </c>
      <c r="F24" s="33" t="s">
        <v>52</v>
      </c>
      <c r="G24" s="33"/>
      <c r="H24" s="45">
        <f t="array" aca="1" ref="H24" ca="1">INDEX( '&gt;&gt; Valuation'!$H$77:$H$98, MATCH( '&gt;&gt; Dash'!E24, '&gt;&gt; Valuation'!$E$77:$E$98, 0 ) )</f>
        <v>6.0366275060155434</v>
      </c>
      <c r="I24" s="1"/>
      <c r="J24" s="1"/>
      <c r="K24" s="1"/>
      <c r="L24" s="1"/>
      <c r="M24" s="1"/>
      <c r="N24" s="1"/>
      <c r="O24" s="1"/>
      <c r="P24" s="1"/>
      <c r="Q24" s="1"/>
      <c r="R24" s="1"/>
      <c r="S24" s="1"/>
      <c r="T24" s="1"/>
      <c r="U24" s="1"/>
      <c r="V24" s="1"/>
      <c r="W24" s="1"/>
      <c r="X24" s="1"/>
      <c r="Y24" s="1"/>
      <c r="Z24" s="1"/>
      <c r="AA24" s="1"/>
      <c r="AB24" s="1"/>
      <c r="AC24" s="1"/>
    </row>
    <row r="25" spans="1:29" ht="12.75" customHeight="1" x14ac:dyDescent="0.25">
      <c r="A25" s="1"/>
      <c r="B25" s="1"/>
      <c r="C25" s="1"/>
      <c r="D25" s="1"/>
      <c r="E25" s="1" t="s">
        <v>108</v>
      </c>
      <c r="F25" s="33" t="s">
        <v>52</v>
      </c>
      <c r="G25" s="33"/>
      <c r="H25" s="45">
        <f t="array" aca="1" ref="H25" ca="1">INDEX( '&gt;&gt; Valuation'!$H$77:$H$98, MATCH( '&gt;&gt; Dash'!E25, '&gt;&gt; Valuation'!$E$77:$E$98, 0 ) )</f>
        <v>9.3438845950086016</v>
      </c>
      <c r="I25" s="1"/>
      <c r="J25" s="1"/>
      <c r="K25" s="1"/>
      <c r="L25" s="1"/>
      <c r="M25" s="1"/>
      <c r="N25" s="1"/>
      <c r="O25" s="1"/>
      <c r="P25" s="1"/>
      <c r="Q25" s="1"/>
      <c r="R25" s="1"/>
      <c r="S25" s="1"/>
      <c r="T25" s="1"/>
      <c r="U25" s="1"/>
      <c r="V25" s="1"/>
      <c r="W25" s="1"/>
      <c r="X25" s="1"/>
      <c r="Y25" s="1"/>
      <c r="Z25" s="1"/>
      <c r="AA25" s="1"/>
      <c r="AB25" s="1"/>
      <c r="AC25" s="1"/>
    </row>
    <row r="26" spans="1:29" ht="12.75" customHeight="1" x14ac:dyDescent="0.25">
      <c r="A26" s="1"/>
      <c r="B26" s="1"/>
      <c r="C26" s="1"/>
      <c r="D26" s="1"/>
      <c r="E26" s="1" t="s">
        <v>109</v>
      </c>
      <c r="F26" s="33" t="s">
        <v>52</v>
      </c>
      <c r="G26" s="33"/>
      <c r="H26" s="45">
        <f t="array" ref="H26">INDEX( '&gt;&gt; Valuation'!$H$77:$H$98, MATCH( '&gt;&gt; Dash'!E26, '&gt;&gt; Valuation'!$E$77:$E$98, 0 ) )</f>
        <v>6.6874177669708512</v>
      </c>
      <c r="I26" s="1"/>
      <c r="J26" s="1"/>
      <c r="K26" s="1"/>
      <c r="L26" s="1"/>
      <c r="M26" s="1"/>
      <c r="N26" s="1"/>
      <c r="O26" s="1"/>
      <c r="P26" s="1"/>
      <c r="Q26" s="1"/>
      <c r="R26" s="1"/>
      <c r="S26" s="1"/>
      <c r="T26" s="1"/>
      <c r="U26" s="1"/>
      <c r="V26" s="1"/>
      <c r="W26" s="1"/>
      <c r="X26" s="1"/>
      <c r="Y26" s="1"/>
      <c r="Z26" s="1"/>
      <c r="AA26" s="1"/>
      <c r="AB26" s="1"/>
      <c r="AC26" s="1"/>
    </row>
    <row r="27" spans="1:29" ht="12.75" customHeight="1" x14ac:dyDescent="0.25">
      <c r="A27" s="1"/>
      <c r="B27" s="1"/>
      <c r="C27" s="1"/>
      <c r="D27" s="1"/>
      <c r="E27" s="1" t="s">
        <v>110</v>
      </c>
      <c r="F27" s="33" t="s">
        <v>52</v>
      </c>
      <c r="G27" s="33"/>
      <c r="H27" s="45">
        <f t="array" ref="H27">INDEX( '&gt;&gt; Valuation'!$H$77:$H$98, MATCH( '&gt;&gt; Dash'!E27, '&gt;&gt; Valuation'!$E$77:$E$98, 0 ) )</f>
        <v>11.464153250337223</v>
      </c>
      <c r="I27" s="1"/>
      <c r="J27" s="1"/>
      <c r="K27" s="1"/>
      <c r="L27" s="1"/>
      <c r="M27" s="1"/>
      <c r="N27" s="1"/>
      <c r="O27" s="1"/>
      <c r="P27" s="1"/>
      <c r="Q27" s="1"/>
      <c r="R27" s="1"/>
      <c r="S27" s="1"/>
      <c r="T27" s="1"/>
      <c r="U27" s="1"/>
      <c r="V27" s="1"/>
      <c r="W27" s="1"/>
      <c r="X27" s="1"/>
      <c r="Y27" s="1"/>
      <c r="Z27" s="1"/>
      <c r="AA27" s="1"/>
      <c r="AB27" s="1"/>
      <c r="AC27" s="1"/>
    </row>
    <row r="28" spans="1:29" ht="8.25" customHeight="1" x14ac:dyDescent="0.25">
      <c r="A28" s="1"/>
      <c r="B28" s="1"/>
      <c r="C28" s="1"/>
      <c r="D28" s="1"/>
      <c r="E28" s="1"/>
      <c r="F28" s="33"/>
      <c r="G28" s="33"/>
      <c r="H28" s="45"/>
      <c r="I28" s="1"/>
      <c r="J28" s="1"/>
      <c r="K28" s="1"/>
      <c r="L28" s="1"/>
      <c r="M28" s="1"/>
      <c r="N28" s="1"/>
      <c r="O28" s="1"/>
      <c r="P28" s="1"/>
      <c r="Q28" s="1"/>
      <c r="R28" s="1"/>
      <c r="S28" s="1"/>
      <c r="T28" s="1"/>
      <c r="U28" s="1"/>
      <c r="V28" s="1"/>
      <c r="W28" s="1"/>
      <c r="X28" s="1"/>
      <c r="Y28" s="1"/>
      <c r="Z28" s="1"/>
      <c r="AA28" s="1"/>
      <c r="AB28" s="1"/>
      <c r="AC28" s="1"/>
    </row>
    <row r="29" spans="1:29" ht="12.75" customHeight="1" x14ac:dyDescent="0.25">
      <c r="A29" s="1"/>
      <c r="B29" s="1"/>
      <c r="C29" s="1"/>
      <c r="D29" s="2" t="s">
        <v>111</v>
      </c>
      <c r="E29" s="1"/>
      <c r="F29" s="33"/>
      <c r="G29" s="33"/>
      <c r="H29" s="45"/>
      <c r="I29" s="1"/>
      <c r="J29" s="1"/>
      <c r="K29" s="1"/>
      <c r="L29" s="1"/>
      <c r="M29" s="1"/>
      <c r="N29" s="1"/>
      <c r="O29" s="1"/>
      <c r="P29" s="1"/>
      <c r="Q29" s="1"/>
      <c r="R29" s="1"/>
      <c r="S29" s="1"/>
      <c r="T29" s="1"/>
      <c r="U29" s="1"/>
      <c r="V29" s="1"/>
      <c r="W29" s="1"/>
      <c r="X29" s="1"/>
      <c r="Y29" s="1"/>
      <c r="Z29" s="1"/>
      <c r="AA29" s="1"/>
      <c r="AB29" s="1"/>
      <c r="AC29" s="1"/>
    </row>
    <row r="30" spans="1:29" ht="12.75" customHeight="1" x14ac:dyDescent="0.25">
      <c r="A30" s="1"/>
      <c r="B30" s="1"/>
      <c r="C30" s="1"/>
      <c r="D30" s="1"/>
      <c r="E30" s="1" t="s">
        <v>112</v>
      </c>
      <c r="F30" s="33" t="s">
        <v>8</v>
      </c>
      <c r="G30" s="33"/>
      <c r="H30" s="41">
        <f ca="1">H19</f>
        <v>-8.9646924165869279E-3</v>
      </c>
      <c r="I30" s="1"/>
      <c r="J30" s="1"/>
      <c r="K30" s="1"/>
      <c r="L30" s="1"/>
      <c r="M30" s="1"/>
      <c r="N30" s="1"/>
      <c r="O30" s="1"/>
      <c r="P30" s="1"/>
      <c r="Q30" s="1"/>
      <c r="R30" s="1"/>
      <c r="S30" s="1"/>
      <c r="T30" s="1"/>
      <c r="U30" s="1"/>
      <c r="V30" s="1"/>
      <c r="W30" s="1"/>
      <c r="X30" s="1"/>
      <c r="Y30" s="1"/>
      <c r="Z30" s="1"/>
      <c r="AA30" s="1"/>
      <c r="AB30" s="1"/>
      <c r="AC30" s="1"/>
    </row>
    <row r="31" spans="1:29" ht="12.75" customHeight="1" x14ac:dyDescent="0.25">
      <c r="A31" s="1"/>
      <c r="B31" s="1"/>
      <c r="C31" s="1"/>
      <c r="D31" s="1"/>
      <c r="E31" s="1" t="s">
        <v>113</v>
      </c>
      <c r="F31" s="33" t="s">
        <v>8</v>
      </c>
      <c r="G31" s="33"/>
      <c r="H31" s="41">
        <f>H20</f>
        <v>0</v>
      </c>
      <c r="I31" s="1"/>
      <c r="J31" s="1"/>
      <c r="K31" s="1"/>
      <c r="L31" s="1"/>
      <c r="M31" s="1"/>
      <c r="N31" s="1"/>
      <c r="O31" s="1"/>
      <c r="P31" s="1"/>
      <c r="Q31" s="1"/>
      <c r="R31" s="1"/>
      <c r="S31" s="1"/>
      <c r="T31" s="1"/>
      <c r="U31" s="1"/>
      <c r="V31" s="1"/>
      <c r="W31" s="1"/>
      <c r="X31" s="1"/>
      <c r="Y31" s="1"/>
      <c r="Z31" s="1"/>
      <c r="AA31" s="1"/>
      <c r="AB31" s="1"/>
      <c r="AC31" s="1"/>
    </row>
    <row r="32" spans="1:29" ht="12.75" customHeight="1" x14ac:dyDescent="0.25">
      <c r="A32" s="1"/>
      <c r="B32" s="1"/>
      <c r="C32" s="1"/>
      <c r="D32" s="1"/>
      <c r="E32" s="1" t="s">
        <v>114</v>
      </c>
      <c r="F32" s="33" t="s">
        <v>8</v>
      </c>
      <c r="G32" s="33"/>
      <c r="H32" s="41">
        <f ca="1">H30 + H31</f>
        <v>-8.9646924165869279E-3</v>
      </c>
      <c r="I32" s="1"/>
      <c r="J32" s="1"/>
      <c r="K32" s="1"/>
      <c r="L32" s="1"/>
      <c r="M32" s="1"/>
      <c r="N32" s="1"/>
      <c r="O32" s="1"/>
      <c r="P32" s="1"/>
      <c r="Q32" s="1"/>
      <c r="R32" s="1"/>
      <c r="S32" s="1"/>
      <c r="T32" s="1"/>
      <c r="U32" s="1"/>
      <c r="V32" s="1"/>
      <c r="W32" s="1"/>
      <c r="X32" s="1"/>
      <c r="Y32" s="1"/>
      <c r="Z32" s="1"/>
      <c r="AA32" s="1"/>
      <c r="AB32" s="1"/>
      <c r="AC32" s="1"/>
    </row>
    <row r="33" spans="1:29" ht="12"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2.75" hidden="1" customHeight="1" outlineLevel="1" x14ac:dyDescent="0.25">
      <c r="A34" s="1"/>
      <c r="B34" s="1"/>
      <c r="C34" s="1"/>
      <c r="D34" s="1"/>
      <c r="E34" s="13" t="s">
        <v>115</v>
      </c>
      <c r="F34" s="13" t="s">
        <v>116</v>
      </c>
      <c r="G34" s="13"/>
      <c r="H34" s="13">
        <v>0.94310000000000005</v>
      </c>
      <c r="I34" s="1"/>
      <c r="J34" s="1"/>
      <c r="K34" s="1"/>
      <c r="L34" s="1"/>
      <c r="M34" s="1"/>
      <c r="N34" s="1"/>
      <c r="O34" s="1"/>
      <c r="P34" s="1"/>
      <c r="Q34" s="1"/>
      <c r="R34" s="1"/>
      <c r="S34" s="1"/>
      <c r="T34" s="1"/>
      <c r="U34" s="1"/>
      <c r="V34" s="1"/>
      <c r="W34" s="1"/>
      <c r="X34" s="1"/>
      <c r="Y34" s="1"/>
      <c r="Z34" s="1"/>
      <c r="AA34" s="1"/>
      <c r="AB34" s="1"/>
      <c r="AC34" s="1"/>
    </row>
    <row r="35" spans="1:29" ht="12.75" customHeight="1" collapsed="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2.75" customHeight="1" x14ac:dyDescent="0.25">
      <c r="A36" s="1"/>
      <c r="B36" s="1"/>
      <c r="C36" s="3"/>
      <c r="D36" s="3"/>
      <c r="E36" s="4" t="s">
        <v>117</v>
      </c>
      <c r="F36" s="3"/>
      <c r="G36" s="3"/>
      <c r="H36" s="3"/>
      <c r="I36" s="3"/>
      <c r="J36" s="3"/>
      <c r="K36" s="3"/>
      <c r="L36" s="3"/>
      <c r="M36" s="3"/>
      <c r="N36" s="3"/>
      <c r="O36" s="3"/>
      <c r="P36" s="3"/>
      <c r="Q36" s="3"/>
      <c r="R36" s="3"/>
      <c r="S36" s="3"/>
      <c r="T36" s="3"/>
      <c r="U36" s="3"/>
      <c r="V36" s="3"/>
      <c r="W36" s="3"/>
      <c r="X36" s="3"/>
      <c r="Y36" s="3"/>
      <c r="Z36" s="3"/>
      <c r="AA36" s="3"/>
      <c r="AB36" s="1"/>
      <c r="AC36" s="1"/>
    </row>
    <row r="37" spans="1:29" ht="12.75" customHeight="1" x14ac:dyDescent="0.25">
      <c r="A37" s="1"/>
      <c r="B37" s="1"/>
      <c r="C37" s="6"/>
      <c r="D37" s="6"/>
      <c r="E37" s="6"/>
      <c r="F37" s="6"/>
      <c r="G37" s="6"/>
      <c r="H37" s="6"/>
      <c r="I37" s="6"/>
      <c r="J37" s="6"/>
      <c r="K37" s="6"/>
      <c r="L37" s="6"/>
      <c r="M37" s="6"/>
      <c r="N37" s="6"/>
      <c r="O37" s="6"/>
      <c r="P37" s="6"/>
      <c r="Q37" s="6"/>
      <c r="R37" s="6"/>
      <c r="S37" s="6"/>
      <c r="T37" s="6"/>
      <c r="U37" s="6"/>
      <c r="V37" s="6"/>
      <c r="W37" s="6"/>
      <c r="X37" s="6"/>
      <c r="Y37" s="6"/>
      <c r="Z37" s="6"/>
      <c r="AA37" s="6"/>
      <c r="AB37" s="1"/>
      <c r="AC37" s="1"/>
    </row>
    <row r="38" spans="1:29" ht="12.75" customHeight="1" x14ac:dyDescent="0.25">
      <c r="A38" s="1"/>
      <c r="B38" s="1"/>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
      <c r="AC38" s="1"/>
    </row>
    <row r="39" spans="1:29" ht="12.75" customHeight="1" x14ac:dyDescent="0.25">
      <c r="A39" s="1"/>
      <c r="B39" s="1"/>
      <c r="C39" s="1"/>
      <c r="D39" s="2" t="s">
        <v>118</v>
      </c>
      <c r="E39" s="1"/>
      <c r="F39" s="1"/>
      <c r="G39" s="1"/>
      <c r="H39" s="1"/>
      <c r="I39" s="1"/>
      <c r="J39" s="1"/>
      <c r="K39" s="1"/>
      <c r="L39" s="1"/>
      <c r="M39" s="1"/>
      <c r="N39" s="1"/>
      <c r="O39" s="1"/>
      <c r="P39" s="1"/>
      <c r="Q39" s="1"/>
      <c r="R39" s="2" t="s">
        <v>119</v>
      </c>
      <c r="S39" s="1"/>
      <c r="T39" s="1"/>
      <c r="U39" s="1"/>
      <c r="V39" s="1"/>
      <c r="W39" s="1"/>
      <c r="X39" s="2" t="s">
        <v>120</v>
      </c>
      <c r="Y39" s="1"/>
      <c r="Z39" s="1"/>
      <c r="AA39" s="1"/>
      <c r="AB39" s="1"/>
      <c r="AC39" s="1"/>
    </row>
    <row r="40" spans="1:29" ht="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0.5" customHeight="1" x14ac:dyDescent="0.25">
      <c r="A41" s="1"/>
      <c r="B41" s="1"/>
      <c r="C41" s="1"/>
      <c r="D41" s="1"/>
      <c r="E41" s="1" t="s">
        <v>121</v>
      </c>
      <c r="F41" s="33" t="s">
        <v>8</v>
      </c>
      <c r="G41" s="14"/>
      <c r="H41" s="87">
        <v>1.6500000000000001E-2</v>
      </c>
      <c r="I41" s="28"/>
      <c r="J41" s="1"/>
      <c r="K41" s="1"/>
      <c r="L41" s="1"/>
      <c r="M41" s="1"/>
      <c r="N41" s="1"/>
      <c r="O41" s="1"/>
      <c r="P41" s="1"/>
      <c r="Q41" s="1"/>
      <c r="R41" s="1" t="s">
        <v>122</v>
      </c>
      <c r="S41" s="14" t="s">
        <v>8</v>
      </c>
      <c r="T41" s="1"/>
      <c r="U41" s="87">
        <v>0.01</v>
      </c>
      <c r="V41" s="1"/>
      <c r="W41" s="1"/>
      <c r="X41" s="1" t="s">
        <v>123</v>
      </c>
      <c r="Y41" s="1"/>
      <c r="Z41" s="87">
        <v>0.28000000000000003</v>
      </c>
      <c r="AA41" s="88"/>
      <c r="AB41" s="88"/>
      <c r="AC41" s="1"/>
    </row>
    <row r="42" spans="1:29" ht="11.25" customHeight="1" x14ac:dyDescent="0.25">
      <c r="A42" s="1"/>
      <c r="B42" s="1"/>
      <c r="C42" s="1"/>
      <c r="D42" s="1"/>
      <c r="E42" s="1" t="s">
        <v>124</v>
      </c>
      <c r="F42" s="33" t="s">
        <v>8</v>
      </c>
      <c r="G42" s="14"/>
      <c r="H42" s="89">
        <v>0.1</v>
      </c>
      <c r="I42" s="28"/>
      <c r="J42" s="1"/>
      <c r="K42" s="1"/>
      <c r="L42" s="1"/>
      <c r="M42" s="1"/>
      <c r="N42" s="1"/>
      <c r="O42" s="1"/>
      <c r="P42" s="1"/>
      <c r="Q42" s="1"/>
      <c r="R42" s="1" t="s">
        <v>125</v>
      </c>
      <c r="S42" s="14" t="s">
        <v>8</v>
      </c>
      <c r="T42" s="1"/>
      <c r="U42" s="90">
        <v>0.1</v>
      </c>
      <c r="V42" s="1"/>
      <c r="W42" s="1"/>
      <c r="X42" s="1" t="s">
        <v>126</v>
      </c>
      <c r="Y42" s="1"/>
      <c r="Z42" s="90">
        <v>4.1500000000000002E-2</v>
      </c>
      <c r="AA42" s="88"/>
      <c r="AB42" s="88"/>
      <c r="AC42" s="1"/>
    </row>
    <row r="43" spans="1:29" ht="12.75" customHeight="1" x14ac:dyDescent="0.25">
      <c r="A43" s="1"/>
      <c r="B43" s="1"/>
      <c r="C43" s="1"/>
      <c r="D43" s="1"/>
      <c r="E43" s="33"/>
      <c r="F43" s="1"/>
      <c r="G43" s="1"/>
      <c r="H43" s="1"/>
      <c r="I43" s="1"/>
      <c r="J43" s="1"/>
      <c r="K43" s="1"/>
      <c r="L43" s="1"/>
      <c r="M43" s="1"/>
      <c r="N43" s="1"/>
      <c r="O43" s="1"/>
      <c r="P43" s="1"/>
      <c r="Q43" s="1"/>
      <c r="R43" s="1"/>
      <c r="S43" s="1"/>
      <c r="T43" s="1"/>
      <c r="U43" s="1"/>
      <c r="V43" s="1"/>
      <c r="W43" s="1"/>
      <c r="X43" s="1" t="s">
        <v>127</v>
      </c>
      <c r="Y43" s="1"/>
      <c r="Z43" s="90">
        <v>7.0000000000000007E-2</v>
      </c>
      <c r="AA43" s="88"/>
      <c r="AB43" s="88"/>
      <c r="AC43" s="1"/>
    </row>
    <row r="44" spans="1:29" ht="12.75" customHeight="1" x14ac:dyDescent="0.25">
      <c r="A44" s="1"/>
      <c r="B44" s="1"/>
      <c r="C44" s="1"/>
      <c r="D44" s="1"/>
      <c r="E44" s="91" t="s">
        <v>128</v>
      </c>
      <c r="F44" s="14" t="s">
        <v>8</v>
      </c>
      <c r="G44" s="1"/>
      <c r="H44" s="464">
        <f>H47</f>
        <v>0.30217769687692819</v>
      </c>
      <c r="I44" s="1"/>
      <c r="J44" s="1"/>
      <c r="K44" s="1"/>
      <c r="L44" s="1"/>
      <c r="M44" s="1"/>
      <c r="N44" s="1"/>
      <c r="O44" s="1"/>
      <c r="P44" s="1"/>
      <c r="Q44" s="1"/>
      <c r="R44" s="1"/>
      <c r="S44" s="1"/>
      <c r="T44" s="1"/>
      <c r="U44" s="1"/>
      <c r="V44" s="1"/>
      <c r="W44" s="1"/>
      <c r="X44" s="1" t="s">
        <v>49</v>
      </c>
      <c r="Y44" s="1"/>
      <c r="Z44" s="90">
        <v>0.02</v>
      </c>
      <c r="AA44" s="88"/>
      <c r="AB44" s="88"/>
      <c r="AC44" s="1"/>
    </row>
    <row r="45" spans="1:29" ht="12.75" customHeight="1" x14ac:dyDescent="0.25">
      <c r="A45" s="1"/>
      <c r="B45" s="1"/>
      <c r="C45" s="1"/>
      <c r="D45" s="1"/>
      <c r="E45" s="91" t="s">
        <v>129</v>
      </c>
      <c r="F45" s="14" t="s">
        <v>8</v>
      </c>
      <c r="G45" s="1"/>
      <c r="H45" s="464">
        <f>H44</f>
        <v>0.30217769687692819</v>
      </c>
      <c r="I45" s="1"/>
      <c r="J45" s="1"/>
      <c r="K45" s="1"/>
      <c r="L45" s="1"/>
      <c r="M45" s="1"/>
      <c r="N45" s="1"/>
      <c r="O45" s="1"/>
      <c r="P45" s="1"/>
      <c r="Q45" s="1"/>
      <c r="R45" s="1"/>
      <c r="S45" s="1"/>
      <c r="T45" s="1"/>
      <c r="U45" s="1"/>
      <c r="V45" s="1"/>
      <c r="W45" s="1"/>
      <c r="X45" s="1"/>
      <c r="Y45" s="1"/>
      <c r="Z45" s="92"/>
      <c r="AA45" s="88"/>
      <c r="AB45" s="88"/>
      <c r="AC45" s="1"/>
    </row>
    <row r="46" spans="1:29" ht="12.75" customHeight="1" x14ac:dyDescent="0.25">
      <c r="A46" s="1"/>
      <c r="B46" s="1"/>
      <c r="C46" s="1"/>
      <c r="D46" s="1"/>
      <c r="E46" s="91" t="s">
        <v>130</v>
      </c>
      <c r="F46" s="14" t="s">
        <v>8</v>
      </c>
      <c r="G46" s="1"/>
      <c r="H46" s="464">
        <f>H45</f>
        <v>0.30217769687692819</v>
      </c>
      <c r="I46" s="1"/>
      <c r="J46" s="1"/>
      <c r="K46" s="1"/>
      <c r="L46" s="1"/>
      <c r="M46" s="1"/>
      <c r="N46" s="1"/>
      <c r="O46" s="1"/>
      <c r="P46" s="1"/>
      <c r="Q46" s="1"/>
      <c r="R46" s="1"/>
      <c r="S46" s="1"/>
      <c r="T46" s="1"/>
      <c r="U46" s="1"/>
      <c r="V46" s="1"/>
      <c r="W46" s="1"/>
      <c r="X46" s="1"/>
      <c r="Y46" s="1"/>
      <c r="Z46" s="1"/>
      <c r="AA46" s="88"/>
      <c r="AB46" s="88"/>
      <c r="AC46" s="1"/>
    </row>
    <row r="47" spans="1:29" ht="12.75" customHeight="1" x14ac:dyDescent="0.25">
      <c r="A47" s="1"/>
      <c r="B47" s="1"/>
      <c r="C47" s="1"/>
      <c r="D47" s="1"/>
      <c r="E47" s="1" t="s">
        <v>48</v>
      </c>
      <c r="F47" s="14" t="s">
        <v>8</v>
      </c>
      <c r="G47" s="1"/>
      <c r="H47" s="464">
        <f>'&gt;&gt; SKC segments'!Y53</f>
        <v>0.30217769687692819</v>
      </c>
      <c r="I47" s="41">
        <f>1.5% / H44</f>
        <v>4.9639666179960469E-2</v>
      </c>
      <c r="J47" s="1"/>
      <c r="K47" s="1"/>
      <c r="L47" s="1"/>
      <c r="M47" s="1"/>
      <c r="N47" s="1"/>
      <c r="O47" s="1"/>
      <c r="P47" s="1"/>
      <c r="Q47" s="1"/>
      <c r="R47" s="1" t="s">
        <v>7</v>
      </c>
      <c r="S47" s="14" t="s">
        <v>8</v>
      </c>
      <c r="T47" s="1"/>
      <c r="U47" s="93">
        <f>(Z50*(1-Z49))+(Z51*Z49*(1-Z41))</f>
        <v>0.11343075168</v>
      </c>
      <c r="V47" s="1"/>
      <c r="W47" s="1"/>
      <c r="X47" s="1" t="s">
        <v>131</v>
      </c>
      <c r="Y47" s="1"/>
      <c r="Z47" s="94">
        <v>0.75</v>
      </c>
      <c r="AA47" s="88"/>
      <c r="AB47" s="88"/>
      <c r="AC47" s="1"/>
    </row>
    <row r="48" spans="1:29" ht="12.75" customHeight="1" x14ac:dyDescent="0.25">
      <c r="A48" s="1"/>
      <c r="B48" s="1"/>
      <c r="C48" s="1"/>
      <c r="D48" s="1"/>
      <c r="E48" s="1" t="s">
        <v>49</v>
      </c>
      <c r="F48" s="14" t="s">
        <v>8</v>
      </c>
      <c r="G48" s="1"/>
      <c r="H48" s="89">
        <v>0.02</v>
      </c>
      <c r="I48" s="1"/>
      <c r="J48" s="17" t="s">
        <v>132</v>
      </c>
      <c r="K48" s="1"/>
      <c r="L48" s="1"/>
      <c r="M48" s="1"/>
      <c r="N48" s="1"/>
      <c r="O48" s="1"/>
      <c r="P48" s="1"/>
      <c r="Q48" s="1"/>
      <c r="R48" s="1" t="s">
        <v>51</v>
      </c>
      <c r="S48" s="14" t="s">
        <v>52</v>
      </c>
      <c r="T48" s="1"/>
      <c r="U48" s="95">
        <v>8</v>
      </c>
      <c r="V48" s="1"/>
      <c r="W48" s="1"/>
      <c r="X48" s="1" t="s">
        <v>133</v>
      </c>
      <c r="Y48" s="1"/>
      <c r="Z48" s="96">
        <f>Z47*(1+Z49/(1-W10))</f>
        <v>1.0485000000000002</v>
      </c>
      <c r="AA48" s="88"/>
      <c r="AB48" s="88"/>
      <c r="AC48" s="1"/>
    </row>
    <row r="49" spans="1:29" ht="12.75" customHeight="1" x14ac:dyDescent="0.25">
      <c r="A49" s="1"/>
      <c r="B49" s="1"/>
      <c r="C49" s="1"/>
      <c r="D49" s="1"/>
      <c r="E49" s="33"/>
      <c r="F49" s="1"/>
      <c r="G49" s="1"/>
      <c r="H49" s="1"/>
      <c r="I49" s="1"/>
      <c r="J49" s="1"/>
      <c r="K49" s="1"/>
      <c r="L49" s="1"/>
      <c r="M49" s="1"/>
      <c r="N49" s="1"/>
      <c r="O49" s="1"/>
      <c r="P49" s="1"/>
      <c r="Q49" s="1"/>
      <c r="R49" s="1" t="s">
        <v>134</v>
      </c>
      <c r="S49" s="14" t="s">
        <v>52</v>
      </c>
      <c r="T49" s="1"/>
      <c r="U49" s="97" t="s">
        <v>135</v>
      </c>
      <c r="V49" s="1"/>
      <c r="W49" s="1"/>
      <c r="X49" s="1" t="s">
        <v>136</v>
      </c>
      <c r="Y49" s="1"/>
      <c r="Z49" s="90">
        <v>0.39800000000000002</v>
      </c>
      <c r="AA49" s="1"/>
      <c r="AB49" s="1">
        <v>6.5315000000000003</v>
      </c>
      <c r="AC49" s="1"/>
    </row>
    <row r="50" spans="1:29" ht="12.75" customHeight="1" x14ac:dyDescent="0.25">
      <c r="A50" s="1"/>
      <c r="B50" s="1"/>
      <c r="C50" s="1"/>
      <c r="D50" s="1"/>
      <c r="E50" s="1" t="s">
        <v>137</v>
      </c>
      <c r="F50" s="33" t="s">
        <v>52</v>
      </c>
      <c r="G50" s="33"/>
      <c r="H50" s="98">
        <f>'&gt;&gt; Inputs'!G55</f>
        <v>8</v>
      </c>
      <c r="I50" s="98"/>
      <c r="J50" s="1"/>
      <c r="K50" s="17" t="s">
        <v>138</v>
      </c>
      <c r="L50" s="1"/>
      <c r="M50" s="1"/>
      <c r="N50" s="1"/>
      <c r="O50" s="1"/>
      <c r="P50" s="1"/>
      <c r="Q50" s="1"/>
      <c r="R50" s="1" t="s">
        <v>139</v>
      </c>
      <c r="S50" s="14" t="s">
        <v>8</v>
      </c>
      <c r="T50" s="1"/>
      <c r="U50" s="99">
        <f>U47</f>
        <v>0.11343075168</v>
      </c>
      <c r="V50" s="1"/>
      <c r="W50" s="1"/>
      <c r="X50" s="1" t="s">
        <v>9</v>
      </c>
      <c r="Y50" s="1"/>
      <c r="Z50" s="90">
        <v>0.15090000000000001</v>
      </c>
      <c r="AA50" s="1"/>
      <c r="AB50" s="1"/>
      <c r="AC50" s="1"/>
    </row>
    <row r="51" spans="1:29" ht="12.75" customHeight="1" x14ac:dyDescent="0.25">
      <c r="A51" s="1"/>
      <c r="B51" s="1"/>
      <c r="C51" s="1"/>
      <c r="D51" s="1"/>
      <c r="E51" s="1" t="s">
        <v>140</v>
      </c>
      <c r="F51" s="33" t="s">
        <v>8</v>
      </c>
      <c r="G51" s="33"/>
      <c r="H51" s="100">
        <f>'&gt;&gt; Inputs'!G54</f>
        <v>0.02</v>
      </c>
      <c r="I51" s="101"/>
      <c r="J51" s="1"/>
      <c r="K51" s="17" t="s">
        <v>138</v>
      </c>
      <c r="L51" s="1"/>
      <c r="M51" s="1"/>
      <c r="N51" s="1"/>
      <c r="O51" s="1"/>
      <c r="P51" s="1"/>
      <c r="Q51" s="1"/>
      <c r="R51" s="1"/>
      <c r="S51" s="1"/>
      <c r="T51" s="1"/>
      <c r="U51" s="1"/>
      <c r="V51" s="1"/>
      <c r="W51" s="1"/>
      <c r="X51" s="1" t="s">
        <v>141</v>
      </c>
      <c r="Y51" s="1"/>
      <c r="Z51" s="90">
        <v>7.8827999999999995E-2</v>
      </c>
      <c r="AA51" s="1"/>
      <c r="AB51" s="1"/>
      <c r="AC51" s="1"/>
    </row>
    <row r="52" spans="1:29" ht="12.75" customHeight="1" x14ac:dyDescent="0.25">
      <c r="A52" s="1"/>
      <c r="B52" s="1"/>
      <c r="C52" s="1"/>
      <c r="D52" s="1"/>
      <c r="E52" s="1"/>
      <c r="F52" s="33"/>
      <c r="G52" s="33"/>
      <c r="H52" s="1"/>
      <c r="I52" s="1"/>
      <c r="J52" s="1"/>
      <c r="K52" s="1"/>
      <c r="L52" s="1"/>
      <c r="M52" s="1"/>
      <c r="N52" s="1"/>
      <c r="O52" s="1"/>
      <c r="P52" s="1"/>
      <c r="Q52" s="1"/>
      <c r="R52" s="1"/>
      <c r="S52" s="1"/>
      <c r="T52" s="1"/>
      <c r="U52" s="1"/>
      <c r="V52" s="1"/>
      <c r="W52" s="1"/>
      <c r="X52" s="1"/>
      <c r="Y52" s="1"/>
      <c r="Z52" s="1"/>
      <c r="AA52" s="1"/>
      <c r="AB52" s="1"/>
      <c r="AC52" s="1"/>
    </row>
    <row r="53" spans="1:29" ht="12.75" customHeight="1" x14ac:dyDescent="0.25">
      <c r="A53" s="1"/>
      <c r="B53" s="1"/>
      <c r="C53" s="3"/>
      <c r="D53" s="102"/>
      <c r="E53" s="4" t="s">
        <v>142</v>
      </c>
      <c r="F53" s="103"/>
      <c r="G53" s="103"/>
      <c r="H53" s="104"/>
      <c r="I53" s="104"/>
      <c r="J53" s="104"/>
      <c r="K53" s="104"/>
      <c r="L53" s="1"/>
      <c r="M53" s="1"/>
      <c r="N53" s="1"/>
      <c r="O53" s="1"/>
      <c r="P53" s="1"/>
      <c r="Q53" s="3"/>
      <c r="R53" s="4" t="s">
        <v>143</v>
      </c>
      <c r="S53" s="4"/>
      <c r="T53" s="103"/>
      <c r="U53" s="103"/>
      <c r="V53" s="104"/>
      <c r="W53" s="104"/>
      <c r="X53" s="104"/>
      <c r="Y53" s="104"/>
      <c r="Z53" s="3"/>
      <c r="AA53" s="3"/>
      <c r="AB53" s="1"/>
      <c r="AC53" s="1"/>
    </row>
    <row r="54" spans="1:29" ht="12.75" customHeight="1" x14ac:dyDescent="0.25">
      <c r="A54" s="1"/>
      <c r="B54" s="1"/>
      <c r="C54" s="105"/>
      <c r="D54" s="105"/>
      <c r="E54" s="105"/>
      <c r="F54" s="106"/>
      <c r="G54" s="106"/>
      <c r="H54" s="106"/>
      <c r="I54" s="105"/>
      <c r="J54" s="105"/>
      <c r="K54" s="105"/>
      <c r="L54" s="1"/>
      <c r="M54" s="1"/>
      <c r="N54" s="1"/>
      <c r="O54" s="1"/>
      <c r="P54" s="1"/>
      <c r="Q54" s="105"/>
      <c r="R54" s="105"/>
      <c r="S54" s="105"/>
      <c r="T54" s="105"/>
      <c r="U54" s="105"/>
      <c r="V54" s="105"/>
      <c r="W54" s="105"/>
      <c r="X54" s="105"/>
      <c r="Y54" s="105"/>
      <c r="Z54" s="105"/>
      <c r="AA54" s="105"/>
      <c r="AB54" s="1"/>
      <c r="AC54" s="1"/>
    </row>
    <row r="55" spans="1:29" ht="12.75" customHeight="1" x14ac:dyDescent="0.25">
      <c r="A55" s="1"/>
      <c r="B55" s="1"/>
      <c r="C55" s="1"/>
      <c r="D55" s="107" t="s">
        <v>144</v>
      </c>
      <c r="E55" s="1"/>
      <c r="F55" s="33"/>
      <c r="G55" s="33"/>
      <c r="H55" s="33"/>
      <c r="I55" s="1"/>
      <c r="J55" s="1"/>
      <c r="K55" s="1"/>
      <c r="L55" s="1"/>
      <c r="M55" s="1"/>
      <c r="N55" s="1"/>
      <c r="O55" s="1"/>
      <c r="P55" s="1"/>
      <c r="Q55" s="1"/>
      <c r="R55" s="1"/>
      <c r="S55" s="1"/>
      <c r="T55" s="1"/>
      <c r="U55" s="1"/>
      <c r="V55" s="1"/>
      <c r="W55" s="1"/>
      <c r="X55" s="1"/>
      <c r="Y55" s="1"/>
      <c r="Z55" s="1"/>
      <c r="AA55" s="1"/>
      <c r="AB55" s="1"/>
      <c r="AC55" s="1"/>
    </row>
    <row r="56" spans="1:29" ht="12.75" customHeight="1" x14ac:dyDescent="0.25">
      <c r="A56" s="1"/>
      <c r="B56" s="1"/>
      <c r="C56" s="1"/>
      <c r="D56" s="1"/>
      <c r="E56" s="33"/>
      <c r="F56" s="1"/>
      <c r="G56" s="594" t="s">
        <v>145</v>
      </c>
      <c r="H56" s="593"/>
      <c r="I56" s="593"/>
      <c r="J56" s="593"/>
      <c r="K56" s="593"/>
      <c r="L56" s="1"/>
      <c r="M56" s="1"/>
      <c r="N56" s="1"/>
      <c r="O56" s="1"/>
      <c r="P56" s="1"/>
      <c r="Q56" s="1"/>
      <c r="R56" s="33" t="s">
        <v>146</v>
      </c>
      <c r="S56" s="1"/>
      <c r="T56" s="594" t="s">
        <v>51</v>
      </c>
      <c r="U56" s="593"/>
      <c r="V56" s="593"/>
      <c r="W56" s="593"/>
      <c r="X56" s="1"/>
      <c r="Y56" s="1"/>
      <c r="Z56" s="1"/>
      <c r="AA56" s="1"/>
      <c r="AB56" s="1"/>
      <c r="AC56" s="1"/>
    </row>
    <row r="57" spans="1:29" ht="12.75" customHeight="1" x14ac:dyDescent="0.25">
      <c r="A57" s="1"/>
      <c r="B57" s="1"/>
      <c r="C57" s="1"/>
      <c r="D57" s="1"/>
      <c r="E57" s="1"/>
      <c r="F57" s="1"/>
      <c r="G57" s="1"/>
      <c r="H57" s="108"/>
      <c r="I57" s="108"/>
      <c r="J57" s="108"/>
      <c r="K57" s="33"/>
      <c r="L57" s="1"/>
      <c r="M57" s="1"/>
      <c r="N57" s="1"/>
      <c r="O57" s="1"/>
      <c r="P57" s="1"/>
      <c r="Q57" s="1"/>
      <c r="R57" s="1"/>
      <c r="S57" s="1"/>
      <c r="T57" s="1"/>
      <c r="U57" s="1"/>
      <c r="V57" s="1"/>
      <c r="W57" s="1"/>
      <c r="X57" s="1"/>
      <c r="Y57" s="1"/>
      <c r="Z57" s="109" t="s">
        <v>147</v>
      </c>
      <c r="AA57" s="109"/>
      <c r="AB57" s="109"/>
      <c r="AC57" s="109"/>
    </row>
    <row r="58" spans="1:29" ht="12.75" customHeight="1" x14ac:dyDescent="0.25">
      <c r="A58" s="1"/>
      <c r="B58" s="1"/>
      <c r="C58" s="1"/>
      <c r="D58" s="1"/>
      <c r="E58" s="1"/>
      <c r="F58" s="110">
        <f ca="1">'&gt;&gt; Valuation'!H125</f>
        <v>1.2754545394520265</v>
      </c>
      <c r="G58" s="111">
        <v>0.01</v>
      </c>
      <c r="H58" s="111">
        <v>1.2500000000000001E-2</v>
      </c>
      <c r="I58" s="112">
        <f>H48</f>
        <v>0.02</v>
      </c>
      <c r="J58" s="111">
        <v>1.7500000000000002E-2</v>
      </c>
      <c r="K58" s="111">
        <v>0.02</v>
      </c>
      <c r="L58" s="1"/>
      <c r="M58" s="1"/>
      <c r="N58" s="1"/>
      <c r="O58" s="1"/>
      <c r="P58" s="1"/>
      <c r="Q58" s="1"/>
      <c r="R58" s="1"/>
      <c r="S58" s="113">
        <f ca="1">'&gt;&gt; Valuation'!H83</f>
        <v>1.3279873121617736</v>
      </c>
      <c r="T58" s="45">
        <f t="shared" ref="T58:U58" si="0">U58 * ( 1 - $U$42 )</f>
        <v>8.1</v>
      </c>
      <c r="U58" s="45">
        <f t="shared" si="0"/>
        <v>9</v>
      </c>
      <c r="V58" s="98">
        <v>10</v>
      </c>
      <c r="W58" s="114">
        <f t="shared" ref="W58:X58" si="1">V58 * ( 1 + $U$42 )</f>
        <v>11</v>
      </c>
      <c r="X58" s="114">
        <f t="shared" si="1"/>
        <v>12.100000000000001</v>
      </c>
      <c r="Y58" s="1"/>
      <c r="Z58" s="109" t="s">
        <v>148</v>
      </c>
      <c r="AA58" s="109"/>
      <c r="AB58" s="109"/>
      <c r="AC58" s="109"/>
    </row>
    <row r="59" spans="1:29" ht="12.75" customHeight="1" x14ac:dyDescent="0.25">
      <c r="A59" s="1"/>
      <c r="B59" s="1"/>
      <c r="C59" s="1"/>
      <c r="D59" s="1"/>
      <c r="E59" s="1"/>
      <c r="F59" s="41">
        <f>F60-0.015</f>
        <v>0.27217769687692817</v>
      </c>
      <c r="G59" s="115">
        <v>0.42765519392735291</v>
      </c>
      <c r="H59" s="116">
        <v>0.45059749023538753</v>
      </c>
      <c r="I59" s="116">
        <v>0.52748411133946504</v>
      </c>
      <c r="J59" s="116">
        <v>0.50039732864899611</v>
      </c>
      <c r="K59" s="116">
        <v>0.52748411133946504</v>
      </c>
      <c r="L59" s="77"/>
      <c r="M59" s="1"/>
      <c r="N59" s="1"/>
      <c r="O59" s="1"/>
      <c r="P59" s="1"/>
      <c r="Q59" s="1"/>
      <c r="R59" s="33" t="s">
        <v>149</v>
      </c>
      <c r="S59" s="41">
        <f t="shared" ref="S59:S61" si="2">S60 + 1%</f>
        <v>0.14620000000000002</v>
      </c>
      <c r="T59" s="115">
        <v>0.55704541530801766</v>
      </c>
      <c r="U59" s="116">
        <v>0.64960879104195945</v>
      </c>
      <c r="V59" s="116">
        <v>0.75245698630189473</v>
      </c>
      <c r="W59" s="116">
        <v>0.85530518156183011</v>
      </c>
      <c r="X59" s="116">
        <v>0.96843819634775896</v>
      </c>
      <c r="Y59" s="1"/>
      <c r="Z59" s="1"/>
      <c r="AA59" s="1"/>
      <c r="AB59" s="1"/>
      <c r="AC59" s="1"/>
    </row>
    <row r="60" spans="1:29" ht="12.75" customHeight="1" x14ac:dyDescent="0.25">
      <c r="A60" s="1"/>
      <c r="B60" s="1"/>
      <c r="C60" s="1"/>
      <c r="D60" s="1"/>
      <c r="E60" s="33" t="s">
        <v>149</v>
      </c>
      <c r="F60" s="41">
        <f>F61-0.015</f>
        <v>0.28717769687692818</v>
      </c>
      <c r="G60" s="117">
        <v>0.58152288355393678</v>
      </c>
      <c r="H60" s="84">
        <v>0.60640693003927537</v>
      </c>
      <c r="I60" s="84">
        <v>0.68980094727130048</v>
      </c>
      <c r="J60" s="84">
        <v>0.66042164057252695</v>
      </c>
      <c r="K60" s="84">
        <v>0.68980094727130048</v>
      </c>
      <c r="L60" s="77"/>
      <c r="M60" s="1"/>
      <c r="N60" s="1"/>
      <c r="O60" s="1"/>
      <c r="P60" s="1"/>
      <c r="Q60" s="1"/>
      <c r="R60" s="33" t="s">
        <v>150</v>
      </c>
      <c r="S60" s="41">
        <f t="shared" si="2"/>
        <v>0.13620000000000002</v>
      </c>
      <c r="T60" s="117">
        <v>0.65389003157619563</v>
      </c>
      <c r="U60" s="84">
        <v>0.75480444638079269</v>
      </c>
      <c r="V60" s="84">
        <v>0.86693157394145637</v>
      </c>
      <c r="W60" s="84">
        <v>0.97905870150211982</v>
      </c>
      <c r="X60" s="84">
        <v>1.1023985418188498</v>
      </c>
      <c r="Y60" s="1"/>
      <c r="Z60" s="1"/>
      <c r="AA60" s="1"/>
      <c r="AB60" s="1"/>
      <c r="AC60" s="1"/>
    </row>
    <row r="61" spans="1:29" ht="12.75" customHeight="1" x14ac:dyDescent="0.25">
      <c r="A61" s="1"/>
      <c r="B61" s="1"/>
      <c r="C61" s="1"/>
      <c r="D61" s="1"/>
      <c r="E61" s="33" t="s">
        <v>151</v>
      </c>
      <c r="F61" s="118">
        <f>H45</f>
        <v>0.30217769687692819</v>
      </c>
      <c r="G61" s="119">
        <v>0.73539057318052137</v>
      </c>
      <c r="H61" s="84">
        <v>0.76221636984316354</v>
      </c>
      <c r="I61" s="463">
        <v>0.85211778320313691</v>
      </c>
      <c r="J61" s="84">
        <v>0.82044595249605856</v>
      </c>
      <c r="K61" s="84">
        <v>0.85211778320313691</v>
      </c>
      <c r="L61" s="77"/>
      <c r="M61" s="1"/>
      <c r="N61" s="1"/>
      <c r="O61" s="1"/>
      <c r="P61" s="1"/>
      <c r="Q61" s="1"/>
      <c r="R61" s="33" t="s">
        <v>152</v>
      </c>
      <c r="S61" s="41">
        <f t="shared" si="2"/>
        <v>0.12620000000000001</v>
      </c>
      <c r="T61" s="117">
        <v>0.76008236708831933</v>
      </c>
      <c r="U61" s="84">
        <v>0.87018529348551121</v>
      </c>
      <c r="V61" s="84">
        <v>0.99252187837127992</v>
      </c>
      <c r="W61" s="84">
        <v>1.1148584632570488</v>
      </c>
      <c r="X61" s="84">
        <v>1.2494287066313947</v>
      </c>
      <c r="Y61" s="1"/>
      <c r="Z61" s="1"/>
      <c r="AA61" s="1"/>
      <c r="AB61" s="1"/>
      <c r="AC61" s="1"/>
    </row>
    <row r="62" spans="1:29" ht="12.75" customHeight="1" x14ac:dyDescent="0.25">
      <c r="A62" s="1"/>
      <c r="B62" s="1"/>
      <c r="C62" s="1"/>
      <c r="D62" s="1"/>
      <c r="E62" s="33" t="s">
        <v>153</v>
      </c>
      <c r="F62" s="41">
        <f>F61 + 0.015</f>
        <v>0.31717769687692821</v>
      </c>
      <c r="G62" s="117">
        <v>0.88925826280710552</v>
      </c>
      <c r="H62" s="84">
        <v>0.91802580964705183</v>
      </c>
      <c r="I62" s="84">
        <v>1.0144346191349727</v>
      </c>
      <c r="J62" s="84">
        <v>0.98047026441958995</v>
      </c>
      <c r="K62" s="84">
        <v>1.0144346191349727</v>
      </c>
      <c r="L62" s="77"/>
      <c r="M62" s="1"/>
      <c r="N62" s="1"/>
      <c r="O62" s="1"/>
      <c r="P62" s="1"/>
      <c r="Q62" s="1"/>
      <c r="R62" s="33" t="s">
        <v>154</v>
      </c>
      <c r="S62" s="120">
        <v>0.1162</v>
      </c>
      <c r="T62" s="117">
        <v>0.87662803356078101</v>
      </c>
      <c r="U62" s="84">
        <v>0.99684951314270398</v>
      </c>
      <c r="V62" s="83">
        <v>1.130428934900396</v>
      </c>
      <c r="W62" s="84">
        <v>1.2640083566580882</v>
      </c>
      <c r="X62" s="84">
        <v>1.4109457205915497</v>
      </c>
      <c r="Y62" s="1"/>
      <c r="Z62" s="1"/>
      <c r="AA62" s="1"/>
      <c r="AB62" s="1"/>
      <c r="AC62" s="1"/>
    </row>
    <row r="63" spans="1:29" ht="12.75" customHeight="1" x14ac:dyDescent="0.25">
      <c r="A63" s="1"/>
      <c r="B63" s="1"/>
      <c r="C63" s="1"/>
      <c r="D63" s="1"/>
      <c r="E63" s="33" t="s">
        <v>155</v>
      </c>
      <c r="F63" s="41">
        <f>F62 + 0.015</f>
        <v>0.33217769687692822</v>
      </c>
      <c r="G63" s="117">
        <v>1.0431259524336898</v>
      </c>
      <c r="H63" s="84">
        <v>1.0738352494509396</v>
      </c>
      <c r="I63" s="84">
        <v>1.1767514550668086</v>
      </c>
      <c r="J63" s="84">
        <v>1.1404945763431211</v>
      </c>
      <c r="K63" s="84">
        <v>1.1767514550668086</v>
      </c>
      <c r="L63" s="77"/>
      <c r="M63" s="1"/>
      <c r="N63" s="1"/>
      <c r="O63" s="1"/>
      <c r="P63" s="1"/>
      <c r="Q63" s="1"/>
      <c r="R63" s="33" t="s">
        <v>155</v>
      </c>
      <c r="S63" s="41">
        <f t="shared" ref="S63:S65" si="3">S62 - $U$41</f>
        <v>0.1062</v>
      </c>
      <c r="T63" s="117">
        <v>1.0046519947169223</v>
      </c>
      <c r="U63" s="84">
        <v>1.1360258367427345</v>
      </c>
      <c r="V63" s="84">
        <v>1.2819967723269703</v>
      </c>
      <c r="W63" s="84">
        <v>1.4279677079112061</v>
      </c>
      <c r="X63" s="84">
        <v>1.5885357370538657</v>
      </c>
      <c r="Y63" s="1"/>
      <c r="Z63" s="1"/>
      <c r="AA63" s="1"/>
      <c r="AB63" s="1"/>
      <c r="AC63" s="1"/>
    </row>
    <row r="64" spans="1:29" ht="12.75" customHeight="1" x14ac:dyDescent="0.25">
      <c r="A64" s="1"/>
      <c r="B64" s="1"/>
      <c r="C64" s="1"/>
      <c r="D64" s="1"/>
      <c r="E64" s="1"/>
      <c r="F64" s="41">
        <f>F63 + 0.015</f>
        <v>0.34717769687692823</v>
      </c>
      <c r="G64" s="117">
        <v>1.196993642060274</v>
      </c>
      <c r="H64" s="84">
        <v>1.2296446892548276</v>
      </c>
      <c r="I64" s="84">
        <v>1.3390682909986442</v>
      </c>
      <c r="J64" s="84">
        <v>1.3005188882666519</v>
      </c>
      <c r="K64" s="84">
        <v>1.3390682909986442</v>
      </c>
      <c r="L64" s="1"/>
      <c r="M64" s="1"/>
      <c r="N64" s="1"/>
      <c r="O64" s="1"/>
      <c r="P64" s="1"/>
      <c r="Q64" s="1"/>
      <c r="R64" s="1"/>
      <c r="S64" s="41">
        <f t="shared" si="3"/>
        <v>9.6200000000000008E-2</v>
      </c>
      <c r="T64" s="117">
        <v>1.1454140562480017</v>
      </c>
      <c r="U64" s="84">
        <v>1.2890905101349159</v>
      </c>
      <c r="V64" s="84">
        <v>1.4487310144537091</v>
      </c>
      <c r="W64" s="84">
        <v>1.6083715187725025</v>
      </c>
      <c r="X64" s="84">
        <v>1.7839760735231751</v>
      </c>
      <c r="Y64" s="1"/>
      <c r="Z64" s="1"/>
      <c r="AA64" s="1"/>
      <c r="AB64" s="1"/>
      <c r="AC64" s="1"/>
    </row>
    <row r="65" spans="1:29" ht="12.75" customHeight="1" x14ac:dyDescent="0.25">
      <c r="A65" s="1"/>
      <c r="B65" s="1"/>
      <c r="C65" s="1"/>
      <c r="D65" s="1"/>
      <c r="E65" s="1"/>
      <c r="F65" s="1"/>
      <c r="G65" s="1"/>
      <c r="H65" s="1"/>
      <c r="I65" s="1"/>
      <c r="J65" s="1"/>
      <c r="K65" s="1"/>
      <c r="L65" s="1"/>
      <c r="M65" s="1"/>
      <c r="N65" s="1"/>
      <c r="O65" s="1"/>
      <c r="P65" s="1"/>
      <c r="Q65" s="1"/>
      <c r="R65" s="1"/>
      <c r="S65" s="41">
        <f t="shared" si="3"/>
        <v>8.6200000000000013E-2</v>
      </c>
      <c r="T65" s="117">
        <v>1.3003265390127021</v>
      </c>
      <c r="U65" s="84">
        <v>1.4575866506852431</v>
      </c>
      <c r="V65" s="84">
        <v>1.6323201080991774</v>
      </c>
      <c r="W65" s="84">
        <v>1.8070535655131119</v>
      </c>
      <c r="X65" s="84">
        <v>1.9992603686684398</v>
      </c>
      <c r="Y65" s="1"/>
      <c r="Z65" s="1"/>
      <c r="AA65" s="1"/>
      <c r="AB65" s="1"/>
      <c r="AC65" s="1"/>
    </row>
    <row r="66" spans="1:29" ht="12.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2.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2.75" customHeight="1" x14ac:dyDescent="0.25">
      <c r="A68" s="1"/>
      <c r="B68" s="1"/>
      <c r="C68" s="1"/>
      <c r="D68" s="1"/>
      <c r="E68" s="1"/>
      <c r="F68" s="1"/>
      <c r="G68" s="1"/>
      <c r="H68" s="595" t="s">
        <v>156</v>
      </c>
      <c r="I68" s="596"/>
      <c r="J68" s="596"/>
      <c r="K68" s="597"/>
      <c r="L68" s="1"/>
      <c r="M68" s="1"/>
      <c r="N68" s="1"/>
      <c r="O68" s="1"/>
      <c r="P68" s="1"/>
      <c r="Q68" s="1"/>
      <c r="R68" s="1"/>
      <c r="S68" s="1"/>
      <c r="T68" s="1"/>
      <c r="U68" s="1"/>
      <c r="V68" s="1"/>
      <c r="W68" s="1"/>
      <c r="X68" s="1"/>
      <c r="Y68" s="1"/>
      <c r="Z68" s="1"/>
      <c r="AA68" s="1"/>
      <c r="AB68" s="1"/>
      <c r="AC68" s="1"/>
    </row>
    <row r="69" spans="1:29" ht="12.75" customHeight="1" x14ac:dyDescent="0.25">
      <c r="A69" s="1"/>
      <c r="B69" s="1"/>
      <c r="C69" s="3"/>
      <c r="D69" s="4" t="s">
        <v>157</v>
      </c>
      <c r="E69" s="4"/>
      <c r="F69" s="3"/>
      <c r="G69" s="3"/>
      <c r="H69" s="121" t="s">
        <v>113</v>
      </c>
      <c r="I69" s="121" t="s">
        <v>158</v>
      </c>
      <c r="J69" s="121" t="s">
        <v>159</v>
      </c>
      <c r="K69" s="121" t="s">
        <v>160</v>
      </c>
      <c r="L69" s="1"/>
      <c r="M69" s="1"/>
      <c r="N69" s="1"/>
      <c r="O69" s="1"/>
      <c r="P69" s="1"/>
      <c r="Q69" s="3"/>
      <c r="R69" s="4" t="s">
        <v>161</v>
      </c>
      <c r="S69" s="4"/>
      <c r="T69" s="103"/>
      <c r="U69" s="103"/>
      <c r="V69" s="104"/>
      <c r="W69" s="104"/>
      <c r="X69" s="104"/>
      <c r="Y69" s="104"/>
      <c r="Z69" s="3"/>
      <c r="AA69" s="3"/>
      <c r="AB69" s="1"/>
      <c r="AC69" s="1"/>
    </row>
    <row r="70" spans="1:29" ht="12.75" customHeight="1" x14ac:dyDescent="0.25">
      <c r="A70" s="1"/>
      <c r="B70" s="1"/>
      <c r="C70" s="105"/>
      <c r="D70" s="6" t="s">
        <v>162</v>
      </c>
      <c r="E70" s="6"/>
      <c r="F70" s="6"/>
      <c r="G70" s="6"/>
      <c r="H70" s="6"/>
      <c r="I70" s="6"/>
      <c r="J70" s="6"/>
      <c r="K70" s="6"/>
      <c r="L70" s="1"/>
      <c r="M70" s="1"/>
      <c r="N70" s="1"/>
      <c r="O70" s="1"/>
      <c r="P70" s="1"/>
      <c r="Q70" s="105"/>
      <c r="R70" s="105" t="e">
        <f ca="1">E80</f>
        <v>#NAME?</v>
      </c>
      <c r="S70" s="105"/>
      <c r="T70" s="122" t="str">
        <f>G80</f>
        <v>SKC.NZ</v>
      </c>
      <c r="U70" s="105"/>
      <c r="V70" s="105"/>
      <c r="W70" s="105"/>
      <c r="X70" s="105"/>
      <c r="Y70" s="105"/>
      <c r="Z70" s="105"/>
      <c r="AA70" s="105"/>
      <c r="AB70" s="1"/>
      <c r="AC70" s="1"/>
    </row>
    <row r="71" spans="1:29" ht="6" customHeight="1" x14ac:dyDescent="0.25">
      <c r="A71" s="1"/>
      <c r="B71" s="1"/>
      <c r="C71" s="1"/>
      <c r="D71" s="13"/>
      <c r="E71" s="13"/>
      <c r="F71" s="13"/>
      <c r="G71" s="13"/>
      <c r="H71" s="13"/>
      <c r="I71" s="13"/>
      <c r="J71" s="13"/>
      <c r="K71" s="13"/>
      <c r="L71" s="1"/>
      <c r="M71" s="1"/>
      <c r="N71" s="1"/>
      <c r="O71" s="1"/>
      <c r="P71" s="1"/>
      <c r="Q71" s="1"/>
      <c r="R71" s="1"/>
      <c r="S71" s="1"/>
      <c r="T71" s="1"/>
      <c r="U71" s="1"/>
      <c r="V71" s="1"/>
      <c r="W71" s="1"/>
      <c r="X71" s="1"/>
      <c r="Y71" s="1"/>
      <c r="Z71" s="1"/>
      <c r="AA71" s="1"/>
      <c r="AB71" s="1"/>
      <c r="AC71" s="1"/>
    </row>
    <row r="72" spans="1:29" ht="12.75" customHeight="1" x14ac:dyDescent="0.25">
      <c r="A72" s="1"/>
      <c r="B72" s="1"/>
      <c r="C72" s="1"/>
      <c r="D72" s="1"/>
      <c r="E72" s="1" t="e">
        <f ca="1">_xll.TR( G72, "CF_Name" )</f>
        <v>#NAME?</v>
      </c>
      <c r="F72" s="1"/>
      <c r="G72" s="123" t="s">
        <v>163</v>
      </c>
      <c r="H72" s="124">
        <v>0</v>
      </c>
      <c r="I72" s="32">
        <v>13.4478724183215</v>
      </c>
      <c r="J72" s="125">
        <v>37.111276559189101</v>
      </c>
      <c r="K72" s="125">
        <v>7.3605568937966499</v>
      </c>
      <c r="L72" s="1"/>
      <c r="M72" s="1"/>
      <c r="N72" s="1"/>
      <c r="O72" s="1"/>
      <c r="P72" s="1"/>
      <c r="Q72" s="1"/>
      <c r="R72" s="126" t="s">
        <v>164</v>
      </c>
      <c r="S72" s="127"/>
      <c r="T72" s="127"/>
      <c r="U72" s="598" t="s">
        <v>165</v>
      </c>
      <c r="V72" s="599"/>
      <c r="W72" s="127"/>
      <c r="X72" s="128" t="s">
        <v>166</v>
      </c>
      <c r="Y72" s="598" t="s">
        <v>167</v>
      </c>
      <c r="Z72" s="599"/>
      <c r="AA72" s="1"/>
      <c r="AB72" s="1"/>
      <c r="AC72" s="1"/>
    </row>
    <row r="73" spans="1:29" ht="12.75" customHeight="1" x14ac:dyDescent="0.25">
      <c r="A73" s="1"/>
      <c r="B73" s="1"/>
      <c r="C73" s="1"/>
      <c r="D73" s="1"/>
      <c r="E73" s="1" t="e">
        <f ca="1">_xll.TR( G73, "CF_Name" )</f>
        <v>#NAME?</v>
      </c>
      <c r="F73" s="1"/>
      <c r="G73" s="123" t="s">
        <v>168</v>
      </c>
      <c r="H73" s="124">
        <v>1.7417374015447001E-2</v>
      </c>
      <c r="I73" s="32">
        <v>13.453960671814199</v>
      </c>
      <c r="J73" s="125">
        <v>19.335350112223999</v>
      </c>
      <c r="K73" s="125">
        <v>11.646827180056301</v>
      </c>
      <c r="L73" s="1"/>
      <c r="M73" s="1"/>
      <c r="N73" s="1"/>
      <c r="O73" s="1"/>
      <c r="P73" s="1"/>
      <c r="Q73" s="1"/>
      <c r="R73" s="17"/>
      <c r="S73" s="1"/>
      <c r="T73" s="129" t="s">
        <v>169</v>
      </c>
      <c r="U73" s="130"/>
      <c r="V73" s="129"/>
      <c r="W73" s="1"/>
      <c r="X73" s="76" t="s">
        <v>170</v>
      </c>
      <c r="Y73" s="76" t="s">
        <v>171</v>
      </c>
      <c r="Z73" s="76" t="s">
        <v>172</v>
      </c>
      <c r="AA73" s="1"/>
      <c r="AB73" s="1"/>
      <c r="AC73" s="1"/>
    </row>
    <row r="74" spans="1:29" ht="12.75" customHeight="1" x14ac:dyDescent="0.25">
      <c r="A74" s="1"/>
      <c r="B74" s="1"/>
      <c r="C74" s="1"/>
      <c r="D74" s="1"/>
      <c r="E74" s="1" t="e">
        <f ca="1">_xll.TR( G74, "CF_Name" )</f>
        <v>#NAME?</v>
      </c>
      <c r="F74" s="1"/>
      <c r="G74" s="131" t="s">
        <v>173</v>
      </c>
      <c r="H74" s="124">
        <v>3.1787981859410397E-2</v>
      </c>
      <c r="I74" s="32">
        <v>14.2163984289709</v>
      </c>
      <c r="J74" s="125">
        <v>18.667851927106501</v>
      </c>
      <c r="K74" s="125">
        <v>4.6019616845257199</v>
      </c>
      <c r="L74" s="1"/>
      <c r="M74" s="1"/>
      <c r="N74" s="1"/>
      <c r="O74" s="1"/>
      <c r="P74" s="1"/>
      <c r="Q74" s="1"/>
      <c r="R74" s="2" t="s">
        <v>174</v>
      </c>
      <c r="S74" s="1"/>
      <c r="T74" s="1"/>
      <c r="U74" s="1"/>
      <c r="V74" s="1"/>
      <c r="W74" s="1"/>
      <c r="X74" s="132" t="s">
        <v>175</v>
      </c>
      <c r="Y74" s="132" t="s">
        <v>176</v>
      </c>
      <c r="Z74" s="123" t="s">
        <v>177</v>
      </c>
      <c r="AA74" s="1"/>
      <c r="AB74" s="1"/>
      <c r="AC74" s="1"/>
    </row>
    <row r="75" spans="1:29" ht="12.75" customHeight="1" x14ac:dyDescent="0.25">
      <c r="A75" s="1"/>
      <c r="B75" s="1"/>
      <c r="C75" s="1"/>
      <c r="D75" s="1"/>
      <c r="E75" s="1" t="e">
        <f ca="1">_xll.TR( G75, "CF_Name" )</f>
        <v>#NAME?</v>
      </c>
      <c r="F75" s="1"/>
      <c r="G75" s="131" t="s">
        <v>178</v>
      </c>
      <c r="H75" s="124">
        <v>3.3866271409749703E-2</v>
      </c>
      <c r="I75" s="32">
        <v>18.3855311650068</v>
      </c>
      <c r="J75" s="125">
        <v>28.5123966942149</v>
      </c>
      <c r="K75" s="125">
        <v>16.140985012907901</v>
      </c>
      <c r="L75" s="1"/>
      <c r="M75" s="1"/>
      <c r="N75" s="1"/>
      <c r="O75" s="1"/>
      <c r="P75" s="1"/>
      <c r="Q75" s="1"/>
      <c r="R75" s="133" t="s">
        <v>179</v>
      </c>
      <c r="S75" s="1"/>
      <c r="T75" s="1"/>
      <c r="U75" s="1"/>
      <c r="V75" s="1"/>
      <c r="W75" s="1"/>
      <c r="X75" s="1"/>
      <c r="Y75" s="1"/>
      <c r="Z75" s="1"/>
      <c r="AA75" s="1"/>
      <c r="AB75" s="1"/>
      <c r="AC75" s="1"/>
    </row>
    <row r="76" spans="1:29" ht="12.75" customHeight="1" x14ac:dyDescent="0.25">
      <c r="A76" s="1"/>
      <c r="B76" s="1"/>
      <c r="C76" s="1"/>
      <c r="D76" s="1"/>
      <c r="E76" s="1"/>
      <c r="F76" s="1"/>
      <c r="G76" s="123"/>
      <c r="H76" s="124"/>
      <c r="I76" s="32"/>
      <c r="J76" s="125"/>
      <c r="K76" s="125"/>
      <c r="L76" s="1"/>
      <c r="M76" s="1"/>
      <c r="N76" s="1"/>
      <c r="O76" s="1"/>
      <c r="P76" s="1"/>
      <c r="Q76" s="1"/>
      <c r="R76" s="1" t="s">
        <v>180</v>
      </c>
      <c r="S76" s="1"/>
      <c r="T76" s="33" t="s">
        <v>8</v>
      </c>
      <c r="U76" s="86"/>
      <c r="V76" s="86"/>
      <c r="W76" s="1"/>
      <c r="X76" s="134">
        <v>1.1971425724886487E-2</v>
      </c>
      <c r="Y76" s="86">
        <v>-3.9837543069740633E-3</v>
      </c>
      <c r="Z76" s="86">
        <v>2.8584621409921563E-2</v>
      </c>
      <c r="AA76" s="1"/>
      <c r="AB76" s="1"/>
      <c r="AC76" s="1"/>
    </row>
    <row r="77" spans="1:29" ht="12.75" customHeight="1" x14ac:dyDescent="0.25">
      <c r="A77" s="1"/>
      <c r="B77" s="1"/>
      <c r="C77" s="1"/>
      <c r="D77" s="1"/>
      <c r="E77" s="1"/>
      <c r="F77" s="1"/>
      <c r="G77" s="123"/>
      <c r="H77" s="124"/>
      <c r="I77" s="32"/>
      <c r="J77" s="125"/>
      <c r="K77" s="125"/>
      <c r="L77" s="1"/>
      <c r="M77" s="1"/>
      <c r="N77" s="1"/>
      <c r="O77" s="1"/>
      <c r="P77" s="1"/>
      <c r="Q77" s="1"/>
      <c r="R77" s="1" t="s">
        <v>181</v>
      </c>
      <c r="S77" s="1"/>
      <c r="T77" s="33" t="s">
        <v>8</v>
      </c>
      <c r="U77" s="135"/>
      <c r="V77" s="135"/>
      <c r="W77" s="1"/>
      <c r="X77" s="134">
        <v>0</v>
      </c>
      <c r="Y77" s="86">
        <v>-6.7016125083432386E-4</v>
      </c>
      <c r="Z77" s="86">
        <v>-9.0955766192732639E-4</v>
      </c>
      <c r="AA77" s="1"/>
      <c r="AB77" s="1"/>
      <c r="AC77" s="1"/>
    </row>
    <row r="78" spans="1:29" ht="12.75" customHeight="1" x14ac:dyDescent="0.25">
      <c r="A78" s="1"/>
      <c r="B78" s="1"/>
      <c r="C78" s="1"/>
      <c r="D78" s="1"/>
      <c r="E78" s="1"/>
      <c r="F78" s="1"/>
      <c r="G78" s="131"/>
      <c r="H78" s="124"/>
      <c r="I78" s="32"/>
      <c r="J78" s="125"/>
      <c r="K78" s="125"/>
      <c r="L78" s="1"/>
      <c r="M78" s="1"/>
      <c r="N78" s="1"/>
      <c r="O78" s="1"/>
      <c r="P78" s="1"/>
      <c r="Q78" s="1"/>
      <c r="R78" s="13" t="s">
        <v>182</v>
      </c>
      <c r="S78" s="13"/>
      <c r="T78" s="43" t="s">
        <v>8</v>
      </c>
      <c r="U78" s="86"/>
      <c r="V78" s="86"/>
      <c r="W78" s="13"/>
      <c r="X78" s="136">
        <v>1.2025141839013109E-2</v>
      </c>
      <c r="Y78" s="137">
        <v>-3.889594868917867E-3</v>
      </c>
      <c r="Z78" s="137">
        <v>2.7855132621298306E-2</v>
      </c>
      <c r="AA78" s="1"/>
      <c r="AB78" s="1"/>
      <c r="AC78" s="1"/>
    </row>
    <row r="79" spans="1:29" ht="12.75" customHeight="1" x14ac:dyDescent="0.25">
      <c r="A79" s="1"/>
      <c r="B79" s="1"/>
      <c r="C79" s="1"/>
      <c r="D79" s="1"/>
      <c r="E79" s="1"/>
      <c r="F79" s="1"/>
      <c r="G79" s="131"/>
      <c r="H79" s="124"/>
      <c r="I79" s="32"/>
      <c r="J79" s="125"/>
      <c r="K79" s="125"/>
      <c r="L79" s="1"/>
      <c r="M79" s="1"/>
      <c r="N79" s="1"/>
      <c r="O79" s="1"/>
      <c r="P79" s="1"/>
      <c r="Q79" s="1"/>
      <c r="R79" s="1"/>
      <c r="S79" s="1"/>
      <c r="T79" s="1"/>
      <c r="U79" s="1"/>
      <c r="V79" s="1"/>
      <c r="W79" s="1"/>
      <c r="X79" s="76"/>
      <c r="Y79" s="76"/>
      <c r="Z79" s="76"/>
      <c r="AA79" s="1"/>
      <c r="AB79" s="1"/>
      <c r="AC79" s="1"/>
    </row>
    <row r="80" spans="1:29" ht="12.75" customHeight="1" x14ac:dyDescent="0.25">
      <c r="A80" s="1"/>
      <c r="B80" s="1"/>
      <c r="C80" s="1"/>
      <c r="D80" s="1"/>
      <c r="E80" s="138" t="e">
        <f ca="1">_xll.TR( G80, "CF_Name" )</f>
        <v>#NAME?</v>
      </c>
      <c r="F80" s="139"/>
      <c r="G80" s="140" t="str">
        <f>'&gt;&gt; Inputs'!$G$14</f>
        <v>SKC.NZ</v>
      </c>
      <c r="H80" s="141" t="str">
        <f ca="1">IFERROR( _xll.TR($G80, "TR.DPSSmartYield(Period=NTM)") / 100, "n/a" )</f>
        <v>n/a</v>
      </c>
      <c r="I80" s="142" t="str">
        <f ca="1">IFERROR( _xll.TR($G80, "TR.FwdEVtoEBISmartEst(Period=NTM)"), "n/a" )</f>
        <v>n/a</v>
      </c>
      <c r="J80" s="142" t="str">
        <f ca="1">IFERROR( _xll.TR($G80, "TR.fwdPtoEPSSmartEst(Period=NTM)"), "n/a" )</f>
        <v>n/a</v>
      </c>
      <c r="K80" s="143" t="str">
        <f ca="1">IFERROR( _xll.TR($G80, "TR.EVtoEBITDASmartEst(Period=NTM)"), "n/a" )</f>
        <v>n/a</v>
      </c>
      <c r="L80" s="1"/>
      <c r="M80" s="1"/>
      <c r="N80" s="1"/>
      <c r="O80" s="1"/>
      <c r="P80" s="1"/>
      <c r="Q80" s="1"/>
      <c r="R80" s="1" t="s">
        <v>183</v>
      </c>
      <c r="S80" s="1"/>
      <c r="T80" s="33" t="s">
        <v>8</v>
      </c>
      <c r="U80" s="86"/>
      <c r="V80" s="86"/>
      <c r="W80" s="1"/>
      <c r="X80" s="86">
        <v>0.25747016936710188</v>
      </c>
      <c r="Y80" s="86">
        <v>0.21897741511240229</v>
      </c>
      <c r="Z80" s="86">
        <v>0.25587016936710189</v>
      </c>
      <c r="AA80" s="1"/>
      <c r="AB80" s="1"/>
      <c r="AC80" s="1"/>
    </row>
    <row r="81" spans="1:29" ht="12.75" customHeight="1" x14ac:dyDescent="0.25">
      <c r="A81" s="1"/>
      <c r="B81" s="1"/>
      <c r="C81" s="1"/>
      <c r="D81" s="1"/>
      <c r="E81" s="1"/>
      <c r="F81" s="1"/>
      <c r="G81" s="1"/>
      <c r="H81" s="1"/>
      <c r="I81" s="1"/>
      <c r="J81" s="1"/>
      <c r="K81" s="1"/>
      <c r="L81" s="1"/>
      <c r="M81" s="1"/>
      <c r="N81" s="1"/>
      <c r="O81" s="1"/>
      <c r="P81" s="1"/>
      <c r="Q81" s="1"/>
      <c r="R81" s="1" t="s">
        <v>184</v>
      </c>
      <c r="S81" s="1"/>
      <c r="T81" s="33" t="s">
        <v>8</v>
      </c>
      <c r="U81" s="86"/>
      <c r="V81" s="86"/>
      <c r="W81" s="1"/>
      <c r="X81" s="86">
        <v>0.14319742310032274</v>
      </c>
      <c r="Y81" s="86">
        <v>0.11554140668341024</v>
      </c>
      <c r="Z81" s="86">
        <v>0.16069742310032278</v>
      </c>
      <c r="AA81" s="1"/>
      <c r="AB81" s="1"/>
      <c r="AC81" s="1"/>
    </row>
    <row r="82" spans="1:29" ht="12.75" customHeight="1" x14ac:dyDescent="0.25">
      <c r="A82" s="1"/>
      <c r="B82" s="1"/>
      <c r="C82" s="1"/>
      <c r="D82" s="1"/>
      <c r="E82" s="13" t="s">
        <v>185</v>
      </c>
      <c r="F82" s="13"/>
      <c r="G82" s="13"/>
      <c r="H82" s="144">
        <f>AVERAGE( H72:H79 )</f>
        <v>2.0767906821151774E-2</v>
      </c>
      <c r="I82" s="145">
        <f>AVERAGE( I72:I79 )</f>
        <v>14.875940671028349</v>
      </c>
      <c r="J82" s="145">
        <f>AVERAGE( J72:J79 )</f>
        <v>25.906718823183624</v>
      </c>
      <c r="K82" s="145">
        <f>AVERAGE( K72:K79 )</f>
        <v>9.9375826928216426</v>
      </c>
      <c r="L82" s="1"/>
      <c r="M82" s="1"/>
      <c r="N82" s="1"/>
      <c r="O82" s="1"/>
      <c r="P82" s="1"/>
      <c r="Q82" s="1"/>
      <c r="R82" s="1" t="s">
        <v>186</v>
      </c>
      <c r="S82" s="1"/>
      <c r="T82" s="33" t="s">
        <v>8</v>
      </c>
      <c r="U82" s="86"/>
      <c r="V82" s="86"/>
      <c r="W82" s="1"/>
      <c r="X82" s="86">
        <v>0.11719742310032277</v>
      </c>
      <c r="Y82" s="86">
        <v>8.8541406683410206E-2</v>
      </c>
      <c r="Z82" s="86">
        <v>0.13469742310032276</v>
      </c>
      <c r="AA82" s="1"/>
      <c r="AB82" s="1"/>
      <c r="AC82" s="1"/>
    </row>
    <row r="83" spans="1:29" ht="12.75" customHeight="1" x14ac:dyDescent="0.25">
      <c r="A83" s="1"/>
      <c r="B83" s="1"/>
      <c r="C83" s="1"/>
      <c r="D83" s="1"/>
      <c r="E83" s="1" t="s">
        <v>187</v>
      </c>
      <c r="F83" s="1"/>
      <c r="G83" s="1"/>
      <c r="H83" s="41">
        <f>MEDIAN( H72:H79 )</f>
        <v>2.4602677937428701E-2</v>
      </c>
      <c r="I83" s="45">
        <f>MEDIAN( I72:I79 )</f>
        <v>13.835179550392549</v>
      </c>
      <c r="J83" s="45">
        <f>MEDIAN( J72:J79 )</f>
        <v>23.923873403219449</v>
      </c>
      <c r="K83" s="45">
        <f>MEDIAN( K72:K79 )</f>
        <v>9.5036920369264752</v>
      </c>
      <c r="L83" s="1"/>
      <c r="M83" s="1"/>
      <c r="N83" s="1"/>
      <c r="O83" s="1"/>
      <c r="P83" s="1"/>
      <c r="Q83" s="1"/>
      <c r="R83" s="1" t="s">
        <v>188</v>
      </c>
      <c r="S83" s="1"/>
      <c r="T83" s="33" t="s">
        <v>8</v>
      </c>
      <c r="U83" s="86"/>
      <c r="V83" s="86"/>
      <c r="W83" s="1"/>
      <c r="X83" s="134">
        <v>0.28000000000000003</v>
      </c>
      <c r="Y83" s="86">
        <v>0.28000000000000003</v>
      </c>
      <c r="Z83" s="86">
        <v>0.28000000000000003</v>
      </c>
      <c r="AA83" s="1"/>
      <c r="AB83" s="1"/>
      <c r="AC83" s="1"/>
    </row>
    <row r="84" spans="1:29" ht="12.75" customHeight="1" x14ac:dyDescent="0.25">
      <c r="A84" s="1"/>
      <c r="B84" s="1"/>
      <c r="C84" s="1"/>
      <c r="D84" s="1"/>
      <c r="E84" s="1" t="s">
        <v>189</v>
      </c>
      <c r="F84" s="1"/>
      <c r="G84" s="1"/>
      <c r="H84" s="41">
        <f ca="1">MAX( H72:H80 )</f>
        <v>3.3866271409749703E-2</v>
      </c>
      <c r="I84" s="45">
        <f ca="1">MAX( I72:I80 )</f>
        <v>18.3855311650068</v>
      </c>
      <c r="J84" s="45">
        <f ca="1">MAX( J72:J80 )</f>
        <v>37.111276559189101</v>
      </c>
      <c r="K84" s="45">
        <f ca="1">MAX( K72:K80 )</f>
        <v>16.140985012907901</v>
      </c>
      <c r="L84" s="1"/>
      <c r="M84" s="1"/>
      <c r="N84" s="1"/>
      <c r="O84" s="1"/>
      <c r="P84" s="1"/>
      <c r="Q84" s="1"/>
      <c r="R84" s="1"/>
      <c r="S84" s="1"/>
      <c r="T84" s="1"/>
      <c r="U84" s="86"/>
      <c r="V84" s="86"/>
      <c r="W84" s="1"/>
      <c r="X84" s="76"/>
      <c r="Y84" s="86"/>
      <c r="Z84" s="76"/>
      <c r="AA84" s="1"/>
      <c r="AB84" s="1"/>
      <c r="AC84" s="1"/>
    </row>
    <row r="85" spans="1:29" ht="12.75" customHeight="1" x14ac:dyDescent="0.25">
      <c r="A85" s="1"/>
      <c r="B85" s="1"/>
      <c r="C85" s="1"/>
      <c r="D85" s="1"/>
      <c r="E85" s="1" t="s">
        <v>190</v>
      </c>
      <c r="F85" s="1"/>
      <c r="G85" s="1"/>
      <c r="H85" s="41">
        <f ca="1">MIN( H72:H80 )</f>
        <v>0</v>
      </c>
      <c r="I85" s="45">
        <f ca="1">MIN( I72:I80 )</f>
        <v>13.4478724183215</v>
      </c>
      <c r="J85" s="45">
        <f ca="1">MIN( J72:J80 )</f>
        <v>18.667851927106501</v>
      </c>
      <c r="K85" s="45">
        <f ca="1">MIN( K72:K80 )</f>
        <v>4.6019616845257199</v>
      </c>
      <c r="L85" s="1"/>
      <c r="M85" s="1"/>
      <c r="N85" s="1"/>
      <c r="O85" s="1"/>
      <c r="P85" s="1"/>
      <c r="Q85" s="1"/>
      <c r="R85" s="1" t="s">
        <v>191</v>
      </c>
      <c r="S85" s="1"/>
      <c r="T85" s="33" t="s">
        <v>8</v>
      </c>
      <c r="U85" s="86"/>
      <c r="V85" s="86"/>
      <c r="W85" s="1"/>
      <c r="X85" s="134">
        <v>0.02</v>
      </c>
      <c r="Y85" s="86">
        <v>0.02</v>
      </c>
      <c r="Z85" s="134">
        <v>0.02</v>
      </c>
      <c r="AA85" s="1"/>
      <c r="AB85" s="1"/>
      <c r="AC85" s="1"/>
    </row>
    <row r="86" spans="1:29" ht="12.75" customHeight="1" x14ac:dyDescent="0.25">
      <c r="A86" s="1"/>
      <c r="B86" s="1"/>
      <c r="C86" s="1"/>
      <c r="D86" s="1"/>
      <c r="E86" s="1" t="s">
        <v>192</v>
      </c>
      <c r="F86" s="1"/>
      <c r="G86" s="1"/>
      <c r="H86" s="41">
        <f ca="1">MAX( H72:H80 ) - MIN( H72:H80 )</f>
        <v>3.3866271409749703E-2</v>
      </c>
      <c r="I86" s="45">
        <f ca="1">MAX( I72:I80 ) - MIN( I72:I80 )</f>
        <v>4.9376587466852992</v>
      </c>
      <c r="J86" s="45">
        <f ca="1">MAX( J72:J80 ) - MIN( J72:J80 )</f>
        <v>18.4434246320826</v>
      </c>
      <c r="K86" s="45">
        <f ca="1">MAX( K72:K80 ) - MIN( K72:K80 )</f>
        <v>11.539023328382182</v>
      </c>
      <c r="L86" s="1"/>
      <c r="M86" s="1"/>
      <c r="N86" s="1"/>
      <c r="O86" s="1"/>
      <c r="P86" s="1"/>
      <c r="Q86" s="1"/>
      <c r="R86" s="1" t="s">
        <v>193</v>
      </c>
      <c r="S86" s="1"/>
      <c r="T86" s="33" t="s">
        <v>8</v>
      </c>
      <c r="U86" s="86"/>
      <c r="V86" s="86"/>
      <c r="W86" s="1"/>
      <c r="X86" s="41">
        <v>-5.8066503738624854E-2</v>
      </c>
      <c r="Y86" s="86">
        <v>-5.921219092915736E-2</v>
      </c>
      <c r="Z86" s="41">
        <v>-5.7056438917685304E-2</v>
      </c>
      <c r="AA86" s="1"/>
      <c r="AB86" s="1"/>
      <c r="AC86" s="1"/>
    </row>
    <row r="87" spans="1:29" ht="12.75" customHeight="1" x14ac:dyDescent="0.25">
      <c r="A87" s="1"/>
      <c r="B87" s="1"/>
      <c r="C87" s="1"/>
      <c r="D87" s="1"/>
      <c r="E87" s="13" t="str">
        <f>'&gt;&gt; Inputs'!$G$14 &amp; " Relative to median"</f>
        <v>SKC.NZ Relative to median</v>
      </c>
      <c r="F87" s="13"/>
      <c r="G87" s="13"/>
      <c r="H87" s="144" t="e">
        <f ca="1">H80 / H83 - 1</f>
        <v>#VALUE!</v>
      </c>
      <c r="I87" s="144" t="e">
        <f ca="1">I80 / I83 - 1</f>
        <v>#VALUE!</v>
      </c>
      <c r="J87" s="144" t="e">
        <f ca="1">J80 / J83 - 1</f>
        <v>#VALUE!</v>
      </c>
      <c r="K87" s="144" t="e">
        <f ca="1">K80 / K83 - 1</f>
        <v>#VALUE!</v>
      </c>
      <c r="L87" s="1"/>
      <c r="M87" s="1"/>
      <c r="N87" s="1"/>
      <c r="O87" s="1"/>
      <c r="P87" s="1"/>
      <c r="Q87" s="1"/>
      <c r="R87" s="1"/>
      <c r="S87" s="1"/>
      <c r="T87" s="1"/>
      <c r="U87" s="1"/>
      <c r="V87" s="1"/>
      <c r="W87" s="1"/>
      <c r="X87" s="1"/>
      <c r="Y87" s="1"/>
      <c r="Z87" s="1"/>
      <c r="AA87" s="1"/>
      <c r="AB87" s="1"/>
      <c r="AC87" s="1"/>
    </row>
    <row r="88" spans="1:29" ht="12.75" customHeight="1" x14ac:dyDescent="0.25">
      <c r="A88" s="1"/>
      <c r="B88" s="1"/>
      <c r="C88" s="1"/>
      <c r="D88" s="1"/>
      <c r="E88" s="1"/>
      <c r="F88" s="1"/>
      <c r="G88" s="1"/>
      <c r="H88" s="1"/>
      <c r="I88" s="1"/>
      <c r="J88" s="1"/>
      <c r="K88" s="1"/>
      <c r="L88" s="1"/>
      <c r="M88" s="1"/>
      <c r="N88" s="1"/>
      <c r="O88" s="1"/>
      <c r="P88" s="1"/>
      <c r="Q88" s="1"/>
      <c r="R88" s="2" t="s">
        <v>194</v>
      </c>
      <c r="S88" s="1"/>
      <c r="T88" s="1"/>
      <c r="U88" s="1"/>
      <c r="V88" s="1"/>
      <c r="W88" s="1"/>
      <c r="X88" s="1"/>
      <c r="Y88" s="1"/>
      <c r="Z88" s="1"/>
      <c r="AA88" s="1"/>
      <c r="AB88" s="1"/>
      <c r="AC88" s="1"/>
    </row>
    <row r="89" spans="1:29" ht="12.75" customHeight="1" x14ac:dyDescent="0.25">
      <c r="A89" s="1"/>
      <c r="B89" s="1"/>
      <c r="C89" s="1"/>
      <c r="D89" s="1"/>
      <c r="E89" s="1"/>
      <c r="F89" s="1"/>
      <c r="G89" s="1"/>
      <c r="H89" s="1"/>
      <c r="I89" s="1"/>
      <c r="J89" s="1"/>
      <c r="K89" s="1"/>
      <c r="L89" s="1"/>
      <c r="M89" s="1"/>
      <c r="N89" s="1"/>
      <c r="O89" s="1"/>
      <c r="P89" s="1"/>
      <c r="Q89" s="1"/>
      <c r="R89" s="1" t="s">
        <v>195</v>
      </c>
      <c r="S89" s="1"/>
      <c r="T89" s="33" t="s">
        <v>8</v>
      </c>
      <c r="U89" s="146"/>
      <c r="V89" s="146"/>
      <c r="W89" s="1"/>
      <c r="X89" s="111">
        <v>9.0892000000000001E-2</v>
      </c>
      <c r="Y89" s="111">
        <v>9.0892000000000001E-2</v>
      </c>
      <c r="Z89" s="111">
        <v>9.0892000000000001E-2</v>
      </c>
      <c r="AA89" s="1"/>
      <c r="AB89" s="1"/>
      <c r="AC89" s="1"/>
    </row>
    <row r="90" spans="1:29" ht="12.75" customHeight="1" x14ac:dyDescent="0.25">
      <c r="A90" s="1"/>
      <c r="B90" s="1"/>
      <c r="C90" s="1"/>
      <c r="D90" s="1"/>
      <c r="E90" s="1"/>
      <c r="F90" s="1"/>
      <c r="G90" s="1"/>
      <c r="H90" s="1"/>
      <c r="I90" s="1"/>
      <c r="J90" s="1"/>
      <c r="K90" s="1"/>
      <c r="L90" s="1"/>
      <c r="M90" s="1"/>
      <c r="N90" s="1"/>
      <c r="O90" s="1"/>
      <c r="P90" s="1"/>
      <c r="Q90" s="1"/>
      <c r="R90" s="1" t="s">
        <v>196</v>
      </c>
      <c r="S90" s="1"/>
      <c r="T90" s="33" t="s">
        <v>52</v>
      </c>
      <c r="U90" s="146"/>
      <c r="V90" s="146"/>
      <c r="W90" s="1"/>
      <c r="X90" s="147">
        <v>8</v>
      </c>
      <c r="Y90" s="147">
        <v>8</v>
      </c>
      <c r="Z90" s="147">
        <v>8</v>
      </c>
      <c r="AA90" s="1"/>
      <c r="AB90" s="1"/>
      <c r="AC90" s="1"/>
    </row>
    <row r="91" spans="1:29" ht="12.75" customHeight="1" x14ac:dyDescent="0.25">
      <c r="A91" s="1"/>
      <c r="B91" s="1"/>
      <c r="C91" s="1"/>
      <c r="D91" s="2"/>
      <c r="E91" s="1"/>
      <c r="F91" s="1"/>
      <c r="G91" s="1"/>
      <c r="H91" s="1"/>
      <c r="I91" s="1"/>
      <c r="J91" s="1"/>
      <c r="K91" s="1"/>
      <c r="L91" s="1"/>
      <c r="M91" s="1"/>
      <c r="N91" s="1"/>
      <c r="O91" s="1"/>
      <c r="P91" s="1"/>
      <c r="Q91" s="1"/>
      <c r="R91" s="1" t="s">
        <v>48</v>
      </c>
      <c r="S91" s="1"/>
      <c r="T91" s="33" t="s">
        <v>8</v>
      </c>
      <c r="U91" s="146"/>
      <c r="V91" s="146"/>
      <c r="W91" s="1"/>
      <c r="X91" s="111">
        <v>0.15</v>
      </c>
      <c r="Y91" s="111">
        <v>0.11</v>
      </c>
      <c r="Z91" s="111">
        <v>0.17</v>
      </c>
      <c r="AA91" s="1"/>
      <c r="AB91" s="1"/>
      <c r="AC91" s="1"/>
    </row>
    <row r="92" spans="1:29" ht="12.75" customHeight="1" x14ac:dyDescent="0.25">
      <c r="A92" s="1"/>
      <c r="B92" s="1"/>
      <c r="C92" s="1"/>
      <c r="D92" s="1"/>
      <c r="E92" s="1"/>
      <c r="F92" s="1"/>
      <c r="G92" s="1"/>
      <c r="H92" s="1"/>
      <c r="I92" s="1"/>
      <c r="J92" s="1"/>
      <c r="K92" s="1"/>
      <c r="L92" s="1"/>
      <c r="M92" s="1"/>
      <c r="N92" s="1"/>
      <c r="O92" s="1"/>
      <c r="P92" s="1"/>
      <c r="Q92" s="1"/>
      <c r="R92" s="1" t="s">
        <v>197</v>
      </c>
      <c r="S92" s="1"/>
      <c r="T92" s="33" t="s">
        <v>8</v>
      </c>
      <c r="U92" s="146"/>
      <c r="V92" s="146"/>
      <c r="W92" s="1"/>
      <c r="X92" s="111">
        <v>0.02</v>
      </c>
      <c r="Y92" s="111">
        <v>0.02</v>
      </c>
      <c r="Z92" s="111">
        <v>2.5000000000000001E-2</v>
      </c>
      <c r="AA92" s="1"/>
      <c r="AB92" s="1"/>
      <c r="AC92" s="1"/>
    </row>
    <row r="93" spans="1:29" ht="12.75" customHeight="1" x14ac:dyDescent="0.25">
      <c r="A93" s="1"/>
      <c r="B93" s="1"/>
      <c r="C93" s="1"/>
      <c r="D93" s="1"/>
      <c r="E93" s="1"/>
      <c r="F93" s="1"/>
      <c r="G93" s="1"/>
      <c r="H93" s="1"/>
      <c r="I93" s="1"/>
      <c r="J93" s="1"/>
      <c r="K93" s="1"/>
      <c r="L93" s="1"/>
      <c r="M93" s="1"/>
      <c r="N93" s="1"/>
      <c r="O93" s="1"/>
      <c r="P93" s="1"/>
      <c r="Q93" s="1"/>
      <c r="R93" s="1"/>
      <c r="S93" s="1"/>
      <c r="T93" s="1"/>
      <c r="U93" s="146"/>
      <c r="V93" s="146"/>
      <c r="W93" s="1"/>
      <c r="X93" s="1"/>
      <c r="Y93" s="1"/>
      <c r="Z93" s="1"/>
      <c r="AA93" s="1"/>
      <c r="AB93" s="1"/>
      <c r="AC93" s="1"/>
    </row>
    <row r="94" spans="1:29" ht="12.75" customHeight="1" x14ac:dyDescent="0.25">
      <c r="A94" s="1"/>
      <c r="B94" s="1"/>
      <c r="C94" s="1"/>
      <c r="D94" s="1"/>
      <c r="E94" s="1"/>
      <c r="F94" s="1"/>
      <c r="G94" s="1"/>
      <c r="H94" s="1"/>
      <c r="I94" s="1"/>
      <c r="J94" s="1"/>
      <c r="K94" s="1"/>
      <c r="L94" s="1"/>
      <c r="M94" s="1"/>
      <c r="N94" s="1"/>
      <c r="O94" s="1"/>
      <c r="P94" s="1"/>
      <c r="Q94" s="1"/>
      <c r="R94" s="1" t="s">
        <v>27</v>
      </c>
      <c r="S94" s="1"/>
      <c r="T94" s="33" t="s">
        <v>28</v>
      </c>
      <c r="U94" s="146"/>
      <c r="V94" s="146"/>
      <c r="W94" s="1"/>
      <c r="X94" s="39">
        <v>-3.411</v>
      </c>
      <c r="Y94" s="39">
        <v>-3.411</v>
      </c>
      <c r="Z94" s="39">
        <v>-3.411</v>
      </c>
      <c r="AA94" s="1"/>
      <c r="AB94" s="1"/>
      <c r="AC94" s="1"/>
    </row>
    <row r="95" spans="1:29" ht="12.75" customHeight="1" x14ac:dyDescent="0.25">
      <c r="A95" s="1"/>
      <c r="B95" s="1"/>
      <c r="C95" s="1"/>
      <c r="D95" s="1"/>
      <c r="E95" s="1"/>
      <c r="F95" s="1"/>
      <c r="G95" s="1"/>
      <c r="H95" s="1"/>
      <c r="I95" s="1"/>
      <c r="J95" s="1"/>
      <c r="K95" s="1"/>
      <c r="L95" s="1"/>
      <c r="M95" s="1"/>
      <c r="N95" s="1"/>
      <c r="O95" s="1"/>
      <c r="P95" s="1"/>
      <c r="Q95" s="1"/>
      <c r="R95" s="1" t="s">
        <v>29</v>
      </c>
      <c r="S95" s="1"/>
      <c r="T95" s="33" t="s">
        <v>28</v>
      </c>
      <c r="U95" s="146"/>
      <c r="V95" s="146"/>
      <c r="W95" s="1"/>
      <c r="X95" s="39">
        <v>-7.597999999999999</v>
      </c>
      <c r="Y95" s="39">
        <v>-7.597999999999999</v>
      </c>
      <c r="Z95" s="39">
        <v>-7.597999999999999</v>
      </c>
      <c r="AA95" s="1"/>
      <c r="AB95" s="1"/>
      <c r="AC95" s="1"/>
    </row>
    <row r="96" spans="1:29" ht="12.75" customHeight="1" x14ac:dyDescent="0.25">
      <c r="A96" s="1"/>
      <c r="B96" s="1"/>
      <c r="C96" s="1"/>
      <c r="D96" s="1"/>
      <c r="E96" s="1"/>
      <c r="F96" s="1"/>
      <c r="G96" s="1"/>
      <c r="H96" s="1"/>
      <c r="I96" s="1"/>
      <c r="J96" s="1"/>
      <c r="K96" s="1"/>
      <c r="L96" s="1"/>
      <c r="M96" s="1"/>
      <c r="N96" s="1"/>
      <c r="O96" s="1"/>
      <c r="P96" s="1"/>
      <c r="Q96" s="1"/>
      <c r="R96" s="1" t="s">
        <v>31</v>
      </c>
      <c r="S96" s="1"/>
      <c r="T96" s="33" t="s">
        <v>28</v>
      </c>
      <c r="U96" s="146"/>
      <c r="V96" s="146"/>
      <c r="W96" s="1"/>
      <c r="X96" s="39">
        <v>5.9130000000000003</v>
      </c>
      <c r="Y96" s="39">
        <v>5.9130000000000003</v>
      </c>
      <c r="Z96" s="39">
        <v>5.9130000000000003</v>
      </c>
      <c r="AA96" s="1"/>
      <c r="AB96" s="1"/>
      <c r="AC96" s="1"/>
    </row>
    <row r="97" spans="1:29" ht="12.75" customHeight="1" x14ac:dyDescent="0.25">
      <c r="A97" s="1"/>
      <c r="B97" s="1"/>
      <c r="C97" s="1"/>
      <c r="D97" s="1"/>
      <c r="E97" s="1"/>
      <c r="F97" s="1"/>
      <c r="G97" s="1"/>
      <c r="H97" s="1"/>
      <c r="I97" s="1"/>
      <c r="J97" s="1"/>
      <c r="K97" s="1"/>
      <c r="L97" s="1"/>
      <c r="M97" s="1"/>
      <c r="N97" s="1"/>
      <c r="O97" s="1"/>
      <c r="P97" s="1"/>
      <c r="Q97" s="1"/>
      <c r="R97" s="13" t="s">
        <v>22</v>
      </c>
      <c r="S97" s="13"/>
      <c r="T97" s="43" t="s">
        <v>28</v>
      </c>
      <c r="U97" s="13"/>
      <c r="V97" s="13"/>
      <c r="W97" s="13"/>
      <c r="X97" s="81">
        <f t="shared" ref="X97:Z97" si="4">SUM(X94:X96)</f>
        <v>-5.0959999999999983</v>
      </c>
      <c r="Y97" s="81">
        <f t="shared" si="4"/>
        <v>-5.0959999999999983</v>
      </c>
      <c r="Z97" s="81">
        <f t="shared" si="4"/>
        <v>-5.0959999999999983</v>
      </c>
      <c r="AA97" s="1"/>
      <c r="AB97" s="1"/>
      <c r="AC97" s="1"/>
    </row>
    <row r="98" spans="1:29" ht="12.75" customHeight="1" x14ac:dyDescent="0.25">
      <c r="A98" s="1"/>
      <c r="B98" s="1"/>
      <c r="C98" s="1"/>
      <c r="D98" s="1"/>
      <c r="E98" s="1"/>
      <c r="F98" s="1"/>
      <c r="G98" s="1"/>
      <c r="H98" s="1"/>
      <c r="I98" s="1"/>
      <c r="J98" s="1"/>
      <c r="K98" s="1"/>
      <c r="L98" s="1"/>
      <c r="M98" s="1"/>
      <c r="N98" s="1"/>
      <c r="O98" s="1"/>
      <c r="P98" s="1"/>
      <c r="Q98" s="1"/>
      <c r="R98" s="1"/>
      <c r="S98" s="1"/>
      <c r="T98" s="33"/>
      <c r="U98" s="1"/>
      <c r="V98" s="1"/>
      <c r="W98" s="1"/>
      <c r="X98" s="80"/>
      <c r="Y98" s="80"/>
      <c r="Z98" s="80"/>
      <c r="AA98" s="1"/>
      <c r="AB98" s="1"/>
      <c r="AC98" s="1"/>
    </row>
    <row r="99" spans="1:29" ht="12.75" customHeight="1" x14ac:dyDescent="0.25">
      <c r="A99" s="1"/>
      <c r="B99" s="1"/>
      <c r="C99" s="1"/>
      <c r="D99" s="1"/>
      <c r="E99" s="1"/>
      <c r="F99" s="1"/>
      <c r="G99" s="1"/>
      <c r="H99" s="1"/>
      <c r="I99" s="1"/>
      <c r="J99" s="1"/>
      <c r="K99" s="1"/>
      <c r="L99" s="1"/>
      <c r="M99" s="1"/>
      <c r="N99" s="1"/>
      <c r="O99" s="1"/>
      <c r="P99" s="1"/>
      <c r="Q99" s="1"/>
      <c r="R99" s="1" t="s">
        <v>97</v>
      </c>
      <c r="S99" s="1"/>
      <c r="T99" s="33" t="s">
        <v>11</v>
      </c>
      <c r="U99" s="146"/>
      <c r="V99" s="146"/>
      <c r="W99" s="1"/>
      <c r="X99" s="80">
        <v>242.43799999999999</v>
      </c>
      <c r="Y99" s="80">
        <v>242.437524</v>
      </c>
      <c r="Z99" s="80">
        <v>242.437524</v>
      </c>
      <c r="AA99" s="1"/>
      <c r="AB99" s="1"/>
      <c r="AC99" s="1"/>
    </row>
    <row r="100" spans="1:29" ht="12.75" customHeight="1" x14ac:dyDescent="0.25">
      <c r="A100" s="1"/>
      <c r="B100" s="1"/>
      <c r="C100" s="1"/>
      <c r="D100" s="1"/>
      <c r="E100" s="1"/>
      <c r="F100" s="1"/>
      <c r="G100" s="1"/>
      <c r="H100" s="1"/>
      <c r="I100" s="1"/>
      <c r="J100" s="1"/>
      <c r="K100" s="1"/>
      <c r="L100" s="1"/>
      <c r="M100" s="1"/>
      <c r="N100" s="1"/>
      <c r="O100" s="1"/>
      <c r="P100" s="1"/>
      <c r="Q100" s="1"/>
      <c r="R100" s="1" t="s">
        <v>198</v>
      </c>
      <c r="S100" s="1"/>
      <c r="T100" s="33" t="s">
        <v>100</v>
      </c>
      <c r="U100" s="146"/>
      <c r="V100" s="146"/>
      <c r="W100" s="1"/>
      <c r="X100" s="148">
        <v>0.92453078403369826</v>
      </c>
      <c r="Y100" s="148">
        <v>0.56786061526928899</v>
      </c>
      <c r="Z100" s="148">
        <v>1.1694701035620143</v>
      </c>
      <c r="AA100" s="1"/>
      <c r="AB100" s="1"/>
      <c r="AC100" s="1"/>
    </row>
    <row r="101" spans="1:29" ht="12.75" customHeight="1" x14ac:dyDescent="0.25">
      <c r="A101" s="1"/>
      <c r="B101" s="1"/>
      <c r="C101" s="1"/>
      <c r="D101" s="1"/>
      <c r="E101" s="1"/>
      <c r="F101" s="1"/>
      <c r="G101" s="1"/>
      <c r="H101" s="1"/>
      <c r="I101" s="1"/>
      <c r="J101" s="1"/>
      <c r="K101" s="1"/>
      <c r="L101" s="1"/>
      <c r="M101" s="1"/>
      <c r="N101" s="1"/>
      <c r="O101" s="1"/>
      <c r="P101" s="1"/>
      <c r="Q101" s="1"/>
      <c r="R101" s="1" t="s">
        <v>199</v>
      </c>
      <c r="S101" s="1"/>
      <c r="T101" s="33" t="s">
        <v>100</v>
      </c>
      <c r="U101" s="146"/>
      <c r="V101" s="146"/>
      <c r="W101" s="1"/>
      <c r="X101" s="149">
        <v>0</v>
      </c>
      <c r="Y101" s="149">
        <v>0</v>
      </c>
      <c r="Z101" s="149">
        <v>0</v>
      </c>
      <c r="AA101" s="1"/>
      <c r="AB101" s="1"/>
      <c r="AC101" s="1"/>
    </row>
    <row r="102" spans="1:29" ht="12.75" customHeight="1" x14ac:dyDescent="0.25">
      <c r="A102" s="1"/>
      <c r="B102" s="1"/>
      <c r="C102" s="1"/>
      <c r="D102" s="1"/>
      <c r="E102" s="1"/>
      <c r="F102" s="1"/>
      <c r="G102" s="1"/>
      <c r="H102" s="1"/>
      <c r="I102" s="1"/>
      <c r="J102" s="1"/>
      <c r="K102" s="1"/>
      <c r="L102" s="1"/>
      <c r="M102" s="1"/>
      <c r="N102" s="1"/>
      <c r="O102" s="1"/>
      <c r="P102" s="1"/>
      <c r="Q102" s="1"/>
      <c r="R102" s="1" t="s">
        <v>200</v>
      </c>
      <c r="S102" s="1"/>
      <c r="T102" s="33" t="s">
        <v>100</v>
      </c>
      <c r="U102" s="146"/>
      <c r="V102" s="146"/>
      <c r="W102" s="1"/>
      <c r="X102" s="148">
        <v>-2.1019807125945596E-2</v>
      </c>
      <c r="Y102" s="148">
        <v>-2.1019807125945596E-2</v>
      </c>
      <c r="Z102" s="148">
        <v>-2.1019807125945596E-2</v>
      </c>
      <c r="AA102" s="1"/>
      <c r="AB102" s="1"/>
      <c r="AC102" s="1"/>
    </row>
    <row r="103" spans="1:29" ht="12.75" customHeight="1" x14ac:dyDescent="0.25">
      <c r="A103" s="1"/>
      <c r="B103" s="1"/>
      <c r="C103" s="1"/>
      <c r="D103" s="1"/>
      <c r="E103" s="1"/>
      <c r="F103" s="1"/>
      <c r="G103" s="1"/>
      <c r="H103" s="1"/>
      <c r="I103" s="1"/>
      <c r="J103" s="1"/>
      <c r="K103" s="1"/>
      <c r="L103" s="1"/>
      <c r="M103" s="1"/>
      <c r="N103" s="1"/>
      <c r="O103" s="1"/>
      <c r="P103" s="1"/>
      <c r="Q103" s="1"/>
      <c r="R103" s="150" t="s">
        <v>201</v>
      </c>
      <c r="S103" s="151"/>
      <c r="T103" s="151" t="s">
        <v>100</v>
      </c>
      <c r="U103" s="151"/>
      <c r="V103" s="151"/>
      <c r="W103" s="151"/>
      <c r="X103" s="152"/>
      <c r="Y103" s="152"/>
      <c r="Z103" s="153"/>
      <c r="AA103" s="1"/>
      <c r="AB103" s="1"/>
      <c r="AC103" s="1"/>
    </row>
    <row r="104" spans="1:29" ht="12.75" customHeight="1" x14ac:dyDescent="0.25">
      <c r="A104" s="1"/>
      <c r="B104" s="1"/>
      <c r="C104" s="1"/>
      <c r="D104" s="1"/>
      <c r="E104" s="1"/>
      <c r="F104" s="1"/>
      <c r="G104" s="1"/>
      <c r="H104" s="1"/>
      <c r="I104" s="1"/>
      <c r="J104" s="1"/>
      <c r="K104" s="1"/>
      <c r="L104" s="1"/>
      <c r="M104" s="1"/>
      <c r="N104" s="1"/>
      <c r="O104" s="1"/>
      <c r="P104" s="1"/>
      <c r="Q104" s="1"/>
      <c r="R104" s="62" t="s">
        <v>202</v>
      </c>
      <c r="S104" s="154"/>
      <c r="T104" s="154" t="s">
        <v>100</v>
      </c>
      <c r="U104" s="154"/>
      <c r="V104" s="154"/>
      <c r="W104" s="154"/>
      <c r="X104" s="155"/>
      <c r="Y104" s="155"/>
      <c r="Z104" s="156"/>
      <c r="AA104" s="1"/>
      <c r="AB104" s="1"/>
      <c r="AC104" s="1"/>
    </row>
    <row r="105" spans="1:29" ht="12.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3"/>
      <c r="Y105" s="13"/>
      <c r="Z105" s="13"/>
      <c r="AA105" s="13"/>
      <c r="AB105" s="1"/>
      <c r="AC105" s="1"/>
    </row>
    <row r="106" spans="1:29" ht="12.75" customHeight="1" x14ac:dyDescent="0.25">
      <c r="A106" s="1"/>
      <c r="B106" s="1"/>
      <c r="C106" s="1"/>
      <c r="D106" s="1"/>
      <c r="E106" s="1"/>
      <c r="F106" s="1"/>
      <c r="G106" s="1"/>
      <c r="H106" s="1"/>
      <c r="I106" s="1"/>
      <c r="J106" s="1"/>
      <c r="K106" s="1"/>
      <c r="L106" s="1"/>
      <c r="M106" s="1"/>
      <c r="N106" s="1"/>
      <c r="O106" s="1"/>
      <c r="P106" s="1"/>
      <c r="Q106" s="1"/>
      <c r="R106" s="2" t="s">
        <v>203</v>
      </c>
      <c r="S106" s="1"/>
      <c r="T106" s="1"/>
      <c r="U106" s="1"/>
      <c r="V106" s="1"/>
      <c r="W106" s="1"/>
      <c r="X106" s="1"/>
      <c r="Y106" s="1"/>
      <c r="Z106" s="1"/>
      <c r="AA106" s="1"/>
      <c r="AB106" s="1"/>
      <c r="AC106" s="1"/>
    </row>
    <row r="107" spans="1:29" ht="11.25" customHeight="1" x14ac:dyDescent="0.25">
      <c r="A107" s="1"/>
      <c r="B107" s="1"/>
      <c r="C107" s="1"/>
      <c r="D107" s="1"/>
      <c r="E107" s="1"/>
      <c r="F107" s="1"/>
      <c r="G107" s="1"/>
      <c r="H107" s="1"/>
      <c r="I107" s="1"/>
      <c r="J107" s="1"/>
      <c r="K107" s="1"/>
      <c r="L107" s="1"/>
      <c r="M107" s="1"/>
      <c r="N107" s="1"/>
      <c r="O107" s="1"/>
      <c r="P107" s="1"/>
      <c r="Q107" s="1"/>
      <c r="R107" s="2" t="s">
        <v>204</v>
      </c>
      <c r="S107" s="1"/>
      <c r="T107" s="1"/>
      <c r="U107" s="37" t="s">
        <v>205</v>
      </c>
      <c r="V107" s="37" t="s">
        <v>206</v>
      </c>
      <c r="W107" s="37" t="s">
        <v>207</v>
      </c>
      <c r="X107" s="37" t="s">
        <v>208</v>
      </c>
      <c r="Y107" s="1"/>
      <c r="Z107" s="1"/>
      <c r="AA107" s="1"/>
      <c r="AB107" s="1"/>
      <c r="AC107" s="1"/>
    </row>
    <row r="108" spans="1:29" ht="12.75" customHeight="1" x14ac:dyDescent="0.25">
      <c r="A108" s="1"/>
      <c r="B108" s="1"/>
      <c r="C108" s="1"/>
      <c r="D108" s="1"/>
      <c r="E108" s="1"/>
      <c r="F108" s="1"/>
      <c r="G108" s="1"/>
      <c r="H108" s="1"/>
      <c r="I108" s="1"/>
      <c r="J108" s="1"/>
      <c r="K108" s="1"/>
      <c r="L108" s="1"/>
      <c r="M108" s="1"/>
      <c r="N108" s="1"/>
      <c r="O108" s="1"/>
      <c r="P108" s="1"/>
      <c r="Q108" s="1"/>
      <c r="R108" s="157" t="str">
        <f>X74</f>
        <v>Base Case</v>
      </c>
      <c r="S108" s="1"/>
      <c r="T108" s="33" t="s">
        <v>100</v>
      </c>
      <c r="U108" s="149">
        <f>X103</f>
        <v>0</v>
      </c>
      <c r="V108" s="149">
        <f>X104</f>
        <v>0</v>
      </c>
      <c r="W108" s="149">
        <f t="shared" ref="W108:W110" si="5">AVERAGE(U108:V108 )</f>
        <v>0</v>
      </c>
      <c r="X108" s="158">
        <f t="shared" ref="X108:X110" si="6">1 / 3</f>
        <v>0.33333333333333331</v>
      </c>
      <c r="Y108" s="1"/>
      <c r="Z108" s="1"/>
      <c r="AA108" s="1"/>
      <c r="AB108" s="1"/>
      <c r="AC108" s="1"/>
    </row>
    <row r="109" spans="1:29" ht="12.75" customHeight="1" x14ac:dyDescent="0.25">
      <c r="A109" s="1"/>
      <c r="B109" s="1"/>
      <c r="C109" s="1"/>
      <c r="D109" s="1"/>
      <c r="E109" s="1"/>
      <c r="F109" s="1"/>
      <c r="G109" s="1"/>
      <c r="H109" s="1"/>
      <c r="I109" s="1"/>
      <c r="J109" s="1"/>
      <c r="K109" s="1"/>
      <c r="L109" s="1"/>
      <c r="M109" s="1"/>
      <c r="N109" s="1"/>
      <c r="O109" s="1"/>
      <c r="P109" s="1"/>
      <c r="Q109" s="1"/>
      <c r="R109" s="157" t="str">
        <f>Y74</f>
        <v>Pre-Covid reversion</v>
      </c>
      <c r="S109" s="1"/>
      <c r="T109" s="33" t="s">
        <v>100</v>
      </c>
      <c r="U109" s="149">
        <f>Y103</f>
        <v>0</v>
      </c>
      <c r="V109" s="149">
        <f>Y104</f>
        <v>0</v>
      </c>
      <c r="W109" s="149">
        <f t="shared" si="5"/>
        <v>0</v>
      </c>
      <c r="X109" s="158">
        <f t="shared" si="6"/>
        <v>0.33333333333333331</v>
      </c>
      <c r="Y109" s="1"/>
      <c r="Z109" s="1"/>
      <c r="AA109" s="1"/>
      <c r="AB109" s="1"/>
      <c r="AC109" s="1"/>
    </row>
    <row r="110" spans="1:29" ht="12.75" customHeight="1" x14ac:dyDescent="0.25">
      <c r="A110" s="1"/>
      <c r="B110" s="1"/>
      <c r="C110" s="1"/>
      <c r="D110" s="1"/>
      <c r="E110" s="1"/>
      <c r="F110" s="1"/>
      <c r="G110" s="1"/>
      <c r="H110" s="1"/>
      <c r="I110" s="1"/>
      <c r="J110" s="1"/>
      <c r="K110" s="1"/>
      <c r="L110" s="1"/>
      <c r="M110" s="1"/>
      <c r="N110" s="1"/>
      <c r="O110" s="1"/>
      <c r="P110" s="1"/>
      <c r="Q110" s="1"/>
      <c r="R110" s="157" t="str">
        <f>Z74</f>
        <v>Hist growth, stable</v>
      </c>
      <c r="S110" s="1"/>
      <c r="T110" s="33" t="s">
        <v>100</v>
      </c>
      <c r="U110" s="149">
        <f>Z103</f>
        <v>0</v>
      </c>
      <c r="V110" s="149">
        <f>Z104</f>
        <v>0</v>
      </c>
      <c r="W110" s="149">
        <f t="shared" si="5"/>
        <v>0</v>
      </c>
      <c r="X110" s="67">
        <f t="shared" si="6"/>
        <v>0.33333333333333331</v>
      </c>
      <c r="Y110" s="1"/>
      <c r="Z110" s="1"/>
      <c r="AA110" s="1"/>
      <c r="AB110" s="1"/>
      <c r="AC110" s="1"/>
    </row>
    <row r="111" spans="1:29" ht="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2.75" customHeight="1" x14ac:dyDescent="0.25">
      <c r="A112" s="1"/>
      <c r="B112" s="1"/>
      <c r="C112" s="1"/>
      <c r="D112" s="1"/>
      <c r="E112" s="1"/>
      <c r="F112" s="1"/>
      <c r="G112" s="1"/>
      <c r="H112" s="1"/>
      <c r="I112" s="1"/>
      <c r="J112" s="1"/>
      <c r="K112" s="1"/>
      <c r="L112" s="1"/>
      <c r="M112" s="1"/>
      <c r="N112" s="1"/>
      <c r="O112" s="1"/>
      <c r="P112" s="1"/>
      <c r="Q112" s="1"/>
      <c r="R112" s="1" t="s">
        <v>209</v>
      </c>
      <c r="S112" s="1"/>
      <c r="T112" s="33" t="s">
        <v>100</v>
      </c>
      <c r="U112" s="159">
        <f>SUMPRODUCT( W108:W110, X108:X110 )</f>
        <v>0</v>
      </c>
      <c r="V112" s="1"/>
      <c r="W112" s="1"/>
      <c r="X112" s="1"/>
      <c r="Y112" s="1"/>
      <c r="Z112" s="1"/>
      <c r="AA112" s="1"/>
      <c r="AB112" s="1"/>
      <c r="AC112" s="1"/>
    </row>
    <row r="113" spans="1:34" ht="12.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34" ht="12.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34" ht="12.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34" ht="12.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34" ht="12.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34" ht="12.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t="s">
        <v>986</v>
      </c>
      <c r="AA118" s="1"/>
      <c r="AB118" s="1"/>
      <c r="AC118" s="1"/>
    </row>
    <row r="119" spans="1:34" ht="12.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34" ht="12.75" customHeight="1" x14ac:dyDescent="0.25">
      <c r="A120" s="1"/>
      <c r="B120" s="1"/>
      <c r="C120" s="1"/>
      <c r="D120" s="1"/>
      <c r="I120" s="1"/>
      <c r="J120" s="1"/>
      <c r="K120" s="1"/>
      <c r="L120" s="1"/>
      <c r="M120" s="1"/>
      <c r="N120" s="1"/>
      <c r="O120" s="1"/>
      <c r="P120" s="1"/>
      <c r="Q120" s="1"/>
      <c r="R120" s="1"/>
      <c r="S120" s="1"/>
      <c r="T120" s="148">
        <f ca="1">H14</f>
        <v>1.3279873121617736</v>
      </c>
      <c r="U120" s="631">
        <v>2.8799999999999999E-2</v>
      </c>
      <c r="V120" s="631">
        <v>3.8800000000000001E-2</v>
      </c>
      <c r="W120" s="631">
        <v>4.8800000000000003E-2</v>
      </c>
      <c r="X120" s="631">
        <v>5.8799999999999998E-2</v>
      </c>
      <c r="Y120" s="631">
        <v>6.88E-2</v>
      </c>
      <c r="Z120" s="632">
        <v>7.8799999999999995E-2</v>
      </c>
      <c r="AA120" s="631">
        <v>8.8800000000000004E-2</v>
      </c>
      <c r="AB120" s="631">
        <v>9.8799999999999999E-2</v>
      </c>
      <c r="AC120" s="631">
        <v>0.10879999999999999</v>
      </c>
      <c r="AD120" s="631">
        <v>0.1188</v>
      </c>
      <c r="AE120" s="631">
        <v>0.1288</v>
      </c>
    </row>
    <row r="121" spans="1:34" ht="12.75" customHeight="1" x14ac:dyDescent="0.25">
      <c r="A121" s="1"/>
      <c r="B121" s="1"/>
      <c r="C121" s="1"/>
      <c r="D121" s="1"/>
      <c r="I121" s="1"/>
      <c r="J121" s="1"/>
      <c r="K121" s="1"/>
      <c r="L121" s="1"/>
      <c r="M121" s="1"/>
      <c r="N121" s="1"/>
      <c r="O121" s="1"/>
      <c r="P121" s="1"/>
      <c r="Q121" s="1"/>
      <c r="R121" s="1"/>
      <c r="S121" s="1"/>
      <c r="T121" s="628">
        <v>6.0900000000000003E-2</v>
      </c>
      <c r="U121" s="273">
        <f t="dataTable" ref="U121:AE140" dt2D="1" dtr="1" r1="Z51" r2="Z50" ca="1"/>
        <v>2.7185051879828639</v>
      </c>
      <c r="V121" s="273">
        <v>2.6410249994513535</v>
      </c>
      <c r="W121" s="273">
        <v>2.5656227268228085</v>
      </c>
      <c r="X121" s="273">
        <v>2.4922352089452056</v>
      </c>
      <c r="Y121" s="273">
        <v>2.4208013967171218</v>
      </c>
      <c r="Z121" s="273">
        <v>2.3512622765019224</v>
      </c>
      <c r="AA121" s="273">
        <v>2.2835607965267606</v>
      </c>
      <c r="AB121" s="273">
        <v>2.2176417961421291</v>
      </c>
      <c r="AC121" s="273">
        <v>2.1534519378232346</v>
      </c>
      <c r="AD121" s="273">
        <v>2.0909396417997468</v>
      </c>
      <c r="AE121" s="273">
        <v>2.0300550232053265</v>
      </c>
      <c r="AF121" s="1"/>
      <c r="AG121" s="1"/>
      <c r="AH121" s="1"/>
    </row>
    <row r="122" spans="1:34" ht="12.75" customHeight="1" x14ac:dyDescent="0.25">
      <c r="A122" s="1"/>
      <c r="B122" s="1"/>
      <c r="C122" s="1"/>
      <c r="D122" s="1"/>
      <c r="T122" s="629">
        <v>7.0900000000000005E-2</v>
      </c>
      <c r="U122" s="273">
        <v>2.5581363471511702</v>
      </c>
      <c r="V122" s="273">
        <v>2.4849484588658779</v>
      </c>
      <c r="W122" s="273">
        <v>2.4137082377514147</v>
      </c>
      <c r="X122" s="273">
        <v>2.3443568711776073</v>
      </c>
      <c r="Y122" s="273">
        <v>2.2768375011211157</v>
      </c>
      <c r="Z122" s="273">
        <v>2.2110951537066144</v>
      </c>
      <c r="AA122" s="273">
        <v>2.1470766714781218</v>
      </c>
      <c r="AB122" s="273">
        <v>2.084730648287513</v>
      </c>
      <c r="AC122" s="273">
        <v>2.0240073666921909</v>
      </c>
      <c r="AD122" s="273">
        <v>1.9648587377586402</v>
      </c>
      <c r="AE122" s="273">
        <v>1.9072382431731054</v>
      </c>
      <c r="AF122" s="1"/>
      <c r="AG122" s="1"/>
      <c r="AH122" s="1"/>
    </row>
    <row r="123" spans="1:34" ht="12.75" customHeight="1" x14ac:dyDescent="0.25">
      <c r="A123" s="1"/>
      <c r="B123" s="1"/>
      <c r="C123" s="1"/>
      <c r="D123" s="1"/>
      <c r="T123" s="628">
        <v>8.09E-2</v>
      </c>
      <c r="U123" s="273">
        <v>2.4066342621462891</v>
      </c>
      <c r="V123" s="273">
        <v>2.3374700717688892</v>
      </c>
      <c r="W123" s="273">
        <v>2.270132253320992</v>
      </c>
      <c r="X123" s="273">
        <v>2.2045660190136345</v>
      </c>
      <c r="Y123" s="273">
        <v>2.1407183907983924</v>
      </c>
      <c r="Z123" s="273">
        <v>2.0785381355135977</v>
      </c>
      <c r="AA123" s="273">
        <v>2.0179757025290535</v>
      </c>
      <c r="AB123" s="273">
        <v>1.9589831637865385</v>
      </c>
      <c r="AC123" s="273">
        <v>1.9015141561376692</v>
      </c>
      <c r="AD123" s="273">
        <v>1.8455238258851703</v>
      </c>
      <c r="AE123" s="273">
        <v>1.7909687754375856</v>
      </c>
      <c r="AF123" s="1"/>
      <c r="AG123" s="1"/>
      <c r="AH123" s="1"/>
    </row>
    <row r="124" spans="1:34" ht="12.75" customHeight="1" x14ac:dyDescent="0.25">
      <c r="A124" s="1"/>
      <c r="B124" s="1"/>
      <c r="C124" s="1"/>
      <c r="D124" s="1"/>
      <c r="T124" s="629">
        <v>9.0899999999999995E-2</v>
      </c>
      <c r="U124" s="273">
        <v>2.2634449978934166</v>
      </c>
      <c r="V124" s="273">
        <v>2.1980543386522258</v>
      </c>
      <c r="W124" s="273">
        <v>2.1343770441298937</v>
      </c>
      <c r="X124" s="273">
        <v>2.0723620535179408</v>
      </c>
      <c r="Y124" s="273">
        <v>2.0119599823896657</v>
      </c>
      <c r="Z124" s="273">
        <v>1.953123062976541</v>
      </c>
      <c r="AA124" s="273">
        <v>1.8958050867323413</v>
      </c>
      <c r="AB124" s="273">
        <v>1.8399613490914195</v>
      </c>
      <c r="AC124" s="273">
        <v>1.7855485963315754</v>
      </c>
      <c r="AD124" s="273">
        <v>1.7325249744558582</v>
      </c>
      <c r="AE124" s="273">
        <v>1.680849980011395</v>
      </c>
      <c r="AF124" s="1"/>
      <c r="AG124" s="1"/>
      <c r="AH124" s="1"/>
    </row>
    <row r="125" spans="1:34" ht="12.75" customHeight="1" x14ac:dyDescent="0.25">
      <c r="A125" s="1"/>
      <c r="B125" s="1"/>
      <c r="C125" s="1"/>
      <c r="D125" s="1"/>
      <c r="T125" s="628">
        <v>0.1009</v>
      </c>
      <c r="U125" s="273">
        <v>2.1280525799919929</v>
      </c>
      <c r="V125" s="273">
        <v>2.0662023525078443</v>
      </c>
      <c r="W125" s="273">
        <v>2.005960158109199</v>
      </c>
      <c r="X125" s="273">
        <v>1.9472783887339236</v>
      </c>
      <c r="Y125" s="273">
        <v>1.8901109898769428</v>
      </c>
      <c r="Z125" s="273">
        <v>1.8344134055645964</v>
      </c>
      <c r="AA125" s="273">
        <v>1.7801425254247989</v>
      </c>
      <c r="AB125" s="273">
        <v>1.7272566337677231</v>
      </c>
      <c r="AC125" s="273">
        <v>1.6757153605954123</v>
      </c>
      <c r="AD125" s="273">
        <v>1.6254796344622653</v>
      </c>
      <c r="AE125" s="273">
        <v>1.5765116371116752</v>
      </c>
      <c r="AF125" s="1"/>
      <c r="AG125" s="1"/>
      <c r="AH125" s="1"/>
    </row>
    <row r="126" spans="1:34" ht="12.75" customHeight="1" x14ac:dyDescent="0.25">
      <c r="A126" s="1"/>
      <c r="B126" s="1"/>
      <c r="C126" s="1"/>
      <c r="D126" s="1"/>
      <c r="T126" s="629">
        <v>0.1109</v>
      </c>
      <c r="U126" s="273">
        <v>1.9999761816836275</v>
      </c>
      <c r="V126" s="273">
        <v>1.9414490946190652</v>
      </c>
      <c r="W126" s="273">
        <v>1.8844318206409205</v>
      </c>
      <c r="X126" s="273">
        <v>1.8288799518299819</v>
      </c>
      <c r="Y126" s="273">
        <v>1.7747505206471679</v>
      </c>
      <c r="Z126" s="273">
        <v>1.7220019492122385</v>
      </c>
      <c r="AA126" s="273">
        <v>1.6705940005034301</v>
      </c>
      <c r="AB126" s="273">
        <v>1.6204877314002586</v>
      </c>
      <c r="AC126" s="273">
        <v>1.5716454474951678</v>
      </c>
      <c r="AD126" s="273">
        <v>1.524030659602766</v>
      </c>
      <c r="AE126" s="273">
        <v>1.4776080418985489</v>
      </c>
      <c r="AF126" s="1"/>
      <c r="AG126" s="1"/>
      <c r="AH126" s="1"/>
    </row>
    <row r="127" spans="1:34" ht="12.75" customHeight="1" x14ac:dyDescent="0.25">
      <c r="A127" s="1"/>
      <c r="B127" s="1"/>
      <c r="C127" s="1"/>
      <c r="D127" s="1"/>
      <c r="T127" s="628">
        <v>0.12089999999999999</v>
      </c>
      <c r="U127" s="273">
        <v>1.8787675342428332</v>
      </c>
      <c r="V127" s="273">
        <v>1.8233609445567225</v>
      </c>
      <c r="W127" s="273">
        <v>1.769372540067389</v>
      </c>
      <c r="X127" s="273">
        <v>1.7167608802085894</v>
      </c>
      <c r="Y127" s="273">
        <v>1.6654858604578673</v>
      </c>
      <c r="Z127" s="273">
        <v>1.615508665560953</v>
      </c>
      <c r="AA127" s="273">
        <v>1.5667917245176586</v>
      </c>
      <c r="AB127" s="273">
        <v>1.5192986672583837</v>
      </c>
      <c r="AC127" s="273">
        <v>1.4729942829433953</v>
      </c>
      <c r="AD127" s="273">
        <v>1.4278444798199377</v>
      </c>
      <c r="AE127" s="273">
        <v>1.3838162465749722</v>
      </c>
      <c r="AF127" s="1"/>
      <c r="AG127" s="1"/>
      <c r="AH127" s="1"/>
    </row>
    <row r="128" spans="1:34" ht="12.75" customHeight="1" x14ac:dyDescent="0.25">
      <c r="A128" s="1"/>
      <c r="B128" s="1"/>
      <c r="C128" s="1"/>
      <c r="D128" s="1"/>
      <c r="T128" s="629">
        <v>0.13089999999999999</v>
      </c>
      <c r="U128" s="273">
        <v>1.7640085418924525</v>
      </c>
      <c r="V128" s="273">
        <v>1.7115333863094044</v>
      </c>
      <c r="W128" s="273">
        <v>1.6603909013099474</v>
      </c>
      <c r="X128" s="273">
        <v>1.6105423990488783</v>
      </c>
      <c r="Y128" s="273">
        <v>1.5619504314933947</v>
      </c>
      <c r="Z128" s="273">
        <v>1.5145787472661942</v>
      </c>
      <c r="AA128" s="273">
        <v>1.4683922501046385</v>
      </c>
      <c r="AB128" s="273">
        <v>1.4233569588713668</v>
      </c>
      <c r="AC128" s="273">
        <v>1.379439969054425</v>
      </c>
      <c r="AD128" s="273">
        <v>1.3366094156976249</v>
      </c>
      <c r="AE128" s="273">
        <v>1.2948344377043484</v>
      </c>
      <c r="AF128" s="1"/>
      <c r="AG128" s="1"/>
      <c r="AH128" s="1"/>
    </row>
    <row r="129" spans="1:34" ht="12.75" customHeight="1" x14ac:dyDescent="0.25">
      <c r="A129" s="1"/>
      <c r="B129" s="1"/>
      <c r="C129" s="1"/>
      <c r="D129" s="1"/>
      <c r="T129" s="628">
        <v>0.1409</v>
      </c>
      <c r="U129" s="273">
        <v>1.6553090840392279</v>
      </c>
      <c r="V129" s="273">
        <v>1.6055888940924139</v>
      </c>
      <c r="W129" s="273">
        <v>1.5571215318561731</v>
      </c>
      <c r="X129" s="273">
        <v>1.5098708642236207</v>
      </c>
      <c r="Y129" s="273">
        <v>1.4638019091030916</v>
      </c>
      <c r="Z129" s="273">
        <v>1.4188807955816314</v>
      </c>
      <c r="AA129" s="273">
        <v>1.375074725571906</v>
      </c>
      <c r="AB129" s="273">
        <v>1.3323519368835175</v>
      </c>
      <c r="AC129" s="273">
        <v>1.2906816676621571</v>
      </c>
      <c r="AD129" s="273">
        <v>1.2500341221425095</v>
      </c>
      <c r="AE129" s="273">
        <v>1.2103804376629657</v>
      </c>
      <c r="AF129" s="1"/>
      <c r="AG129" s="1"/>
      <c r="AH129" s="1"/>
    </row>
    <row r="130" spans="1:34" ht="12.75" customHeight="1" x14ac:dyDescent="0.25">
      <c r="A130" s="1"/>
      <c r="B130" s="1"/>
      <c r="C130" s="1"/>
      <c r="D130" s="1"/>
      <c r="R130" s="623" t="s">
        <v>9</v>
      </c>
      <c r="T130" s="630">
        <v>0.15090000000000001</v>
      </c>
      <c r="U130" s="273">
        <v>1.552304989158942</v>
      </c>
      <c r="V130" s="273">
        <v>1.5051749828431098</v>
      </c>
      <c r="W130" s="273">
        <v>1.4592232257706261</v>
      </c>
      <c r="X130" s="273">
        <v>1.4144159568634345</v>
      </c>
      <c r="Y130" s="273">
        <v>1.3707204840837883</v>
      </c>
      <c r="Z130" s="273">
        <v>1.3281051476459287</v>
      </c>
      <c r="AA130" s="273">
        <v>1.2865392845900676</v>
      </c>
      <c r="AB130" s="273">
        <v>1.2459931946647522</v>
      </c>
      <c r="AC130" s="273">
        <v>1.2064381074659758</v>
      </c>
      <c r="AD130" s="273">
        <v>1.1678461507835394</v>
      </c>
      <c r="AE130" s="273">
        <v>1.1301903201072769</v>
      </c>
      <c r="AF130" s="1"/>
      <c r="AG130" s="1"/>
      <c r="AH130" s="1"/>
    </row>
    <row r="131" spans="1:34" ht="12.75" customHeight="1" x14ac:dyDescent="0.25">
      <c r="A131" s="1"/>
      <c r="B131" s="1"/>
      <c r="C131" s="1"/>
      <c r="D131" s="1"/>
      <c r="T131" s="628">
        <v>0.16089999999999999</v>
      </c>
      <c r="U131" s="273">
        <v>1.4546561660497541</v>
      </c>
      <c r="V131" s="273">
        <v>1.4099624097363086</v>
      </c>
      <c r="W131" s="273">
        <v>1.3663772126496099</v>
      </c>
      <c r="X131" s="273">
        <v>1.3238690170487653</v>
      </c>
      <c r="Y131" s="273">
        <v>1.2824072585220103</v>
      </c>
      <c r="Z131" s="273">
        <v>1.2419623319980406</v>
      </c>
      <c r="AA131" s="273">
        <v>1.2025055590089764</v>
      </c>
      <c r="AB131" s="273">
        <v>1.1640091561557611</v>
      </c>
      <c r="AC131" s="273">
        <v>1.1264462047287034</v>
      </c>
      <c r="AD131" s="273">
        <v>1.0897906214379989</v>
      </c>
      <c r="AE131" s="273">
        <v>1.0540171302108456</v>
      </c>
      <c r="AF131" s="1"/>
      <c r="AG131" s="1"/>
      <c r="AH131" s="1"/>
    </row>
    <row r="132" spans="1:34" ht="12.75" customHeight="1" x14ac:dyDescent="0.25">
      <c r="A132" s="1"/>
      <c r="B132" s="1"/>
      <c r="C132" s="1"/>
      <c r="D132" s="1"/>
      <c r="T132" s="629">
        <v>0.1709</v>
      </c>
      <c r="U132" s="273">
        <v>1.3620448794317379</v>
      </c>
      <c r="V132" s="273">
        <v>1.3196435142552287</v>
      </c>
      <c r="W132" s="273">
        <v>1.2782855595878255</v>
      </c>
      <c r="X132" s="273">
        <v>1.2379415052058937</v>
      </c>
      <c r="Y132" s="273">
        <v>1.1985827642574429</v>
      </c>
      <c r="Z132" s="273">
        <v>1.1601816418460231</v>
      </c>
      <c r="AA132" s="273">
        <v>1.1227113047651698</v>
      </c>
      <c r="AB132" s="273">
        <v>1.0861457523383415</v>
      </c>
      <c r="AC132" s="273">
        <v>1.0504597883212059</v>
      </c>
      <c r="AD132" s="273">
        <v>1.015628993824861</v>
      </c>
      <c r="AE132" s="273">
        <v>0.98162970122041682</v>
      </c>
      <c r="AF132" s="1"/>
      <c r="AG132" s="1"/>
      <c r="AH132" s="1"/>
    </row>
    <row r="133" spans="1:34" ht="12.75" customHeight="1" x14ac:dyDescent="0.25">
      <c r="A133" s="1"/>
      <c r="B133" s="1"/>
      <c r="C133" s="1"/>
      <c r="D133" s="1"/>
      <c r="T133" s="628">
        <v>0.18090000000000001</v>
      </c>
      <c r="U133" s="273">
        <v>1.2741741580129107</v>
      </c>
      <c r="V133" s="273">
        <v>1.2339306854441596</v>
      </c>
      <c r="W133" s="273">
        <v>1.1946696952660429</v>
      </c>
      <c r="X133" s="273">
        <v>1.1563635807773587</v>
      </c>
      <c r="Y133" s="273">
        <v>1.1189855939787177</v>
      </c>
      <c r="Z133" s="273">
        <v>1.0825098165214964</v>
      </c>
      <c r="AA133" s="273">
        <v>1.0469111317148401</v>
      </c>
      <c r="AB133" s="273">
        <v>1.0121651975495729</v>
      </c>
      <c r="AC133" s="273">
        <v>0.9782484206995079</v>
      </c>
      <c r="AD133" s="273">
        <v>0.94513793146228897</v>
      </c>
      <c r="AE133" s="273">
        <v>0.91281155960347549</v>
      </c>
      <c r="AF133" s="1"/>
      <c r="AG133" s="1"/>
      <c r="AH133" s="1"/>
    </row>
    <row r="134" spans="1:34" ht="12.75" customHeight="1" x14ac:dyDescent="0.25">
      <c r="A134" s="1"/>
      <c r="B134" s="1"/>
      <c r="C134" s="1"/>
      <c r="D134" s="1"/>
      <c r="T134" s="629">
        <v>0.19089999999999999</v>
      </c>
      <c r="U134" s="273">
        <v>1.190766324178322</v>
      </c>
      <c r="V134" s="273">
        <v>1.1525549459586546</v>
      </c>
      <c r="W134" s="273">
        <v>1.1152690462143491</v>
      </c>
      <c r="X134" s="273">
        <v>1.0788827886404013</v>
      </c>
      <c r="Y134" s="273">
        <v>1.0433711358254771</v>
      </c>
      <c r="Z134" s="273">
        <v>1.008709822376082</v>
      </c>
      <c r="AA134" s="273">
        <v>0.97487532901424956</v>
      </c>
      <c r="AB134" s="273">
        <v>0.94184485761103531</v>
      </c>
      <c r="AC134" s="273">
        <v>0.9095963071196651</v>
      </c>
      <c r="AD134" s="273">
        <v>0.87810825037370632</v>
      </c>
      <c r="AE134" s="273">
        <v>0.84735991171697234</v>
      </c>
      <c r="AF134" s="1"/>
      <c r="AG134" s="1"/>
      <c r="AH134" s="1"/>
    </row>
    <row r="135" spans="1:34" ht="12.75" customHeight="1" x14ac:dyDescent="0.25">
      <c r="A135" s="1"/>
      <c r="B135" s="1"/>
      <c r="C135" s="1"/>
      <c r="D135" s="1"/>
      <c r="T135" s="628">
        <v>0.2009</v>
      </c>
      <c r="U135" s="273">
        <v>1.111561635399761</v>
      </c>
      <c r="V135" s="273">
        <v>1.0752646434279078</v>
      </c>
      <c r="W135" s="273">
        <v>1.0398397761640659</v>
      </c>
      <c r="X135" s="273">
        <v>1.0052628445673659</v>
      </c>
      <c r="Y135" s="273">
        <v>0.97151040315450932</v>
      </c>
      <c r="Z135" s="273">
        <v>0.9385597251255412</v>
      </c>
      <c r="AA135" s="273">
        <v>0.90638877838573162</v>
      </c>
      <c r="AB135" s="273">
        <v>0.87497620242904317</v>
      </c>
      <c r="AC135" s="273">
        <v>0.84430128605007737</v>
      </c>
      <c r="AD135" s="273">
        <v>0.81434394585276271</v>
      </c>
      <c r="AE135" s="273">
        <v>0.78508470552530096</v>
      </c>
      <c r="AF135" s="1"/>
      <c r="AG135" s="1"/>
      <c r="AH135" s="1"/>
    </row>
    <row r="136" spans="1:34" ht="12.75" customHeight="1" x14ac:dyDescent="0.25">
      <c r="A136" s="1"/>
      <c r="B136" s="1"/>
      <c r="C136" s="1"/>
      <c r="D136" s="1"/>
      <c r="T136" s="629">
        <v>0.2109</v>
      </c>
      <c r="U136" s="273">
        <v>1.0363170283185039</v>
      </c>
      <c r="V136" s="273">
        <v>1.0018242404607742</v>
      </c>
      <c r="W136" s="273">
        <v>0.96815362018204687</v>
      </c>
      <c r="X136" s="273">
        <v>0.93528251176784405</v>
      </c>
      <c r="Y136" s="273">
        <v>0.90318895184071302</v>
      </c>
      <c r="Z136" s="273">
        <v>0.87185164632865486</v>
      </c>
      <c r="AA136" s="273">
        <v>0.84124994825880306</v>
      </c>
      <c r="AB136" s="273">
        <v>0.8113638363446799</v>
      </c>
      <c r="AC136" s="273">
        <v>0.78217389433674667</v>
      </c>
      <c r="AD136" s="273">
        <v>0.75366129110712943</v>
      </c>
      <c r="AE136" s="273">
        <v>0.72580776144060888</v>
      </c>
      <c r="AF136" s="1"/>
      <c r="AG136" s="1"/>
      <c r="AH136" s="1"/>
    </row>
    <row r="137" spans="1:34" ht="12.75" customHeight="1" x14ac:dyDescent="0.25">
      <c r="A137" s="1"/>
      <c r="B137" s="1"/>
      <c r="C137" s="1"/>
      <c r="D137" s="1"/>
      <c r="T137" s="628">
        <v>0.22090000000000001</v>
      </c>
      <c r="U137" s="273">
        <v>0.96480495723028559</v>
      </c>
      <c r="V137" s="273">
        <v>0.93201319536925198</v>
      </c>
      <c r="W137" s="273">
        <v>0.89999680599060716</v>
      </c>
      <c r="X137" s="273">
        <v>0.86873456123088122</v>
      </c>
      <c r="Y137" s="273">
        <v>0.83820587813226888</v>
      </c>
      <c r="Z137" s="273">
        <v>0.80839079730817953</v>
      </c>
      <c r="AA137" s="273">
        <v>0.77926996236907153</v>
      </c>
      <c r="AB137" s="273">
        <v>0.75082460007960294</v>
      </c>
      <c r="AC137" s="273">
        <v>0.7230365012192983</v>
      </c>
      <c r="AD137" s="273">
        <v>0.69588800212004076</v>
      </c>
      <c r="AE137" s="273">
        <v>0.66936196685483629</v>
      </c>
      <c r="AF137" s="1"/>
      <c r="AG137" s="1"/>
      <c r="AH137" s="1"/>
    </row>
    <row r="138" spans="1:34" ht="12.75" customHeight="1" x14ac:dyDescent="0.25">
      <c r="A138" s="1"/>
      <c r="B138" s="1"/>
      <c r="C138" s="1"/>
      <c r="D138" s="1"/>
      <c r="T138" s="629">
        <v>0.23089999999999999</v>
      </c>
      <c r="U138" s="273">
        <v>0.89681231940816419</v>
      </c>
      <c r="V138" s="273">
        <v>0.86562492635860544</v>
      </c>
      <c r="W138" s="273">
        <v>0.83516905552200726</v>
      </c>
      <c r="X138" s="273">
        <v>0.8054248092027283</v>
      </c>
      <c r="Y138" s="273">
        <v>0.77637289066969772</v>
      </c>
      <c r="Z138" s="273">
        <v>0.7479945843857323</v>
      </c>
      <c r="AA138" s="273">
        <v>0.72027173693759583</v>
      </c>
      <c r="AB138" s="273">
        <v>0.69318673864027758</v>
      </c>
      <c r="AC138" s="273">
        <v>0.66672250578998482</v>
      </c>
      <c r="AD138" s="273">
        <v>0.64086246354138277</v>
      </c>
      <c r="AE138" s="273">
        <v>0.61559052938558712</v>
      </c>
      <c r="AF138" s="1"/>
      <c r="AG138" s="1"/>
      <c r="AH138" s="1"/>
    </row>
    <row r="139" spans="1:34" ht="12.75" customHeight="1" x14ac:dyDescent="0.25">
      <c r="A139" s="1"/>
      <c r="B139" s="1"/>
      <c r="C139" s="1"/>
      <c r="D139" s="1"/>
      <c r="T139" s="628">
        <v>0.2409</v>
      </c>
      <c r="U139" s="273">
        <v>0.83213946034174546</v>
      </c>
      <c r="V139" s="273">
        <v>0.8024658525479339</v>
      </c>
      <c r="W139" s="273">
        <v>0.77348266034421131</v>
      </c>
      <c r="X139" s="273">
        <v>0.74517122569787986</v>
      </c>
      <c r="Y139" s="273">
        <v>0.71751345081612006</v>
      </c>
      <c r="Z139" s="273">
        <v>0.69049177981678633</v>
      </c>
      <c r="AA139" s="273">
        <v>0.66408918104540093</v>
      </c>
      <c r="AB139" s="273">
        <v>0.63828913001399146</v>
      </c>
      <c r="AC139" s="273">
        <v>0.61307559293835545</v>
      </c>
      <c r="AD139" s="273">
        <v>0.5884330108513397</v>
      </c>
      <c r="AE139" s="273">
        <v>0.56434628427052347</v>
      </c>
      <c r="AF139" s="1"/>
      <c r="AG139" s="1"/>
      <c r="AH139" s="1"/>
    </row>
    <row r="140" spans="1:34" ht="12.75" customHeight="1" x14ac:dyDescent="0.25">
      <c r="A140" s="1"/>
      <c r="B140" s="1"/>
      <c r="C140" s="1"/>
      <c r="D140" s="1"/>
      <c r="T140" s="629">
        <v>0.25090000000000001</v>
      </c>
      <c r="U140" s="273">
        <v>0.77059925255618877</v>
      </c>
      <c r="V140" s="273">
        <v>0.74235450574449846</v>
      </c>
      <c r="W140" s="273">
        <v>0.71476162512974095</v>
      </c>
      <c r="X140" s="273">
        <v>0.68780310845304959</v>
      </c>
      <c r="Y140" s="273">
        <v>0.66146197593599176</v>
      </c>
      <c r="Z140" s="273">
        <v>0.63572175328076219</v>
      </c>
      <c r="AA140" s="273">
        <v>0.61056645526650477</v>
      </c>
      <c r="AB140" s="273">
        <v>0.58598056991941805</v>
      </c>
      <c r="AC140" s="273">
        <v>0.56194904323516504</v>
      </c>
      <c r="AD140" s="273">
        <v>0.53845726443297037</v>
      </c>
      <c r="AE140" s="273">
        <v>0.51549105172160514</v>
      </c>
      <c r="AF140" s="1"/>
      <c r="AG140" s="1"/>
      <c r="AH140" s="1"/>
    </row>
    <row r="141" spans="1:34" ht="12.75" customHeight="1" x14ac:dyDescent="0.25">
      <c r="A141" s="1"/>
      <c r="B141" s="1"/>
      <c r="C141" s="1"/>
      <c r="D141" s="1"/>
      <c r="T141" s="1"/>
      <c r="U141" s="1"/>
      <c r="V141" s="1"/>
      <c r="W141" s="1"/>
      <c r="X141" s="1"/>
      <c r="Y141" s="1"/>
      <c r="Z141" s="1"/>
      <c r="AA141" s="1"/>
      <c r="AB141" s="1"/>
      <c r="AC141" s="1"/>
      <c r="AD141" s="1"/>
      <c r="AE141" s="1"/>
      <c r="AF141" s="1"/>
      <c r="AG141" s="1"/>
      <c r="AH141" s="1"/>
    </row>
    <row r="142" spans="1:34" ht="12.75" customHeight="1" x14ac:dyDescent="0.25">
      <c r="A142" s="1"/>
      <c r="B142" s="1"/>
      <c r="C142" s="1"/>
      <c r="D142" s="1"/>
      <c r="X142" s="1"/>
      <c r="Y142" s="1"/>
      <c r="Z142" s="1"/>
      <c r="AA142" s="1"/>
      <c r="AB142" s="1"/>
      <c r="AC142" s="1"/>
    </row>
    <row r="143" spans="1:34" ht="12.75" customHeight="1" x14ac:dyDescent="0.25">
      <c r="A143" s="1"/>
      <c r="B143" s="1"/>
      <c r="C143" s="1"/>
      <c r="D143" s="1"/>
      <c r="X143" s="1"/>
      <c r="Y143" s="1"/>
      <c r="Z143" s="1"/>
      <c r="AA143" s="1"/>
      <c r="AB143" s="1"/>
      <c r="AC143" s="1"/>
    </row>
    <row r="144" spans="1:34" ht="12.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19" ht="12.75" customHeight="1" x14ac:dyDescent="0.25">
      <c r="A145" s="1"/>
      <c r="B145" s="1"/>
      <c r="C145" s="1"/>
      <c r="D145" s="1"/>
      <c r="E145" s="1"/>
      <c r="F145" s="1"/>
      <c r="G145" s="1"/>
      <c r="H145" s="1"/>
      <c r="I145" s="1"/>
      <c r="J145" s="1"/>
      <c r="K145" s="1"/>
      <c r="L145" s="1"/>
      <c r="M145" s="1"/>
      <c r="N145" s="1"/>
      <c r="O145" s="1"/>
      <c r="P145" s="1"/>
    </row>
    <row r="146" spans="1:19" ht="12.75" customHeight="1" x14ac:dyDescent="0.25">
      <c r="A146" s="1"/>
      <c r="B146" s="1"/>
      <c r="C146" s="1"/>
      <c r="D146" s="1"/>
      <c r="E146" s="1"/>
      <c r="F146" s="1"/>
      <c r="G146" s="1"/>
      <c r="H146" s="1"/>
      <c r="I146" s="1"/>
      <c r="J146" s="1"/>
      <c r="K146" s="1"/>
      <c r="L146" s="1"/>
      <c r="M146" s="1"/>
      <c r="N146" s="1"/>
      <c r="O146" s="1"/>
      <c r="P146" s="1"/>
      <c r="Q146" s="1"/>
      <c r="R146" s="1"/>
      <c r="S146" s="1"/>
    </row>
    <row r="147" spans="1:19" ht="12.75" customHeight="1" x14ac:dyDescent="0.25">
      <c r="A147" s="1"/>
      <c r="B147" s="1"/>
      <c r="C147" s="1"/>
      <c r="D147" s="1"/>
      <c r="E147" s="1"/>
      <c r="F147" s="1"/>
      <c r="G147" s="1"/>
      <c r="H147" s="1"/>
      <c r="I147" s="1"/>
      <c r="J147" s="1"/>
      <c r="K147" s="1"/>
      <c r="L147" s="1"/>
      <c r="M147" s="1"/>
      <c r="N147" s="1"/>
      <c r="O147" s="1"/>
      <c r="P147" s="1"/>
      <c r="Q147" s="1"/>
      <c r="R147" s="1"/>
      <c r="S147" s="1"/>
    </row>
    <row r="148" spans="1:19" ht="12.75" customHeight="1" x14ac:dyDescent="0.25">
      <c r="A148" s="1"/>
      <c r="B148" s="1"/>
      <c r="C148" s="1"/>
      <c r="D148" s="1"/>
      <c r="E148" s="1"/>
      <c r="F148" s="1"/>
      <c r="G148" s="1"/>
      <c r="H148" s="1"/>
      <c r="I148" s="1"/>
      <c r="J148" s="1"/>
      <c r="K148" s="1"/>
      <c r="L148" s="1"/>
      <c r="M148" s="1"/>
      <c r="N148" s="1"/>
      <c r="O148" s="1"/>
      <c r="P148" s="1"/>
      <c r="Q148" s="1"/>
      <c r="R148" s="1"/>
      <c r="S148" s="1"/>
    </row>
    <row r="149" spans="1:19" ht="12.75" customHeight="1" x14ac:dyDescent="0.25">
      <c r="A149" s="1"/>
      <c r="B149" s="1"/>
      <c r="C149" s="1"/>
      <c r="D149" s="1"/>
      <c r="E149" s="1"/>
      <c r="F149" s="1"/>
      <c r="G149" s="1"/>
      <c r="H149" s="1"/>
      <c r="I149" s="1"/>
      <c r="J149" s="1"/>
      <c r="K149" s="1"/>
      <c r="L149" s="1"/>
      <c r="M149" s="1"/>
      <c r="N149" s="1"/>
      <c r="O149" s="1"/>
      <c r="P149" s="1"/>
      <c r="Q149" s="1"/>
      <c r="R149" s="1"/>
      <c r="S149" s="1"/>
    </row>
    <row r="150" spans="1:19" ht="12.75" customHeight="1" x14ac:dyDescent="0.25">
      <c r="A150" s="1"/>
      <c r="B150" s="1"/>
      <c r="C150" s="1"/>
      <c r="D150" s="1"/>
      <c r="E150" s="1"/>
      <c r="F150" s="1"/>
      <c r="G150" s="1"/>
      <c r="H150" s="1"/>
      <c r="I150" s="1"/>
      <c r="J150" s="1"/>
      <c r="K150" s="1"/>
      <c r="L150" s="1"/>
      <c r="M150" s="1"/>
      <c r="N150" s="1"/>
      <c r="O150" s="1"/>
      <c r="P150" s="1"/>
      <c r="Q150" s="1"/>
      <c r="R150" s="1"/>
      <c r="S150" s="1"/>
    </row>
    <row r="151" spans="1:19" ht="12.75" customHeight="1" x14ac:dyDescent="0.25">
      <c r="A151" s="1"/>
      <c r="B151" s="1"/>
      <c r="C151" s="1"/>
      <c r="D151" s="1"/>
      <c r="E151" s="1"/>
      <c r="F151" s="1"/>
      <c r="G151" s="1"/>
      <c r="H151" s="1"/>
      <c r="I151" s="1"/>
      <c r="J151" s="1"/>
      <c r="K151" s="1"/>
      <c r="L151" s="1"/>
      <c r="M151" s="1"/>
      <c r="N151" s="1"/>
      <c r="O151" s="1"/>
      <c r="P151" s="1"/>
      <c r="Q151" s="1"/>
      <c r="R151" s="1"/>
      <c r="S151" s="1"/>
    </row>
    <row r="152" spans="1:19" ht="12.75" customHeight="1" x14ac:dyDescent="0.25">
      <c r="A152" s="1"/>
      <c r="B152" s="1"/>
      <c r="C152" s="1"/>
      <c r="D152" s="1"/>
      <c r="E152" s="1"/>
      <c r="F152" s="1"/>
      <c r="G152" s="1"/>
      <c r="H152" s="1"/>
      <c r="I152" s="1"/>
      <c r="J152" s="1"/>
      <c r="K152" s="1"/>
      <c r="L152" s="1"/>
      <c r="M152" s="1"/>
      <c r="N152" s="1"/>
      <c r="O152" s="1"/>
      <c r="P152" s="1"/>
      <c r="Q152" s="1"/>
      <c r="R152" s="1"/>
      <c r="S152" s="1"/>
    </row>
    <row r="153" spans="1:19" ht="12.75" customHeight="1" x14ac:dyDescent="0.25">
      <c r="A153" s="1"/>
      <c r="B153" s="1"/>
      <c r="C153" s="1"/>
      <c r="D153" s="1"/>
      <c r="E153" s="1"/>
      <c r="F153" s="1"/>
      <c r="G153" s="1"/>
      <c r="H153" s="1"/>
      <c r="I153" s="1"/>
      <c r="J153" s="1"/>
      <c r="K153" s="1"/>
      <c r="L153" s="1"/>
      <c r="M153" s="1"/>
      <c r="N153" s="1"/>
      <c r="O153" s="1"/>
      <c r="P153" s="1"/>
      <c r="Q153" s="1"/>
      <c r="R153" s="1"/>
      <c r="S153" s="1"/>
    </row>
    <row r="154" spans="1:19" ht="12.75" customHeight="1" x14ac:dyDescent="0.25">
      <c r="A154" s="1"/>
      <c r="B154" s="1"/>
      <c r="C154" s="1"/>
      <c r="D154" s="1"/>
      <c r="E154" s="1"/>
      <c r="F154" s="1"/>
      <c r="G154" s="1"/>
      <c r="H154" s="1"/>
      <c r="I154" s="1"/>
      <c r="J154" s="1"/>
      <c r="K154" s="1"/>
      <c r="L154" s="1"/>
      <c r="M154" s="1"/>
      <c r="N154" s="1"/>
      <c r="O154" s="1"/>
      <c r="P154" s="1"/>
      <c r="Q154" s="1"/>
      <c r="R154" s="1"/>
      <c r="S154" s="1"/>
    </row>
    <row r="155" spans="1:19" ht="12.75" customHeight="1" x14ac:dyDescent="0.25">
      <c r="A155" s="1"/>
      <c r="B155" s="1"/>
      <c r="C155" s="1"/>
      <c r="D155" s="1"/>
      <c r="E155" s="1"/>
      <c r="F155" s="1"/>
      <c r="G155" s="1"/>
      <c r="H155" s="1"/>
      <c r="I155" s="1"/>
      <c r="J155" s="1"/>
      <c r="K155" s="1"/>
      <c r="L155" s="1"/>
      <c r="M155" s="1"/>
      <c r="N155" s="1"/>
      <c r="O155" s="1"/>
      <c r="P155" s="1"/>
      <c r="Q155" s="1"/>
      <c r="R155" s="1"/>
      <c r="S155" s="1"/>
    </row>
    <row r="156" spans="1:19" ht="12.75" customHeight="1" x14ac:dyDescent="0.25">
      <c r="A156" s="1"/>
      <c r="B156" s="1"/>
      <c r="C156" s="1"/>
      <c r="D156" s="1"/>
      <c r="E156" s="1"/>
      <c r="F156" s="1"/>
      <c r="G156" s="1"/>
      <c r="H156" s="1"/>
      <c r="I156" s="1"/>
      <c r="J156" s="1"/>
      <c r="K156" s="1"/>
      <c r="L156" s="1"/>
      <c r="M156" s="1"/>
      <c r="N156" s="1"/>
      <c r="O156" s="1"/>
      <c r="P156" s="1"/>
      <c r="Q156" s="1"/>
      <c r="R156" s="1"/>
      <c r="S156" s="1"/>
    </row>
    <row r="157" spans="1:19" ht="12.75" customHeight="1" x14ac:dyDescent="0.25">
      <c r="A157" s="1"/>
      <c r="B157" s="1"/>
      <c r="C157" s="1"/>
      <c r="D157" s="1"/>
      <c r="E157" s="1"/>
      <c r="F157" s="1"/>
      <c r="G157" s="1"/>
      <c r="H157" s="1"/>
      <c r="I157" s="1"/>
      <c r="J157" s="1"/>
      <c r="K157" s="1"/>
      <c r="L157" s="1"/>
      <c r="M157" s="1"/>
      <c r="N157" s="1"/>
      <c r="O157" s="1"/>
      <c r="P157" s="1"/>
      <c r="Q157" s="1"/>
      <c r="R157" s="1"/>
      <c r="S157" s="1"/>
    </row>
    <row r="158" spans="1:19" ht="12.75" customHeight="1" x14ac:dyDescent="0.25">
      <c r="A158" s="1"/>
      <c r="B158" s="1"/>
      <c r="C158" s="1"/>
      <c r="D158" s="1"/>
      <c r="E158" s="1"/>
      <c r="F158" s="1"/>
      <c r="G158" s="1"/>
      <c r="H158" s="1"/>
      <c r="I158" s="1"/>
      <c r="J158" s="1"/>
      <c r="K158" s="1"/>
      <c r="L158" s="1"/>
      <c r="M158" s="1"/>
      <c r="N158" s="1"/>
      <c r="O158" s="1"/>
      <c r="P158" s="1"/>
      <c r="Q158" s="1"/>
      <c r="R158" s="1"/>
      <c r="S158" s="1"/>
    </row>
    <row r="159" spans="1:19" ht="12.75" customHeight="1" x14ac:dyDescent="0.25">
      <c r="A159" s="1"/>
      <c r="B159" s="1"/>
      <c r="C159" s="1"/>
      <c r="D159" s="1"/>
      <c r="E159" s="1"/>
      <c r="F159" s="1"/>
      <c r="G159" s="1"/>
      <c r="H159" s="1"/>
      <c r="I159" s="1"/>
      <c r="J159" s="1"/>
      <c r="K159" s="1"/>
      <c r="L159" s="1"/>
      <c r="M159" s="1"/>
      <c r="N159" s="1"/>
      <c r="O159" s="1"/>
      <c r="P159" s="1"/>
      <c r="Q159" s="1"/>
      <c r="R159" s="1"/>
      <c r="S159" s="1"/>
    </row>
    <row r="160" spans="1:19" ht="12.75" customHeight="1" x14ac:dyDescent="0.25">
      <c r="A160" s="1"/>
      <c r="B160" s="1"/>
      <c r="C160" s="1"/>
      <c r="D160" s="1"/>
      <c r="E160" s="1"/>
      <c r="F160" s="1"/>
      <c r="G160" s="1"/>
      <c r="H160" s="1"/>
      <c r="I160" s="1"/>
      <c r="J160" s="1"/>
      <c r="K160" s="1"/>
      <c r="L160" s="1"/>
      <c r="M160" s="1"/>
      <c r="N160" s="1"/>
      <c r="O160" s="1"/>
      <c r="P160" s="1"/>
      <c r="Q160" s="1"/>
      <c r="R160" s="1"/>
      <c r="S160" s="1"/>
    </row>
    <row r="161" spans="1:29" ht="12.75" customHeight="1" x14ac:dyDescent="0.25">
      <c r="A161" s="1"/>
      <c r="B161" s="1"/>
      <c r="C161" s="1"/>
      <c r="D161" s="1"/>
      <c r="E161" s="1"/>
      <c r="F161" s="1"/>
      <c r="G161" s="1"/>
      <c r="H161" s="1"/>
      <c r="I161" s="1"/>
      <c r="J161" s="1"/>
      <c r="K161" s="1"/>
      <c r="L161" s="1"/>
      <c r="M161" s="1"/>
      <c r="N161" s="1"/>
      <c r="O161" s="1"/>
      <c r="P161" s="1"/>
      <c r="Q161" s="1"/>
      <c r="R161" s="1"/>
      <c r="S161" s="1"/>
    </row>
    <row r="162" spans="1:29" ht="12.75" customHeight="1" x14ac:dyDescent="0.25">
      <c r="A162" s="1"/>
      <c r="B162" s="1"/>
      <c r="C162" s="1"/>
      <c r="D162" s="1"/>
      <c r="E162" s="1"/>
      <c r="F162" s="1"/>
      <c r="G162" s="1"/>
      <c r="H162" s="1"/>
      <c r="I162" s="1"/>
      <c r="J162" s="1"/>
      <c r="K162" s="1"/>
      <c r="L162" s="1"/>
      <c r="M162" s="1"/>
      <c r="N162" s="1"/>
      <c r="O162" s="1"/>
      <c r="P162" s="1"/>
      <c r="Q162" s="1"/>
      <c r="R162" s="1"/>
      <c r="S162" s="1"/>
    </row>
    <row r="163" spans="1:29" ht="12.75" customHeight="1" x14ac:dyDescent="0.25">
      <c r="A163" s="1"/>
      <c r="B163" s="1"/>
      <c r="C163" s="1"/>
      <c r="D163" s="1"/>
      <c r="E163" s="1"/>
      <c r="F163" s="1"/>
      <c r="G163" s="1"/>
      <c r="H163" s="1"/>
      <c r="I163" s="1"/>
      <c r="J163" s="1"/>
      <c r="K163" s="1"/>
      <c r="L163" s="1"/>
      <c r="M163" s="1"/>
      <c r="N163" s="1"/>
      <c r="O163" s="1"/>
      <c r="P163" s="1"/>
      <c r="Q163" s="1"/>
      <c r="R163" s="1"/>
      <c r="S163" s="1"/>
    </row>
    <row r="164" spans="1:29" ht="12.75" customHeight="1" x14ac:dyDescent="0.25">
      <c r="A164" s="1"/>
      <c r="B164" s="1"/>
      <c r="C164" s="1"/>
      <c r="D164" s="1"/>
      <c r="E164" s="1"/>
      <c r="F164" s="1"/>
      <c r="G164" s="1"/>
      <c r="H164" s="1"/>
      <c r="I164" s="1"/>
      <c r="J164" s="1"/>
      <c r="K164" s="1"/>
      <c r="L164" s="1"/>
      <c r="M164" s="1"/>
      <c r="N164" s="1"/>
      <c r="O164" s="1"/>
      <c r="P164" s="1"/>
      <c r="Q164" s="1"/>
      <c r="R164" s="1"/>
      <c r="S164" s="1"/>
    </row>
    <row r="165" spans="1:29" ht="12.75" customHeight="1" x14ac:dyDescent="0.25">
      <c r="A165" s="1"/>
      <c r="B165" s="1"/>
      <c r="C165" s="1"/>
      <c r="D165" s="1"/>
      <c r="E165" s="1"/>
      <c r="F165" s="1"/>
      <c r="G165" s="1"/>
      <c r="H165" s="1"/>
      <c r="I165" s="1"/>
      <c r="J165" s="1"/>
      <c r="K165" s="1"/>
      <c r="L165" s="1"/>
      <c r="M165" s="1"/>
      <c r="N165" s="1"/>
      <c r="O165" s="1"/>
      <c r="P165" s="1"/>
      <c r="Q165" s="1"/>
      <c r="R165" s="1"/>
      <c r="S165" s="1"/>
    </row>
    <row r="166" spans="1:29" ht="12.75" customHeight="1" x14ac:dyDescent="0.25">
      <c r="A166" s="1"/>
      <c r="B166" s="1"/>
      <c r="C166" s="1"/>
      <c r="D166" s="1"/>
      <c r="E166" s="1"/>
      <c r="F166" s="1"/>
      <c r="G166" s="1"/>
      <c r="H166" s="1"/>
      <c r="I166" s="1"/>
      <c r="J166" s="1"/>
      <c r="K166" s="1"/>
      <c r="L166" s="1"/>
      <c r="M166" s="1"/>
      <c r="N166" s="1"/>
      <c r="O166" s="1"/>
      <c r="P166" s="1"/>
      <c r="Q166" s="1"/>
      <c r="R166" s="1"/>
      <c r="S166" s="1"/>
    </row>
    <row r="167" spans="1:29" ht="12.75" customHeight="1" x14ac:dyDescent="0.25">
      <c r="A167" s="1"/>
      <c r="B167" s="1"/>
      <c r="C167" s="1"/>
      <c r="D167" s="1"/>
      <c r="E167" s="1"/>
      <c r="F167" s="1"/>
      <c r="G167" s="1"/>
      <c r="H167" s="1"/>
      <c r="I167" s="1"/>
      <c r="J167" s="1"/>
      <c r="K167" s="1"/>
      <c r="L167" s="1"/>
      <c r="M167" s="1"/>
      <c r="N167" s="1"/>
      <c r="O167" s="1"/>
      <c r="P167" s="1"/>
      <c r="Q167" s="1"/>
      <c r="R167" s="1"/>
      <c r="S167" s="1"/>
    </row>
    <row r="168" spans="1:29" ht="12.75" customHeight="1" x14ac:dyDescent="0.25">
      <c r="A168" s="1"/>
      <c r="B168" s="1"/>
      <c r="C168" s="1"/>
      <c r="D168" s="1"/>
      <c r="E168" s="1"/>
      <c r="F168" s="1"/>
      <c r="G168" s="1"/>
      <c r="H168" s="1"/>
      <c r="I168" s="1"/>
      <c r="J168" s="1"/>
      <c r="K168" s="1"/>
      <c r="L168" s="1"/>
      <c r="M168" s="1"/>
      <c r="N168" s="1"/>
      <c r="O168" s="1"/>
      <c r="P168" s="1"/>
      <c r="Q168" s="1"/>
      <c r="R168" s="1"/>
      <c r="S168" s="1"/>
    </row>
    <row r="169" spans="1:29" ht="12.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2.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2.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2.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2.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2.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2.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2.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2.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2.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2.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2.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2.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2.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2.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2.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2.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2.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2.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2.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2.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2.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2.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2.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2.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2.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2.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2.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2.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2.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2.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2.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2.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2.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2.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2.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2.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2.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2.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2.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2.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2.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2.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2.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2.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2.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2.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2.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2.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2.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2.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2.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2.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2.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2.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2.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2.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2.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2.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2.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2.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2.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2.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2.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2.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2.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2.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2.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2.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2.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2.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2.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2.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2.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2.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2.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2.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2.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2.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2.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2.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2.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2.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2.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2.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2.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2.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2.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2.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2.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2.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2.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2.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2.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2.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2.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2.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2.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2.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2.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2.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2.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2.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2.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2.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2.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2.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2.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2.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2.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2.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2.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2.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2.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2.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2.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2.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2.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2.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2.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2.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2.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2.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2.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2.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2.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2.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2.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2.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2.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2.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2.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2.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2.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2.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2.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2.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2.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2.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2.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2.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2.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2.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2.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2.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2.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2.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2.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2.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2.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2.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2.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2.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2.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2.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2.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2.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2.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2.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2.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2.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2.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2.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2.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2.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2.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2.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2.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2.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2.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2.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2.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2.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2.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2.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2.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2.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2.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2.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2.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2.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2.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2.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2.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2.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2.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2.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2.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2.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2.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2.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2.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2.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2.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2.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2.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2.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2.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2.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2.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2.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2.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2.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2.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2.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2.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2.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2.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2.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2.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2.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2.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2.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2.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2.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2.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2.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2.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2.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2.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2.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2.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2.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2.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2.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2.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2.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2.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2.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2.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2.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2.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2.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2.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2.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2.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2.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2.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2.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2.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2.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2.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2.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2.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2.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2.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2.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2.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2.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2.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2.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2.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2.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2.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2.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2.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2.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2.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2.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2.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2.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2.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2.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2.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2.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2.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2.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2.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2.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2.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2.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2.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2.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2.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2.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2.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2.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2.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2.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2.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2.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2.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2.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2.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2.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2.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2.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2.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2.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2.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2.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2.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2.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2.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2.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2.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2.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2.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2.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2.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2.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2.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2.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2.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2.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2.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2.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2.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2.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2.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2.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2.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2.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2.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2.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2.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2.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2.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2.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2.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2.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2.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2.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2.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2.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2.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2.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2.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2.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2.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2.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2.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2.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2.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2.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2.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2.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2.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2.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2.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2.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2.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2.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2.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2.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2.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2.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2.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2.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2.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2.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2.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2.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2.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2.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2.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2.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2.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2.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2.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2.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2.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2.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2.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2.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2.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2.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2.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2.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2.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2.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2.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2.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2.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2.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2.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2.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2.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2.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2.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2.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2.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2.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2.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2.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2.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2.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2.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2.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2.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2.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2.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2.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2.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2.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2.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2.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2.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2.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2.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2.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2.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2.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2.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2.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2.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2.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2.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2.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2.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2.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2.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2.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2.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2.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2.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2.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2.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2.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2.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2.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2.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2.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2.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2.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2.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2.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2.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2.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2.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2.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2.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2.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2.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2.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2.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2.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2.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2.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2.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2.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2.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2.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2.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2.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2.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2.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2.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2.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2.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2.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2.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2.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2.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2.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2.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2.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2.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2.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2.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2.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2.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2.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2.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2.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2.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2.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2.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2.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2.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2.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2.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2.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2.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2.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2.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2.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2.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2.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2.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2.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2.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2.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2.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2.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2.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2.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2.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2.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2.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2.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2.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2.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2.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2.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2.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2.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2.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2.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2.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2.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2.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2.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2.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2.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2.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2.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2.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2.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2.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2.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2.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2.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2.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2.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2.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2.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2.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2.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2.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2.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2.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2.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2.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2.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2.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2.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2.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2.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2.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2.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2.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2.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2.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2.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2.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2.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2.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2.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2.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2.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2.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2.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2.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2.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2.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2.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2.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2.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2.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2.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2.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2.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2.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2.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2.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2.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2.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2.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2.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2.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2.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2.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2.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2.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2.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2.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2.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2.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2.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2.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2.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2.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2.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2.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2.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2.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2.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2.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2.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2.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2.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2.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2.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2.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2.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2.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2.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2.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2.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2.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2.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2.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2.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2.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2.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2.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2.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2.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2.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2.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2.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2.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2.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2.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2.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2.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2.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2.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2.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2.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2.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2.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2.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2.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2.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2.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2.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2.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2.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2.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2.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2.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2.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2.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2.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2.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2.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2.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2.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2.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2.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2.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2.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2.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2.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2.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2.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2.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2.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2.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2.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2.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2.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2.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2.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2.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2.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2.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2.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2.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2.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2.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2.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2.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2.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2.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2.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2.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2.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2.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2.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2.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2.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2.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2.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2.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2.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2.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2.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2.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2.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2.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2.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2.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2.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2.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2.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2.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2.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2.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2.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2.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2.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2.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2.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2.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2.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2.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2.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2.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2.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2.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2.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2.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2.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2.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2.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2.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2.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2.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2.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2.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2.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2.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2.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2.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2.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2.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2.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2.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2.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2.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2.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2.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2.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2.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2.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2.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2.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2.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2.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2.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2.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2.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2.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2.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2.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2.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2.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2.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2.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2.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2.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2.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2.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2.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2.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2.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2.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2.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2.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2.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2.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2.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2.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2.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2.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2.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2.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2.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2.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2.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2.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2.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2.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2.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2.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2.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2.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2.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2.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2.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2.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2.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2.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2.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2.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2.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2.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2.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2.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2.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2.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2.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2.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2.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2.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2.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2.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2.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2.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2.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2.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2.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2.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2.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2.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2.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2.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2.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2.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2.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2.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2.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2.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2.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2.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2.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2.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2.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2.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2.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2.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2.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2.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2.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2.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2.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2.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2.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2.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2.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2.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2.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2.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2.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2.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2.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2.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2.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2.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2.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2.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2.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2.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2.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2.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2.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2.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2.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5">
    <mergeCell ref="G56:K56"/>
    <mergeCell ref="T56:W56"/>
    <mergeCell ref="H68:K68"/>
    <mergeCell ref="U72:V72"/>
    <mergeCell ref="Y72:Z72"/>
  </mergeCells>
  <conditionalFormatting sqref="U121:AE140">
    <cfRule type="colorScale" priority="2">
      <colorScale>
        <cfvo type="min"/>
        <cfvo type="percentile" val="50"/>
        <cfvo type="max"/>
        <color rgb="FFF8696B"/>
        <color rgb="FFFFEB84"/>
        <color rgb="FF63BE7B"/>
      </colorScale>
    </cfRule>
    <cfRule type="colorScale" priority="3">
      <colorScale>
        <cfvo type="min"/>
        <cfvo type="percentile" val="50"/>
        <cfvo type="max"/>
        <color rgb="FFF8696B"/>
        <color theme="0"/>
        <color rgb="FF63BE7B"/>
      </colorScale>
    </cfRule>
    <cfRule type="colorScale" priority="4">
      <colorScale>
        <cfvo type="min"/>
        <cfvo type="percentile" val="50"/>
        <cfvo type="max"/>
        <color rgb="FFF8696B"/>
        <color rgb="FFFFEB84"/>
        <color rgb="FF63BE7B"/>
      </colorScale>
    </cfRule>
  </conditionalFormatting>
  <pageMargins left="0.7" right="0.7" top="0.75" bottom="0.75" header="0" footer="0"/>
  <pageSetup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94E8F-E13E-4990-BC69-28A59A4E6F46}">
  <sheetPr>
    <tabColor rgb="FF44546A"/>
  </sheetPr>
  <dimension ref="A1:AC1003"/>
  <sheetViews>
    <sheetView showGridLines="0" topLeftCell="A7" workbookViewId="0">
      <selection activeCell="F6" sqref="F6"/>
    </sheetView>
  </sheetViews>
  <sheetFormatPr defaultColWidth="14.42578125" defaultRowHeight="15" customHeight="1" outlineLevelRow="1" outlineLevelCol="1" x14ac:dyDescent="0.25"/>
  <cols>
    <col min="1" max="2" width="2.42578125" customWidth="1"/>
    <col min="3" max="3" width="1.28515625" customWidth="1"/>
    <col min="4" max="4" width="3.28515625" customWidth="1"/>
    <col min="5" max="5" width="26.42578125" bestFit="1" customWidth="1"/>
    <col min="6" max="6" width="16.85546875" customWidth="1"/>
    <col min="7" max="7" width="11.42578125" customWidth="1"/>
    <col min="8" max="8" width="11.140625" customWidth="1"/>
    <col min="9" max="9" width="9" bestFit="1" customWidth="1"/>
    <col min="10" max="10" width="13.85546875" customWidth="1"/>
    <col min="11" max="11" width="10.42578125" customWidth="1"/>
    <col min="12" max="12" width="9.140625" customWidth="1"/>
    <col min="13" max="15" width="9.140625" hidden="1" customWidth="1" outlineLevel="1"/>
    <col min="16" max="16" width="9.140625" customWidth="1" collapsed="1"/>
    <col min="17" max="17" width="3.42578125" customWidth="1"/>
    <col min="18" max="18" width="23.7109375" customWidth="1"/>
    <col min="19" max="20" width="9.140625" customWidth="1"/>
    <col min="21" max="21" width="10.7109375" customWidth="1"/>
    <col min="22" max="23" width="9.140625" customWidth="1"/>
    <col min="24" max="24" width="12.28515625" customWidth="1"/>
    <col min="25" max="25" width="17.42578125" customWidth="1"/>
    <col min="26" max="26" width="17.28515625" customWidth="1"/>
    <col min="27" max="27" width="15.7109375" customWidth="1"/>
    <col min="28" max="29" width="9.140625" customWidth="1"/>
  </cols>
  <sheetData>
    <row r="1" spans="1:29" ht="12.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2.75" customHeight="1" x14ac:dyDescent="0.25">
      <c r="A2" s="1"/>
      <c r="B2" s="1"/>
      <c r="C2" s="3"/>
      <c r="D2" s="4" t="s">
        <v>813</v>
      </c>
      <c r="E2" s="4"/>
      <c r="F2" s="3"/>
      <c r="G2" s="3"/>
      <c r="H2" s="3"/>
      <c r="I2" s="3"/>
      <c r="J2" s="3"/>
      <c r="K2" s="3"/>
      <c r="L2" s="3"/>
      <c r="M2" s="3"/>
      <c r="N2" s="3"/>
      <c r="O2" s="3"/>
      <c r="P2" s="3"/>
      <c r="Q2" s="3"/>
      <c r="R2" s="3"/>
      <c r="S2" s="3"/>
      <c r="T2" s="3"/>
      <c r="U2" s="3"/>
      <c r="V2" s="3"/>
      <c r="W2" s="3"/>
      <c r="X2" s="3"/>
      <c r="Y2" s="3"/>
      <c r="Z2" s="3"/>
      <c r="AA2" s="3"/>
      <c r="AB2" s="3"/>
      <c r="AC2" s="3"/>
    </row>
    <row r="3" spans="1:29" ht="12.75" customHeight="1" x14ac:dyDescent="0.25">
      <c r="A3" s="1"/>
      <c r="B3" s="1"/>
      <c r="C3" s="6"/>
      <c r="D3" s="6"/>
      <c r="E3" s="6"/>
      <c r="F3" s="6"/>
      <c r="G3" s="6"/>
      <c r="H3" s="6"/>
      <c r="I3" s="6"/>
      <c r="J3" s="6"/>
      <c r="K3" s="6"/>
      <c r="L3" s="6"/>
      <c r="M3" s="6"/>
      <c r="N3" s="6"/>
      <c r="O3" s="6"/>
      <c r="P3" s="6"/>
      <c r="Q3" s="6"/>
      <c r="R3" s="6"/>
      <c r="S3" s="6"/>
      <c r="T3" s="6"/>
      <c r="U3" s="6"/>
      <c r="V3" s="6"/>
      <c r="W3" s="6"/>
      <c r="X3" s="6"/>
      <c r="Y3" s="6"/>
      <c r="Z3" s="6"/>
      <c r="AA3" s="6"/>
      <c r="AB3" s="6"/>
      <c r="AC3" s="6"/>
    </row>
    <row r="4" spans="1:29" ht="12.75" customHeight="1" x14ac:dyDescent="0.25">
      <c r="A4" s="1"/>
      <c r="B4" s="1"/>
      <c r="C4" s="13"/>
      <c r="D4" s="13"/>
      <c r="E4" s="13"/>
      <c r="F4" s="13"/>
      <c r="G4" s="13"/>
      <c r="H4" s="13"/>
      <c r="I4" s="13"/>
      <c r="J4" s="13"/>
      <c r="K4" s="13"/>
      <c r="L4" s="13"/>
      <c r="M4" s="13"/>
      <c r="N4" s="13"/>
      <c r="O4" s="13"/>
      <c r="P4" s="13"/>
      <c r="Q4" s="13"/>
      <c r="R4" s="13"/>
      <c r="S4" s="13"/>
      <c r="T4" s="13"/>
      <c r="U4" s="13"/>
      <c r="V4" s="13"/>
      <c r="W4" s="13"/>
      <c r="X4" s="13"/>
      <c r="Y4" s="13"/>
      <c r="Z4" s="13"/>
      <c r="AA4" s="13"/>
      <c r="AB4" s="13"/>
      <c r="AC4" s="13"/>
    </row>
    <row r="5" spans="1:29" ht="12.75" customHeight="1" x14ac:dyDescent="0.25">
      <c r="A5" s="1"/>
      <c r="B5" s="1"/>
      <c r="D5" s="313"/>
      <c r="E5" s="4" t="s">
        <v>798</v>
      </c>
      <c r="F5" s="238" t="s">
        <v>799</v>
      </c>
      <c r="G5" s="238" t="s">
        <v>800</v>
      </c>
      <c r="H5" s="313"/>
      <c r="I5" s="600" t="s">
        <v>805</v>
      </c>
      <c r="J5" s="600"/>
      <c r="K5" s="238" t="s">
        <v>804</v>
      </c>
      <c r="L5" s="313"/>
    </row>
    <row r="6" spans="1:29" ht="15" customHeight="1" x14ac:dyDescent="0.25">
      <c r="A6" s="1"/>
      <c r="B6" s="1"/>
      <c r="D6" s="313"/>
      <c r="E6" s="445" t="s">
        <v>801</v>
      </c>
      <c r="F6" s="446">
        <f>'&gt;&gt; DDM'!H20</f>
        <v>1.1836318621741548</v>
      </c>
      <c r="G6" s="450">
        <v>0.25</v>
      </c>
      <c r="H6" s="313"/>
      <c r="I6" s="445" t="s">
        <v>806</v>
      </c>
      <c r="J6" s="457">
        <f ca="1">J7*(1+K6)</f>
        <v>1.3538555576655424</v>
      </c>
      <c r="K6" s="453">
        <v>0.02</v>
      </c>
      <c r="L6" s="313"/>
    </row>
    <row r="7" spans="1:29" ht="13.5" customHeight="1" x14ac:dyDescent="0.25">
      <c r="A7" s="1"/>
      <c r="B7" s="1"/>
      <c r="D7" s="313"/>
      <c r="E7" s="447" t="s">
        <v>802</v>
      </c>
      <c r="F7" s="448">
        <f ca="1">'&gt;&gt; Valuation'!H83</f>
        <v>1.3279873121617736</v>
      </c>
      <c r="G7" s="451">
        <v>0.5</v>
      </c>
      <c r="H7" s="313"/>
      <c r="I7" s="447" t="s">
        <v>807</v>
      </c>
      <c r="J7" s="458">
        <f ca="1">F11</f>
        <v>1.3273093702603358</v>
      </c>
      <c r="K7" s="454">
        <v>0</v>
      </c>
      <c r="L7" s="313"/>
    </row>
    <row r="8" spans="1:29" ht="12.75" customHeight="1" x14ac:dyDescent="0.25">
      <c r="A8" s="1"/>
      <c r="B8" s="1"/>
      <c r="D8" s="313"/>
      <c r="E8" s="445" t="s">
        <v>803</v>
      </c>
      <c r="F8" s="446">
        <f>'&gt;&gt; Relative'!H25</f>
        <v>1.4696309945436417</v>
      </c>
      <c r="G8" s="450">
        <v>0.25</v>
      </c>
      <c r="H8" s="313"/>
      <c r="I8" s="445" t="s">
        <v>808</v>
      </c>
      <c r="J8" s="457">
        <f ca="1">J7*(1+K8)</f>
        <v>1.3007631828551292</v>
      </c>
      <c r="K8" s="453">
        <v>-0.02</v>
      </c>
      <c r="L8" s="313"/>
    </row>
    <row r="9" spans="1:29" ht="12.75" customHeight="1" x14ac:dyDescent="0.25">
      <c r="A9" s="1"/>
      <c r="B9" s="1"/>
      <c r="D9" s="313"/>
      <c r="E9" s="313"/>
      <c r="F9" s="313"/>
      <c r="G9" s="452">
        <f>SUM(G6:G8)</f>
        <v>1</v>
      </c>
      <c r="H9" s="313"/>
      <c r="I9" s="313"/>
      <c r="J9" s="313"/>
      <c r="K9" s="313"/>
      <c r="L9" s="313"/>
    </row>
    <row r="10" spans="1:29" ht="12.75" customHeight="1" x14ac:dyDescent="0.25">
      <c r="A10" s="1"/>
      <c r="B10" s="1"/>
      <c r="D10" s="313"/>
      <c r="E10" s="313"/>
      <c r="F10" s="313"/>
      <c r="G10" s="313"/>
      <c r="H10" s="313"/>
      <c r="I10" s="313"/>
      <c r="J10" s="313"/>
      <c r="K10" s="313"/>
      <c r="L10" s="313"/>
    </row>
    <row r="11" spans="1:29" ht="12.75" customHeight="1" x14ac:dyDescent="0.25">
      <c r="A11" s="1"/>
      <c r="B11" s="1"/>
      <c r="D11" s="313"/>
      <c r="E11" s="456" t="s">
        <v>812</v>
      </c>
      <c r="F11" s="455">
        <f ca="1">SUMPRODUCT(F6:F8,G6:G8)</f>
        <v>1.3273093702603358</v>
      </c>
      <c r="G11" s="313"/>
      <c r="H11" s="313"/>
      <c r="I11" s="313"/>
      <c r="J11" s="313"/>
      <c r="K11" s="313"/>
      <c r="L11" s="313"/>
    </row>
    <row r="12" spans="1:29" ht="12.75" customHeight="1" x14ac:dyDescent="0.25">
      <c r="A12" s="1"/>
      <c r="B12" s="1"/>
      <c r="D12" s="313"/>
      <c r="E12" s="445" t="s">
        <v>811</v>
      </c>
      <c r="F12" s="446">
        <f>'&gt;&gt; Inputs'!G21</f>
        <v>1.34</v>
      </c>
      <c r="G12" s="313"/>
      <c r="H12" s="313"/>
      <c r="I12" s="313"/>
      <c r="J12" s="313"/>
      <c r="K12" s="313"/>
      <c r="L12" s="313"/>
    </row>
    <row r="13" spans="1:29" ht="12.75" customHeight="1" x14ac:dyDescent="0.25">
      <c r="A13" s="1"/>
      <c r="B13" s="1"/>
      <c r="D13" s="313"/>
      <c r="E13" s="447" t="s">
        <v>809</v>
      </c>
      <c r="F13" s="449">
        <f ca="1">F11/F12-1</f>
        <v>-9.4706192087047336E-3</v>
      </c>
      <c r="G13" s="313"/>
      <c r="H13" s="313"/>
      <c r="I13" s="313"/>
      <c r="J13" s="313"/>
      <c r="K13" s="313"/>
      <c r="L13" s="313"/>
    </row>
    <row r="14" spans="1:29" ht="12.75" customHeight="1" x14ac:dyDescent="0.25">
      <c r="A14" s="1"/>
      <c r="B14" s="1"/>
      <c r="D14" s="313"/>
      <c r="E14" s="313"/>
      <c r="F14" s="313"/>
      <c r="G14" s="313"/>
      <c r="H14" s="313"/>
      <c r="I14" s="313"/>
      <c r="J14" s="313"/>
      <c r="K14" s="313"/>
      <c r="L14" s="313"/>
    </row>
    <row r="15" spans="1:29" ht="12.75" customHeight="1" x14ac:dyDescent="0.25">
      <c r="A15" s="1"/>
      <c r="B15" s="1"/>
      <c r="D15" s="313"/>
      <c r="E15" s="313"/>
      <c r="F15" s="313"/>
      <c r="G15" s="313"/>
      <c r="H15" s="313"/>
      <c r="I15" s="313"/>
      <c r="J15" s="313"/>
      <c r="K15" s="313"/>
      <c r="L15" s="313"/>
    </row>
    <row r="16" spans="1:29" ht="12.75" customHeight="1" x14ac:dyDescent="0.25">
      <c r="A16" s="1"/>
      <c r="B16" s="1"/>
      <c r="D16" s="313"/>
      <c r="E16" s="313"/>
      <c r="F16" s="313"/>
      <c r="G16" s="313"/>
      <c r="H16" s="313"/>
      <c r="I16" s="313"/>
      <c r="J16" s="313"/>
      <c r="K16" s="313"/>
      <c r="L16" s="313"/>
    </row>
    <row r="17" spans="1:12" ht="12.75" customHeight="1" x14ac:dyDescent="0.25">
      <c r="A17" s="1"/>
      <c r="B17" s="1"/>
      <c r="D17" s="313"/>
      <c r="E17" s="313"/>
      <c r="F17" s="313"/>
      <c r="G17" s="313"/>
      <c r="H17" s="313"/>
      <c r="I17" s="313"/>
      <c r="J17" s="313"/>
      <c r="K17" s="313"/>
      <c r="L17" s="313"/>
    </row>
    <row r="18" spans="1:12" ht="12.75" customHeight="1" x14ac:dyDescent="0.25">
      <c r="A18" s="1"/>
      <c r="B18" s="1"/>
      <c r="D18" s="313"/>
      <c r="E18" s="4" t="s">
        <v>810</v>
      </c>
      <c r="F18" s="589" t="s">
        <v>837</v>
      </c>
      <c r="G18" s="313"/>
      <c r="H18" s="313"/>
      <c r="I18" s="313"/>
      <c r="J18" s="313"/>
      <c r="K18" s="313"/>
      <c r="L18" s="313"/>
    </row>
    <row r="19" spans="1:12" ht="12.75" customHeight="1" x14ac:dyDescent="0.25">
      <c r="A19" s="1"/>
      <c r="B19" s="1"/>
      <c r="D19" s="313"/>
      <c r="E19" s="313"/>
      <c r="F19" s="313"/>
      <c r="G19" s="313"/>
      <c r="H19" s="313"/>
      <c r="I19" s="313"/>
      <c r="J19" s="313"/>
      <c r="K19" s="313"/>
      <c r="L19" s="313"/>
    </row>
    <row r="20" spans="1:12" ht="12.75" customHeight="1" x14ac:dyDescent="0.25">
      <c r="A20" s="1"/>
      <c r="B20" s="1"/>
      <c r="D20" s="313"/>
      <c r="E20" s="313"/>
      <c r="F20" s="313"/>
      <c r="G20" s="313"/>
      <c r="H20" s="313"/>
      <c r="I20" s="313"/>
      <c r="J20" s="313"/>
      <c r="K20" s="313"/>
      <c r="L20" s="313"/>
    </row>
    <row r="21" spans="1:12" ht="12.75" customHeight="1" x14ac:dyDescent="0.25">
      <c r="A21" s="1"/>
      <c r="B21" s="1"/>
    </row>
    <row r="22" spans="1:12" ht="12.75" customHeight="1" x14ac:dyDescent="0.25">
      <c r="A22" s="1"/>
      <c r="B22" s="1"/>
    </row>
    <row r="23" spans="1:12" ht="12.75" customHeight="1" x14ac:dyDescent="0.25">
      <c r="A23" s="1"/>
      <c r="B23" s="1"/>
    </row>
    <row r="24" spans="1:12" ht="12.75" customHeight="1" x14ac:dyDescent="0.25">
      <c r="A24" s="1"/>
      <c r="B24" s="1"/>
    </row>
    <row r="25" spans="1:12" ht="12.75" customHeight="1" x14ac:dyDescent="0.25">
      <c r="A25" s="1"/>
      <c r="B25" s="1"/>
    </row>
    <row r="26" spans="1:12" ht="6.75" customHeight="1" x14ac:dyDescent="0.25">
      <c r="A26" s="1"/>
      <c r="B26" s="1"/>
    </row>
    <row r="27" spans="1:12" ht="12.75" customHeight="1" x14ac:dyDescent="0.25">
      <c r="A27" s="1"/>
      <c r="B27" s="1"/>
    </row>
    <row r="28" spans="1:12" ht="12.75" customHeight="1" x14ac:dyDescent="0.25">
      <c r="A28" s="1"/>
      <c r="B28" s="1"/>
    </row>
    <row r="29" spans="1:12" ht="12.75" customHeight="1" x14ac:dyDescent="0.25">
      <c r="A29" s="1"/>
      <c r="B29" s="1"/>
    </row>
    <row r="30" spans="1:12" ht="12.75" customHeight="1" x14ac:dyDescent="0.25">
      <c r="A30" s="1"/>
      <c r="B30" s="1"/>
    </row>
    <row r="31" spans="1:12" ht="8.25" customHeight="1" x14ac:dyDescent="0.25">
      <c r="A31" s="1"/>
      <c r="B31" s="1"/>
    </row>
    <row r="32" spans="1:12" ht="12.75" customHeight="1" x14ac:dyDescent="0.25">
      <c r="A32" s="1"/>
      <c r="B32" s="1"/>
    </row>
    <row r="33" spans="1:2" ht="12.75" customHeight="1" x14ac:dyDescent="0.25">
      <c r="A33" s="1"/>
      <c r="B33" s="1"/>
    </row>
    <row r="34" spans="1:2" ht="12.75" customHeight="1" x14ac:dyDescent="0.25">
      <c r="A34" s="1"/>
      <c r="B34" s="1"/>
    </row>
    <row r="35" spans="1:2" ht="12.75" customHeight="1" x14ac:dyDescent="0.25">
      <c r="A35" s="1"/>
      <c r="B35" s="1"/>
    </row>
    <row r="36" spans="1:2" ht="12" customHeight="1" x14ac:dyDescent="0.25">
      <c r="A36" s="1"/>
      <c r="B36" s="1"/>
    </row>
    <row r="37" spans="1:2" ht="12.75" hidden="1" customHeight="1" outlineLevel="1" x14ac:dyDescent="0.25">
      <c r="A37" s="1"/>
      <c r="B37" s="1"/>
    </row>
    <row r="38" spans="1:2" ht="12.75" customHeight="1" collapsed="1" x14ac:dyDescent="0.25">
      <c r="A38" s="1"/>
      <c r="B38" s="1"/>
    </row>
    <row r="39" spans="1:2" ht="12.75" customHeight="1" x14ac:dyDescent="0.25">
      <c r="A39" s="1"/>
      <c r="B39" s="1"/>
    </row>
    <row r="40" spans="1:2" ht="12.75" customHeight="1" x14ac:dyDescent="0.25">
      <c r="A40" s="1"/>
      <c r="B40" s="1"/>
    </row>
    <row r="41" spans="1:2" ht="12.75" customHeight="1" x14ac:dyDescent="0.25">
      <c r="A41" s="1"/>
      <c r="B41" s="1"/>
    </row>
    <row r="42" spans="1:2" ht="12.75" customHeight="1" x14ac:dyDescent="0.25">
      <c r="A42" s="1"/>
      <c r="B42" s="1"/>
    </row>
    <row r="43" spans="1:2" ht="7.5" customHeight="1" x14ac:dyDescent="0.25">
      <c r="A43" s="1"/>
      <c r="B43" s="1"/>
    </row>
    <row r="44" spans="1:2" ht="10.5" customHeight="1" x14ac:dyDescent="0.25">
      <c r="A44" s="1"/>
      <c r="B44" s="1"/>
    </row>
    <row r="45" spans="1:2" ht="11.25" customHeight="1" x14ac:dyDescent="0.25">
      <c r="A45" s="1"/>
      <c r="B45" s="1"/>
    </row>
    <row r="46" spans="1:2" ht="12.75" customHeight="1" x14ac:dyDescent="0.25">
      <c r="A46" s="1"/>
      <c r="B46" s="1"/>
    </row>
    <row r="47" spans="1:2" ht="12.75" customHeight="1" x14ac:dyDescent="0.25">
      <c r="A47" s="1"/>
      <c r="B47" s="1"/>
    </row>
    <row r="48" spans="1:2" ht="12.75" customHeight="1" x14ac:dyDescent="0.25">
      <c r="A48" s="1"/>
      <c r="B48" s="1"/>
    </row>
    <row r="49" spans="1:2" ht="12.75" customHeight="1" x14ac:dyDescent="0.25">
      <c r="A49" s="1"/>
      <c r="B49" s="1"/>
    </row>
    <row r="50" spans="1:2" ht="12.75" customHeight="1" x14ac:dyDescent="0.25">
      <c r="A50" s="1"/>
      <c r="B50" s="1"/>
    </row>
    <row r="51" spans="1:2" ht="12.75" customHeight="1" x14ac:dyDescent="0.25">
      <c r="A51" s="1"/>
      <c r="B51" s="1"/>
    </row>
    <row r="52" spans="1:2" ht="12.75" customHeight="1" x14ac:dyDescent="0.25">
      <c r="A52" s="1"/>
      <c r="B52" s="1"/>
    </row>
    <row r="53" spans="1:2" ht="12.75" customHeight="1" x14ac:dyDescent="0.25">
      <c r="A53" s="1"/>
      <c r="B53" s="1"/>
    </row>
    <row r="54" spans="1:2" ht="12.75" customHeight="1" x14ac:dyDescent="0.25">
      <c r="A54" s="1"/>
      <c r="B54" s="1"/>
    </row>
    <row r="55" spans="1:2" ht="12.75" customHeight="1" x14ac:dyDescent="0.25">
      <c r="A55" s="1"/>
      <c r="B55" s="1"/>
    </row>
    <row r="56" spans="1:2" ht="12.75" customHeight="1" x14ac:dyDescent="0.25">
      <c r="A56" s="1"/>
      <c r="B56" s="1"/>
    </row>
    <row r="57" spans="1:2" ht="12.75" customHeight="1" x14ac:dyDescent="0.25">
      <c r="A57" s="1"/>
      <c r="B57" s="1"/>
    </row>
    <row r="58" spans="1:2" ht="12.75" customHeight="1" x14ac:dyDescent="0.25">
      <c r="A58" s="1"/>
      <c r="B58" s="1"/>
    </row>
    <row r="59" spans="1:2" ht="12.75" customHeight="1" x14ac:dyDescent="0.25">
      <c r="A59" s="1"/>
      <c r="B59" s="1"/>
    </row>
    <row r="60" spans="1:2" ht="12.75" customHeight="1" x14ac:dyDescent="0.25">
      <c r="A60" s="1"/>
      <c r="B60" s="1"/>
    </row>
    <row r="61" spans="1:2" ht="12.75" customHeight="1" x14ac:dyDescent="0.25">
      <c r="A61" s="1"/>
      <c r="B61" s="1"/>
    </row>
    <row r="62" spans="1:2" ht="12.75" customHeight="1" x14ac:dyDescent="0.25">
      <c r="A62" s="1"/>
      <c r="B62" s="1"/>
    </row>
    <row r="63" spans="1:2" ht="12.75" customHeight="1" x14ac:dyDescent="0.25">
      <c r="A63" s="1"/>
      <c r="B63" s="1"/>
    </row>
    <row r="64" spans="1:2" ht="12.75" customHeight="1" x14ac:dyDescent="0.25">
      <c r="A64" s="1"/>
      <c r="B64" s="1"/>
    </row>
    <row r="65" spans="1:2" ht="12.75" customHeight="1" x14ac:dyDescent="0.25">
      <c r="A65" s="1"/>
      <c r="B65" s="1"/>
    </row>
    <row r="66" spans="1:2" ht="12.75" customHeight="1" x14ac:dyDescent="0.25">
      <c r="A66" s="1"/>
      <c r="B66" s="1"/>
    </row>
    <row r="67" spans="1:2" ht="12.75" customHeight="1" x14ac:dyDescent="0.25">
      <c r="A67" s="1"/>
      <c r="B67" s="1"/>
    </row>
    <row r="68" spans="1:2" ht="12.75" customHeight="1" x14ac:dyDescent="0.25">
      <c r="A68" s="1"/>
      <c r="B68" s="1"/>
    </row>
    <row r="69" spans="1:2" ht="12.75" customHeight="1" x14ac:dyDescent="0.25">
      <c r="A69" s="1"/>
      <c r="B69" s="1"/>
    </row>
    <row r="70" spans="1:2" ht="12.75" customHeight="1" x14ac:dyDescent="0.25">
      <c r="A70" s="1"/>
      <c r="B70" s="1"/>
    </row>
    <row r="71" spans="1:2" ht="12.75" customHeight="1" x14ac:dyDescent="0.25">
      <c r="A71" s="1"/>
      <c r="B71" s="1"/>
    </row>
    <row r="72" spans="1:2" ht="12.75" customHeight="1" x14ac:dyDescent="0.25">
      <c r="A72" s="1"/>
      <c r="B72" s="1"/>
    </row>
    <row r="73" spans="1:2" ht="12.75" customHeight="1" x14ac:dyDescent="0.25">
      <c r="A73" s="1"/>
      <c r="B73" s="1"/>
    </row>
    <row r="74" spans="1:2" ht="6" customHeight="1" x14ac:dyDescent="0.25">
      <c r="A74" s="1"/>
      <c r="B74" s="1"/>
    </row>
    <row r="75" spans="1:2" ht="12.75" customHeight="1" x14ac:dyDescent="0.25">
      <c r="A75" s="1"/>
      <c r="B75" s="1"/>
    </row>
    <row r="76" spans="1:2" ht="12.75" customHeight="1" x14ac:dyDescent="0.25">
      <c r="A76" s="1"/>
      <c r="B76" s="1"/>
    </row>
    <row r="77" spans="1:2" ht="12.75" customHeight="1" x14ac:dyDescent="0.25">
      <c r="A77" s="1"/>
      <c r="B77" s="1"/>
    </row>
    <row r="78" spans="1:2" ht="12.75" customHeight="1" x14ac:dyDescent="0.25">
      <c r="A78" s="1"/>
      <c r="B78" s="1"/>
    </row>
    <row r="79" spans="1:2" ht="12.75" customHeight="1" x14ac:dyDescent="0.25">
      <c r="A79" s="1"/>
      <c r="B79" s="1"/>
    </row>
    <row r="80" spans="1:2" ht="12.75" customHeight="1" x14ac:dyDescent="0.25">
      <c r="A80" s="1"/>
      <c r="B80" s="1"/>
    </row>
    <row r="81" spans="1:2" ht="12.75" customHeight="1" x14ac:dyDescent="0.25">
      <c r="A81" s="1"/>
      <c r="B81" s="1"/>
    </row>
    <row r="82" spans="1:2" ht="12.75" customHeight="1" x14ac:dyDescent="0.25">
      <c r="A82" s="1"/>
      <c r="B82" s="1"/>
    </row>
    <row r="83" spans="1:2" ht="12.75" customHeight="1" x14ac:dyDescent="0.25">
      <c r="A83" s="1"/>
      <c r="B83" s="1"/>
    </row>
    <row r="84" spans="1:2" ht="12.75" customHeight="1" x14ac:dyDescent="0.25">
      <c r="A84" s="1"/>
      <c r="B84" s="1"/>
    </row>
    <row r="85" spans="1:2" ht="12.75" customHeight="1" x14ac:dyDescent="0.25">
      <c r="A85" s="1"/>
      <c r="B85" s="1"/>
    </row>
    <row r="86" spans="1:2" ht="12.75" customHeight="1" x14ac:dyDescent="0.25">
      <c r="A86" s="1"/>
      <c r="B86" s="1"/>
    </row>
    <row r="87" spans="1:2" ht="12.75" customHeight="1" x14ac:dyDescent="0.25">
      <c r="A87" s="1"/>
      <c r="B87" s="1"/>
    </row>
    <row r="88" spans="1:2" ht="12.75" customHeight="1" x14ac:dyDescent="0.25">
      <c r="A88" s="1"/>
      <c r="B88" s="1"/>
    </row>
    <row r="89" spans="1:2" ht="12.75" customHeight="1" x14ac:dyDescent="0.25">
      <c r="A89" s="1"/>
      <c r="B89" s="1"/>
    </row>
    <row r="90" spans="1:2" ht="12.75" customHeight="1" x14ac:dyDescent="0.25">
      <c r="A90" s="1"/>
      <c r="B90" s="1"/>
    </row>
    <row r="91" spans="1:2" ht="12.75" customHeight="1" x14ac:dyDescent="0.25">
      <c r="A91" s="1"/>
      <c r="B91" s="1"/>
    </row>
    <row r="92" spans="1:2" ht="12.75" customHeight="1" x14ac:dyDescent="0.25">
      <c r="A92" s="1"/>
      <c r="B92" s="1"/>
    </row>
    <row r="93" spans="1:2" ht="12.75" customHeight="1" x14ac:dyDescent="0.25">
      <c r="A93" s="1"/>
      <c r="B93" s="1"/>
    </row>
    <row r="94" spans="1:2" ht="12.75" customHeight="1" x14ac:dyDescent="0.25">
      <c r="A94" s="1"/>
      <c r="B94" s="1"/>
    </row>
    <row r="95" spans="1:2" ht="12.75" customHeight="1" x14ac:dyDescent="0.25">
      <c r="A95" s="1"/>
      <c r="B95" s="1"/>
    </row>
    <row r="96" spans="1:2" ht="12.75" customHeight="1" x14ac:dyDescent="0.25">
      <c r="A96" s="1"/>
      <c r="B96" s="1"/>
    </row>
    <row r="97" spans="1:2" ht="12.75" customHeight="1" x14ac:dyDescent="0.25">
      <c r="A97" s="1"/>
      <c r="B97" s="1"/>
    </row>
    <row r="98" spans="1:2" ht="12.75" customHeight="1" x14ac:dyDescent="0.25">
      <c r="A98" s="1"/>
      <c r="B98" s="1"/>
    </row>
    <row r="99" spans="1:2" ht="12.75" customHeight="1" x14ac:dyDescent="0.25">
      <c r="A99" s="1"/>
      <c r="B99" s="1"/>
    </row>
    <row r="100" spans="1:2" ht="12.75" customHeight="1" x14ac:dyDescent="0.25">
      <c r="A100" s="1"/>
      <c r="B100" s="1"/>
    </row>
    <row r="101" spans="1:2" ht="12.75" customHeight="1" x14ac:dyDescent="0.25">
      <c r="A101" s="1"/>
      <c r="B101" s="1"/>
    </row>
    <row r="102" spans="1:2" ht="12.75" customHeight="1" x14ac:dyDescent="0.25">
      <c r="A102" s="1"/>
      <c r="B102" s="1"/>
    </row>
    <row r="103" spans="1:2" ht="12.75" customHeight="1" x14ac:dyDescent="0.25">
      <c r="A103" s="1"/>
      <c r="B103" s="1"/>
    </row>
    <row r="104" spans="1:2" ht="12.75" customHeight="1" x14ac:dyDescent="0.25">
      <c r="A104" s="1"/>
      <c r="B104" s="1"/>
    </row>
    <row r="105" spans="1:2" ht="12.75" customHeight="1" x14ac:dyDescent="0.25">
      <c r="A105" s="1"/>
      <c r="B105" s="1"/>
    </row>
    <row r="106" spans="1:2" ht="12.75" customHeight="1" x14ac:dyDescent="0.25">
      <c r="A106" s="1"/>
      <c r="B106" s="1"/>
    </row>
    <row r="107" spans="1:2" ht="12.75" customHeight="1" x14ac:dyDescent="0.25">
      <c r="A107" s="1"/>
      <c r="B107" s="1"/>
    </row>
    <row r="108" spans="1:2" ht="12.75" customHeight="1" x14ac:dyDescent="0.25">
      <c r="A108" s="1"/>
      <c r="B108" s="1"/>
    </row>
    <row r="109" spans="1:2" ht="12.75" customHeight="1" x14ac:dyDescent="0.25">
      <c r="A109" s="1"/>
      <c r="B109" s="1"/>
    </row>
    <row r="110" spans="1:2" ht="11.25" customHeight="1" x14ac:dyDescent="0.25">
      <c r="A110" s="1"/>
      <c r="B110" s="1"/>
    </row>
    <row r="111" spans="1:2" ht="12.75" customHeight="1" x14ac:dyDescent="0.25">
      <c r="A111" s="1"/>
      <c r="B111" s="1"/>
    </row>
    <row r="112" spans="1:2" ht="12.75" customHeight="1" x14ac:dyDescent="0.25">
      <c r="A112" s="1"/>
      <c r="B112" s="1"/>
    </row>
    <row r="113" spans="1:2" ht="12.75" customHeight="1" x14ac:dyDescent="0.25">
      <c r="A113" s="1"/>
      <c r="B113" s="1"/>
    </row>
    <row r="114" spans="1:2" ht="9" customHeight="1" x14ac:dyDescent="0.25">
      <c r="A114" s="1"/>
      <c r="B114" s="1"/>
    </row>
    <row r="115" spans="1:2" ht="12.75" customHeight="1" x14ac:dyDescent="0.25">
      <c r="A115" s="1"/>
      <c r="B115" s="1"/>
    </row>
    <row r="116" spans="1:2" ht="12.75" customHeight="1" x14ac:dyDescent="0.25">
      <c r="A116" s="1"/>
      <c r="B116" s="1"/>
    </row>
    <row r="117" spans="1:2" ht="12.75" customHeight="1" x14ac:dyDescent="0.25">
      <c r="A117" s="1"/>
      <c r="B117" s="1"/>
    </row>
    <row r="118" spans="1:2" ht="12.75" customHeight="1" x14ac:dyDescent="0.25">
      <c r="A118" s="1"/>
      <c r="B118" s="1"/>
    </row>
    <row r="119" spans="1:2" ht="12.75" customHeight="1" x14ac:dyDescent="0.25">
      <c r="A119" s="1"/>
      <c r="B119" s="1"/>
    </row>
    <row r="120" spans="1:2" ht="12.75" customHeight="1" x14ac:dyDescent="0.25">
      <c r="A120" s="1"/>
      <c r="B120" s="1"/>
    </row>
    <row r="121" spans="1:2" ht="12.75" customHeight="1" x14ac:dyDescent="0.25">
      <c r="A121" s="1"/>
      <c r="B121" s="1"/>
    </row>
    <row r="122" spans="1:2" ht="12.75" customHeight="1" x14ac:dyDescent="0.25">
      <c r="A122" s="1"/>
      <c r="B122" s="1"/>
    </row>
    <row r="123" spans="1:2" ht="12.75" customHeight="1" x14ac:dyDescent="0.25">
      <c r="A123" s="1"/>
      <c r="B123" s="1"/>
    </row>
    <row r="124" spans="1:2" ht="12.75" customHeight="1" x14ac:dyDescent="0.25">
      <c r="A124" s="1"/>
      <c r="B124" s="1"/>
    </row>
    <row r="125" spans="1:2" ht="12.75" customHeight="1" x14ac:dyDescent="0.25">
      <c r="A125" s="1"/>
      <c r="B125" s="1"/>
    </row>
    <row r="126" spans="1:2" ht="12.75" customHeight="1" x14ac:dyDescent="0.25">
      <c r="A126" s="1"/>
      <c r="B126" s="1"/>
    </row>
    <row r="127" spans="1:2" ht="12.75" customHeight="1" x14ac:dyDescent="0.25">
      <c r="A127" s="1"/>
      <c r="B127" s="1"/>
    </row>
    <row r="128" spans="1:2" ht="12.75" customHeight="1" x14ac:dyDescent="0.25">
      <c r="A128" s="1"/>
      <c r="B128" s="1"/>
    </row>
    <row r="129" spans="1:2" ht="12.75" customHeight="1" x14ac:dyDescent="0.25">
      <c r="A129" s="1"/>
      <c r="B129" s="1"/>
    </row>
    <row r="130" spans="1:2" ht="12.75" customHeight="1" x14ac:dyDescent="0.25">
      <c r="A130" s="1"/>
      <c r="B130" s="1"/>
    </row>
    <row r="131" spans="1:2" ht="12.75" customHeight="1" x14ac:dyDescent="0.25">
      <c r="A131" s="1"/>
      <c r="B131" s="1"/>
    </row>
    <row r="132" spans="1:2" ht="12.75" customHeight="1" x14ac:dyDescent="0.25">
      <c r="A132" s="1"/>
      <c r="B132" s="1"/>
    </row>
    <row r="133" spans="1:2" ht="12.75" customHeight="1" x14ac:dyDescent="0.25">
      <c r="A133" s="1"/>
      <c r="B133" s="1"/>
    </row>
    <row r="134" spans="1:2" ht="12.75" customHeight="1" x14ac:dyDescent="0.25">
      <c r="A134" s="1"/>
      <c r="B134" s="1"/>
    </row>
    <row r="135" spans="1:2" ht="12.75" customHeight="1" x14ac:dyDescent="0.25">
      <c r="A135" s="1"/>
      <c r="B135" s="1"/>
    </row>
    <row r="136" spans="1:2" ht="12.75" customHeight="1" x14ac:dyDescent="0.25">
      <c r="A136" s="1"/>
      <c r="B136" s="1"/>
    </row>
    <row r="137" spans="1:2" ht="12.75" customHeight="1" x14ac:dyDescent="0.25">
      <c r="A137" s="1"/>
      <c r="B137" s="1"/>
    </row>
    <row r="138" spans="1:2" ht="12.75" customHeight="1" x14ac:dyDescent="0.25">
      <c r="A138" s="1"/>
      <c r="B138" s="1"/>
    </row>
    <row r="139" spans="1:2" ht="12.75" customHeight="1" x14ac:dyDescent="0.25">
      <c r="A139" s="1"/>
      <c r="B139" s="1"/>
    </row>
    <row r="140" spans="1:2" ht="12.75" customHeight="1" x14ac:dyDescent="0.25">
      <c r="A140" s="1"/>
      <c r="B140" s="1"/>
    </row>
    <row r="141" spans="1:2" ht="12.75" customHeight="1" x14ac:dyDescent="0.25">
      <c r="A141" s="1"/>
      <c r="B141" s="1"/>
    </row>
    <row r="142" spans="1:2" ht="12.75" customHeight="1" x14ac:dyDescent="0.25">
      <c r="A142" s="1"/>
      <c r="B142" s="1"/>
    </row>
    <row r="143" spans="1:2" ht="12.75" customHeight="1" x14ac:dyDescent="0.25">
      <c r="A143" s="1"/>
      <c r="B143" s="1"/>
    </row>
    <row r="144" spans="1:2" ht="12.75" customHeight="1" x14ac:dyDescent="0.25">
      <c r="A144" s="1"/>
      <c r="B144" s="1"/>
    </row>
    <row r="145" spans="1:2" ht="12.75" customHeight="1" x14ac:dyDescent="0.25">
      <c r="A145" s="1"/>
      <c r="B145" s="1"/>
    </row>
    <row r="146" spans="1:2" ht="12.75" customHeight="1" x14ac:dyDescent="0.25">
      <c r="A146" s="1"/>
      <c r="B146" s="1"/>
    </row>
    <row r="147" spans="1:2" ht="12.75" customHeight="1" x14ac:dyDescent="0.25">
      <c r="A147" s="1"/>
      <c r="B147" s="1"/>
    </row>
    <row r="148" spans="1:2" ht="12.75" customHeight="1" x14ac:dyDescent="0.25">
      <c r="A148" s="1"/>
      <c r="B148" s="1"/>
    </row>
    <row r="149" spans="1:2" ht="12.75" customHeight="1" x14ac:dyDescent="0.25">
      <c r="A149" s="1"/>
      <c r="B149" s="1"/>
    </row>
    <row r="150" spans="1:2" ht="12.75" customHeight="1" x14ac:dyDescent="0.25">
      <c r="A150" s="1"/>
      <c r="B150" s="1"/>
    </row>
    <row r="151" spans="1:2" ht="12.75" customHeight="1" x14ac:dyDescent="0.25">
      <c r="A151" s="1"/>
      <c r="B151" s="1"/>
    </row>
    <row r="152" spans="1:2" ht="12.75" customHeight="1" x14ac:dyDescent="0.25">
      <c r="A152" s="1"/>
      <c r="B152" s="1"/>
    </row>
    <row r="153" spans="1:2" ht="12.75" customHeight="1" x14ac:dyDescent="0.25">
      <c r="A153" s="1"/>
      <c r="B153" s="1"/>
    </row>
    <row r="154" spans="1:2" ht="12.75" customHeight="1" x14ac:dyDescent="0.25">
      <c r="A154" s="1"/>
      <c r="B154" s="1"/>
    </row>
    <row r="155" spans="1:2" ht="12.75" customHeight="1" x14ac:dyDescent="0.25">
      <c r="A155" s="1"/>
      <c r="B155" s="1"/>
    </row>
    <row r="156" spans="1:2" ht="12.75" customHeight="1" x14ac:dyDescent="0.25">
      <c r="A156" s="1"/>
      <c r="B156" s="1"/>
    </row>
    <row r="157" spans="1:2" ht="12.75" customHeight="1" x14ac:dyDescent="0.25">
      <c r="A157" s="1"/>
      <c r="B157" s="1"/>
    </row>
    <row r="158" spans="1:2" ht="12.75" customHeight="1" x14ac:dyDescent="0.25">
      <c r="A158" s="1"/>
      <c r="B158" s="1"/>
    </row>
    <row r="159" spans="1:2" ht="12.75" customHeight="1" x14ac:dyDescent="0.25">
      <c r="A159" s="1"/>
      <c r="B159" s="1"/>
    </row>
    <row r="160" spans="1:2" ht="12.75" customHeight="1" x14ac:dyDescent="0.25">
      <c r="A160" s="1"/>
      <c r="B160" s="1"/>
    </row>
    <row r="161" spans="1:2" ht="12.75" customHeight="1" x14ac:dyDescent="0.25">
      <c r="A161" s="1"/>
      <c r="B161" s="1"/>
    </row>
    <row r="162" spans="1:2" ht="12.75" customHeight="1" x14ac:dyDescent="0.25">
      <c r="A162" s="1"/>
      <c r="B162" s="1"/>
    </row>
    <row r="163" spans="1:2" ht="12.75" customHeight="1" x14ac:dyDescent="0.25">
      <c r="A163" s="1"/>
      <c r="B163" s="1"/>
    </row>
    <row r="164" spans="1:2" ht="12.75" customHeight="1" x14ac:dyDescent="0.25">
      <c r="A164" s="1"/>
      <c r="B164" s="1"/>
    </row>
    <row r="165" spans="1:2" ht="12.75" customHeight="1" x14ac:dyDescent="0.25">
      <c r="A165" s="1"/>
      <c r="B165" s="1"/>
    </row>
    <row r="166" spans="1:2" ht="12.75" customHeight="1" x14ac:dyDescent="0.25">
      <c r="A166" s="1"/>
      <c r="B166" s="1"/>
    </row>
    <row r="167" spans="1:2" ht="12.75" customHeight="1" x14ac:dyDescent="0.25">
      <c r="A167" s="1"/>
      <c r="B167" s="1"/>
    </row>
    <row r="168" spans="1:2" ht="12.75" customHeight="1" x14ac:dyDescent="0.25">
      <c r="A168" s="1"/>
      <c r="B168" s="1"/>
    </row>
    <row r="169" spans="1:2" ht="12.75" customHeight="1" x14ac:dyDescent="0.25">
      <c r="A169" s="1"/>
      <c r="B169" s="1"/>
    </row>
    <row r="170" spans="1:2" ht="12.75" customHeight="1" x14ac:dyDescent="0.25">
      <c r="A170" s="1"/>
      <c r="B170" s="1"/>
    </row>
    <row r="171" spans="1:2" ht="12.75" customHeight="1" x14ac:dyDescent="0.25">
      <c r="A171" s="1"/>
      <c r="B171" s="1"/>
    </row>
    <row r="172" spans="1:2" ht="12.75" customHeight="1" x14ac:dyDescent="0.25">
      <c r="A172" s="1"/>
      <c r="B172" s="1"/>
    </row>
    <row r="173" spans="1:2" ht="12.75" customHeight="1" x14ac:dyDescent="0.25">
      <c r="A173" s="1"/>
      <c r="B173" s="1"/>
    </row>
    <row r="174" spans="1:2" ht="12.75" customHeight="1" x14ac:dyDescent="0.25">
      <c r="A174" s="1"/>
      <c r="B174" s="1"/>
    </row>
    <row r="175" spans="1:2" ht="12.75" customHeight="1" x14ac:dyDescent="0.25">
      <c r="A175" s="1"/>
      <c r="B175" s="1"/>
    </row>
    <row r="176" spans="1:2" ht="12.75" customHeight="1" x14ac:dyDescent="0.25">
      <c r="A176" s="1"/>
      <c r="B176" s="1"/>
    </row>
    <row r="177" spans="1:2" ht="12.75" customHeight="1" x14ac:dyDescent="0.25">
      <c r="A177" s="1"/>
      <c r="B177" s="1"/>
    </row>
    <row r="178" spans="1:2" ht="12.75" customHeight="1" x14ac:dyDescent="0.25">
      <c r="A178" s="1"/>
      <c r="B178" s="1"/>
    </row>
    <row r="179" spans="1:2" ht="12.75" customHeight="1" x14ac:dyDescent="0.25">
      <c r="A179" s="1"/>
      <c r="B179" s="1"/>
    </row>
    <row r="180" spans="1:2" ht="12.75" customHeight="1" x14ac:dyDescent="0.25">
      <c r="A180" s="1"/>
      <c r="B180" s="1"/>
    </row>
    <row r="181" spans="1:2" ht="12.75" customHeight="1" x14ac:dyDescent="0.25">
      <c r="A181" s="1"/>
      <c r="B181" s="1"/>
    </row>
    <row r="182" spans="1:2" ht="12.75" customHeight="1" x14ac:dyDescent="0.25">
      <c r="A182" s="1"/>
      <c r="B182" s="1"/>
    </row>
    <row r="183" spans="1:2" ht="12.75" customHeight="1" x14ac:dyDescent="0.25">
      <c r="A183" s="1"/>
      <c r="B183" s="1"/>
    </row>
    <row r="184" spans="1:2" ht="12.75" customHeight="1" x14ac:dyDescent="0.25">
      <c r="A184" s="1"/>
      <c r="B184" s="1"/>
    </row>
    <row r="185" spans="1:2" ht="12.75" customHeight="1" x14ac:dyDescent="0.25">
      <c r="A185" s="1"/>
      <c r="B185" s="1"/>
    </row>
    <row r="186" spans="1:2" ht="12.75" customHeight="1" x14ac:dyDescent="0.25">
      <c r="A186" s="1"/>
      <c r="B186" s="1"/>
    </row>
    <row r="187" spans="1:2" ht="12.75" customHeight="1" x14ac:dyDescent="0.25">
      <c r="A187" s="1"/>
      <c r="B187" s="1"/>
    </row>
    <row r="188" spans="1:2" ht="12.75" customHeight="1" x14ac:dyDescent="0.25">
      <c r="A188" s="1"/>
      <c r="B188" s="1"/>
    </row>
    <row r="189" spans="1:2" ht="12.75" customHeight="1" x14ac:dyDescent="0.25">
      <c r="A189" s="1"/>
      <c r="B189" s="1"/>
    </row>
    <row r="190" spans="1:2" ht="12.75" customHeight="1" x14ac:dyDescent="0.25">
      <c r="A190" s="1"/>
      <c r="B190" s="1"/>
    </row>
    <row r="191" spans="1:2" ht="12.75" customHeight="1" x14ac:dyDescent="0.25">
      <c r="A191" s="1"/>
      <c r="B191" s="1"/>
    </row>
    <row r="192" spans="1:2" ht="12.75" customHeight="1" x14ac:dyDescent="0.25">
      <c r="A192" s="1"/>
      <c r="B192" s="1"/>
    </row>
    <row r="193" spans="1:2" ht="12.75" customHeight="1" x14ac:dyDescent="0.25">
      <c r="A193" s="1"/>
      <c r="B193" s="1"/>
    </row>
    <row r="194" spans="1:2" ht="12.75" customHeight="1" x14ac:dyDescent="0.25">
      <c r="A194" s="1"/>
      <c r="B194" s="1"/>
    </row>
    <row r="195" spans="1:2" ht="12.75" customHeight="1" x14ac:dyDescent="0.25">
      <c r="A195" s="1"/>
      <c r="B195" s="1"/>
    </row>
    <row r="196" spans="1:2" ht="12.75" customHeight="1" x14ac:dyDescent="0.25">
      <c r="A196" s="1"/>
      <c r="B196" s="1"/>
    </row>
    <row r="197" spans="1:2" ht="12.75" customHeight="1" x14ac:dyDescent="0.25">
      <c r="A197" s="1"/>
      <c r="B197" s="1"/>
    </row>
    <row r="198" spans="1:2" ht="12.75" customHeight="1" x14ac:dyDescent="0.25">
      <c r="A198" s="1"/>
      <c r="B198" s="1"/>
    </row>
    <row r="199" spans="1:2" ht="12.75" customHeight="1" x14ac:dyDescent="0.25">
      <c r="A199" s="1"/>
      <c r="B199" s="1"/>
    </row>
    <row r="200" spans="1:2" ht="12.75" customHeight="1" x14ac:dyDescent="0.25">
      <c r="A200" s="1"/>
      <c r="B200" s="1"/>
    </row>
    <row r="201" spans="1:2" ht="12.75" customHeight="1" x14ac:dyDescent="0.25">
      <c r="A201" s="1"/>
      <c r="B201" s="1"/>
    </row>
    <row r="202" spans="1:2" ht="12.75" customHeight="1" x14ac:dyDescent="0.25">
      <c r="A202" s="1"/>
      <c r="B202" s="1"/>
    </row>
    <row r="203" spans="1:2" ht="12.75" customHeight="1" x14ac:dyDescent="0.25">
      <c r="A203" s="1"/>
      <c r="B203" s="1"/>
    </row>
    <row r="204" spans="1:2" ht="12.75" customHeight="1" x14ac:dyDescent="0.25">
      <c r="A204" s="1"/>
      <c r="B204" s="1"/>
    </row>
    <row r="205" spans="1:2" ht="12.75" customHeight="1" x14ac:dyDescent="0.25">
      <c r="A205" s="1"/>
      <c r="B205" s="1"/>
    </row>
    <row r="206" spans="1:2" ht="12.75" customHeight="1" x14ac:dyDescent="0.25">
      <c r="A206" s="1"/>
      <c r="B206" s="1"/>
    </row>
    <row r="207" spans="1:2" ht="12.75" customHeight="1" x14ac:dyDescent="0.25">
      <c r="A207" s="1"/>
      <c r="B207" s="1"/>
    </row>
    <row r="208" spans="1:2" ht="12.75" customHeight="1" x14ac:dyDescent="0.25">
      <c r="A208" s="1"/>
      <c r="B208" s="1"/>
    </row>
    <row r="209" spans="1:2" ht="12.75" customHeight="1" x14ac:dyDescent="0.25">
      <c r="A209" s="1"/>
      <c r="B209" s="1"/>
    </row>
    <row r="210" spans="1:2" ht="12.75" customHeight="1" x14ac:dyDescent="0.25">
      <c r="A210" s="1"/>
      <c r="B210" s="1"/>
    </row>
    <row r="211" spans="1:2" ht="12.75" customHeight="1" x14ac:dyDescent="0.25">
      <c r="A211" s="1"/>
      <c r="B211" s="1"/>
    </row>
    <row r="212" spans="1:2" ht="12.75" customHeight="1" x14ac:dyDescent="0.25">
      <c r="A212" s="1"/>
      <c r="B212" s="1"/>
    </row>
    <row r="213" spans="1:2" ht="12.75" customHeight="1" x14ac:dyDescent="0.25">
      <c r="A213" s="1"/>
      <c r="B213" s="1"/>
    </row>
    <row r="214" spans="1:2" ht="12.75" customHeight="1" x14ac:dyDescent="0.25">
      <c r="A214" s="1"/>
      <c r="B214" s="1"/>
    </row>
    <row r="215" spans="1:2" ht="12.75" customHeight="1" x14ac:dyDescent="0.25">
      <c r="A215" s="1"/>
      <c r="B215" s="1"/>
    </row>
    <row r="216" spans="1:2" ht="12.75" customHeight="1" x14ac:dyDescent="0.25">
      <c r="A216" s="1"/>
      <c r="B216" s="1"/>
    </row>
    <row r="217" spans="1:2" ht="12.75" customHeight="1" x14ac:dyDescent="0.25">
      <c r="A217" s="1"/>
      <c r="B217" s="1"/>
    </row>
    <row r="218" spans="1:2" ht="12.75" customHeight="1" x14ac:dyDescent="0.25">
      <c r="A218" s="1"/>
      <c r="B218" s="1"/>
    </row>
    <row r="219" spans="1:2" ht="12.75" customHeight="1" x14ac:dyDescent="0.25">
      <c r="A219" s="1"/>
      <c r="B219" s="1"/>
    </row>
    <row r="220" spans="1:2" ht="12.75" customHeight="1" x14ac:dyDescent="0.25">
      <c r="A220" s="1"/>
      <c r="B220" s="1"/>
    </row>
    <row r="221" spans="1:2" ht="12.75" customHeight="1" x14ac:dyDescent="0.25">
      <c r="A221" s="1"/>
      <c r="B221" s="1"/>
    </row>
    <row r="222" spans="1:2" ht="12.75" customHeight="1" x14ac:dyDescent="0.25">
      <c r="A222" s="1"/>
      <c r="B222" s="1"/>
    </row>
    <row r="223" spans="1:2" ht="12.75" customHeight="1" x14ac:dyDescent="0.25">
      <c r="A223" s="1"/>
      <c r="B223" s="1"/>
    </row>
    <row r="224" spans="1:2" ht="12.75" customHeight="1" x14ac:dyDescent="0.25">
      <c r="A224" s="1"/>
      <c r="B224" s="1"/>
    </row>
    <row r="225" spans="1:2" ht="12.75" customHeight="1" x14ac:dyDescent="0.25">
      <c r="A225" s="1"/>
      <c r="B225" s="1"/>
    </row>
    <row r="226" spans="1:2" ht="12.75" customHeight="1" x14ac:dyDescent="0.25">
      <c r="A226" s="1"/>
      <c r="B226" s="1"/>
    </row>
    <row r="227" spans="1:2" ht="12.75" customHeight="1" x14ac:dyDescent="0.25">
      <c r="A227" s="1"/>
      <c r="B227" s="1"/>
    </row>
    <row r="228" spans="1:2" ht="12.75" customHeight="1" x14ac:dyDescent="0.25">
      <c r="A228" s="1"/>
      <c r="B228" s="1"/>
    </row>
    <row r="229" spans="1:2" ht="12.75" customHeight="1" x14ac:dyDescent="0.25">
      <c r="A229" s="1"/>
      <c r="B229" s="1"/>
    </row>
    <row r="230" spans="1:2" ht="12.75" customHeight="1" x14ac:dyDescent="0.25">
      <c r="A230" s="1"/>
      <c r="B230" s="1"/>
    </row>
    <row r="231" spans="1:2" ht="12.75" customHeight="1" x14ac:dyDescent="0.25">
      <c r="A231" s="1"/>
      <c r="B231" s="1"/>
    </row>
    <row r="232" spans="1:2" ht="12.75" customHeight="1" x14ac:dyDescent="0.25">
      <c r="A232" s="1"/>
      <c r="B232" s="1"/>
    </row>
    <row r="233" spans="1:2" ht="12.75" customHeight="1" x14ac:dyDescent="0.25">
      <c r="A233" s="1"/>
      <c r="B233" s="1"/>
    </row>
    <row r="234" spans="1:2" ht="12.75" customHeight="1" x14ac:dyDescent="0.25">
      <c r="A234" s="1"/>
      <c r="B234" s="1"/>
    </row>
    <row r="235" spans="1:2" ht="12.75" customHeight="1" x14ac:dyDescent="0.25">
      <c r="A235" s="1"/>
      <c r="B235" s="1"/>
    </row>
    <row r="236" spans="1:2" ht="12.75" customHeight="1" x14ac:dyDescent="0.25">
      <c r="A236" s="1"/>
      <c r="B236" s="1"/>
    </row>
    <row r="237" spans="1:2" ht="12.75" customHeight="1" x14ac:dyDescent="0.25">
      <c r="A237" s="1"/>
      <c r="B237" s="1"/>
    </row>
    <row r="238" spans="1:2" ht="12.75" customHeight="1" x14ac:dyDescent="0.25">
      <c r="A238" s="1"/>
      <c r="B238" s="1"/>
    </row>
    <row r="239" spans="1:2" ht="12.75" customHeight="1" x14ac:dyDescent="0.25">
      <c r="A239" s="1"/>
      <c r="B239" s="1"/>
    </row>
    <row r="240" spans="1:2" ht="12.75" customHeight="1" x14ac:dyDescent="0.25">
      <c r="A240" s="1"/>
      <c r="B240" s="1"/>
    </row>
    <row r="241" spans="1:2" ht="12.75" customHeight="1" x14ac:dyDescent="0.25">
      <c r="A241" s="1"/>
      <c r="B241" s="1"/>
    </row>
    <row r="242" spans="1:2" ht="12.75" customHeight="1" x14ac:dyDescent="0.25">
      <c r="A242" s="1"/>
      <c r="B242" s="1"/>
    </row>
    <row r="243" spans="1:2" ht="12.75" customHeight="1" x14ac:dyDescent="0.25">
      <c r="A243" s="1"/>
      <c r="B243" s="1"/>
    </row>
    <row r="244" spans="1:2" ht="12.75" customHeight="1" x14ac:dyDescent="0.25">
      <c r="A244" s="1"/>
      <c r="B244" s="1"/>
    </row>
    <row r="245" spans="1:2" ht="12.75" customHeight="1" x14ac:dyDescent="0.25">
      <c r="A245" s="1"/>
      <c r="B245" s="1"/>
    </row>
    <row r="246" spans="1:2" ht="12.75" customHeight="1" x14ac:dyDescent="0.25">
      <c r="A246" s="1"/>
      <c r="B246" s="1"/>
    </row>
    <row r="247" spans="1:2" ht="12.75" customHeight="1" x14ac:dyDescent="0.25">
      <c r="A247" s="1"/>
      <c r="B247" s="1"/>
    </row>
    <row r="248" spans="1:2" ht="12.75" customHeight="1" x14ac:dyDescent="0.25">
      <c r="A248" s="1"/>
      <c r="B248" s="1"/>
    </row>
    <row r="249" spans="1:2" ht="12.75" customHeight="1" x14ac:dyDescent="0.25">
      <c r="A249" s="1"/>
      <c r="B249" s="1"/>
    </row>
    <row r="250" spans="1:2" ht="12.75" customHeight="1" x14ac:dyDescent="0.25">
      <c r="A250" s="1"/>
      <c r="B250" s="1"/>
    </row>
    <row r="251" spans="1:2" ht="12.75" customHeight="1" x14ac:dyDescent="0.25">
      <c r="A251" s="1"/>
      <c r="B251" s="1"/>
    </row>
    <row r="252" spans="1:2" ht="12.75" customHeight="1" x14ac:dyDescent="0.25">
      <c r="A252" s="1"/>
      <c r="B252" s="1"/>
    </row>
    <row r="253" spans="1:2" ht="12.75" customHeight="1" x14ac:dyDescent="0.25">
      <c r="A253" s="1"/>
      <c r="B253" s="1"/>
    </row>
    <row r="254" spans="1:2" ht="12.75" customHeight="1" x14ac:dyDescent="0.25">
      <c r="A254" s="1"/>
      <c r="B254" s="1"/>
    </row>
    <row r="255" spans="1:2" ht="12.75" customHeight="1" x14ac:dyDescent="0.25">
      <c r="A255" s="1"/>
      <c r="B255" s="1"/>
    </row>
    <row r="256" spans="1:2" ht="12.75" customHeight="1" x14ac:dyDescent="0.25">
      <c r="A256" s="1"/>
      <c r="B256" s="1"/>
    </row>
    <row r="257" spans="1:2" ht="12.75" customHeight="1" x14ac:dyDescent="0.25">
      <c r="A257" s="1"/>
      <c r="B257" s="1"/>
    </row>
    <row r="258" spans="1:2" ht="12.75" customHeight="1" x14ac:dyDescent="0.25">
      <c r="A258" s="1"/>
      <c r="B258" s="1"/>
    </row>
    <row r="259" spans="1:2" ht="12.75" customHeight="1" x14ac:dyDescent="0.25">
      <c r="A259" s="1"/>
      <c r="B259" s="1"/>
    </row>
    <row r="260" spans="1:2" ht="12.75" customHeight="1" x14ac:dyDescent="0.25">
      <c r="A260" s="1"/>
      <c r="B260" s="1"/>
    </row>
    <row r="261" spans="1:2" ht="12.75" customHeight="1" x14ac:dyDescent="0.25">
      <c r="A261" s="1"/>
      <c r="B261" s="1"/>
    </row>
    <row r="262" spans="1:2" ht="12.75" customHeight="1" x14ac:dyDescent="0.25">
      <c r="A262" s="1"/>
      <c r="B262" s="1"/>
    </row>
    <row r="263" spans="1:2" ht="12.75" customHeight="1" x14ac:dyDescent="0.25">
      <c r="A263" s="1"/>
      <c r="B263" s="1"/>
    </row>
    <row r="264" spans="1:2" ht="12.75" customHeight="1" x14ac:dyDescent="0.25">
      <c r="A264" s="1"/>
      <c r="B264" s="1"/>
    </row>
    <row r="265" spans="1:2" ht="12.75" customHeight="1" x14ac:dyDescent="0.25">
      <c r="A265" s="1"/>
      <c r="B265" s="1"/>
    </row>
    <row r="266" spans="1:2" ht="12.75" customHeight="1" x14ac:dyDescent="0.25">
      <c r="A266" s="1"/>
      <c r="B266" s="1"/>
    </row>
    <row r="267" spans="1:2" ht="12.75" customHeight="1" x14ac:dyDescent="0.25">
      <c r="A267" s="1"/>
      <c r="B267" s="1"/>
    </row>
    <row r="268" spans="1:2" ht="12.75" customHeight="1" x14ac:dyDescent="0.25">
      <c r="A268" s="1"/>
      <c r="B268" s="1"/>
    </row>
    <row r="269" spans="1:2" ht="12.75" customHeight="1" x14ac:dyDescent="0.25">
      <c r="A269" s="1"/>
      <c r="B269" s="1"/>
    </row>
    <row r="270" spans="1:2" ht="12.75" customHeight="1" x14ac:dyDescent="0.25">
      <c r="A270" s="1"/>
      <c r="B270" s="1"/>
    </row>
    <row r="271" spans="1:2" ht="12.75" customHeight="1" x14ac:dyDescent="0.25">
      <c r="A271" s="1"/>
      <c r="B271" s="1"/>
    </row>
    <row r="272" spans="1:2" ht="12.75" customHeight="1" x14ac:dyDescent="0.25">
      <c r="A272" s="1"/>
      <c r="B272" s="1"/>
    </row>
    <row r="273" spans="1:2" ht="12.75" customHeight="1" x14ac:dyDescent="0.25">
      <c r="A273" s="1"/>
      <c r="B273" s="1"/>
    </row>
    <row r="274" spans="1:2" ht="12.75" customHeight="1" x14ac:dyDescent="0.25">
      <c r="A274" s="1"/>
      <c r="B274" s="1"/>
    </row>
    <row r="275" spans="1:2" ht="12.75" customHeight="1" x14ac:dyDescent="0.25">
      <c r="A275" s="1"/>
      <c r="B275" s="1"/>
    </row>
    <row r="276" spans="1:2" ht="12.75" customHeight="1" x14ac:dyDescent="0.25">
      <c r="A276" s="1"/>
      <c r="B276" s="1"/>
    </row>
    <row r="277" spans="1:2" ht="12.75" customHeight="1" x14ac:dyDescent="0.25">
      <c r="A277" s="1"/>
      <c r="B277" s="1"/>
    </row>
    <row r="278" spans="1:2" ht="12.75" customHeight="1" x14ac:dyDescent="0.25">
      <c r="A278" s="1"/>
      <c r="B278" s="1"/>
    </row>
    <row r="279" spans="1:2" ht="12.75" customHeight="1" x14ac:dyDescent="0.25">
      <c r="A279" s="1"/>
      <c r="B279" s="1"/>
    </row>
    <row r="280" spans="1:2" ht="12.75" customHeight="1" x14ac:dyDescent="0.25">
      <c r="A280" s="1"/>
      <c r="B280" s="1"/>
    </row>
    <row r="281" spans="1:2" ht="12.75" customHeight="1" x14ac:dyDescent="0.25">
      <c r="A281" s="1"/>
      <c r="B281" s="1"/>
    </row>
    <row r="282" spans="1:2" ht="12.75" customHeight="1" x14ac:dyDescent="0.25">
      <c r="A282" s="1"/>
      <c r="B282" s="1"/>
    </row>
    <row r="283" spans="1:2" ht="12.75" customHeight="1" x14ac:dyDescent="0.25">
      <c r="A283" s="1"/>
      <c r="B283" s="1"/>
    </row>
    <row r="284" spans="1:2" ht="12.75" customHeight="1" x14ac:dyDescent="0.25">
      <c r="A284" s="1"/>
      <c r="B284" s="1"/>
    </row>
    <row r="285" spans="1:2" ht="12.75" customHeight="1" x14ac:dyDescent="0.25">
      <c r="A285" s="1"/>
      <c r="B285" s="1"/>
    </row>
    <row r="286" spans="1:2" ht="12.75" customHeight="1" x14ac:dyDescent="0.25">
      <c r="A286" s="1"/>
      <c r="B286" s="1"/>
    </row>
    <row r="287" spans="1:2" ht="12.75" customHeight="1" x14ac:dyDescent="0.25">
      <c r="A287" s="1"/>
      <c r="B287" s="1"/>
    </row>
    <row r="288" spans="1:2" ht="12.75" customHeight="1" x14ac:dyDescent="0.25">
      <c r="A288" s="1"/>
      <c r="B288" s="1"/>
    </row>
    <row r="289" spans="1:2" ht="12.75" customHeight="1" x14ac:dyDescent="0.25">
      <c r="A289" s="1"/>
      <c r="B289" s="1"/>
    </row>
    <row r="290" spans="1:2" ht="12.75" customHeight="1" x14ac:dyDescent="0.25">
      <c r="A290" s="1"/>
      <c r="B290" s="1"/>
    </row>
    <row r="291" spans="1:2" ht="12.75" customHeight="1" x14ac:dyDescent="0.25">
      <c r="A291" s="1"/>
      <c r="B291" s="1"/>
    </row>
    <row r="292" spans="1:2" ht="12.75" customHeight="1" x14ac:dyDescent="0.25">
      <c r="A292" s="1"/>
      <c r="B292" s="1"/>
    </row>
    <row r="293" spans="1:2" ht="12.75" customHeight="1" x14ac:dyDescent="0.25">
      <c r="A293" s="1"/>
      <c r="B293" s="1"/>
    </row>
    <row r="294" spans="1:2" ht="12.75" customHeight="1" x14ac:dyDescent="0.25">
      <c r="A294" s="1"/>
      <c r="B294" s="1"/>
    </row>
    <row r="295" spans="1:2" ht="12.75" customHeight="1" x14ac:dyDescent="0.25">
      <c r="A295" s="1"/>
      <c r="B295" s="1"/>
    </row>
    <row r="296" spans="1:2" ht="12.75" customHeight="1" x14ac:dyDescent="0.25">
      <c r="A296" s="1"/>
      <c r="B296" s="1"/>
    </row>
    <row r="297" spans="1:2" ht="12.75" customHeight="1" x14ac:dyDescent="0.25">
      <c r="A297" s="1"/>
      <c r="B297" s="1"/>
    </row>
    <row r="298" spans="1:2" ht="12.75" customHeight="1" x14ac:dyDescent="0.25">
      <c r="A298" s="1"/>
      <c r="B298" s="1"/>
    </row>
    <row r="299" spans="1:2" ht="12.75" customHeight="1" x14ac:dyDescent="0.25">
      <c r="A299" s="1"/>
      <c r="B299" s="1"/>
    </row>
    <row r="300" spans="1:2" ht="12.75" customHeight="1" x14ac:dyDescent="0.25">
      <c r="A300" s="1"/>
      <c r="B300" s="1"/>
    </row>
    <row r="301" spans="1:2" ht="12.75" customHeight="1" x14ac:dyDescent="0.25">
      <c r="A301" s="1"/>
      <c r="B301" s="1"/>
    </row>
    <row r="302" spans="1:2" ht="12.75" customHeight="1" x14ac:dyDescent="0.25">
      <c r="A302" s="1"/>
      <c r="B302" s="1"/>
    </row>
    <row r="303" spans="1:2" ht="12.75" customHeight="1" x14ac:dyDescent="0.25">
      <c r="A303" s="1"/>
      <c r="B303" s="1"/>
    </row>
    <row r="304" spans="1:2" ht="12.75" customHeight="1" x14ac:dyDescent="0.25">
      <c r="A304" s="1"/>
      <c r="B304" s="1"/>
    </row>
    <row r="305" spans="1:2" ht="12.75" customHeight="1" x14ac:dyDescent="0.25">
      <c r="A305" s="1"/>
      <c r="B305" s="1"/>
    </row>
    <row r="306" spans="1:2" ht="12.75" customHeight="1" x14ac:dyDescent="0.25">
      <c r="A306" s="1"/>
      <c r="B306" s="1"/>
    </row>
    <row r="307" spans="1:2" ht="12.75" customHeight="1" x14ac:dyDescent="0.25">
      <c r="A307" s="1"/>
      <c r="B307" s="1"/>
    </row>
    <row r="308" spans="1:2" ht="12.75" customHeight="1" x14ac:dyDescent="0.25">
      <c r="A308" s="1"/>
      <c r="B308" s="1"/>
    </row>
    <row r="309" spans="1:2" ht="12.75" customHeight="1" x14ac:dyDescent="0.25">
      <c r="A309" s="1"/>
      <c r="B309" s="1"/>
    </row>
    <row r="310" spans="1:2" ht="12.75" customHeight="1" x14ac:dyDescent="0.25">
      <c r="A310" s="1"/>
      <c r="B310" s="1"/>
    </row>
    <row r="311" spans="1:2" ht="12.75" customHeight="1" x14ac:dyDescent="0.25">
      <c r="A311" s="1"/>
      <c r="B311" s="1"/>
    </row>
    <row r="312" spans="1:2" ht="12.75" customHeight="1" x14ac:dyDescent="0.25">
      <c r="A312" s="1"/>
      <c r="B312" s="1"/>
    </row>
    <row r="313" spans="1:2" ht="12.75" customHeight="1" x14ac:dyDescent="0.25">
      <c r="A313" s="1"/>
      <c r="B313" s="1"/>
    </row>
    <row r="314" spans="1:2" ht="12.75" customHeight="1" x14ac:dyDescent="0.25">
      <c r="A314" s="1"/>
      <c r="B314" s="1"/>
    </row>
    <row r="315" spans="1:2" ht="12.75" customHeight="1" x14ac:dyDescent="0.25">
      <c r="A315" s="1"/>
      <c r="B315" s="1"/>
    </row>
    <row r="316" spans="1:2" ht="12.75" customHeight="1" x14ac:dyDescent="0.25">
      <c r="A316" s="1"/>
      <c r="B316" s="1"/>
    </row>
    <row r="317" spans="1:2" ht="12.75" customHeight="1" x14ac:dyDescent="0.25">
      <c r="A317" s="1"/>
      <c r="B317" s="1"/>
    </row>
    <row r="318" spans="1:2" ht="12.75" customHeight="1" x14ac:dyDescent="0.25">
      <c r="A318" s="1"/>
      <c r="B318" s="1"/>
    </row>
    <row r="319" spans="1:2" ht="12.75" customHeight="1" x14ac:dyDescent="0.25">
      <c r="A319" s="1"/>
      <c r="B319" s="1"/>
    </row>
    <row r="320" spans="1:2" ht="12.75" customHeight="1" x14ac:dyDescent="0.25">
      <c r="A320" s="1"/>
      <c r="B320" s="1"/>
    </row>
    <row r="321" spans="1:2" ht="12.75" customHeight="1" x14ac:dyDescent="0.25">
      <c r="A321" s="1"/>
      <c r="B321" s="1"/>
    </row>
    <row r="322" spans="1:2" ht="12.75" customHeight="1" x14ac:dyDescent="0.25">
      <c r="A322" s="1"/>
      <c r="B322" s="1"/>
    </row>
    <row r="323" spans="1:2" ht="12.75" customHeight="1" x14ac:dyDescent="0.25">
      <c r="A323" s="1"/>
      <c r="B323" s="1"/>
    </row>
    <row r="324" spans="1:2" ht="12.75" customHeight="1" x14ac:dyDescent="0.25">
      <c r="A324" s="1"/>
      <c r="B324" s="1"/>
    </row>
    <row r="325" spans="1:2" ht="12.75" customHeight="1" x14ac:dyDescent="0.25">
      <c r="A325" s="1"/>
      <c r="B325" s="1"/>
    </row>
    <row r="326" spans="1:2" ht="12.75" customHeight="1" x14ac:dyDescent="0.25">
      <c r="A326" s="1"/>
      <c r="B326" s="1"/>
    </row>
    <row r="327" spans="1:2" ht="12.75" customHeight="1" x14ac:dyDescent="0.25">
      <c r="A327" s="1"/>
      <c r="B327" s="1"/>
    </row>
    <row r="328" spans="1:2" ht="12.75" customHeight="1" x14ac:dyDescent="0.25">
      <c r="A328" s="1"/>
      <c r="B328" s="1"/>
    </row>
    <row r="329" spans="1:2" ht="12.75" customHeight="1" x14ac:dyDescent="0.25">
      <c r="A329" s="1"/>
      <c r="B329" s="1"/>
    </row>
    <row r="330" spans="1:2" ht="12.75" customHeight="1" x14ac:dyDescent="0.25">
      <c r="A330" s="1"/>
      <c r="B330" s="1"/>
    </row>
    <row r="331" spans="1:2" ht="12.75" customHeight="1" x14ac:dyDescent="0.25">
      <c r="A331" s="1"/>
      <c r="B331" s="1"/>
    </row>
    <row r="332" spans="1:2" ht="12.75" customHeight="1" x14ac:dyDescent="0.25">
      <c r="A332" s="1"/>
      <c r="B332" s="1"/>
    </row>
    <row r="333" spans="1:2" ht="12.75" customHeight="1" x14ac:dyDescent="0.25">
      <c r="A333" s="1"/>
      <c r="B333" s="1"/>
    </row>
    <row r="334" spans="1:2" ht="12.75" customHeight="1" x14ac:dyDescent="0.25">
      <c r="A334" s="1"/>
      <c r="B334" s="1"/>
    </row>
    <row r="335" spans="1:2" ht="12.75" customHeight="1" x14ac:dyDescent="0.25">
      <c r="A335" s="1"/>
      <c r="B335" s="1"/>
    </row>
    <row r="336" spans="1:2" ht="12.75" customHeight="1" x14ac:dyDescent="0.25">
      <c r="A336" s="1"/>
      <c r="B336" s="1"/>
    </row>
    <row r="337" spans="1:2" ht="12.75" customHeight="1" x14ac:dyDescent="0.25">
      <c r="A337" s="1"/>
      <c r="B337" s="1"/>
    </row>
    <row r="338" spans="1:2" ht="12.75" customHeight="1" x14ac:dyDescent="0.25">
      <c r="A338" s="1"/>
      <c r="B338" s="1"/>
    </row>
    <row r="339" spans="1:2" ht="12.75" customHeight="1" x14ac:dyDescent="0.25">
      <c r="A339" s="1"/>
      <c r="B339" s="1"/>
    </row>
    <row r="340" spans="1:2" ht="12.75" customHeight="1" x14ac:dyDescent="0.25">
      <c r="A340" s="1"/>
      <c r="B340" s="1"/>
    </row>
    <row r="341" spans="1:2" ht="12.75" customHeight="1" x14ac:dyDescent="0.25">
      <c r="A341" s="1"/>
      <c r="B341" s="1"/>
    </row>
    <row r="342" spans="1:2" ht="12.75" customHeight="1" x14ac:dyDescent="0.25">
      <c r="A342" s="1"/>
      <c r="B342" s="1"/>
    </row>
    <row r="343" spans="1:2" ht="12.75" customHeight="1" x14ac:dyDescent="0.25">
      <c r="A343" s="1"/>
      <c r="B343" s="1"/>
    </row>
    <row r="344" spans="1:2" ht="12.75" customHeight="1" x14ac:dyDescent="0.25">
      <c r="A344" s="1"/>
      <c r="B344" s="1"/>
    </row>
    <row r="345" spans="1:2" ht="12.75" customHeight="1" x14ac:dyDescent="0.25">
      <c r="A345" s="1"/>
      <c r="B345" s="1"/>
    </row>
    <row r="346" spans="1:2" ht="12.75" customHeight="1" x14ac:dyDescent="0.25">
      <c r="A346" s="1"/>
      <c r="B346" s="1"/>
    </row>
    <row r="347" spans="1:2" ht="12.75" customHeight="1" x14ac:dyDescent="0.25">
      <c r="A347" s="1"/>
      <c r="B347" s="1"/>
    </row>
    <row r="348" spans="1:2" ht="12.75" customHeight="1" x14ac:dyDescent="0.25">
      <c r="A348" s="1"/>
      <c r="B348" s="1"/>
    </row>
    <row r="349" spans="1:2" ht="12.75" customHeight="1" x14ac:dyDescent="0.25">
      <c r="A349" s="1"/>
      <c r="B349" s="1"/>
    </row>
    <row r="350" spans="1:2" ht="12.75" customHeight="1" x14ac:dyDescent="0.25">
      <c r="A350" s="1"/>
      <c r="B350" s="1"/>
    </row>
    <row r="351" spans="1:2" ht="12.75" customHeight="1" x14ac:dyDescent="0.25">
      <c r="A351" s="1"/>
      <c r="B351" s="1"/>
    </row>
    <row r="352" spans="1:2" ht="12.75" customHeight="1" x14ac:dyDescent="0.25">
      <c r="A352" s="1"/>
      <c r="B352" s="1"/>
    </row>
    <row r="353" spans="1:2" ht="12.75" customHeight="1" x14ac:dyDescent="0.25">
      <c r="A353" s="1"/>
      <c r="B353" s="1"/>
    </row>
    <row r="354" spans="1:2" ht="12.75" customHeight="1" x14ac:dyDescent="0.25">
      <c r="A354" s="1"/>
      <c r="B354" s="1"/>
    </row>
    <row r="355" spans="1:2" ht="12.75" customHeight="1" x14ac:dyDescent="0.25">
      <c r="A355" s="1"/>
      <c r="B355" s="1"/>
    </row>
    <row r="356" spans="1:2" ht="12.75" customHeight="1" x14ac:dyDescent="0.25">
      <c r="A356" s="1"/>
      <c r="B356" s="1"/>
    </row>
    <row r="357" spans="1:2" ht="12.75" customHeight="1" x14ac:dyDescent="0.25">
      <c r="A357" s="1"/>
      <c r="B357" s="1"/>
    </row>
    <row r="358" spans="1:2" ht="12.75" customHeight="1" x14ac:dyDescent="0.25">
      <c r="A358" s="1"/>
      <c r="B358" s="1"/>
    </row>
    <row r="359" spans="1:2" ht="12.75" customHeight="1" x14ac:dyDescent="0.25">
      <c r="A359" s="1"/>
      <c r="B359" s="1"/>
    </row>
    <row r="360" spans="1:2" ht="12.75" customHeight="1" x14ac:dyDescent="0.25">
      <c r="A360" s="1"/>
      <c r="B360" s="1"/>
    </row>
    <row r="361" spans="1:2" ht="12.75" customHeight="1" x14ac:dyDescent="0.25">
      <c r="A361" s="1"/>
      <c r="B361" s="1"/>
    </row>
    <row r="362" spans="1:2" ht="12.75" customHeight="1" x14ac:dyDescent="0.25">
      <c r="A362" s="1"/>
      <c r="B362" s="1"/>
    </row>
    <row r="363" spans="1:2" ht="12.75" customHeight="1" x14ac:dyDescent="0.25">
      <c r="A363" s="1"/>
      <c r="B363" s="1"/>
    </row>
    <row r="364" spans="1:2" ht="12.75" customHeight="1" x14ac:dyDescent="0.25">
      <c r="A364" s="1"/>
      <c r="B364" s="1"/>
    </row>
    <row r="365" spans="1:2" ht="12.75" customHeight="1" x14ac:dyDescent="0.25">
      <c r="A365" s="1"/>
      <c r="B365" s="1"/>
    </row>
    <row r="366" spans="1:2" ht="12.75" customHeight="1" x14ac:dyDescent="0.25">
      <c r="A366" s="1"/>
      <c r="B366" s="1"/>
    </row>
    <row r="367" spans="1:2" ht="12.75" customHeight="1" x14ac:dyDescent="0.25">
      <c r="A367" s="1"/>
      <c r="B367" s="1"/>
    </row>
    <row r="368" spans="1:2" ht="12.75" customHeight="1" x14ac:dyDescent="0.25">
      <c r="A368" s="1"/>
      <c r="B368" s="1"/>
    </row>
    <row r="369" spans="1:2" ht="12.75" customHeight="1" x14ac:dyDescent="0.25">
      <c r="A369" s="1"/>
      <c r="B369" s="1"/>
    </row>
    <row r="370" spans="1:2" ht="12.75" customHeight="1" x14ac:dyDescent="0.25">
      <c r="A370" s="1"/>
      <c r="B370" s="1"/>
    </row>
    <row r="371" spans="1:2" ht="12.75" customHeight="1" x14ac:dyDescent="0.25">
      <c r="A371" s="1"/>
      <c r="B371" s="1"/>
    </row>
    <row r="372" spans="1:2" ht="12.75" customHeight="1" x14ac:dyDescent="0.25">
      <c r="A372" s="1"/>
      <c r="B372" s="1"/>
    </row>
    <row r="373" spans="1:2" ht="12.75" customHeight="1" x14ac:dyDescent="0.25">
      <c r="A373" s="1"/>
      <c r="B373" s="1"/>
    </row>
    <row r="374" spans="1:2" ht="12.75" customHeight="1" x14ac:dyDescent="0.25">
      <c r="A374" s="1"/>
      <c r="B374" s="1"/>
    </row>
    <row r="375" spans="1:2" ht="12.75" customHeight="1" x14ac:dyDescent="0.25">
      <c r="A375" s="1"/>
      <c r="B375" s="1"/>
    </row>
    <row r="376" spans="1:2" ht="12.75" customHeight="1" x14ac:dyDescent="0.25">
      <c r="A376" s="1"/>
      <c r="B376" s="1"/>
    </row>
    <row r="377" spans="1:2" ht="12.75" customHeight="1" x14ac:dyDescent="0.25">
      <c r="A377" s="1"/>
      <c r="B377" s="1"/>
    </row>
    <row r="378" spans="1:2" ht="12.75" customHeight="1" x14ac:dyDescent="0.25">
      <c r="A378" s="1"/>
      <c r="B378" s="1"/>
    </row>
    <row r="379" spans="1:2" ht="12.75" customHeight="1" x14ac:dyDescent="0.25">
      <c r="A379" s="1"/>
      <c r="B379" s="1"/>
    </row>
    <row r="380" spans="1:2" ht="12.75" customHeight="1" x14ac:dyDescent="0.25">
      <c r="A380" s="1"/>
      <c r="B380" s="1"/>
    </row>
    <row r="381" spans="1:2" ht="12.75" customHeight="1" x14ac:dyDescent="0.25">
      <c r="A381" s="1"/>
      <c r="B381" s="1"/>
    </row>
    <row r="382" spans="1:2" ht="12.75" customHeight="1" x14ac:dyDescent="0.25">
      <c r="A382" s="1"/>
      <c r="B382" s="1"/>
    </row>
    <row r="383" spans="1:2" ht="12.75" customHeight="1" x14ac:dyDescent="0.25">
      <c r="A383" s="1"/>
      <c r="B383" s="1"/>
    </row>
    <row r="384" spans="1:2" ht="12.75" customHeight="1" x14ac:dyDescent="0.25">
      <c r="A384" s="1"/>
      <c r="B384" s="1"/>
    </row>
    <row r="385" spans="1:2" ht="12.75" customHeight="1" x14ac:dyDescent="0.25">
      <c r="A385" s="1"/>
      <c r="B385" s="1"/>
    </row>
    <row r="386" spans="1:2" ht="12.75" customHeight="1" x14ac:dyDescent="0.25">
      <c r="A386" s="1"/>
      <c r="B386" s="1"/>
    </row>
    <row r="387" spans="1:2" ht="12.75" customHeight="1" x14ac:dyDescent="0.25">
      <c r="A387" s="1"/>
      <c r="B387" s="1"/>
    </row>
    <row r="388" spans="1:2" ht="12.75" customHeight="1" x14ac:dyDescent="0.25">
      <c r="A388" s="1"/>
      <c r="B388" s="1"/>
    </row>
    <row r="389" spans="1:2" ht="12.75" customHeight="1" x14ac:dyDescent="0.25">
      <c r="A389" s="1"/>
      <c r="B389" s="1"/>
    </row>
    <row r="390" spans="1:2" ht="12.75" customHeight="1" x14ac:dyDescent="0.25">
      <c r="A390" s="1"/>
      <c r="B390" s="1"/>
    </row>
    <row r="391" spans="1:2" ht="12.75" customHeight="1" x14ac:dyDescent="0.25">
      <c r="A391" s="1"/>
      <c r="B391" s="1"/>
    </row>
    <row r="392" spans="1:2" ht="12.75" customHeight="1" x14ac:dyDescent="0.25">
      <c r="A392" s="1"/>
      <c r="B392" s="1"/>
    </row>
    <row r="393" spans="1:2" ht="12.75" customHeight="1" x14ac:dyDescent="0.25">
      <c r="A393" s="1"/>
      <c r="B393" s="1"/>
    </row>
    <row r="394" spans="1:2" ht="12.75" customHeight="1" x14ac:dyDescent="0.25">
      <c r="A394" s="1"/>
      <c r="B394" s="1"/>
    </row>
    <row r="395" spans="1:2" ht="12.75" customHeight="1" x14ac:dyDescent="0.25">
      <c r="A395" s="1"/>
      <c r="B395" s="1"/>
    </row>
    <row r="396" spans="1:2" ht="12.75" customHeight="1" x14ac:dyDescent="0.25">
      <c r="A396" s="1"/>
      <c r="B396" s="1"/>
    </row>
    <row r="397" spans="1:2" ht="12.75" customHeight="1" x14ac:dyDescent="0.25">
      <c r="A397" s="1"/>
      <c r="B397" s="1"/>
    </row>
    <row r="398" spans="1:2" ht="12.75" customHeight="1" x14ac:dyDescent="0.25">
      <c r="A398" s="1"/>
      <c r="B398" s="1"/>
    </row>
    <row r="399" spans="1:2" ht="12.75" customHeight="1" x14ac:dyDescent="0.25">
      <c r="A399" s="1"/>
      <c r="B399" s="1"/>
    </row>
    <row r="400" spans="1:2" ht="12.75" customHeight="1" x14ac:dyDescent="0.25">
      <c r="A400" s="1"/>
      <c r="B400" s="1"/>
    </row>
    <row r="401" spans="1:2" ht="12.75" customHeight="1" x14ac:dyDescent="0.25">
      <c r="A401" s="1"/>
      <c r="B401" s="1"/>
    </row>
    <row r="402" spans="1:2" ht="12.75" customHeight="1" x14ac:dyDescent="0.25">
      <c r="A402" s="1"/>
      <c r="B402" s="1"/>
    </row>
    <row r="403" spans="1:2" ht="12.75" customHeight="1" x14ac:dyDescent="0.25">
      <c r="A403" s="1"/>
      <c r="B403" s="1"/>
    </row>
    <row r="404" spans="1:2" ht="12.75" customHeight="1" x14ac:dyDescent="0.25">
      <c r="A404" s="1"/>
      <c r="B404" s="1"/>
    </row>
    <row r="405" spans="1:2" ht="12.75" customHeight="1" x14ac:dyDescent="0.25">
      <c r="A405" s="1"/>
      <c r="B405" s="1"/>
    </row>
    <row r="406" spans="1:2" ht="12.75" customHeight="1" x14ac:dyDescent="0.25">
      <c r="A406" s="1"/>
      <c r="B406" s="1"/>
    </row>
    <row r="407" spans="1:2" ht="12.75" customHeight="1" x14ac:dyDescent="0.25">
      <c r="A407" s="1"/>
      <c r="B407" s="1"/>
    </row>
    <row r="408" spans="1:2" ht="12.75" customHeight="1" x14ac:dyDescent="0.25">
      <c r="A408" s="1"/>
      <c r="B408" s="1"/>
    </row>
    <row r="409" spans="1:2" ht="12.75" customHeight="1" x14ac:dyDescent="0.25">
      <c r="A409" s="1"/>
      <c r="B409" s="1"/>
    </row>
    <row r="410" spans="1:2" ht="12.75" customHeight="1" x14ac:dyDescent="0.25">
      <c r="A410" s="1"/>
      <c r="B410" s="1"/>
    </row>
    <row r="411" spans="1:2" ht="12.75" customHeight="1" x14ac:dyDescent="0.25">
      <c r="A411" s="1"/>
      <c r="B411" s="1"/>
    </row>
    <row r="412" spans="1:2" ht="12.75" customHeight="1" x14ac:dyDescent="0.25">
      <c r="A412" s="1"/>
      <c r="B412" s="1"/>
    </row>
    <row r="413" spans="1:2" ht="12.75" customHeight="1" x14ac:dyDescent="0.25">
      <c r="A413" s="1"/>
      <c r="B413" s="1"/>
    </row>
    <row r="414" spans="1:2" ht="12.75" customHeight="1" x14ac:dyDescent="0.25">
      <c r="A414" s="1"/>
      <c r="B414" s="1"/>
    </row>
    <row r="415" spans="1:2" ht="12.75" customHeight="1" x14ac:dyDescent="0.25">
      <c r="A415" s="1"/>
      <c r="B415" s="1"/>
    </row>
    <row r="416" spans="1:2" ht="12.75" customHeight="1" x14ac:dyDescent="0.25">
      <c r="A416" s="1"/>
      <c r="B416" s="1"/>
    </row>
    <row r="417" spans="1:2" ht="12.75" customHeight="1" x14ac:dyDescent="0.25">
      <c r="A417" s="1"/>
      <c r="B417" s="1"/>
    </row>
    <row r="418" spans="1:2" ht="12.75" customHeight="1" x14ac:dyDescent="0.25">
      <c r="A418" s="1"/>
      <c r="B418" s="1"/>
    </row>
    <row r="419" spans="1:2" ht="12.75" customHeight="1" x14ac:dyDescent="0.25">
      <c r="A419" s="1"/>
      <c r="B419" s="1"/>
    </row>
    <row r="420" spans="1:2" ht="12.75" customHeight="1" x14ac:dyDescent="0.25">
      <c r="A420" s="1"/>
      <c r="B420" s="1"/>
    </row>
    <row r="421" spans="1:2" ht="12.75" customHeight="1" x14ac:dyDescent="0.25">
      <c r="A421" s="1"/>
      <c r="B421" s="1"/>
    </row>
    <row r="422" spans="1:2" ht="12.75" customHeight="1" x14ac:dyDescent="0.25">
      <c r="A422" s="1"/>
      <c r="B422" s="1"/>
    </row>
    <row r="423" spans="1:2" ht="12.75" customHeight="1" x14ac:dyDescent="0.25">
      <c r="A423" s="1"/>
      <c r="B423" s="1"/>
    </row>
    <row r="424" spans="1:2" ht="12.75" customHeight="1" x14ac:dyDescent="0.25">
      <c r="A424" s="1"/>
      <c r="B424" s="1"/>
    </row>
    <row r="425" spans="1:2" ht="12.75" customHeight="1" x14ac:dyDescent="0.25">
      <c r="A425" s="1"/>
      <c r="B425" s="1"/>
    </row>
    <row r="426" spans="1:2" ht="12.75" customHeight="1" x14ac:dyDescent="0.25">
      <c r="A426" s="1"/>
      <c r="B426" s="1"/>
    </row>
    <row r="427" spans="1:2" ht="12.75" customHeight="1" x14ac:dyDescent="0.25">
      <c r="A427" s="1"/>
      <c r="B427" s="1"/>
    </row>
    <row r="428" spans="1:2" ht="12.75" customHeight="1" x14ac:dyDescent="0.25">
      <c r="A428" s="1"/>
      <c r="B428" s="1"/>
    </row>
    <row r="429" spans="1:2" ht="12.75" customHeight="1" x14ac:dyDescent="0.25">
      <c r="A429" s="1"/>
      <c r="B429" s="1"/>
    </row>
    <row r="430" spans="1:2" ht="12.75" customHeight="1" x14ac:dyDescent="0.25">
      <c r="A430" s="1"/>
      <c r="B430" s="1"/>
    </row>
    <row r="431" spans="1:2" ht="12.75" customHeight="1" x14ac:dyDescent="0.25">
      <c r="A431" s="1"/>
      <c r="B431" s="1"/>
    </row>
    <row r="432" spans="1:2" ht="12.75" customHeight="1" x14ac:dyDescent="0.25">
      <c r="A432" s="1"/>
      <c r="B432" s="1"/>
    </row>
    <row r="433" spans="1:2" ht="12.75" customHeight="1" x14ac:dyDescent="0.25">
      <c r="A433" s="1"/>
      <c r="B433" s="1"/>
    </row>
    <row r="434" spans="1:2" ht="12.75" customHeight="1" x14ac:dyDescent="0.25">
      <c r="A434" s="1"/>
      <c r="B434" s="1"/>
    </row>
    <row r="435" spans="1:2" ht="12.75" customHeight="1" x14ac:dyDescent="0.25">
      <c r="A435" s="1"/>
      <c r="B435" s="1"/>
    </row>
    <row r="436" spans="1:2" ht="12.75" customHeight="1" x14ac:dyDescent="0.25">
      <c r="A436" s="1"/>
      <c r="B436" s="1"/>
    </row>
    <row r="437" spans="1:2" ht="12.75" customHeight="1" x14ac:dyDescent="0.25">
      <c r="A437" s="1"/>
      <c r="B437" s="1"/>
    </row>
    <row r="438" spans="1:2" ht="12.75" customHeight="1" x14ac:dyDescent="0.25">
      <c r="A438" s="1"/>
      <c r="B438" s="1"/>
    </row>
    <row r="439" spans="1:2" ht="12.75" customHeight="1" x14ac:dyDescent="0.25">
      <c r="A439" s="1"/>
      <c r="B439" s="1"/>
    </row>
    <row r="440" spans="1:2" ht="12.75" customHeight="1" x14ac:dyDescent="0.25">
      <c r="A440" s="1"/>
      <c r="B440" s="1"/>
    </row>
    <row r="441" spans="1:2" ht="12.75" customHeight="1" x14ac:dyDescent="0.25">
      <c r="A441" s="1"/>
      <c r="B441" s="1"/>
    </row>
    <row r="442" spans="1:2" ht="12.75" customHeight="1" x14ac:dyDescent="0.25">
      <c r="A442" s="1"/>
      <c r="B442" s="1"/>
    </row>
    <row r="443" spans="1:2" ht="12.75" customHeight="1" x14ac:dyDescent="0.25">
      <c r="A443" s="1"/>
      <c r="B443" s="1"/>
    </row>
    <row r="444" spans="1:2" ht="12.75" customHeight="1" x14ac:dyDescent="0.25">
      <c r="A444" s="1"/>
      <c r="B444" s="1"/>
    </row>
    <row r="445" spans="1:2" ht="12.75" customHeight="1" x14ac:dyDescent="0.25">
      <c r="A445" s="1"/>
      <c r="B445" s="1"/>
    </row>
    <row r="446" spans="1:2" ht="12.75" customHeight="1" x14ac:dyDescent="0.25">
      <c r="A446" s="1"/>
      <c r="B446" s="1"/>
    </row>
    <row r="447" spans="1:2" ht="12.75" customHeight="1" x14ac:dyDescent="0.25">
      <c r="A447" s="1"/>
      <c r="B447" s="1"/>
    </row>
    <row r="448" spans="1:2" ht="12.75" customHeight="1" x14ac:dyDescent="0.25">
      <c r="A448" s="1"/>
      <c r="B448" s="1"/>
    </row>
    <row r="449" spans="1:2" ht="12.75" customHeight="1" x14ac:dyDescent="0.25">
      <c r="A449" s="1"/>
      <c r="B449" s="1"/>
    </row>
    <row r="450" spans="1:2" ht="12.75" customHeight="1" x14ac:dyDescent="0.25">
      <c r="A450" s="1"/>
      <c r="B450" s="1"/>
    </row>
    <row r="451" spans="1:2" ht="12.75" customHeight="1" x14ac:dyDescent="0.25">
      <c r="A451" s="1"/>
      <c r="B451" s="1"/>
    </row>
    <row r="452" spans="1:2" ht="12.75" customHeight="1" x14ac:dyDescent="0.25">
      <c r="A452" s="1"/>
      <c r="B452" s="1"/>
    </row>
    <row r="453" spans="1:2" ht="12.75" customHeight="1" x14ac:dyDescent="0.25">
      <c r="A453" s="1"/>
      <c r="B453" s="1"/>
    </row>
    <row r="454" spans="1:2" ht="12.75" customHeight="1" x14ac:dyDescent="0.25">
      <c r="A454" s="1"/>
      <c r="B454" s="1"/>
    </row>
    <row r="455" spans="1:2" ht="12.75" customHeight="1" x14ac:dyDescent="0.25">
      <c r="A455" s="1"/>
      <c r="B455" s="1"/>
    </row>
    <row r="456" spans="1:2" ht="12.75" customHeight="1" x14ac:dyDescent="0.25">
      <c r="A456" s="1"/>
      <c r="B456" s="1"/>
    </row>
    <row r="457" spans="1:2" ht="12.75" customHeight="1" x14ac:dyDescent="0.25">
      <c r="A457" s="1"/>
      <c r="B457" s="1"/>
    </row>
    <row r="458" spans="1:2" ht="12.75" customHeight="1" x14ac:dyDescent="0.25">
      <c r="A458" s="1"/>
      <c r="B458" s="1"/>
    </row>
    <row r="459" spans="1:2" ht="12.75" customHeight="1" x14ac:dyDescent="0.25">
      <c r="A459" s="1"/>
      <c r="B459" s="1"/>
    </row>
    <row r="460" spans="1:2" ht="12.75" customHeight="1" x14ac:dyDescent="0.25">
      <c r="A460" s="1"/>
      <c r="B460" s="1"/>
    </row>
    <row r="461" spans="1:2" ht="12.75" customHeight="1" x14ac:dyDescent="0.25">
      <c r="A461" s="1"/>
      <c r="B461" s="1"/>
    </row>
    <row r="462" spans="1:2" ht="12.75" customHeight="1" x14ac:dyDescent="0.25">
      <c r="A462" s="1"/>
      <c r="B462" s="1"/>
    </row>
    <row r="463" spans="1:2" ht="12.75" customHeight="1" x14ac:dyDescent="0.25">
      <c r="A463" s="1"/>
      <c r="B463" s="1"/>
    </row>
    <row r="464" spans="1:2" ht="12.75" customHeight="1" x14ac:dyDescent="0.25">
      <c r="A464" s="1"/>
      <c r="B464" s="1"/>
    </row>
    <row r="465" spans="1:2" ht="12.75" customHeight="1" x14ac:dyDescent="0.25">
      <c r="A465" s="1"/>
      <c r="B465" s="1"/>
    </row>
    <row r="466" spans="1:2" ht="12.75" customHeight="1" x14ac:dyDescent="0.25">
      <c r="A466" s="1"/>
      <c r="B466" s="1"/>
    </row>
    <row r="467" spans="1:2" ht="12.75" customHeight="1" x14ac:dyDescent="0.25">
      <c r="A467" s="1"/>
      <c r="B467" s="1"/>
    </row>
    <row r="468" spans="1:2" ht="12.75" customHeight="1" x14ac:dyDescent="0.25">
      <c r="A468" s="1"/>
      <c r="B468" s="1"/>
    </row>
    <row r="469" spans="1:2" ht="12.75" customHeight="1" x14ac:dyDescent="0.25">
      <c r="A469" s="1"/>
      <c r="B469" s="1"/>
    </row>
    <row r="470" spans="1:2" ht="12.75" customHeight="1" x14ac:dyDescent="0.25">
      <c r="A470" s="1"/>
      <c r="B470" s="1"/>
    </row>
    <row r="471" spans="1:2" ht="12.75" customHeight="1" x14ac:dyDescent="0.25">
      <c r="A471" s="1"/>
      <c r="B471" s="1"/>
    </row>
    <row r="472" spans="1:2" ht="12.75" customHeight="1" x14ac:dyDescent="0.25">
      <c r="A472" s="1"/>
      <c r="B472" s="1"/>
    </row>
    <row r="473" spans="1:2" ht="12.75" customHeight="1" x14ac:dyDescent="0.25">
      <c r="A473" s="1"/>
      <c r="B473" s="1"/>
    </row>
    <row r="474" spans="1:2" ht="12.75" customHeight="1" x14ac:dyDescent="0.25">
      <c r="A474" s="1"/>
      <c r="B474" s="1"/>
    </row>
    <row r="475" spans="1:2" ht="12.75" customHeight="1" x14ac:dyDescent="0.25">
      <c r="A475" s="1"/>
      <c r="B475" s="1"/>
    </row>
    <row r="476" spans="1:2" ht="12.75" customHeight="1" x14ac:dyDescent="0.25">
      <c r="A476" s="1"/>
      <c r="B476" s="1"/>
    </row>
    <row r="477" spans="1:2" ht="12.75" customHeight="1" x14ac:dyDescent="0.25">
      <c r="A477" s="1"/>
      <c r="B477" s="1"/>
    </row>
    <row r="478" spans="1:2" ht="12.75" customHeight="1" x14ac:dyDescent="0.25">
      <c r="A478" s="1"/>
      <c r="B478" s="1"/>
    </row>
    <row r="479" spans="1:2" ht="12.75" customHeight="1" x14ac:dyDescent="0.25">
      <c r="A479" s="1"/>
      <c r="B479" s="1"/>
    </row>
    <row r="480" spans="1:2" ht="12.75" customHeight="1" x14ac:dyDescent="0.25">
      <c r="A480" s="1"/>
      <c r="B480" s="1"/>
    </row>
    <row r="481" spans="1:2" ht="12.75" customHeight="1" x14ac:dyDescent="0.25">
      <c r="A481" s="1"/>
      <c r="B481" s="1"/>
    </row>
    <row r="482" spans="1:2" ht="12.75" customHeight="1" x14ac:dyDescent="0.25">
      <c r="A482" s="1"/>
      <c r="B482" s="1"/>
    </row>
    <row r="483" spans="1:2" ht="12.75" customHeight="1" x14ac:dyDescent="0.25">
      <c r="A483" s="1"/>
      <c r="B483" s="1"/>
    </row>
    <row r="484" spans="1:2" ht="12.75" customHeight="1" x14ac:dyDescent="0.25">
      <c r="A484" s="1"/>
      <c r="B484" s="1"/>
    </row>
    <row r="485" spans="1:2" ht="12.75" customHeight="1" x14ac:dyDescent="0.25">
      <c r="A485" s="1"/>
      <c r="B485" s="1"/>
    </row>
    <row r="486" spans="1:2" ht="12.75" customHeight="1" x14ac:dyDescent="0.25">
      <c r="A486" s="1"/>
      <c r="B486" s="1"/>
    </row>
    <row r="487" spans="1:2" ht="12.75" customHeight="1" x14ac:dyDescent="0.25">
      <c r="A487" s="1"/>
      <c r="B487" s="1"/>
    </row>
    <row r="488" spans="1:2" ht="12.75" customHeight="1" x14ac:dyDescent="0.25">
      <c r="A488" s="1"/>
      <c r="B488" s="1"/>
    </row>
    <row r="489" spans="1:2" ht="12.75" customHeight="1" x14ac:dyDescent="0.25">
      <c r="A489" s="1"/>
      <c r="B489" s="1"/>
    </row>
    <row r="490" spans="1:2" ht="12.75" customHeight="1" x14ac:dyDescent="0.25">
      <c r="A490" s="1"/>
      <c r="B490" s="1"/>
    </row>
    <row r="491" spans="1:2" ht="12.75" customHeight="1" x14ac:dyDescent="0.25">
      <c r="A491" s="1"/>
      <c r="B491" s="1"/>
    </row>
    <row r="492" spans="1:2" ht="12.75" customHeight="1" x14ac:dyDescent="0.25">
      <c r="A492" s="1"/>
      <c r="B492" s="1"/>
    </row>
    <row r="493" spans="1:2" ht="12.75" customHeight="1" x14ac:dyDescent="0.25">
      <c r="A493" s="1"/>
      <c r="B493" s="1"/>
    </row>
    <row r="494" spans="1:2" ht="12.75" customHeight="1" x14ac:dyDescent="0.25">
      <c r="A494" s="1"/>
      <c r="B494" s="1"/>
    </row>
    <row r="495" spans="1:2" ht="12.75" customHeight="1" x14ac:dyDescent="0.25">
      <c r="A495" s="1"/>
      <c r="B495" s="1"/>
    </row>
    <row r="496" spans="1:2" ht="12.75" customHeight="1" x14ac:dyDescent="0.25">
      <c r="A496" s="1"/>
      <c r="B496" s="1"/>
    </row>
    <row r="497" spans="1:2" ht="12.75" customHeight="1" x14ac:dyDescent="0.25">
      <c r="A497" s="1"/>
      <c r="B497" s="1"/>
    </row>
    <row r="498" spans="1:2" ht="12.75" customHeight="1" x14ac:dyDescent="0.25">
      <c r="A498" s="1"/>
      <c r="B498" s="1"/>
    </row>
    <row r="499" spans="1:2" ht="12.75" customHeight="1" x14ac:dyDescent="0.25">
      <c r="A499" s="1"/>
      <c r="B499" s="1"/>
    </row>
    <row r="500" spans="1:2" ht="12.75" customHeight="1" x14ac:dyDescent="0.25">
      <c r="A500" s="1"/>
      <c r="B500" s="1"/>
    </row>
    <row r="501" spans="1:2" ht="12.75" customHeight="1" x14ac:dyDescent="0.25">
      <c r="A501" s="1"/>
      <c r="B501" s="1"/>
    </row>
    <row r="502" spans="1:2" ht="12.75" customHeight="1" x14ac:dyDescent="0.25">
      <c r="A502" s="1"/>
      <c r="B502" s="1"/>
    </row>
    <row r="503" spans="1:2" ht="12.75" customHeight="1" x14ac:dyDescent="0.25">
      <c r="A503" s="1"/>
      <c r="B503" s="1"/>
    </row>
    <row r="504" spans="1:2" ht="12.75" customHeight="1" x14ac:dyDescent="0.25">
      <c r="A504" s="1"/>
      <c r="B504" s="1"/>
    </row>
    <row r="505" spans="1:2" ht="12.75" customHeight="1" x14ac:dyDescent="0.25">
      <c r="A505" s="1"/>
      <c r="B505" s="1"/>
    </row>
    <row r="506" spans="1:2" ht="12.75" customHeight="1" x14ac:dyDescent="0.25">
      <c r="A506" s="1"/>
      <c r="B506" s="1"/>
    </row>
    <row r="507" spans="1:2" ht="12.75" customHeight="1" x14ac:dyDescent="0.25">
      <c r="A507" s="1"/>
      <c r="B507" s="1"/>
    </row>
    <row r="508" spans="1:2" ht="12.75" customHeight="1" x14ac:dyDescent="0.25">
      <c r="A508" s="1"/>
      <c r="B508" s="1"/>
    </row>
    <row r="509" spans="1:2" ht="12.75" customHeight="1" x14ac:dyDescent="0.25">
      <c r="A509" s="1"/>
      <c r="B509" s="1"/>
    </row>
    <row r="510" spans="1:2" ht="12.75" customHeight="1" x14ac:dyDescent="0.25">
      <c r="A510" s="1"/>
      <c r="B510" s="1"/>
    </row>
    <row r="511" spans="1:2" ht="12.75" customHeight="1" x14ac:dyDescent="0.25">
      <c r="A511" s="1"/>
      <c r="B511" s="1"/>
    </row>
    <row r="512" spans="1:2" ht="12.75" customHeight="1" x14ac:dyDescent="0.25">
      <c r="A512" s="1"/>
      <c r="B512" s="1"/>
    </row>
    <row r="513" spans="1:2" ht="12.75" customHeight="1" x14ac:dyDescent="0.25">
      <c r="A513" s="1"/>
      <c r="B513" s="1"/>
    </row>
    <row r="514" spans="1:2" ht="12.75" customHeight="1" x14ac:dyDescent="0.25">
      <c r="A514" s="1"/>
      <c r="B514" s="1"/>
    </row>
    <row r="515" spans="1:2" ht="12.75" customHeight="1" x14ac:dyDescent="0.25">
      <c r="A515" s="1"/>
      <c r="B515" s="1"/>
    </row>
    <row r="516" spans="1:2" ht="12.75" customHeight="1" x14ac:dyDescent="0.25">
      <c r="A516" s="1"/>
      <c r="B516" s="1"/>
    </row>
    <row r="517" spans="1:2" ht="12.75" customHeight="1" x14ac:dyDescent="0.25">
      <c r="A517" s="1"/>
      <c r="B517" s="1"/>
    </row>
    <row r="518" spans="1:2" ht="12.75" customHeight="1" x14ac:dyDescent="0.25">
      <c r="A518" s="1"/>
      <c r="B518" s="1"/>
    </row>
    <row r="519" spans="1:2" ht="12.75" customHeight="1" x14ac:dyDescent="0.25">
      <c r="A519" s="1"/>
      <c r="B519" s="1"/>
    </row>
    <row r="520" spans="1:2" ht="12.75" customHeight="1" x14ac:dyDescent="0.25">
      <c r="A520" s="1"/>
      <c r="B520" s="1"/>
    </row>
    <row r="521" spans="1:2" ht="12.75" customHeight="1" x14ac:dyDescent="0.25">
      <c r="A521" s="1"/>
      <c r="B521" s="1"/>
    </row>
    <row r="522" spans="1:2" ht="12.75" customHeight="1" x14ac:dyDescent="0.25">
      <c r="A522" s="1"/>
      <c r="B522" s="1"/>
    </row>
    <row r="523" spans="1:2" ht="12.75" customHeight="1" x14ac:dyDescent="0.25">
      <c r="A523" s="1"/>
      <c r="B523" s="1"/>
    </row>
    <row r="524" spans="1:2" ht="12.75" customHeight="1" x14ac:dyDescent="0.25">
      <c r="A524" s="1"/>
      <c r="B524" s="1"/>
    </row>
    <row r="525" spans="1:2" ht="12.75" customHeight="1" x14ac:dyDescent="0.25">
      <c r="A525" s="1"/>
      <c r="B525" s="1"/>
    </row>
    <row r="526" spans="1:2" ht="12.75" customHeight="1" x14ac:dyDescent="0.25">
      <c r="A526" s="1"/>
      <c r="B526" s="1"/>
    </row>
    <row r="527" spans="1:2" ht="12.75" customHeight="1" x14ac:dyDescent="0.25">
      <c r="A527" s="1"/>
      <c r="B527" s="1"/>
    </row>
    <row r="528" spans="1:2" ht="12.75" customHeight="1" x14ac:dyDescent="0.25">
      <c r="A528" s="1"/>
      <c r="B528" s="1"/>
    </row>
    <row r="529" spans="1:2" ht="12.75" customHeight="1" x14ac:dyDescent="0.25">
      <c r="A529" s="1"/>
      <c r="B529" s="1"/>
    </row>
    <row r="530" spans="1:2" ht="12.75" customHeight="1" x14ac:dyDescent="0.25">
      <c r="A530" s="1"/>
      <c r="B530" s="1"/>
    </row>
    <row r="531" spans="1:2" ht="12.75" customHeight="1" x14ac:dyDescent="0.25">
      <c r="A531" s="1"/>
      <c r="B531" s="1"/>
    </row>
    <row r="532" spans="1:2" ht="12.75" customHeight="1" x14ac:dyDescent="0.25">
      <c r="A532" s="1"/>
      <c r="B532" s="1"/>
    </row>
    <row r="533" spans="1:2" ht="12.75" customHeight="1" x14ac:dyDescent="0.25">
      <c r="A533" s="1"/>
      <c r="B533" s="1"/>
    </row>
    <row r="534" spans="1:2" ht="12.75" customHeight="1" x14ac:dyDescent="0.25">
      <c r="A534" s="1"/>
      <c r="B534" s="1"/>
    </row>
    <row r="535" spans="1:2" ht="12.75" customHeight="1" x14ac:dyDescent="0.25">
      <c r="A535" s="1"/>
      <c r="B535" s="1"/>
    </row>
    <row r="536" spans="1:2" ht="12.75" customHeight="1" x14ac:dyDescent="0.25">
      <c r="A536" s="1"/>
      <c r="B536" s="1"/>
    </row>
    <row r="537" spans="1:2" ht="12.75" customHeight="1" x14ac:dyDescent="0.25">
      <c r="A537" s="1"/>
      <c r="B537" s="1"/>
    </row>
    <row r="538" spans="1:2" ht="12.75" customHeight="1" x14ac:dyDescent="0.25">
      <c r="A538" s="1"/>
      <c r="B538" s="1"/>
    </row>
    <row r="539" spans="1:2" ht="12.75" customHeight="1" x14ac:dyDescent="0.25">
      <c r="A539" s="1"/>
      <c r="B539" s="1"/>
    </row>
    <row r="540" spans="1:2" ht="12.75" customHeight="1" x14ac:dyDescent="0.25">
      <c r="A540" s="1"/>
      <c r="B540" s="1"/>
    </row>
    <row r="541" spans="1:2" ht="12.75" customHeight="1" x14ac:dyDescent="0.25">
      <c r="A541" s="1"/>
      <c r="B541" s="1"/>
    </row>
    <row r="542" spans="1:2" ht="12.75" customHeight="1" x14ac:dyDescent="0.25">
      <c r="A542" s="1"/>
      <c r="B542" s="1"/>
    </row>
    <row r="543" spans="1:2" ht="12.75" customHeight="1" x14ac:dyDescent="0.25">
      <c r="A543" s="1"/>
      <c r="B543" s="1"/>
    </row>
    <row r="544" spans="1:2" ht="12.75" customHeight="1" x14ac:dyDescent="0.25">
      <c r="A544" s="1"/>
      <c r="B544" s="1"/>
    </row>
    <row r="545" spans="1:2" ht="12.75" customHeight="1" x14ac:dyDescent="0.25">
      <c r="A545" s="1"/>
      <c r="B545" s="1"/>
    </row>
    <row r="546" spans="1:2" ht="12.75" customHeight="1" x14ac:dyDescent="0.25">
      <c r="A546" s="1"/>
      <c r="B546" s="1"/>
    </row>
    <row r="547" spans="1:2" ht="12.75" customHeight="1" x14ac:dyDescent="0.25">
      <c r="A547" s="1"/>
      <c r="B547" s="1"/>
    </row>
    <row r="548" spans="1:2" ht="12.75" customHeight="1" x14ac:dyDescent="0.25">
      <c r="A548" s="1"/>
      <c r="B548" s="1"/>
    </row>
    <row r="549" spans="1:2" ht="12.75" customHeight="1" x14ac:dyDescent="0.25">
      <c r="A549" s="1"/>
      <c r="B549" s="1"/>
    </row>
    <row r="550" spans="1:2" ht="12.75" customHeight="1" x14ac:dyDescent="0.25">
      <c r="A550" s="1"/>
      <c r="B550" s="1"/>
    </row>
    <row r="551" spans="1:2" ht="12.75" customHeight="1" x14ac:dyDescent="0.25">
      <c r="A551" s="1"/>
      <c r="B551" s="1"/>
    </row>
    <row r="552" spans="1:2" ht="12.75" customHeight="1" x14ac:dyDescent="0.25">
      <c r="A552" s="1"/>
      <c r="B552" s="1"/>
    </row>
    <row r="553" spans="1:2" ht="12.75" customHeight="1" x14ac:dyDescent="0.25">
      <c r="A553" s="1"/>
      <c r="B553" s="1"/>
    </row>
    <row r="554" spans="1:2" ht="12.75" customHeight="1" x14ac:dyDescent="0.25">
      <c r="A554" s="1"/>
      <c r="B554" s="1"/>
    </row>
    <row r="555" spans="1:2" ht="12.75" customHeight="1" x14ac:dyDescent="0.25">
      <c r="A555" s="1"/>
      <c r="B555" s="1"/>
    </row>
    <row r="556" spans="1:2" ht="12.75" customHeight="1" x14ac:dyDescent="0.25">
      <c r="A556" s="1"/>
      <c r="B556" s="1"/>
    </row>
    <row r="557" spans="1:2" ht="12.75" customHeight="1" x14ac:dyDescent="0.25">
      <c r="A557" s="1"/>
      <c r="B557" s="1"/>
    </row>
    <row r="558" spans="1:2" ht="12.75" customHeight="1" x14ac:dyDescent="0.25">
      <c r="A558" s="1"/>
      <c r="B558" s="1"/>
    </row>
    <row r="559" spans="1:2" ht="12.75" customHeight="1" x14ac:dyDescent="0.25">
      <c r="A559" s="1"/>
      <c r="B559" s="1"/>
    </row>
    <row r="560" spans="1:2" ht="12.75" customHeight="1" x14ac:dyDescent="0.25">
      <c r="A560" s="1"/>
      <c r="B560" s="1"/>
    </row>
    <row r="561" spans="1:2" ht="12.75" customHeight="1" x14ac:dyDescent="0.25">
      <c r="A561" s="1"/>
      <c r="B561" s="1"/>
    </row>
    <row r="562" spans="1:2" ht="12.75" customHeight="1" x14ac:dyDescent="0.25">
      <c r="A562" s="1"/>
      <c r="B562" s="1"/>
    </row>
    <row r="563" spans="1:2" ht="12.75" customHeight="1" x14ac:dyDescent="0.25">
      <c r="A563" s="1"/>
      <c r="B563" s="1"/>
    </row>
    <row r="564" spans="1:2" ht="12.75" customHeight="1" x14ac:dyDescent="0.25">
      <c r="A564" s="1"/>
      <c r="B564" s="1"/>
    </row>
    <row r="565" spans="1:2" ht="12.75" customHeight="1" x14ac:dyDescent="0.25">
      <c r="A565" s="1"/>
      <c r="B565" s="1"/>
    </row>
    <row r="566" spans="1:2" ht="12.75" customHeight="1" x14ac:dyDescent="0.25">
      <c r="A566" s="1"/>
      <c r="B566" s="1"/>
    </row>
    <row r="567" spans="1:2" ht="12.75" customHeight="1" x14ac:dyDescent="0.25">
      <c r="A567" s="1"/>
      <c r="B567" s="1"/>
    </row>
    <row r="568" spans="1:2" ht="12.75" customHeight="1" x14ac:dyDescent="0.25">
      <c r="A568" s="1"/>
      <c r="B568" s="1"/>
    </row>
    <row r="569" spans="1:2" ht="12.75" customHeight="1" x14ac:dyDescent="0.25">
      <c r="A569" s="1"/>
      <c r="B569" s="1"/>
    </row>
    <row r="570" spans="1:2" ht="12.75" customHeight="1" x14ac:dyDescent="0.25">
      <c r="A570" s="1"/>
      <c r="B570" s="1"/>
    </row>
    <row r="571" spans="1:2" ht="12.75" customHeight="1" x14ac:dyDescent="0.25">
      <c r="A571" s="1"/>
      <c r="B571" s="1"/>
    </row>
    <row r="572" spans="1:2" ht="12.75" customHeight="1" x14ac:dyDescent="0.25">
      <c r="A572" s="1"/>
      <c r="B572" s="1"/>
    </row>
    <row r="573" spans="1:2" ht="12.75" customHeight="1" x14ac:dyDescent="0.25">
      <c r="A573" s="1"/>
      <c r="B573" s="1"/>
    </row>
    <row r="574" spans="1:2" ht="12.75" customHeight="1" x14ac:dyDescent="0.25">
      <c r="A574" s="1"/>
      <c r="B574" s="1"/>
    </row>
    <row r="575" spans="1:2" ht="12.75" customHeight="1" x14ac:dyDescent="0.25">
      <c r="A575" s="1"/>
      <c r="B575" s="1"/>
    </row>
    <row r="576" spans="1:2" ht="12.75" customHeight="1" x14ac:dyDescent="0.25">
      <c r="A576" s="1"/>
      <c r="B576" s="1"/>
    </row>
    <row r="577" spans="1:2" ht="12.75" customHeight="1" x14ac:dyDescent="0.25">
      <c r="A577" s="1"/>
      <c r="B577" s="1"/>
    </row>
    <row r="578" spans="1:2" ht="12.75" customHeight="1" x14ac:dyDescent="0.25">
      <c r="A578" s="1"/>
      <c r="B578" s="1"/>
    </row>
    <row r="579" spans="1:2" ht="12.75" customHeight="1" x14ac:dyDescent="0.25">
      <c r="A579" s="1"/>
      <c r="B579" s="1"/>
    </row>
    <row r="580" spans="1:2" ht="12.75" customHeight="1" x14ac:dyDescent="0.25">
      <c r="A580" s="1"/>
      <c r="B580" s="1"/>
    </row>
    <row r="581" spans="1:2" ht="12.75" customHeight="1" x14ac:dyDescent="0.25">
      <c r="A581" s="1"/>
      <c r="B581" s="1"/>
    </row>
    <row r="582" spans="1:2" ht="12.75" customHeight="1" x14ac:dyDescent="0.25">
      <c r="A582" s="1"/>
      <c r="B582" s="1"/>
    </row>
    <row r="583" spans="1:2" ht="12.75" customHeight="1" x14ac:dyDescent="0.25">
      <c r="A583" s="1"/>
      <c r="B583" s="1"/>
    </row>
    <row r="584" spans="1:2" ht="12.75" customHeight="1" x14ac:dyDescent="0.25">
      <c r="A584" s="1"/>
      <c r="B584" s="1"/>
    </row>
    <row r="585" spans="1:2" ht="12.75" customHeight="1" x14ac:dyDescent="0.25">
      <c r="A585" s="1"/>
      <c r="B585" s="1"/>
    </row>
    <row r="586" spans="1:2" ht="12.75" customHeight="1" x14ac:dyDescent="0.25">
      <c r="A586" s="1"/>
      <c r="B586" s="1"/>
    </row>
    <row r="587" spans="1:2" ht="12.75" customHeight="1" x14ac:dyDescent="0.25">
      <c r="A587" s="1"/>
      <c r="B587" s="1"/>
    </row>
    <row r="588" spans="1:2" ht="12.75" customHeight="1" x14ac:dyDescent="0.25">
      <c r="A588" s="1"/>
      <c r="B588" s="1"/>
    </row>
    <row r="589" spans="1:2" ht="12.75" customHeight="1" x14ac:dyDescent="0.25">
      <c r="A589" s="1"/>
      <c r="B589" s="1"/>
    </row>
    <row r="590" spans="1:2" ht="12.75" customHeight="1" x14ac:dyDescent="0.25">
      <c r="A590" s="1"/>
      <c r="B590" s="1"/>
    </row>
    <row r="591" spans="1:2" ht="12.75" customHeight="1" x14ac:dyDescent="0.25">
      <c r="A591" s="1"/>
      <c r="B591" s="1"/>
    </row>
    <row r="592" spans="1:2" ht="12.75" customHeight="1" x14ac:dyDescent="0.25">
      <c r="A592" s="1"/>
      <c r="B592" s="1"/>
    </row>
    <row r="593" spans="1:2" ht="12.75" customHeight="1" x14ac:dyDescent="0.25">
      <c r="A593" s="1"/>
      <c r="B593" s="1"/>
    </row>
    <row r="594" spans="1:2" ht="12.75" customHeight="1" x14ac:dyDescent="0.25">
      <c r="A594" s="1"/>
      <c r="B594" s="1"/>
    </row>
    <row r="595" spans="1:2" ht="12.75" customHeight="1" x14ac:dyDescent="0.25">
      <c r="A595" s="1"/>
      <c r="B595" s="1"/>
    </row>
    <row r="596" spans="1:2" ht="12.75" customHeight="1" x14ac:dyDescent="0.25">
      <c r="A596" s="1"/>
      <c r="B596" s="1"/>
    </row>
    <row r="597" spans="1:2" ht="12.75" customHeight="1" x14ac:dyDescent="0.25">
      <c r="A597" s="1"/>
      <c r="B597" s="1"/>
    </row>
    <row r="598" spans="1:2" ht="12.75" customHeight="1" x14ac:dyDescent="0.25">
      <c r="A598" s="1"/>
      <c r="B598" s="1"/>
    </row>
    <row r="599" spans="1:2" ht="12.75" customHeight="1" x14ac:dyDescent="0.25">
      <c r="A599" s="1"/>
      <c r="B599" s="1"/>
    </row>
    <row r="600" spans="1:2" ht="12.75" customHeight="1" x14ac:dyDescent="0.25">
      <c r="A600" s="1"/>
      <c r="B600" s="1"/>
    </row>
    <row r="601" spans="1:2" ht="12.75" customHeight="1" x14ac:dyDescent="0.25">
      <c r="A601" s="1"/>
      <c r="B601" s="1"/>
    </row>
    <row r="602" spans="1:2" ht="12.75" customHeight="1" x14ac:dyDescent="0.25">
      <c r="A602" s="1"/>
      <c r="B602" s="1"/>
    </row>
    <row r="603" spans="1:2" ht="12.75" customHeight="1" x14ac:dyDescent="0.25">
      <c r="A603" s="1"/>
      <c r="B603" s="1"/>
    </row>
    <row r="604" spans="1:2" ht="12.75" customHeight="1" x14ac:dyDescent="0.25">
      <c r="A604" s="1"/>
      <c r="B604" s="1"/>
    </row>
    <row r="605" spans="1:2" ht="12.75" customHeight="1" x14ac:dyDescent="0.25">
      <c r="A605" s="1"/>
      <c r="B605" s="1"/>
    </row>
    <row r="606" spans="1:2" ht="12.75" customHeight="1" x14ac:dyDescent="0.25">
      <c r="A606" s="1"/>
      <c r="B606" s="1"/>
    </row>
    <row r="607" spans="1:2" ht="12.75" customHeight="1" x14ac:dyDescent="0.25">
      <c r="A607" s="1"/>
      <c r="B607" s="1"/>
    </row>
    <row r="608" spans="1:2" ht="12.75" customHeight="1" x14ac:dyDescent="0.25">
      <c r="A608" s="1"/>
      <c r="B608" s="1"/>
    </row>
    <row r="609" spans="1:2" ht="12.75" customHeight="1" x14ac:dyDescent="0.25">
      <c r="A609" s="1"/>
      <c r="B609" s="1"/>
    </row>
    <row r="610" spans="1:2" ht="12.75" customHeight="1" x14ac:dyDescent="0.25">
      <c r="A610" s="1"/>
      <c r="B610" s="1"/>
    </row>
    <row r="611" spans="1:2" ht="12.75" customHeight="1" x14ac:dyDescent="0.25">
      <c r="A611" s="1"/>
      <c r="B611" s="1"/>
    </row>
    <row r="612" spans="1:2" ht="12.75" customHeight="1" x14ac:dyDescent="0.25">
      <c r="A612" s="1"/>
      <c r="B612" s="1"/>
    </row>
    <row r="613" spans="1:2" ht="12.75" customHeight="1" x14ac:dyDescent="0.25">
      <c r="A613" s="1"/>
      <c r="B613" s="1"/>
    </row>
    <row r="614" spans="1:2" ht="12.75" customHeight="1" x14ac:dyDescent="0.25">
      <c r="A614" s="1"/>
      <c r="B614" s="1"/>
    </row>
    <row r="615" spans="1:2" ht="12.75" customHeight="1" x14ac:dyDescent="0.25">
      <c r="A615" s="1"/>
      <c r="B615" s="1"/>
    </row>
    <row r="616" spans="1:2" ht="12.75" customHeight="1" x14ac:dyDescent="0.25">
      <c r="A616" s="1"/>
      <c r="B616" s="1"/>
    </row>
    <row r="617" spans="1:2" ht="12.75" customHeight="1" x14ac:dyDescent="0.25">
      <c r="A617" s="1"/>
      <c r="B617" s="1"/>
    </row>
    <row r="618" spans="1:2" ht="12.75" customHeight="1" x14ac:dyDescent="0.25">
      <c r="A618" s="1"/>
      <c r="B618" s="1"/>
    </row>
    <row r="619" spans="1:2" ht="12.75" customHeight="1" x14ac:dyDescent="0.25">
      <c r="A619" s="1"/>
      <c r="B619" s="1"/>
    </row>
    <row r="620" spans="1:2" ht="12.75" customHeight="1" x14ac:dyDescent="0.25">
      <c r="A620" s="1"/>
      <c r="B620" s="1"/>
    </row>
    <row r="621" spans="1:2" ht="12.75" customHeight="1" x14ac:dyDescent="0.25">
      <c r="A621" s="1"/>
      <c r="B621" s="1"/>
    </row>
    <row r="622" spans="1:2" ht="12.75" customHeight="1" x14ac:dyDescent="0.25">
      <c r="A622" s="1"/>
      <c r="B622" s="1"/>
    </row>
    <row r="623" spans="1:2" ht="12.75" customHeight="1" x14ac:dyDescent="0.25">
      <c r="A623" s="1"/>
      <c r="B623" s="1"/>
    </row>
    <row r="624" spans="1:2" ht="12.75" customHeight="1" x14ac:dyDescent="0.25">
      <c r="A624" s="1"/>
      <c r="B624" s="1"/>
    </row>
    <row r="625" spans="1:2" ht="12.75" customHeight="1" x14ac:dyDescent="0.25">
      <c r="A625" s="1"/>
      <c r="B625" s="1"/>
    </row>
    <row r="626" spans="1:2" ht="12.75" customHeight="1" x14ac:dyDescent="0.25">
      <c r="A626" s="1"/>
      <c r="B626" s="1"/>
    </row>
    <row r="627" spans="1:2" ht="12.75" customHeight="1" x14ac:dyDescent="0.25">
      <c r="A627" s="1"/>
      <c r="B627" s="1"/>
    </row>
    <row r="628" spans="1:2" ht="12.75" customHeight="1" x14ac:dyDescent="0.25">
      <c r="A628" s="1"/>
      <c r="B628" s="1"/>
    </row>
    <row r="629" spans="1:2" ht="12.75" customHeight="1" x14ac:dyDescent="0.25">
      <c r="A629" s="1"/>
      <c r="B629" s="1"/>
    </row>
    <row r="630" spans="1:2" ht="12.75" customHeight="1" x14ac:dyDescent="0.25">
      <c r="A630" s="1"/>
      <c r="B630" s="1"/>
    </row>
    <row r="631" spans="1:2" ht="12.75" customHeight="1" x14ac:dyDescent="0.25">
      <c r="A631" s="1"/>
      <c r="B631" s="1"/>
    </row>
    <row r="632" spans="1:2" ht="12.75" customHeight="1" x14ac:dyDescent="0.25">
      <c r="A632" s="1"/>
      <c r="B632" s="1"/>
    </row>
    <row r="633" spans="1:2" ht="12.75" customHeight="1" x14ac:dyDescent="0.25">
      <c r="A633" s="1"/>
      <c r="B633" s="1"/>
    </row>
    <row r="634" spans="1:2" ht="12.75" customHeight="1" x14ac:dyDescent="0.25">
      <c r="A634" s="1"/>
      <c r="B634" s="1"/>
    </row>
    <row r="635" spans="1:2" ht="12.75" customHeight="1" x14ac:dyDescent="0.25">
      <c r="A635" s="1"/>
      <c r="B635" s="1"/>
    </row>
    <row r="636" spans="1:2" ht="12.75" customHeight="1" x14ac:dyDescent="0.25">
      <c r="A636" s="1"/>
      <c r="B636" s="1"/>
    </row>
    <row r="637" spans="1:2" ht="12.75" customHeight="1" x14ac:dyDescent="0.25">
      <c r="A637" s="1"/>
      <c r="B637" s="1"/>
    </row>
    <row r="638" spans="1:2" ht="12.75" customHeight="1" x14ac:dyDescent="0.25">
      <c r="A638" s="1"/>
      <c r="B638" s="1"/>
    </row>
    <row r="639" spans="1:2" ht="12.75" customHeight="1" x14ac:dyDescent="0.25">
      <c r="A639" s="1"/>
      <c r="B639" s="1"/>
    </row>
    <row r="640" spans="1:2" ht="12.75" customHeight="1" x14ac:dyDescent="0.25">
      <c r="A640" s="1"/>
      <c r="B640" s="1"/>
    </row>
    <row r="641" spans="1:2" ht="12.75" customHeight="1" x14ac:dyDescent="0.25">
      <c r="A641" s="1"/>
      <c r="B641" s="1"/>
    </row>
    <row r="642" spans="1:2" ht="12.75" customHeight="1" x14ac:dyDescent="0.25">
      <c r="A642" s="1"/>
      <c r="B642" s="1"/>
    </row>
    <row r="643" spans="1:2" ht="12.75" customHeight="1" x14ac:dyDescent="0.25">
      <c r="A643" s="1"/>
      <c r="B643" s="1"/>
    </row>
    <row r="644" spans="1:2" ht="12.75" customHeight="1" x14ac:dyDescent="0.25">
      <c r="A644" s="1"/>
      <c r="B644" s="1"/>
    </row>
    <row r="645" spans="1:2" ht="12.75" customHeight="1" x14ac:dyDescent="0.25">
      <c r="A645" s="1"/>
      <c r="B645" s="1"/>
    </row>
    <row r="646" spans="1:2" ht="12.75" customHeight="1" x14ac:dyDescent="0.25">
      <c r="A646" s="1"/>
      <c r="B646" s="1"/>
    </row>
    <row r="647" spans="1:2" ht="12.75" customHeight="1" x14ac:dyDescent="0.25">
      <c r="A647" s="1"/>
      <c r="B647" s="1"/>
    </row>
    <row r="648" spans="1:2" ht="12.75" customHeight="1" x14ac:dyDescent="0.25">
      <c r="A648" s="1"/>
      <c r="B648" s="1"/>
    </row>
    <row r="649" spans="1:2" ht="12.75" customHeight="1" x14ac:dyDescent="0.25">
      <c r="A649" s="1"/>
      <c r="B649" s="1"/>
    </row>
    <row r="650" spans="1:2" ht="12.75" customHeight="1" x14ac:dyDescent="0.25">
      <c r="A650" s="1"/>
      <c r="B650" s="1"/>
    </row>
    <row r="651" spans="1:2" ht="12.75" customHeight="1" x14ac:dyDescent="0.25">
      <c r="A651" s="1"/>
      <c r="B651" s="1"/>
    </row>
    <row r="652" spans="1:2" ht="12.75" customHeight="1" x14ac:dyDescent="0.25">
      <c r="A652" s="1"/>
      <c r="B652" s="1"/>
    </row>
    <row r="653" spans="1:2" ht="12.75" customHeight="1" x14ac:dyDescent="0.25">
      <c r="A653" s="1"/>
      <c r="B653" s="1"/>
    </row>
    <row r="654" spans="1:2" ht="12.75" customHeight="1" x14ac:dyDescent="0.25">
      <c r="A654" s="1"/>
      <c r="B654" s="1"/>
    </row>
    <row r="655" spans="1:2" ht="12.75" customHeight="1" x14ac:dyDescent="0.25">
      <c r="A655" s="1"/>
      <c r="B655" s="1"/>
    </row>
    <row r="656" spans="1:2" ht="12.75" customHeight="1" x14ac:dyDescent="0.25">
      <c r="A656" s="1"/>
      <c r="B656" s="1"/>
    </row>
    <row r="657" spans="1:2" ht="12.75" customHeight="1" x14ac:dyDescent="0.25">
      <c r="A657" s="1"/>
      <c r="B657" s="1"/>
    </row>
    <row r="658" spans="1:2" ht="12.75" customHeight="1" x14ac:dyDescent="0.25">
      <c r="A658" s="1"/>
      <c r="B658" s="1"/>
    </row>
    <row r="659" spans="1:2" ht="12.75" customHeight="1" x14ac:dyDescent="0.25">
      <c r="A659" s="1"/>
      <c r="B659" s="1"/>
    </row>
    <row r="660" spans="1:2" ht="12.75" customHeight="1" x14ac:dyDescent="0.25">
      <c r="A660" s="1"/>
      <c r="B660" s="1"/>
    </row>
    <row r="661" spans="1:2" ht="12.75" customHeight="1" x14ac:dyDescent="0.25">
      <c r="A661" s="1"/>
      <c r="B661" s="1"/>
    </row>
    <row r="662" spans="1:2" ht="12.75" customHeight="1" x14ac:dyDescent="0.25">
      <c r="A662" s="1"/>
      <c r="B662" s="1"/>
    </row>
    <row r="663" spans="1:2" ht="12.75" customHeight="1" x14ac:dyDescent="0.25">
      <c r="A663" s="1"/>
      <c r="B663" s="1"/>
    </row>
    <row r="664" spans="1:2" ht="12.75" customHeight="1" x14ac:dyDescent="0.25">
      <c r="A664" s="1"/>
      <c r="B664" s="1"/>
    </row>
    <row r="665" spans="1:2" ht="12.75" customHeight="1" x14ac:dyDescent="0.25">
      <c r="A665" s="1"/>
      <c r="B665" s="1"/>
    </row>
    <row r="666" spans="1:2" ht="12.75" customHeight="1" x14ac:dyDescent="0.25">
      <c r="A666" s="1"/>
      <c r="B666" s="1"/>
    </row>
    <row r="667" spans="1:2" ht="12.75" customHeight="1" x14ac:dyDescent="0.25">
      <c r="A667" s="1"/>
      <c r="B667" s="1"/>
    </row>
    <row r="668" spans="1:2" ht="12.75" customHeight="1" x14ac:dyDescent="0.25">
      <c r="A668" s="1"/>
      <c r="B668" s="1"/>
    </row>
    <row r="669" spans="1:2" ht="12.75" customHeight="1" x14ac:dyDescent="0.25">
      <c r="A669" s="1"/>
      <c r="B669" s="1"/>
    </row>
    <row r="670" spans="1:2" ht="12.75" customHeight="1" x14ac:dyDescent="0.25">
      <c r="A670" s="1"/>
      <c r="B670" s="1"/>
    </row>
    <row r="671" spans="1:2" ht="12.75" customHeight="1" x14ac:dyDescent="0.25">
      <c r="A671" s="1"/>
      <c r="B671" s="1"/>
    </row>
    <row r="672" spans="1:2" ht="12.75" customHeight="1" x14ac:dyDescent="0.25">
      <c r="A672" s="1"/>
      <c r="B672" s="1"/>
    </row>
    <row r="673" spans="1:2" ht="12.75" customHeight="1" x14ac:dyDescent="0.25">
      <c r="A673" s="1"/>
      <c r="B673" s="1"/>
    </row>
    <row r="674" spans="1:2" ht="12.75" customHeight="1" x14ac:dyDescent="0.25">
      <c r="A674" s="1"/>
      <c r="B674" s="1"/>
    </row>
    <row r="675" spans="1:2" ht="12.75" customHeight="1" x14ac:dyDescent="0.25">
      <c r="A675" s="1"/>
      <c r="B675" s="1"/>
    </row>
    <row r="676" spans="1:2" ht="12.75" customHeight="1" x14ac:dyDescent="0.25">
      <c r="A676" s="1"/>
      <c r="B676" s="1"/>
    </row>
    <row r="677" spans="1:2" ht="12.75" customHeight="1" x14ac:dyDescent="0.25">
      <c r="A677" s="1"/>
      <c r="B677" s="1"/>
    </row>
    <row r="678" spans="1:2" ht="12.75" customHeight="1" x14ac:dyDescent="0.25">
      <c r="A678" s="1"/>
      <c r="B678" s="1"/>
    </row>
    <row r="679" spans="1:2" ht="12.75" customHeight="1" x14ac:dyDescent="0.25">
      <c r="A679" s="1"/>
      <c r="B679" s="1"/>
    </row>
    <row r="680" spans="1:2" ht="12.75" customHeight="1" x14ac:dyDescent="0.25">
      <c r="A680" s="1"/>
      <c r="B680" s="1"/>
    </row>
    <row r="681" spans="1:2" ht="12.75" customHeight="1" x14ac:dyDescent="0.25">
      <c r="A681" s="1"/>
      <c r="B681" s="1"/>
    </row>
    <row r="682" spans="1:2" ht="12.75" customHeight="1" x14ac:dyDescent="0.25">
      <c r="A682" s="1"/>
      <c r="B682" s="1"/>
    </row>
    <row r="683" spans="1:2" ht="12.75" customHeight="1" x14ac:dyDescent="0.25">
      <c r="A683" s="1"/>
      <c r="B683" s="1"/>
    </row>
    <row r="684" spans="1:2" ht="12.75" customHeight="1" x14ac:dyDescent="0.25">
      <c r="A684" s="1"/>
      <c r="B684" s="1"/>
    </row>
    <row r="685" spans="1:2" ht="12.75" customHeight="1" x14ac:dyDescent="0.25">
      <c r="A685" s="1"/>
      <c r="B685" s="1"/>
    </row>
    <row r="686" spans="1:2" ht="12.75" customHeight="1" x14ac:dyDescent="0.25">
      <c r="A686" s="1"/>
      <c r="B686" s="1"/>
    </row>
    <row r="687" spans="1:2" ht="12.75" customHeight="1" x14ac:dyDescent="0.25">
      <c r="A687" s="1"/>
      <c r="B687" s="1"/>
    </row>
    <row r="688" spans="1:2" ht="12.75" customHeight="1" x14ac:dyDescent="0.25">
      <c r="A688" s="1"/>
      <c r="B688" s="1"/>
    </row>
    <row r="689" spans="1:2" ht="12.75" customHeight="1" x14ac:dyDescent="0.25">
      <c r="A689" s="1"/>
      <c r="B689" s="1"/>
    </row>
    <row r="690" spans="1:2" ht="12.75" customHeight="1" x14ac:dyDescent="0.25">
      <c r="A690" s="1"/>
      <c r="B690" s="1"/>
    </row>
    <row r="691" spans="1:2" ht="12.75" customHeight="1" x14ac:dyDescent="0.25">
      <c r="A691" s="1"/>
      <c r="B691" s="1"/>
    </row>
    <row r="692" spans="1:2" ht="12.75" customHeight="1" x14ac:dyDescent="0.25">
      <c r="A692" s="1"/>
      <c r="B692" s="1"/>
    </row>
    <row r="693" spans="1:2" ht="12.75" customHeight="1" x14ac:dyDescent="0.25">
      <c r="A693" s="1"/>
      <c r="B693" s="1"/>
    </row>
    <row r="694" spans="1:2" ht="12.75" customHeight="1" x14ac:dyDescent="0.25">
      <c r="A694" s="1"/>
      <c r="B694" s="1"/>
    </row>
    <row r="695" spans="1:2" ht="12.75" customHeight="1" x14ac:dyDescent="0.25">
      <c r="A695" s="1"/>
      <c r="B695" s="1"/>
    </row>
    <row r="696" spans="1:2" ht="12.75" customHeight="1" x14ac:dyDescent="0.25">
      <c r="A696" s="1"/>
      <c r="B696" s="1"/>
    </row>
    <row r="697" spans="1:2" ht="12.75" customHeight="1" x14ac:dyDescent="0.25">
      <c r="A697" s="1"/>
      <c r="B697" s="1"/>
    </row>
    <row r="698" spans="1:2" ht="12.75" customHeight="1" x14ac:dyDescent="0.25">
      <c r="A698" s="1"/>
      <c r="B698" s="1"/>
    </row>
    <row r="699" spans="1:2" ht="12.75" customHeight="1" x14ac:dyDescent="0.25">
      <c r="A699" s="1"/>
      <c r="B699" s="1"/>
    </row>
    <row r="700" spans="1:2" ht="12.75" customHeight="1" x14ac:dyDescent="0.25">
      <c r="A700" s="1"/>
      <c r="B700" s="1"/>
    </row>
    <row r="701" spans="1:2" ht="12.75" customHeight="1" x14ac:dyDescent="0.25">
      <c r="A701" s="1"/>
      <c r="B701" s="1"/>
    </row>
    <row r="702" spans="1:2" ht="12.75" customHeight="1" x14ac:dyDescent="0.25">
      <c r="A702" s="1"/>
      <c r="B702" s="1"/>
    </row>
    <row r="703" spans="1:2" ht="12.75" customHeight="1" x14ac:dyDescent="0.25">
      <c r="A703" s="1"/>
      <c r="B703" s="1"/>
    </row>
    <row r="704" spans="1:2" ht="12.75" customHeight="1" x14ac:dyDescent="0.25">
      <c r="A704" s="1"/>
      <c r="B704" s="1"/>
    </row>
    <row r="705" spans="1:2" ht="12.75" customHeight="1" x14ac:dyDescent="0.25">
      <c r="A705" s="1"/>
      <c r="B705" s="1"/>
    </row>
    <row r="706" spans="1:2" ht="12.75" customHeight="1" x14ac:dyDescent="0.25">
      <c r="A706" s="1"/>
      <c r="B706" s="1"/>
    </row>
    <row r="707" spans="1:2" ht="12.75" customHeight="1" x14ac:dyDescent="0.25">
      <c r="A707" s="1"/>
      <c r="B707" s="1"/>
    </row>
    <row r="708" spans="1:2" ht="12.75" customHeight="1" x14ac:dyDescent="0.25">
      <c r="A708" s="1"/>
      <c r="B708" s="1"/>
    </row>
    <row r="709" spans="1:2" ht="12.75" customHeight="1" x14ac:dyDescent="0.25">
      <c r="A709" s="1"/>
      <c r="B709" s="1"/>
    </row>
    <row r="710" spans="1:2" ht="12.75" customHeight="1" x14ac:dyDescent="0.25">
      <c r="A710" s="1"/>
      <c r="B710" s="1"/>
    </row>
    <row r="711" spans="1:2" ht="12.75" customHeight="1" x14ac:dyDescent="0.25">
      <c r="A711" s="1"/>
      <c r="B711" s="1"/>
    </row>
    <row r="712" spans="1:2" ht="12.75" customHeight="1" x14ac:dyDescent="0.25">
      <c r="A712" s="1"/>
      <c r="B712" s="1"/>
    </row>
    <row r="713" spans="1:2" ht="12.75" customHeight="1" x14ac:dyDescent="0.25">
      <c r="A713" s="1"/>
      <c r="B713" s="1"/>
    </row>
    <row r="714" spans="1:2" ht="12.75" customHeight="1" x14ac:dyDescent="0.25">
      <c r="A714" s="1"/>
      <c r="B714" s="1"/>
    </row>
    <row r="715" spans="1:2" ht="12.75" customHeight="1" x14ac:dyDescent="0.25">
      <c r="A715" s="1"/>
      <c r="B715" s="1"/>
    </row>
    <row r="716" spans="1:2" ht="12.75" customHeight="1" x14ac:dyDescent="0.25">
      <c r="A716" s="1"/>
      <c r="B716" s="1"/>
    </row>
    <row r="717" spans="1:2" ht="12.75" customHeight="1" x14ac:dyDescent="0.25">
      <c r="A717" s="1"/>
      <c r="B717" s="1"/>
    </row>
    <row r="718" spans="1:2" ht="12.75" customHeight="1" x14ac:dyDescent="0.25">
      <c r="A718" s="1"/>
      <c r="B718" s="1"/>
    </row>
    <row r="719" spans="1:2" ht="12.75" customHeight="1" x14ac:dyDescent="0.25">
      <c r="A719" s="1"/>
      <c r="B719" s="1"/>
    </row>
    <row r="720" spans="1:2" ht="12.75" customHeight="1" x14ac:dyDescent="0.25">
      <c r="A720" s="1"/>
      <c r="B720" s="1"/>
    </row>
    <row r="721" spans="1:2" ht="12.75" customHeight="1" x14ac:dyDescent="0.25">
      <c r="A721" s="1"/>
      <c r="B721" s="1"/>
    </row>
    <row r="722" spans="1:2" ht="12.75" customHeight="1" x14ac:dyDescent="0.25">
      <c r="A722" s="1"/>
      <c r="B722" s="1"/>
    </row>
    <row r="723" spans="1:2" ht="12.75" customHeight="1" x14ac:dyDescent="0.25">
      <c r="A723" s="1"/>
      <c r="B723" s="1"/>
    </row>
    <row r="724" spans="1:2" ht="12.75" customHeight="1" x14ac:dyDescent="0.25">
      <c r="A724" s="1"/>
      <c r="B724" s="1"/>
    </row>
    <row r="725" spans="1:2" ht="12.75" customHeight="1" x14ac:dyDescent="0.25">
      <c r="A725" s="1"/>
      <c r="B725" s="1"/>
    </row>
    <row r="726" spans="1:2" ht="12.75" customHeight="1" x14ac:dyDescent="0.25">
      <c r="A726" s="1"/>
      <c r="B726" s="1"/>
    </row>
    <row r="727" spans="1:2" ht="12.75" customHeight="1" x14ac:dyDescent="0.25">
      <c r="A727" s="1"/>
      <c r="B727" s="1"/>
    </row>
    <row r="728" spans="1:2" ht="12.75" customHeight="1" x14ac:dyDescent="0.25">
      <c r="A728" s="1"/>
      <c r="B728" s="1"/>
    </row>
    <row r="729" spans="1:2" ht="12.75" customHeight="1" x14ac:dyDescent="0.25">
      <c r="A729" s="1"/>
      <c r="B729" s="1"/>
    </row>
    <row r="730" spans="1:2" ht="12.75" customHeight="1" x14ac:dyDescent="0.25">
      <c r="A730" s="1"/>
      <c r="B730" s="1"/>
    </row>
    <row r="731" spans="1:2" ht="12.75" customHeight="1" x14ac:dyDescent="0.25">
      <c r="A731" s="1"/>
      <c r="B731" s="1"/>
    </row>
    <row r="732" spans="1:2" ht="12.75" customHeight="1" x14ac:dyDescent="0.25">
      <c r="A732" s="1"/>
      <c r="B732" s="1"/>
    </row>
    <row r="733" spans="1:2" ht="12.75" customHeight="1" x14ac:dyDescent="0.25">
      <c r="A733" s="1"/>
      <c r="B733" s="1"/>
    </row>
    <row r="734" spans="1:2" ht="12.75" customHeight="1" x14ac:dyDescent="0.25">
      <c r="A734" s="1"/>
      <c r="B734" s="1"/>
    </row>
    <row r="735" spans="1:2" ht="12.75" customHeight="1" x14ac:dyDescent="0.25">
      <c r="A735" s="1"/>
      <c r="B735" s="1"/>
    </row>
    <row r="736" spans="1:2" ht="12.75" customHeight="1" x14ac:dyDescent="0.25">
      <c r="A736" s="1"/>
      <c r="B736" s="1"/>
    </row>
    <row r="737" spans="1:2" ht="12.75" customHeight="1" x14ac:dyDescent="0.25">
      <c r="A737" s="1"/>
      <c r="B737" s="1"/>
    </row>
    <row r="738" spans="1:2" ht="12.75" customHeight="1" x14ac:dyDescent="0.25">
      <c r="A738" s="1"/>
      <c r="B738" s="1"/>
    </row>
    <row r="739" spans="1:2" ht="12.75" customHeight="1" x14ac:dyDescent="0.25">
      <c r="A739" s="1"/>
      <c r="B739" s="1"/>
    </row>
    <row r="740" spans="1:2" ht="12.75" customHeight="1" x14ac:dyDescent="0.25">
      <c r="A740" s="1"/>
      <c r="B740" s="1"/>
    </row>
    <row r="741" spans="1:2" ht="12.75" customHeight="1" x14ac:dyDescent="0.25">
      <c r="A741" s="1"/>
      <c r="B741" s="1"/>
    </row>
    <row r="742" spans="1:2" ht="12.75" customHeight="1" x14ac:dyDescent="0.25">
      <c r="A742" s="1"/>
      <c r="B742" s="1"/>
    </row>
    <row r="743" spans="1:2" ht="12.75" customHeight="1" x14ac:dyDescent="0.25">
      <c r="A743" s="1"/>
      <c r="B743" s="1"/>
    </row>
    <row r="744" spans="1:2" ht="12.75" customHeight="1" x14ac:dyDescent="0.25">
      <c r="A744" s="1"/>
      <c r="B744" s="1"/>
    </row>
    <row r="745" spans="1:2" ht="12.75" customHeight="1" x14ac:dyDescent="0.25">
      <c r="A745" s="1"/>
      <c r="B745" s="1"/>
    </row>
    <row r="746" spans="1:2" ht="12.75" customHeight="1" x14ac:dyDescent="0.25">
      <c r="A746" s="1"/>
      <c r="B746" s="1"/>
    </row>
    <row r="747" spans="1:2" ht="12.75" customHeight="1" x14ac:dyDescent="0.25">
      <c r="A747" s="1"/>
      <c r="B747" s="1"/>
    </row>
    <row r="748" spans="1:2" ht="12.75" customHeight="1" x14ac:dyDescent="0.25">
      <c r="A748" s="1"/>
      <c r="B748" s="1"/>
    </row>
    <row r="749" spans="1:2" ht="12.75" customHeight="1" x14ac:dyDescent="0.25">
      <c r="A749" s="1"/>
      <c r="B749" s="1"/>
    </row>
    <row r="750" spans="1:2" ht="12.75" customHeight="1" x14ac:dyDescent="0.25">
      <c r="A750" s="1"/>
      <c r="B750" s="1"/>
    </row>
    <row r="751" spans="1:2" ht="12.75" customHeight="1" x14ac:dyDescent="0.25">
      <c r="A751" s="1"/>
      <c r="B751" s="1"/>
    </row>
    <row r="752" spans="1:2" ht="12.75" customHeight="1" x14ac:dyDescent="0.25">
      <c r="A752" s="1"/>
      <c r="B752" s="1"/>
    </row>
    <row r="753" spans="1:2" ht="12.75" customHeight="1" x14ac:dyDescent="0.25">
      <c r="A753" s="1"/>
      <c r="B753" s="1"/>
    </row>
    <row r="754" spans="1:2" ht="12.75" customHeight="1" x14ac:dyDescent="0.25">
      <c r="A754" s="1"/>
      <c r="B754" s="1"/>
    </row>
    <row r="755" spans="1:2" ht="12.75" customHeight="1" x14ac:dyDescent="0.25">
      <c r="A755" s="1"/>
      <c r="B755" s="1"/>
    </row>
    <row r="756" spans="1:2" ht="12.75" customHeight="1" x14ac:dyDescent="0.25">
      <c r="A756" s="1"/>
      <c r="B756" s="1"/>
    </row>
    <row r="757" spans="1:2" ht="12.75" customHeight="1" x14ac:dyDescent="0.25">
      <c r="A757" s="1"/>
      <c r="B757" s="1"/>
    </row>
    <row r="758" spans="1:2" ht="12.75" customHeight="1" x14ac:dyDescent="0.25">
      <c r="A758" s="1"/>
      <c r="B758" s="1"/>
    </row>
    <row r="759" spans="1:2" ht="12.75" customHeight="1" x14ac:dyDescent="0.25">
      <c r="A759" s="1"/>
      <c r="B759" s="1"/>
    </row>
    <row r="760" spans="1:2" ht="12.75" customHeight="1" x14ac:dyDescent="0.25">
      <c r="A760" s="1"/>
      <c r="B760" s="1"/>
    </row>
    <row r="761" spans="1:2" ht="12.75" customHeight="1" x14ac:dyDescent="0.25">
      <c r="A761" s="1"/>
      <c r="B761" s="1"/>
    </row>
    <row r="762" spans="1:2" ht="12.75" customHeight="1" x14ac:dyDescent="0.25">
      <c r="A762" s="1"/>
      <c r="B762" s="1"/>
    </row>
    <row r="763" spans="1:2" ht="12.75" customHeight="1" x14ac:dyDescent="0.25">
      <c r="A763" s="1"/>
      <c r="B763" s="1"/>
    </row>
    <row r="764" spans="1:2" ht="12.75" customHeight="1" x14ac:dyDescent="0.25">
      <c r="A764" s="1"/>
      <c r="B764" s="1"/>
    </row>
    <row r="765" spans="1:2" ht="12.75" customHeight="1" x14ac:dyDescent="0.25">
      <c r="A765" s="1"/>
      <c r="B765" s="1"/>
    </row>
    <row r="766" spans="1:2" ht="12.75" customHeight="1" x14ac:dyDescent="0.25">
      <c r="A766" s="1"/>
      <c r="B766" s="1"/>
    </row>
    <row r="767" spans="1:2" ht="12.75" customHeight="1" x14ac:dyDescent="0.25">
      <c r="A767" s="1"/>
      <c r="B767" s="1"/>
    </row>
    <row r="768" spans="1:2" ht="12.75" customHeight="1" x14ac:dyDescent="0.25">
      <c r="A768" s="1"/>
      <c r="B768" s="1"/>
    </row>
    <row r="769" spans="1:2" ht="12.75" customHeight="1" x14ac:dyDescent="0.25">
      <c r="A769" s="1"/>
      <c r="B769" s="1"/>
    </row>
    <row r="770" spans="1:2" ht="12.75" customHeight="1" x14ac:dyDescent="0.25">
      <c r="A770" s="1"/>
      <c r="B770" s="1"/>
    </row>
    <row r="771" spans="1:2" ht="12.75" customHeight="1" x14ac:dyDescent="0.25">
      <c r="A771" s="1"/>
      <c r="B771" s="1"/>
    </row>
    <row r="772" spans="1:2" ht="12.75" customHeight="1" x14ac:dyDescent="0.25">
      <c r="A772" s="1"/>
      <c r="B772" s="1"/>
    </row>
    <row r="773" spans="1:2" ht="12.75" customHeight="1" x14ac:dyDescent="0.25">
      <c r="A773" s="1"/>
      <c r="B773" s="1"/>
    </row>
    <row r="774" spans="1:2" ht="12.75" customHeight="1" x14ac:dyDescent="0.25">
      <c r="A774" s="1"/>
      <c r="B774" s="1"/>
    </row>
    <row r="775" spans="1:2" ht="12.75" customHeight="1" x14ac:dyDescent="0.25">
      <c r="A775" s="1"/>
      <c r="B775" s="1"/>
    </row>
    <row r="776" spans="1:2" ht="12.75" customHeight="1" x14ac:dyDescent="0.25">
      <c r="A776" s="1"/>
      <c r="B776" s="1"/>
    </row>
    <row r="777" spans="1:2" ht="12.75" customHeight="1" x14ac:dyDescent="0.25">
      <c r="A777" s="1"/>
      <c r="B777" s="1"/>
    </row>
    <row r="778" spans="1:2" ht="12.75" customHeight="1" x14ac:dyDescent="0.25">
      <c r="A778" s="1"/>
      <c r="B778" s="1"/>
    </row>
    <row r="779" spans="1:2" ht="12.75" customHeight="1" x14ac:dyDescent="0.25">
      <c r="A779" s="1"/>
      <c r="B779" s="1"/>
    </row>
    <row r="780" spans="1:2" ht="12.75" customHeight="1" x14ac:dyDescent="0.25">
      <c r="A780" s="1"/>
      <c r="B780" s="1"/>
    </row>
    <row r="781" spans="1:2" ht="12.75" customHeight="1" x14ac:dyDescent="0.25">
      <c r="A781" s="1"/>
      <c r="B781" s="1"/>
    </row>
    <row r="782" spans="1:2" ht="12.75" customHeight="1" x14ac:dyDescent="0.25">
      <c r="A782" s="1"/>
      <c r="B782" s="1"/>
    </row>
    <row r="783" spans="1:2" ht="12.75" customHeight="1" x14ac:dyDescent="0.25">
      <c r="A783" s="1"/>
      <c r="B783" s="1"/>
    </row>
    <row r="784" spans="1:2" ht="12.75" customHeight="1" x14ac:dyDescent="0.25">
      <c r="A784" s="1"/>
      <c r="B784" s="1"/>
    </row>
    <row r="785" spans="1:2" ht="12.75" customHeight="1" x14ac:dyDescent="0.25">
      <c r="A785" s="1"/>
      <c r="B785" s="1"/>
    </row>
    <row r="786" spans="1:2" ht="12.75" customHeight="1" x14ac:dyDescent="0.25">
      <c r="A786" s="1"/>
      <c r="B786" s="1"/>
    </row>
    <row r="787" spans="1:2" ht="12.75" customHeight="1" x14ac:dyDescent="0.25">
      <c r="A787" s="1"/>
      <c r="B787" s="1"/>
    </row>
    <row r="788" spans="1:2" ht="12.75" customHeight="1" x14ac:dyDescent="0.25">
      <c r="A788" s="1"/>
      <c r="B788" s="1"/>
    </row>
    <row r="789" spans="1:2" ht="12.75" customHeight="1" x14ac:dyDescent="0.25">
      <c r="A789" s="1"/>
      <c r="B789" s="1"/>
    </row>
    <row r="790" spans="1:2" ht="12.75" customHeight="1" x14ac:dyDescent="0.25">
      <c r="A790" s="1"/>
      <c r="B790" s="1"/>
    </row>
    <row r="791" spans="1:2" ht="12.75" customHeight="1" x14ac:dyDescent="0.25">
      <c r="A791" s="1"/>
      <c r="B791" s="1"/>
    </row>
    <row r="792" spans="1:2" ht="12.75" customHeight="1" x14ac:dyDescent="0.25">
      <c r="A792" s="1"/>
      <c r="B792" s="1"/>
    </row>
    <row r="793" spans="1:2" ht="12.75" customHeight="1" x14ac:dyDescent="0.25">
      <c r="A793" s="1"/>
      <c r="B793" s="1"/>
    </row>
    <row r="794" spans="1:2" ht="12.75" customHeight="1" x14ac:dyDescent="0.25">
      <c r="A794" s="1"/>
      <c r="B794" s="1"/>
    </row>
    <row r="795" spans="1:2" ht="12.75" customHeight="1" x14ac:dyDescent="0.25">
      <c r="A795" s="1"/>
      <c r="B795" s="1"/>
    </row>
    <row r="796" spans="1:2" ht="12.75" customHeight="1" x14ac:dyDescent="0.25">
      <c r="A796" s="1"/>
      <c r="B796" s="1"/>
    </row>
    <row r="797" spans="1:2" ht="12.75" customHeight="1" x14ac:dyDescent="0.25">
      <c r="A797" s="1"/>
      <c r="B797" s="1"/>
    </row>
    <row r="798" spans="1:2" ht="12.75" customHeight="1" x14ac:dyDescent="0.25">
      <c r="A798" s="1"/>
      <c r="B798" s="1"/>
    </row>
    <row r="799" spans="1:2" ht="12.75" customHeight="1" x14ac:dyDescent="0.25">
      <c r="A799" s="1"/>
      <c r="B799" s="1"/>
    </row>
    <row r="800" spans="1:2" ht="12.75" customHeight="1" x14ac:dyDescent="0.25">
      <c r="A800" s="1"/>
      <c r="B800" s="1"/>
    </row>
    <row r="801" spans="1:2" ht="12.75" customHeight="1" x14ac:dyDescent="0.25">
      <c r="A801" s="1"/>
      <c r="B801" s="1"/>
    </row>
    <row r="802" spans="1:2" ht="12.75" customHeight="1" x14ac:dyDescent="0.25">
      <c r="A802" s="1"/>
      <c r="B802" s="1"/>
    </row>
    <row r="803" spans="1:2" ht="12.75" customHeight="1" x14ac:dyDescent="0.25">
      <c r="A803" s="1"/>
      <c r="B803" s="1"/>
    </row>
    <row r="804" spans="1:2" ht="12.75" customHeight="1" x14ac:dyDescent="0.25">
      <c r="A804" s="1"/>
      <c r="B804" s="1"/>
    </row>
    <row r="805" spans="1:2" ht="12.75" customHeight="1" x14ac:dyDescent="0.25">
      <c r="A805" s="1"/>
      <c r="B805" s="1"/>
    </row>
    <row r="806" spans="1:2" ht="12.75" customHeight="1" x14ac:dyDescent="0.25">
      <c r="A806" s="1"/>
      <c r="B806" s="1"/>
    </row>
    <row r="807" spans="1:2" ht="12.75" customHeight="1" x14ac:dyDescent="0.25">
      <c r="A807" s="1"/>
      <c r="B807" s="1"/>
    </row>
    <row r="808" spans="1:2" ht="12.75" customHeight="1" x14ac:dyDescent="0.25">
      <c r="A808" s="1"/>
      <c r="B808" s="1"/>
    </row>
    <row r="809" spans="1:2" ht="12.75" customHeight="1" x14ac:dyDescent="0.25">
      <c r="A809" s="1"/>
      <c r="B809" s="1"/>
    </row>
    <row r="810" spans="1:2" ht="12.75" customHeight="1" x14ac:dyDescent="0.25">
      <c r="A810" s="1"/>
      <c r="B810" s="1"/>
    </row>
    <row r="811" spans="1:2" ht="12.75" customHeight="1" x14ac:dyDescent="0.25">
      <c r="A811" s="1"/>
      <c r="B811" s="1"/>
    </row>
    <row r="812" spans="1:2" ht="12.75" customHeight="1" x14ac:dyDescent="0.25">
      <c r="A812" s="1"/>
      <c r="B812" s="1"/>
    </row>
    <row r="813" spans="1:2" ht="12.75" customHeight="1" x14ac:dyDescent="0.25">
      <c r="A813" s="1"/>
      <c r="B813" s="1"/>
    </row>
    <row r="814" spans="1:2" ht="12.75" customHeight="1" x14ac:dyDescent="0.25">
      <c r="A814" s="1"/>
      <c r="B814" s="1"/>
    </row>
    <row r="815" spans="1:2" ht="12.75" customHeight="1" x14ac:dyDescent="0.25">
      <c r="A815" s="1"/>
      <c r="B815" s="1"/>
    </row>
    <row r="816" spans="1:2" ht="12.75" customHeight="1" x14ac:dyDescent="0.25">
      <c r="A816" s="1"/>
      <c r="B816" s="1"/>
    </row>
    <row r="817" spans="1:2" ht="12.75" customHeight="1" x14ac:dyDescent="0.25">
      <c r="A817" s="1"/>
      <c r="B817" s="1"/>
    </row>
    <row r="818" spans="1:2" ht="12.75" customHeight="1" x14ac:dyDescent="0.25">
      <c r="A818" s="1"/>
      <c r="B818" s="1"/>
    </row>
    <row r="819" spans="1:2" ht="12.75" customHeight="1" x14ac:dyDescent="0.25">
      <c r="A819" s="1"/>
      <c r="B819" s="1"/>
    </row>
    <row r="820" spans="1:2" ht="12.75" customHeight="1" x14ac:dyDescent="0.25">
      <c r="A820" s="1"/>
      <c r="B820" s="1"/>
    </row>
    <row r="821" spans="1:2" ht="12.75" customHeight="1" x14ac:dyDescent="0.25">
      <c r="A821" s="1"/>
      <c r="B821" s="1"/>
    </row>
    <row r="822" spans="1:2" ht="12.75" customHeight="1" x14ac:dyDescent="0.25">
      <c r="A822" s="1"/>
      <c r="B822" s="1"/>
    </row>
    <row r="823" spans="1:2" ht="12.75" customHeight="1" x14ac:dyDescent="0.25">
      <c r="A823" s="1"/>
      <c r="B823" s="1"/>
    </row>
    <row r="824" spans="1:2" ht="12.75" customHeight="1" x14ac:dyDescent="0.25">
      <c r="A824" s="1"/>
      <c r="B824" s="1"/>
    </row>
    <row r="825" spans="1:2" ht="12.75" customHeight="1" x14ac:dyDescent="0.25">
      <c r="A825" s="1"/>
      <c r="B825" s="1"/>
    </row>
    <row r="826" spans="1:2" ht="12.75" customHeight="1" x14ac:dyDescent="0.25">
      <c r="A826" s="1"/>
      <c r="B826" s="1"/>
    </row>
    <row r="827" spans="1:2" ht="12.75" customHeight="1" x14ac:dyDescent="0.25">
      <c r="A827" s="1"/>
      <c r="B827" s="1"/>
    </row>
    <row r="828" spans="1:2" ht="12.75" customHeight="1" x14ac:dyDescent="0.25">
      <c r="A828" s="1"/>
      <c r="B828" s="1"/>
    </row>
    <row r="829" spans="1:2" ht="12.75" customHeight="1" x14ac:dyDescent="0.25">
      <c r="A829" s="1"/>
      <c r="B829" s="1"/>
    </row>
    <row r="830" spans="1:2" ht="12.75" customHeight="1" x14ac:dyDescent="0.25">
      <c r="A830" s="1"/>
      <c r="B830" s="1"/>
    </row>
    <row r="831" spans="1:2" ht="12.75" customHeight="1" x14ac:dyDescent="0.25">
      <c r="A831" s="1"/>
      <c r="B831" s="1"/>
    </row>
    <row r="832" spans="1:2" ht="12.75" customHeight="1" x14ac:dyDescent="0.25">
      <c r="A832" s="1"/>
      <c r="B832" s="1"/>
    </row>
    <row r="833" spans="1:2" ht="12.75" customHeight="1" x14ac:dyDescent="0.25">
      <c r="A833" s="1"/>
      <c r="B833" s="1"/>
    </row>
    <row r="834" spans="1:2" ht="12.75" customHeight="1" x14ac:dyDescent="0.25">
      <c r="A834" s="1"/>
      <c r="B834" s="1"/>
    </row>
    <row r="835" spans="1:2" ht="12.75" customHeight="1" x14ac:dyDescent="0.25">
      <c r="A835" s="1"/>
      <c r="B835" s="1"/>
    </row>
    <row r="836" spans="1:2" ht="12.75" customHeight="1" x14ac:dyDescent="0.25">
      <c r="A836" s="1"/>
      <c r="B836" s="1"/>
    </row>
    <row r="837" spans="1:2" ht="12.75" customHeight="1" x14ac:dyDescent="0.25">
      <c r="A837" s="1"/>
      <c r="B837" s="1"/>
    </row>
    <row r="838" spans="1:2" ht="12.75" customHeight="1" x14ac:dyDescent="0.25">
      <c r="A838" s="1"/>
      <c r="B838" s="1"/>
    </row>
    <row r="839" spans="1:2" ht="12.75" customHeight="1" x14ac:dyDescent="0.25">
      <c r="A839" s="1"/>
      <c r="B839" s="1"/>
    </row>
    <row r="840" spans="1:2" ht="12.75" customHeight="1" x14ac:dyDescent="0.25">
      <c r="A840" s="1"/>
      <c r="B840" s="1"/>
    </row>
    <row r="841" spans="1:2" ht="12.75" customHeight="1" x14ac:dyDescent="0.25">
      <c r="A841" s="1"/>
      <c r="B841" s="1"/>
    </row>
    <row r="842" spans="1:2" ht="12.75" customHeight="1" x14ac:dyDescent="0.25">
      <c r="A842" s="1"/>
      <c r="B842" s="1"/>
    </row>
    <row r="843" spans="1:2" ht="12.75" customHeight="1" x14ac:dyDescent="0.25">
      <c r="A843" s="1"/>
      <c r="B843" s="1"/>
    </row>
    <row r="844" spans="1:2" ht="12.75" customHeight="1" x14ac:dyDescent="0.25">
      <c r="A844" s="1"/>
      <c r="B844" s="1"/>
    </row>
    <row r="845" spans="1:2" ht="12.75" customHeight="1" x14ac:dyDescent="0.25">
      <c r="A845" s="1"/>
      <c r="B845" s="1"/>
    </row>
    <row r="846" spans="1:2" ht="12.75" customHeight="1" x14ac:dyDescent="0.25">
      <c r="A846" s="1"/>
      <c r="B846" s="1"/>
    </row>
    <row r="847" spans="1:2" ht="12.75" customHeight="1" x14ac:dyDescent="0.25">
      <c r="A847" s="1"/>
      <c r="B847" s="1"/>
    </row>
    <row r="848" spans="1:2" ht="12.75" customHeight="1" x14ac:dyDescent="0.25">
      <c r="A848" s="1"/>
      <c r="B848" s="1"/>
    </row>
    <row r="849" spans="1:2" ht="12.75" customHeight="1" x14ac:dyDescent="0.25">
      <c r="A849" s="1"/>
      <c r="B849" s="1"/>
    </row>
    <row r="850" spans="1:2" ht="12.75" customHeight="1" x14ac:dyDescent="0.25">
      <c r="A850" s="1"/>
      <c r="B850" s="1"/>
    </row>
    <row r="851" spans="1:2" ht="12.75" customHeight="1" x14ac:dyDescent="0.25">
      <c r="A851" s="1"/>
      <c r="B851" s="1"/>
    </row>
    <row r="852" spans="1:2" ht="12.75" customHeight="1" x14ac:dyDescent="0.25">
      <c r="A852" s="1"/>
      <c r="B852" s="1"/>
    </row>
    <row r="853" spans="1:2" ht="12.75" customHeight="1" x14ac:dyDescent="0.25">
      <c r="A853" s="1"/>
      <c r="B853" s="1"/>
    </row>
    <row r="854" spans="1:2" ht="12.75" customHeight="1" x14ac:dyDescent="0.25">
      <c r="A854" s="1"/>
      <c r="B854" s="1"/>
    </row>
    <row r="855" spans="1:2" ht="12.75" customHeight="1" x14ac:dyDescent="0.25">
      <c r="A855" s="1"/>
      <c r="B855" s="1"/>
    </row>
    <row r="856" spans="1:2" ht="12.75" customHeight="1" x14ac:dyDescent="0.25">
      <c r="A856" s="1"/>
      <c r="B856" s="1"/>
    </row>
    <row r="857" spans="1:2" ht="12.75" customHeight="1" x14ac:dyDescent="0.25">
      <c r="A857" s="1"/>
      <c r="B857" s="1"/>
    </row>
    <row r="858" spans="1:2" ht="12.75" customHeight="1" x14ac:dyDescent="0.25">
      <c r="A858" s="1"/>
      <c r="B858" s="1"/>
    </row>
    <row r="859" spans="1:2" ht="12.75" customHeight="1" x14ac:dyDescent="0.25">
      <c r="A859" s="1"/>
      <c r="B859" s="1"/>
    </row>
    <row r="860" spans="1:2" ht="12.75" customHeight="1" x14ac:dyDescent="0.25">
      <c r="A860" s="1"/>
      <c r="B860" s="1"/>
    </row>
    <row r="861" spans="1:2" ht="12.75" customHeight="1" x14ac:dyDescent="0.25">
      <c r="A861" s="1"/>
      <c r="B861" s="1"/>
    </row>
    <row r="862" spans="1:2" ht="12.75" customHeight="1" x14ac:dyDescent="0.25">
      <c r="A862" s="1"/>
      <c r="B862" s="1"/>
    </row>
    <row r="863" spans="1:2" ht="12.75" customHeight="1" x14ac:dyDescent="0.25">
      <c r="A863" s="1"/>
      <c r="B863" s="1"/>
    </row>
    <row r="864" spans="1:2" ht="12.75" customHeight="1" x14ac:dyDescent="0.25">
      <c r="A864" s="1"/>
      <c r="B864" s="1"/>
    </row>
    <row r="865" spans="1:2" ht="12.75" customHeight="1" x14ac:dyDescent="0.25">
      <c r="A865" s="1"/>
      <c r="B865" s="1"/>
    </row>
    <row r="866" spans="1:2" ht="12.75" customHeight="1" x14ac:dyDescent="0.25">
      <c r="A866" s="1"/>
      <c r="B866" s="1"/>
    </row>
    <row r="867" spans="1:2" ht="12.75" customHeight="1" x14ac:dyDescent="0.25">
      <c r="A867" s="1"/>
      <c r="B867" s="1"/>
    </row>
    <row r="868" spans="1:2" ht="12.75" customHeight="1" x14ac:dyDescent="0.25">
      <c r="A868" s="1"/>
      <c r="B868" s="1"/>
    </row>
    <row r="869" spans="1:2" ht="12.75" customHeight="1" x14ac:dyDescent="0.25">
      <c r="A869" s="1"/>
      <c r="B869" s="1"/>
    </row>
    <row r="870" spans="1:2" ht="12.75" customHeight="1" x14ac:dyDescent="0.25">
      <c r="A870" s="1"/>
      <c r="B870" s="1"/>
    </row>
    <row r="871" spans="1:2" ht="12.75" customHeight="1" x14ac:dyDescent="0.25">
      <c r="A871" s="1"/>
      <c r="B871" s="1"/>
    </row>
    <row r="872" spans="1:2" ht="12.75" customHeight="1" x14ac:dyDescent="0.25">
      <c r="A872" s="1"/>
      <c r="B872" s="1"/>
    </row>
    <row r="873" spans="1:2" ht="12.75" customHeight="1" x14ac:dyDescent="0.25">
      <c r="A873" s="1"/>
      <c r="B873" s="1"/>
    </row>
    <row r="874" spans="1:2" ht="12.75" customHeight="1" x14ac:dyDescent="0.25">
      <c r="A874" s="1"/>
      <c r="B874" s="1"/>
    </row>
    <row r="875" spans="1:2" ht="12.75" customHeight="1" x14ac:dyDescent="0.25">
      <c r="A875" s="1"/>
      <c r="B875" s="1"/>
    </row>
    <row r="876" spans="1:2" ht="12.75" customHeight="1" x14ac:dyDescent="0.25">
      <c r="A876" s="1"/>
      <c r="B876" s="1"/>
    </row>
    <row r="877" spans="1:2" ht="12.75" customHeight="1" x14ac:dyDescent="0.25">
      <c r="A877" s="1"/>
      <c r="B877" s="1"/>
    </row>
    <row r="878" spans="1:2" ht="12.75" customHeight="1" x14ac:dyDescent="0.25">
      <c r="A878" s="1"/>
      <c r="B878" s="1"/>
    </row>
    <row r="879" spans="1:2" ht="12.75" customHeight="1" x14ac:dyDescent="0.25">
      <c r="A879" s="1"/>
      <c r="B879" s="1"/>
    </row>
    <row r="880" spans="1:2" ht="12.75" customHeight="1" x14ac:dyDescent="0.25">
      <c r="A880" s="1"/>
      <c r="B880" s="1"/>
    </row>
    <row r="881" spans="1:2" ht="12.75" customHeight="1" x14ac:dyDescent="0.25">
      <c r="A881" s="1"/>
      <c r="B881" s="1"/>
    </row>
    <row r="882" spans="1:2" ht="12.75" customHeight="1" x14ac:dyDescent="0.25">
      <c r="A882" s="1"/>
      <c r="B882" s="1"/>
    </row>
    <row r="883" spans="1:2" ht="12.75" customHeight="1" x14ac:dyDescent="0.25">
      <c r="A883" s="1"/>
      <c r="B883" s="1"/>
    </row>
    <row r="884" spans="1:2" ht="12.75" customHeight="1" x14ac:dyDescent="0.25">
      <c r="A884" s="1"/>
      <c r="B884" s="1"/>
    </row>
    <row r="885" spans="1:2" ht="12.75" customHeight="1" x14ac:dyDescent="0.25">
      <c r="A885" s="1"/>
      <c r="B885" s="1"/>
    </row>
    <row r="886" spans="1:2" ht="12.75" customHeight="1" x14ac:dyDescent="0.25">
      <c r="A886" s="1"/>
      <c r="B886" s="1"/>
    </row>
    <row r="887" spans="1:2" ht="12.75" customHeight="1" x14ac:dyDescent="0.25">
      <c r="A887" s="1"/>
      <c r="B887" s="1"/>
    </row>
    <row r="888" spans="1:2" ht="12.75" customHeight="1" x14ac:dyDescent="0.25">
      <c r="A888" s="1"/>
      <c r="B888" s="1"/>
    </row>
    <row r="889" spans="1:2" ht="12.75" customHeight="1" x14ac:dyDescent="0.25">
      <c r="A889" s="1"/>
      <c r="B889" s="1"/>
    </row>
    <row r="890" spans="1:2" ht="12.75" customHeight="1" x14ac:dyDescent="0.25">
      <c r="A890" s="1"/>
      <c r="B890" s="1"/>
    </row>
    <row r="891" spans="1:2" ht="12.75" customHeight="1" x14ac:dyDescent="0.25">
      <c r="A891" s="1"/>
      <c r="B891" s="1"/>
    </row>
    <row r="892" spans="1:2" ht="12.75" customHeight="1" x14ac:dyDescent="0.25">
      <c r="A892" s="1"/>
      <c r="B892" s="1"/>
    </row>
    <row r="893" spans="1:2" ht="12.75" customHeight="1" x14ac:dyDescent="0.25">
      <c r="A893" s="1"/>
      <c r="B893" s="1"/>
    </row>
    <row r="894" spans="1:2" ht="12.75" customHeight="1" x14ac:dyDescent="0.25">
      <c r="A894" s="1"/>
      <c r="B894" s="1"/>
    </row>
    <row r="895" spans="1:2" ht="12.75" customHeight="1" x14ac:dyDescent="0.25">
      <c r="A895" s="1"/>
      <c r="B895" s="1"/>
    </row>
    <row r="896" spans="1:2" ht="12.75" customHeight="1" x14ac:dyDescent="0.25">
      <c r="A896" s="1"/>
      <c r="B896" s="1"/>
    </row>
    <row r="897" spans="1:2" ht="12.75" customHeight="1" x14ac:dyDescent="0.25">
      <c r="A897" s="1"/>
      <c r="B897" s="1"/>
    </row>
    <row r="898" spans="1:2" ht="12.75" customHeight="1" x14ac:dyDescent="0.25">
      <c r="A898" s="1"/>
      <c r="B898" s="1"/>
    </row>
    <row r="899" spans="1:2" ht="12.75" customHeight="1" x14ac:dyDescent="0.25">
      <c r="A899" s="1"/>
      <c r="B899" s="1"/>
    </row>
    <row r="900" spans="1:2" ht="12.75" customHeight="1" x14ac:dyDescent="0.25">
      <c r="A900" s="1"/>
      <c r="B900" s="1"/>
    </row>
    <row r="901" spans="1:2" ht="12.75" customHeight="1" x14ac:dyDescent="0.25">
      <c r="A901" s="1"/>
      <c r="B901" s="1"/>
    </row>
    <row r="902" spans="1:2" ht="12.75" customHeight="1" x14ac:dyDescent="0.25">
      <c r="A902" s="1"/>
      <c r="B902" s="1"/>
    </row>
    <row r="903" spans="1:2" ht="12.75" customHeight="1" x14ac:dyDescent="0.25">
      <c r="A903" s="1"/>
      <c r="B903" s="1"/>
    </row>
    <row r="904" spans="1:2" ht="12.75" customHeight="1" x14ac:dyDescent="0.25">
      <c r="A904" s="1"/>
      <c r="B904" s="1"/>
    </row>
    <row r="905" spans="1:2" ht="12.75" customHeight="1" x14ac:dyDescent="0.25">
      <c r="A905" s="1"/>
      <c r="B905" s="1"/>
    </row>
    <row r="906" spans="1:2" ht="12.75" customHeight="1" x14ac:dyDescent="0.25">
      <c r="A906" s="1"/>
      <c r="B906" s="1"/>
    </row>
    <row r="907" spans="1:2" ht="12.75" customHeight="1" x14ac:dyDescent="0.25">
      <c r="A907" s="1"/>
      <c r="B907" s="1"/>
    </row>
    <row r="908" spans="1:2" ht="12.75" customHeight="1" x14ac:dyDescent="0.25">
      <c r="A908" s="1"/>
      <c r="B908" s="1"/>
    </row>
    <row r="909" spans="1:2" ht="12.75" customHeight="1" x14ac:dyDescent="0.25">
      <c r="A909" s="1"/>
      <c r="B909" s="1"/>
    </row>
    <row r="910" spans="1:2" ht="12.75" customHeight="1" x14ac:dyDescent="0.25">
      <c r="A910" s="1"/>
      <c r="B910" s="1"/>
    </row>
    <row r="911" spans="1:2" ht="12.75" customHeight="1" x14ac:dyDescent="0.25">
      <c r="A911" s="1"/>
      <c r="B911" s="1"/>
    </row>
    <row r="912" spans="1:2" ht="12.75" customHeight="1" x14ac:dyDescent="0.25">
      <c r="A912" s="1"/>
      <c r="B912" s="1"/>
    </row>
    <row r="913" spans="1:2" ht="12.75" customHeight="1" x14ac:dyDescent="0.25">
      <c r="A913" s="1"/>
      <c r="B913" s="1"/>
    </row>
    <row r="914" spans="1:2" ht="12.75" customHeight="1" x14ac:dyDescent="0.25">
      <c r="A914" s="1"/>
      <c r="B914" s="1"/>
    </row>
    <row r="915" spans="1:2" ht="12.75" customHeight="1" x14ac:dyDescent="0.25">
      <c r="A915" s="1"/>
      <c r="B915" s="1"/>
    </row>
    <row r="916" spans="1:2" ht="12.75" customHeight="1" x14ac:dyDescent="0.25">
      <c r="A916" s="1"/>
      <c r="B916" s="1"/>
    </row>
    <row r="917" spans="1:2" ht="12.75" customHeight="1" x14ac:dyDescent="0.25">
      <c r="A917" s="1"/>
      <c r="B917" s="1"/>
    </row>
    <row r="918" spans="1:2" ht="12.75" customHeight="1" x14ac:dyDescent="0.25">
      <c r="A918" s="1"/>
      <c r="B918" s="1"/>
    </row>
    <row r="919" spans="1:2" ht="12.75" customHeight="1" x14ac:dyDescent="0.25">
      <c r="A919" s="1"/>
      <c r="B919" s="1"/>
    </row>
    <row r="920" spans="1:2" ht="12.75" customHeight="1" x14ac:dyDescent="0.25">
      <c r="A920" s="1"/>
      <c r="B920" s="1"/>
    </row>
    <row r="921" spans="1:2" ht="12.75" customHeight="1" x14ac:dyDescent="0.25">
      <c r="A921" s="1"/>
      <c r="B921" s="1"/>
    </row>
    <row r="922" spans="1:2" ht="12.75" customHeight="1" x14ac:dyDescent="0.25">
      <c r="A922" s="1"/>
      <c r="B922" s="1"/>
    </row>
    <row r="923" spans="1:2" ht="12.75" customHeight="1" x14ac:dyDescent="0.25">
      <c r="A923" s="1"/>
      <c r="B923" s="1"/>
    </row>
    <row r="924" spans="1:2" ht="12.75" customHeight="1" x14ac:dyDescent="0.25">
      <c r="A924" s="1"/>
      <c r="B924" s="1"/>
    </row>
    <row r="925" spans="1:2" ht="12.75" customHeight="1" x14ac:dyDescent="0.25">
      <c r="A925" s="1"/>
      <c r="B925" s="1"/>
    </row>
    <row r="926" spans="1:2" ht="12.75" customHeight="1" x14ac:dyDescent="0.25">
      <c r="A926" s="1"/>
      <c r="B926" s="1"/>
    </row>
    <row r="927" spans="1:2" ht="12.75" customHeight="1" x14ac:dyDescent="0.25">
      <c r="A927" s="1"/>
      <c r="B927" s="1"/>
    </row>
    <row r="928" spans="1:2" ht="12.75" customHeight="1" x14ac:dyDescent="0.25">
      <c r="A928" s="1"/>
      <c r="B928" s="1"/>
    </row>
    <row r="929" spans="1:2" ht="12.75" customHeight="1" x14ac:dyDescent="0.25">
      <c r="A929" s="1"/>
      <c r="B929" s="1"/>
    </row>
    <row r="930" spans="1:2" ht="12.75" customHeight="1" x14ac:dyDescent="0.25">
      <c r="A930" s="1"/>
      <c r="B930" s="1"/>
    </row>
    <row r="931" spans="1:2" ht="12.75" customHeight="1" x14ac:dyDescent="0.25">
      <c r="A931" s="1"/>
      <c r="B931" s="1"/>
    </row>
    <row r="932" spans="1:2" ht="12.75" customHeight="1" x14ac:dyDescent="0.25">
      <c r="A932" s="1"/>
      <c r="B932" s="1"/>
    </row>
    <row r="933" spans="1:2" ht="12.75" customHeight="1" x14ac:dyDescent="0.25">
      <c r="A933" s="1"/>
      <c r="B933" s="1"/>
    </row>
    <row r="934" spans="1:2" ht="12.75" customHeight="1" x14ac:dyDescent="0.25">
      <c r="A934" s="1"/>
      <c r="B934" s="1"/>
    </row>
    <row r="935" spans="1:2" ht="12.75" customHeight="1" x14ac:dyDescent="0.25">
      <c r="A935" s="1"/>
      <c r="B935" s="1"/>
    </row>
    <row r="936" spans="1:2" ht="12.75" customHeight="1" x14ac:dyDescent="0.25">
      <c r="A936" s="1"/>
      <c r="B936" s="1"/>
    </row>
    <row r="937" spans="1:2" ht="12.75" customHeight="1" x14ac:dyDescent="0.25">
      <c r="A937" s="1"/>
      <c r="B937" s="1"/>
    </row>
    <row r="938" spans="1:2" ht="12.75" customHeight="1" x14ac:dyDescent="0.25">
      <c r="A938" s="1"/>
      <c r="B938" s="1"/>
    </row>
    <row r="939" spans="1:2" ht="12.75" customHeight="1" x14ac:dyDescent="0.25">
      <c r="A939" s="1"/>
      <c r="B939" s="1"/>
    </row>
    <row r="940" spans="1:2" ht="12.75" customHeight="1" x14ac:dyDescent="0.25">
      <c r="A940" s="1"/>
      <c r="B940" s="1"/>
    </row>
    <row r="941" spans="1:2" ht="12.75" customHeight="1" x14ac:dyDescent="0.25">
      <c r="A941" s="1"/>
      <c r="B941" s="1"/>
    </row>
    <row r="942" spans="1:2" ht="12.75" customHeight="1" x14ac:dyDescent="0.25">
      <c r="A942" s="1"/>
      <c r="B942" s="1"/>
    </row>
    <row r="943" spans="1:2" ht="12.75" customHeight="1" x14ac:dyDescent="0.25">
      <c r="A943" s="1"/>
      <c r="B943" s="1"/>
    </row>
    <row r="944" spans="1:2" ht="12.75" customHeight="1" x14ac:dyDescent="0.25">
      <c r="A944" s="1"/>
      <c r="B944" s="1"/>
    </row>
    <row r="945" spans="1:2" ht="12.75" customHeight="1" x14ac:dyDescent="0.25">
      <c r="A945" s="1"/>
      <c r="B945" s="1"/>
    </row>
    <row r="946" spans="1:2" ht="12.75" customHeight="1" x14ac:dyDescent="0.25">
      <c r="A946" s="1"/>
      <c r="B946" s="1"/>
    </row>
    <row r="947" spans="1:2" ht="12.75" customHeight="1" x14ac:dyDescent="0.25">
      <c r="A947" s="1"/>
      <c r="B947" s="1"/>
    </row>
    <row r="948" spans="1:2" ht="12.75" customHeight="1" x14ac:dyDescent="0.25">
      <c r="A948" s="1"/>
      <c r="B948" s="1"/>
    </row>
    <row r="949" spans="1:2" ht="12.75" customHeight="1" x14ac:dyDescent="0.25">
      <c r="A949" s="1"/>
      <c r="B949" s="1"/>
    </row>
    <row r="950" spans="1:2" ht="12.75" customHeight="1" x14ac:dyDescent="0.25">
      <c r="A950" s="1"/>
      <c r="B950" s="1"/>
    </row>
    <row r="951" spans="1:2" ht="12.75" customHeight="1" x14ac:dyDescent="0.25">
      <c r="A951" s="1"/>
      <c r="B951" s="1"/>
    </row>
    <row r="952" spans="1:2" ht="12.75" customHeight="1" x14ac:dyDescent="0.25">
      <c r="A952" s="1"/>
      <c r="B952" s="1"/>
    </row>
    <row r="953" spans="1:2" ht="12.75" customHeight="1" x14ac:dyDescent="0.25">
      <c r="A953" s="1"/>
      <c r="B953" s="1"/>
    </row>
    <row r="954" spans="1:2" ht="12.75" customHeight="1" x14ac:dyDescent="0.25">
      <c r="A954" s="1"/>
      <c r="B954" s="1"/>
    </row>
    <row r="955" spans="1:2" ht="12.75" customHeight="1" x14ac:dyDescent="0.25">
      <c r="A955" s="1"/>
      <c r="B955" s="1"/>
    </row>
    <row r="956" spans="1:2" ht="12.75" customHeight="1" x14ac:dyDescent="0.25">
      <c r="A956" s="1"/>
      <c r="B956" s="1"/>
    </row>
    <row r="957" spans="1:2" ht="12.75" customHeight="1" x14ac:dyDescent="0.25">
      <c r="A957" s="1"/>
      <c r="B957" s="1"/>
    </row>
    <row r="958" spans="1:2" ht="12.75" customHeight="1" x14ac:dyDescent="0.25">
      <c r="A958" s="1"/>
      <c r="B958" s="1"/>
    </row>
    <row r="959" spans="1:2" ht="12.75" customHeight="1" x14ac:dyDescent="0.25">
      <c r="A959" s="1"/>
      <c r="B959" s="1"/>
    </row>
    <row r="960" spans="1:2" ht="12.75" customHeight="1" x14ac:dyDescent="0.25">
      <c r="A960" s="1"/>
      <c r="B960" s="1"/>
    </row>
    <row r="961" spans="1:2" ht="12.75" customHeight="1" x14ac:dyDescent="0.25">
      <c r="A961" s="1"/>
      <c r="B961" s="1"/>
    </row>
    <row r="962" spans="1:2" ht="12.75" customHeight="1" x14ac:dyDescent="0.25">
      <c r="A962" s="1"/>
      <c r="B962" s="1"/>
    </row>
    <row r="963" spans="1:2" ht="12.75" customHeight="1" x14ac:dyDescent="0.25">
      <c r="A963" s="1"/>
      <c r="B963" s="1"/>
    </row>
    <row r="964" spans="1:2" ht="12.75" customHeight="1" x14ac:dyDescent="0.25">
      <c r="A964" s="1"/>
      <c r="B964" s="1"/>
    </row>
    <row r="965" spans="1:2" ht="12.75" customHeight="1" x14ac:dyDescent="0.25">
      <c r="A965" s="1"/>
      <c r="B965" s="1"/>
    </row>
    <row r="966" spans="1:2" ht="12.75" customHeight="1" x14ac:dyDescent="0.25">
      <c r="A966" s="1"/>
      <c r="B966" s="1"/>
    </row>
    <row r="967" spans="1:2" ht="12.75" customHeight="1" x14ac:dyDescent="0.25">
      <c r="A967" s="1"/>
      <c r="B967" s="1"/>
    </row>
    <row r="968" spans="1:2" ht="12.75" customHeight="1" x14ac:dyDescent="0.25">
      <c r="A968" s="1"/>
      <c r="B968" s="1"/>
    </row>
    <row r="969" spans="1:2" ht="12.75" customHeight="1" x14ac:dyDescent="0.25">
      <c r="A969" s="1"/>
      <c r="B969" s="1"/>
    </row>
    <row r="970" spans="1:2" ht="12.75" customHeight="1" x14ac:dyDescent="0.25">
      <c r="A970" s="1"/>
      <c r="B970" s="1"/>
    </row>
    <row r="971" spans="1:2" ht="12.75" customHeight="1" x14ac:dyDescent="0.25">
      <c r="A971" s="1"/>
      <c r="B971" s="1"/>
    </row>
    <row r="972" spans="1:2" ht="12.75" customHeight="1" x14ac:dyDescent="0.25">
      <c r="A972" s="1"/>
      <c r="B972" s="1"/>
    </row>
    <row r="973" spans="1:2" ht="12.75" customHeight="1" x14ac:dyDescent="0.25">
      <c r="A973" s="1"/>
      <c r="B973" s="1"/>
    </row>
    <row r="974" spans="1:2" ht="12.75" customHeight="1" x14ac:dyDescent="0.25">
      <c r="A974" s="1"/>
      <c r="B974" s="1"/>
    </row>
    <row r="975" spans="1:2" ht="12.75" customHeight="1" x14ac:dyDescent="0.25">
      <c r="A975" s="1"/>
      <c r="B975" s="1"/>
    </row>
    <row r="976" spans="1:2" ht="12.75" customHeight="1" x14ac:dyDescent="0.25">
      <c r="A976" s="1"/>
      <c r="B976" s="1"/>
    </row>
    <row r="977" spans="1:2" ht="12.75" customHeight="1" x14ac:dyDescent="0.25">
      <c r="A977" s="1"/>
      <c r="B977" s="1"/>
    </row>
    <row r="978" spans="1:2" ht="12.75" customHeight="1" x14ac:dyDescent="0.25">
      <c r="A978" s="1"/>
      <c r="B978" s="1"/>
    </row>
    <row r="979" spans="1:2" ht="12.75" customHeight="1" x14ac:dyDescent="0.25">
      <c r="A979" s="1"/>
      <c r="B979" s="1"/>
    </row>
    <row r="980" spans="1:2" ht="12.75" customHeight="1" x14ac:dyDescent="0.25">
      <c r="A980" s="1"/>
      <c r="B980" s="1"/>
    </row>
    <row r="981" spans="1:2" ht="12.75" customHeight="1" x14ac:dyDescent="0.25">
      <c r="A981" s="1"/>
      <c r="B981" s="1"/>
    </row>
    <row r="982" spans="1:2" ht="12.75" customHeight="1" x14ac:dyDescent="0.25">
      <c r="A982" s="1"/>
      <c r="B982" s="1"/>
    </row>
    <row r="983" spans="1:2" ht="12.75" customHeight="1" x14ac:dyDescent="0.25">
      <c r="A983" s="1"/>
      <c r="B983" s="1"/>
    </row>
    <row r="984" spans="1:2" ht="12.75" customHeight="1" x14ac:dyDescent="0.25">
      <c r="A984" s="1"/>
      <c r="B984" s="1"/>
    </row>
    <row r="985" spans="1:2" ht="12.75" customHeight="1" x14ac:dyDescent="0.25">
      <c r="A985" s="1"/>
      <c r="B985" s="1"/>
    </row>
    <row r="986" spans="1:2" ht="12.75" customHeight="1" x14ac:dyDescent="0.25">
      <c r="A986" s="1"/>
      <c r="B986" s="1"/>
    </row>
    <row r="987" spans="1:2" ht="12.75" customHeight="1" x14ac:dyDescent="0.25">
      <c r="A987" s="1"/>
      <c r="B987" s="1"/>
    </row>
    <row r="988" spans="1:2" ht="12.75" customHeight="1" x14ac:dyDescent="0.25">
      <c r="A988" s="1"/>
      <c r="B988" s="1"/>
    </row>
    <row r="989" spans="1:2" ht="12.75" customHeight="1" x14ac:dyDescent="0.25">
      <c r="A989" s="1"/>
      <c r="B989" s="1"/>
    </row>
    <row r="990" spans="1:2" ht="12.75" customHeight="1" x14ac:dyDescent="0.25">
      <c r="A990" s="1"/>
      <c r="B990" s="1"/>
    </row>
    <row r="991" spans="1:2" ht="12.75" customHeight="1" x14ac:dyDescent="0.25">
      <c r="A991" s="1"/>
      <c r="B991" s="1"/>
    </row>
    <row r="992" spans="1:2" ht="12.75" customHeight="1" x14ac:dyDescent="0.25">
      <c r="A992" s="1"/>
      <c r="B992" s="1"/>
    </row>
    <row r="993" spans="1:2" ht="12.75" customHeight="1" x14ac:dyDescent="0.25">
      <c r="A993" s="1"/>
      <c r="B993" s="1"/>
    </row>
    <row r="994" spans="1:2" ht="12.75" customHeight="1" x14ac:dyDescent="0.25">
      <c r="A994" s="1"/>
      <c r="B994" s="1"/>
    </row>
    <row r="995" spans="1:2" ht="12.75" customHeight="1" x14ac:dyDescent="0.25">
      <c r="A995" s="1"/>
      <c r="B995" s="1"/>
    </row>
    <row r="996" spans="1:2" ht="12.75" customHeight="1" x14ac:dyDescent="0.25">
      <c r="A996" s="1"/>
      <c r="B996" s="1"/>
    </row>
    <row r="997" spans="1:2" ht="12.75" customHeight="1" x14ac:dyDescent="0.25">
      <c r="A997" s="1"/>
      <c r="B997" s="1"/>
    </row>
    <row r="998" spans="1:2" ht="12.75" customHeight="1" x14ac:dyDescent="0.25">
      <c r="A998" s="1"/>
      <c r="B998" s="1"/>
    </row>
    <row r="999" spans="1:2" ht="12.75" customHeight="1" x14ac:dyDescent="0.25">
      <c r="A999" s="1"/>
      <c r="B999" s="1"/>
    </row>
    <row r="1000" spans="1:2" ht="12.75" customHeight="1" x14ac:dyDescent="0.25">
      <c r="A1000" s="1"/>
      <c r="B1000" s="1"/>
    </row>
    <row r="1001" spans="1:2" ht="12.75" customHeight="1" x14ac:dyDescent="0.25">
      <c r="A1001" s="1"/>
      <c r="B1001" s="1"/>
    </row>
    <row r="1002" spans="1:2" ht="12.75" customHeight="1" x14ac:dyDescent="0.25">
      <c r="A1002" s="1"/>
      <c r="B1002" s="1"/>
    </row>
    <row r="1003" spans="1:2" ht="12.75" customHeight="1" x14ac:dyDescent="0.25">
      <c r="A1003" s="1"/>
      <c r="B1003" s="1"/>
    </row>
  </sheetData>
  <mergeCells count="1">
    <mergeCell ref="I5:J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38FD-762C-4FB1-81F8-61FB3FCA2B1E}">
  <dimension ref="A1:AZ111"/>
  <sheetViews>
    <sheetView showGridLines="0" tabSelected="1" topLeftCell="Z1" zoomScaleNormal="100" workbookViewId="0">
      <selection activeCell="AJ24" sqref="AJ24"/>
    </sheetView>
  </sheetViews>
  <sheetFormatPr defaultRowHeight="15" x14ac:dyDescent="0.25"/>
  <cols>
    <col min="1" max="1" width="32.5703125" customWidth="1"/>
    <col min="2" max="2" width="22.140625" style="591" customWidth="1"/>
    <col min="3" max="3" width="16.140625" customWidth="1"/>
    <col min="4" max="4" width="16.28515625" customWidth="1"/>
    <col min="5" max="5" width="13.85546875" hidden="1" customWidth="1"/>
    <col min="6" max="6" width="16.28515625" customWidth="1"/>
    <col min="7" max="15" width="11.85546875" bestFit="1" customWidth="1"/>
    <col min="17" max="17" width="24.85546875" customWidth="1"/>
    <col min="18" max="18" width="13.7109375" customWidth="1"/>
    <col min="19" max="19" width="7" hidden="1" customWidth="1"/>
    <col min="20" max="20" width="0" hidden="1" customWidth="1"/>
    <col min="21" max="21" width="21.140625" customWidth="1"/>
    <col min="24" max="24" width="23.7109375" customWidth="1"/>
    <col min="25" max="25" width="17.28515625" hidden="1" customWidth="1"/>
    <col min="26" max="26" width="17.140625" customWidth="1"/>
    <col min="27" max="27" width="17.7109375" hidden="1" customWidth="1"/>
    <col min="28" max="28" width="22.85546875" customWidth="1"/>
    <col min="40" max="40" width="17" customWidth="1"/>
  </cols>
  <sheetData>
    <row r="1" spans="1:52" ht="15.75" thickBot="1" x14ac:dyDescent="0.3">
      <c r="A1" s="643" t="s">
        <v>984</v>
      </c>
      <c r="B1" s="643" t="s">
        <v>9</v>
      </c>
      <c r="C1" s="642" t="s">
        <v>801</v>
      </c>
      <c r="D1" s="642" t="s">
        <v>802</v>
      </c>
      <c r="E1" s="642" t="s">
        <v>977</v>
      </c>
      <c r="F1" s="642" t="s">
        <v>828</v>
      </c>
      <c r="Q1" s="642" t="s">
        <v>983</v>
      </c>
      <c r="R1" s="642" t="s">
        <v>801</v>
      </c>
      <c r="S1" s="642" t="s">
        <v>802</v>
      </c>
      <c r="T1" s="642" t="s">
        <v>977</v>
      </c>
      <c r="U1" s="642" t="s">
        <v>828</v>
      </c>
      <c r="X1" s="642" t="s">
        <v>985</v>
      </c>
      <c r="Y1" s="642" t="s">
        <v>801</v>
      </c>
      <c r="Z1" s="642" t="s">
        <v>802</v>
      </c>
      <c r="AA1" s="642" t="s">
        <v>977</v>
      </c>
      <c r="AB1" s="642" t="s">
        <v>828</v>
      </c>
      <c r="AO1" s="591"/>
      <c r="AT1" s="623" t="s">
        <v>802</v>
      </c>
    </row>
    <row r="2" spans="1:52" x14ac:dyDescent="0.25">
      <c r="A2" s="644">
        <v>1</v>
      </c>
      <c r="B2" s="645">
        <f>14.43%</f>
        <v>0.14429999999999998</v>
      </c>
      <c r="C2" s="640">
        <v>1.24</v>
      </c>
      <c r="D2" s="640">
        <v>1.39</v>
      </c>
      <c r="E2" s="640">
        <v>1.4696309945436417</v>
      </c>
      <c r="F2" s="641">
        <f>C2*0.25+D2*0.5+E2*0.25</f>
        <v>1.3724077486359103</v>
      </c>
      <c r="Q2" s="645">
        <v>1.4999999999999999E-2</v>
      </c>
      <c r="R2" s="624">
        <v>1.1675769338839257</v>
      </c>
      <c r="S2" s="626">
        <v>1.3279873121617736</v>
      </c>
      <c r="T2" s="624">
        <v>1.4696309945436417</v>
      </c>
      <c r="U2" s="625">
        <f>R2*0.25+S2*0.5+T2*0.25</f>
        <v>1.3232956381877785</v>
      </c>
      <c r="X2" s="651">
        <v>0.08</v>
      </c>
      <c r="Y2" s="624">
        <v>1.1836318621741548</v>
      </c>
      <c r="Z2" s="624">
        <v>1.2751121920016633</v>
      </c>
      <c r="AA2" s="624">
        <v>1.4696309945436401</v>
      </c>
      <c r="AB2" s="625">
        <f>Y2*0.25+Z2*0.5+AA2*0.25</f>
        <v>1.3008718101802803</v>
      </c>
      <c r="AN2" s="633"/>
      <c r="AO2" s="633"/>
      <c r="AP2" s="633"/>
      <c r="AQ2" s="633"/>
      <c r="AR2" s="633"/>
      <c r="AS2" s="633"/>
      <c r="AT2" s="633"/>
      <c r="AU2" s="633"/>
      <c r="AV2" s="633"/>
      <c r="AW2" s="633"/>
      <c r="AX2" s="633"/>
      <c r="AY2" s="633"/>
      <c r="AZ2" s="633"/>
    </row>
    <row r="3" spans="1:52" x14ac:dyDescent="0.25">
      <c r="A3" s="646">
        <f>A2-5%</f>
        <v>0.95</v>
      </c>
      <c r="B3" s="647">
        <v>0.14480000000000001</v>
      </c>
      <c r="C3" s="640">
        <v>1.24</v>
      </c>
      <c r="D3" s="640">
        <v>1.38</v>
      </c>
      <c r="E3" s="640">
        <v>1.4696309945436417</v>
      </c>
      <c r="F3" s="641">
        <f t="shared" ref="F3:F22" si="0">C3*0.25+D3*0.5+E3*0.25</f>
        <v>1.3674077486359104</v>
      </c>
      <c r="Q3" s="647">
        <f>Q2+0.05%</f>
        <v>1.55E-2</v>
      </c>
      <c r="R3" s="624">
        <v>1.1691290683840667</v>
      </c>
      <c r="S3" s="626">
        <v>1.3279873121617736</v>
      </c>
      <c r="T3" s="624">
        <v>1.4696309945436417</v>
      </c>
      <c r="U3" s="625">
        <f t="shared" ref="U2:U32" si="1">R3*0.25+S3*0.5+T3*0.25</f>
        <v>1.3236836718128138</v>
      </c>
      <c r="X3" s="652">
        <v>7.0000000000000007E-2</v>
      </c>
      <c r="Y3" s="624">
        <v>1.1836318621741548</v>
      </c>
      <c r="Z3" s="624">
        <v>1.2817215820216772</v>
      </c>
      <c r="AA3" s="624">
        <v>1.4696309945436401</v>
      </c>
      <c r="AB3" s="625">
        <f t="shared" ref="AB3:AB18" si="2">Y3*0.25+Z3*0.5+AA3*0.25</f>
        <v>1.3041765051902874</v>
      </c>
      <c r="AN3" s="633"/>
      <c r="AO3" s="633"/>
      <c r="AP3" s="633"/>
      <c r="AQ3" s="633"/>
      <c r="AR3" s="633"/>
      <c r="AS3" s="633"/>
      <c r="AT3" s="633" t="s">
        <v>986</v>
      </c>
      <c r="AU3" s="633"/>
      <c r="AV3" s="633"/>
      <c r="AW3" s="633"/>
      <c r="AX3" s="633"/>
      <c r="AY3" s="633"/>
      <c r="AZ3" s="633"/>
    </row>
    <row r="4" spans="1:52" x14ac:dyDescent="0.25">
      <c r="A4" s="644">
        <f t="shared" ref="A4:A25" si="3">A3-5%</f>
        <v>0.89999999999999991</v>
      </c>
      <c r="B4" s="645">
        <v>0.1454</v>
      </c>
      <c r="C4" s="640">
        <v>1.23</v>
      </c>
      <c r="D4" s="640">
        <v>1.38</v>
      </c>
      <c r="E4" s="640">
        <v>1.4696309945436417</v>
      </c>
      <c r="F4" s="641">
        <f t="shared" si="0"/>
        <v>1.3649077486359102</v>
      </c>
      <c r="Q4" s="645">
        <f t="shared" ref="Q4:Q32" si="4">Q3+0.05%</f>
        <v>1.6E-2</v>
      </c>
      <c r="R4" s="624">
        <v>1.1706927086996277</v>
      </c>
      <c r="S4" s="626">
        <v>1.3279873121617736</v>
      </c>
      <c r="T4" s="624">
        <v>1.4696309945436417</v>
      </c>
      <c r="U4" s="625">
        <f t="shared" si="1"/>
        <v>1.3240745818917041</v>
      </c>
      <c r="X4" s="651">
        <v>0.06</v>
      </c>
      <c r="Y4" s="624">
        <v>1.1836318621741548</v>
      </c>
      <c r="Z4" s="624">
        <v>1.2883309720416909</v>
      </c>
      <c r="AA4" s="624">
        <v>1.4696309945436401</v>
      </c>
      <c r="AB4" s="625">
        <f t="shared" si="2"/>
        <v>1.3074812002002942</v>
      </c>
      <c r="AN4" s="633"/>
      <c r="AO4" s="633"/>
      <c r="AP4" s="634">
        <v>2.8799999999999999E-2</v>
      </c>
      <c r="AQ4" s="634">
        <v>3.8800000000000001E-2</v>
      </c>
      <c r="AR4" s="634">
        <v>4.8800000000000003E-2</v>
      </c>
      <c r="AS4" s="634">
        <v>5.8799999999999998E-2</v>
      </c>
      <c r="AT4" s="639">
        <v>6.88E-2</v>
      </c>
      <c r="AU4" s="638">
        <v>7.8799999999999995E-2</v>
      </c>
      <c r="AV4" s="634">
        <v>8.8800000000000004E-2</v>
      </c>
      <c r="AW4" s="634">
        <v>9.8799999999999999E-2</v>
      </c>
      <c r="AX4" s="634">
        <v>0.10879999999999999</v>
      </c>
      <c r="AY4" s="634">
        <v>0.1188</v>
      </c>
      <c r="AZ4" s="634">
        <v>0.1288</v>
      </c>
    </row>
    <row r="5" spans="1:52" x14ac:dyDescent="0.25">
      <c r="A5" s="646">
        <f t="shared" si="3"/>
        <v>0.84999999999999987</v>
      </c>
      <c r="B5" s="647">
        <v>0.14599999999999999</v>
      </c>
      <c r="C5" s="640">
        <v>1.23</v>
      </c>
      <c r="D5" s="640">
        <v>1.37</v>
      </c>
      <c r="E5" s="640">
        <v>1.4696309945436417</v>
      </c>
      <c r="F5" s="641">
        <f t="shared" si="0"/>
        <v>1.3599077486359104</v>
      </c>
      <c r="Q5" s="647">
        <f t="shared" si="4"/>
        <v>1.6500000000000001E-2</v>
      </c>
      <c r="R5" s="624">
        <v>1.1722679832437271</v>
      </c>
      <c r="S5" s="626">
        <v>1.3279873121617736</v>
      </c>
      <c r="T5" s="624">
        <v>1.4696309945436417</v>
      </c>
      <c r="U5" s="625">
        <f t="shared" si="1"/>
        <v>1.324468400527729</v>
      </c>
      <c r="X5" s="652">
        <v>0.05</v>
      </c>
      <c r="Y5" s="624">
        <v>1.1836318621741548</v>
      </c>
      <c r="Z5" s="624">
        <v>1.2949403620617048</v>
      </c>
      <c r="AA5" s="624">
        <v>1.4696309945436401</v>
      </c>
      <c r="AB5" s="625">
        <f t="shared" si="2"/>
        <v>1.3107858952103011</v>
      </c>
      <c r="AN5" s="633"/>
      <c r="AO5" s="635">
        <v>6.0900000000000003E-2</v>
      </c>
      <c r="AP5" s="636">
        <v>2.7185051879828599</v>
      </c>
      <c r="AQ5" s="636">
        <v>2.6410249994513535</v>
      </c>
      <c r="AR5" s="636">
        <v>2.5656227268228085</v>
      </c>
      <c r="AS5" s="636">
        <v>2.4922352089452056</v>
      </c>
      <c r="AT5" s="636">
        <v>2.4208013967171218</v>
      </c>
      <c r="AU5" s="636">
        <v>2.3512622765019224</v>
      </c>
      <c r="AV5" s="636">
        <v>2.2835607965267606</v>
      </c>
      <c r="AW5" s="636">
        <v>2.2176417961421291</v>
      </c>
      <c r="AX5" s="636">
        <v>2.1534519378232346</v>
      </c>
      <c r="AY5" s="636">
        <v>2.0909396417997468</v>
      </c>
      <c r="AZ5" s="636">
        <v>2.0300550232053265</v>
      </c>
    </row>
    <row r="6" spans="1:52" x14ac:dyDescent="0.25">
      <c r="A6" s="644">
        <f t="shared" si="3"/>
        <v>0.79999999999999982</v>
      </c>
      <c r="B6" s="645">
        <v>0.14649999999999999</v>
      </c>
      <c r="C6" s="640">
        <v>1.22</v>
      </c>
      <c r="D6" s="640">
        <v>1.37</v>
      </c>
      <c r="E6" s="640">
        <v>1.4696309945436417</v>
      </c>
      <c r="F6" s="641">
        <f t="shared" si="0"/>
        <v>1.3574077486359104</v>
      </c>
      <c r="Q6" s="645">
        <f t="shared" si="4"/>
        <v>1.7000000000000001E-2</v>
      </c>
      <c r="R6" s="624">
        <v>1.1738550223475284</v>
      </c>
      <c r="S6" s="626">
        <v>1.3279873121617736</v>
      </c>
      <c r="T6" s="624">
        <v>1.4696309945436417</v>
      </c>
      <c r="U6" s="625">
        <f t="shared" si="1"/>
        <v>1.3248651603036792</v>
      </c>
      <c r="X6" s="651">
        <v>0.04</v>
      </c>
      <c r="Y6" s="624">
        <v>1.1836318621741548</v>
      </c>
      <c r="Z6" s="624">
        <v>1.3015497520817181</v>
      </c>
      <c r="AA6" s="624">
        <v>1.4696309945436401</v>
      </c>
      <c r="AB6" s="625">
        <f t="shared" si="2"/>
        <v>1.3140905902203077</v>
      </c>
      <c r="AN6" s="633"/>
      <c r="AO6" s="635">
        <v>7.0900000000000005E-2</v>
      </c>
      <c r="AP6" s="636">
        <v>2.5581363471511702</v>
      </c>
      <c r="AQ6" s="636">
        <v>2.4849484588658779</v>
      </c>
      <c r="AR6" s="636">
        <v>2.4137082377514147</v>
      </c>
      <c r="AS6" s="636">
        <v>2.3443568711776073</v>
      </c>
      <c r="AT6" s="636">
        <v>2.2768375011211157</v>
      </c>
      <c r="AU6" s="636">
        <v>2.2110951537066144</v>
      </c>
      <c r="AV6" s="636">
        <v>2.1470766714781218</v>
      </c>
      <c r="AW6" s="636">
        <v>2.084730648287513</v>
      </c>
      <c r="AX6" s="636">
        <v>2.0240073666921909</v>
      </c>
      <c r="AY6" s="636">
        <v>1.9648587377586402</v>
      </c>
      <c r="AZ6" s="636">
        <v>1.9072382431731054</v>
      </c>
    </row>
    <row r="7" spans="1:52" x14ac:dyDescent="0.25">
      <c r="A7" s="646">
        <f t="shared" si="3"/>
        <v>0.74999999999999978</v>
      </c>
      <c r="B7" s="647">
        <v>0.14710000000000001</v>
      </c>
      <c r="C7" s="640">
        <v>1.22</v>
      </c>
      <c r="D7" s="640">
        <v>1.36</v>
      </c>
      <c r="E7" s="640">
        <v>1.4696309945436417</v>
      </c>
      <c r="F7" s="641">
        <f t="shared" si="0"/>
        <v>1.3524077486359105</v>
      </c>
      <c r="Q7" s="647">
        <f t="shared" si="4"/>
        <v>1.7500000000000002E-2</v>
      </c>
      <c r="R7" s="624">
        <v>1.1754539582961858</v>
      </c>
      <c r="S7" s="626">
        <v>1.3279873121617736</v>
      </c>
      <c r="T7" s="624">
        <v>1.4696309945436417</v>
      </c>
      <c r="U7" s="625">
        <f t="shared" si="1"/>
        <v>1.3252648942908436</v>
      </c>
      <c r="X7" s="652">
        <v>0.03</v>
      </c>
      <c r="Y7" s="624">
        <v>1.1836318621741548</v>
      </c>
      <c r="Z7" s="624">
        <v>1.308159142101732</v>
      </c>
      <c r="AA7" s="624">
        <v>1.4696309945436401</v>
      </c>
      <c r="AB7" s="625">
        <f t="shared" si="2"/>
        <v>1.3173952852303148</v>
      </c>
      <c r="AN7" s="633"/>
      <c r="AO7" s="635">
        <v>8.09E-2</v>
      </c>
      <c r="AP7" s="636">
        <v>2.4066342621462891</v>
      </c>
      <c r="AQ7" s="636">
        <v>2.3374700717688892</v>
      </c>
      <c r="AR7" s="636">
        <v>2.270132253320992</v>
      </c>
      <c r="AS7" s="636">
        <v>2.2045660190136345</v>
      </c>
      <c r="AT7" s="636">
        <v>2.1407183907983924</v>
      </c>
      <c r="AU7" s="636">
        <v>2.0785381355135977</v>
      </c>
      <c r="AV7" s="636">
        <v>2.0179757025290535</v>
      </c>
      <c r="AW7" s="636">
        <v>1.9589831637865385</v>
      </c>
      <c r="AX7" s="636">
        <v>1.9015141561376692</v>
      </c>
      <c r="AY7" s="636">
        <v>1.8455238258851703</v>
      </c>
      <c r="AZ7" s="636">
        <v>1.7909687754375856</v>
      </c>
    </row>
    <row r="8" spans="1:52" x14ac:dyDescent="0.25">
      <c r="A8" s="644">
        <f t="shared" si="3"/>
        <v>0.69999999999999973</v>
      </c>
      <c r="B8" s="645">
        <v>0.14760000000000001</v>
      </c>
      <c r="C8" s="640">
        <v>1.21</v>
      </c>
      <c r="D8" s="640">
        <v>1.36</v>
      </c>
      <c r="E8" s="640">
        <v>1.4696309945436417</v>
      </c>
      <c r="F8" s="641">
        <f t="shared" si="0"/>
        <v>1.3499077486359106</v>
      </c>
      <c r="Q8" s="645">
        <f t="shared" si="4"/>
        <v>1.8000000000000002E-2</v>
      </c>
      <c r="R8" s="624">
        <v>1.1770649253656007</v>
      </c>
      <c r="S8" s="626">
        <v>1.3279873121617736</v>
      </c>
      <c r="T8" s="624">
        <v>1.4696309945436417</v>
      </c>
      <c r="U8" s="625">
        <f t="shared" si="1"/>
        <v>1.3256676360581974</v>
      </c>
      <c r="X8" s="651">
        <v>0.02</v>
      </c>
      <c r="Y8" s="624">
        <v>1.1836318621741548</v>
      </c>
      <c r="Z8" s="624">
        <v>1.3147685321217462</v>
      </c>
      <c r="AA8" s="624">
        <v>1.4696309945436401</v>
      </c>
      <c r="AB8" s="625">
        <f t="shared" si="2"/>
        <v>1.3206999802403219</v>
      </c>
      <c r="AN8" s="633"/>
      <c r="AO8" s="635">
        <v>9.0899999999999995E-2</v>
      </c>
      <c r="AP8" s="636">
        <v>2.2634449978934166</v>
      </c>
      <c r="AQ8" s="636">
        <v>2.1980543386522258</v>
      </c>
      <c r="AR8" s="636">
        <v>2.1343770441298937</v>
      </c>
      <c r="AS8" s="636">
        <v>2.0723620535179408</v>
      </c>
      <c r="AT8" s="636">
        <v>2.0119599823896657</v>
      </c>
      <c r="AU8" s="636">
        <v>1.953123062976541</v>
      </c>
      <c r="AV8" s="636">
        <v>1.8958050867323413</v>
      </c>
      <c r="AW8" s="636">
        <v>1.8399613490914195</v>
      </c>
      <c r="AX8" s="636">
        <v>1.7855485963315754</v>
      </c>
      <c r="AY8" s="636">
        <v>1.7325249744558582</v>
      </c>
      <c r="AZ8" s="636">
        <v>1.680849980011395</v>
      </c>
    </row>
    <row r="9" spans="1:52" x14ac:dyDescent="0.25">
      <c r="A9" s="646">
        <f t="shared" si="3"/>
        <v>0.64999999999999969</v>
      </c>
      <c r="B9" s="647">
        <v>0.1482</v>
      </c>
      <c r="C9" s="640">
        <v>1.21</v>
      </c>
      <c r="D9" s="640">
        <v>1.35</v>
      </c>
      <c r="E9" s="640">
        <v>1.4696309945436417</v>
      </c>
      <c r="F9" s="641">
        <f t="shared" si="0"/>
        <v>1.3449077486359104</v>
      </c>
      <c r="Q9" s="647">
        <f t="shared" si="4"/>
        <v>1.8500000000000003E-2</v>
      </c>
      <c r="R9" s="624">
        <v>1.1786880598600111</v>
      </c>
      <c r="S9" s="626">
        <v>1.3279873121617736</v>
      </c>
      <c r="T9" s="624">
        <v>1.4696309945436417</v>
      </c>
      <c r="U9" s="625">
        <f t="shared" si="1"/>
        <v>1.3260734196818</v>
      </c>
      <c r="X9" s="652">
        <v>0.01</v>
      </c>
      <c r="Y9" s="624">
        <v>1.1836318621741548</v>
      </c>
      <c r="Z9" s="624">
        <v>1.3213779221417601</v>
      </c>
      <c r="AA9" s="624">
        <v>1.4696309945436401</v>
      </c>
      <c r="AB9" s="625">
        <f t="shared" si="2"/>
        <v>1.3240046752503287</v>
      </c>
      <c r="AN9" s="633"/>
      <c r="AO9" s="635">
        <v>0.1009</v>
      </c>
      <c r="AP9" s="636">
        <v>2.1280525799919929</v>
      </c>
      <c r="AQ9" s="636">
        <v>2.0662023525078443</v>
      </c>
      <c r="AR9" s="636">
        <v>2.005960158109199</v>
      </c>
      <c r="AS9" s="636">
        <v>1.9472783887339236</v>
      </c>
      <c r="AT9" s="636">
        <v>1.8901109898769428</v>
      </c>
      <c r="AU9" s="636">
        <v>1.8344134055645964</v>
      </c>
      <c r="AV9" s="636">
        <v>1.7801425254247989</v>
      </c>
      <c r="AW9" s="636">
        <v>1.7272566337677231</v>
      </c>
      <c r="AX9" s="636">
        <v>1.6757153605954123</v>
      </c>
      <c r="AY9" s="636">
        <v>1.6254796344622653</v>
      </c>
      <c r="AZ9" s="636">
        <v>1.5765116371116752</v>
      </c>
    </row>
    <row r="10" spans="1:52" x14ac:dyDescent="0.25">
      <c r="A10" s="644">
        <f t="shared" si="3"/>
        <v>0.59999999999999964</v>
      </c>
      <c r="B10" s="645">
        <v>0.1487</v>
      </c>
      <c r="C10" s="640">
        <v>1.2</v>
      </c>
      <c r="D10" s="640">
        <v>1.35</v>
      </c>
      <c r="E10" s="640">
        <v>1.4696309945436417</v>
      </c>
      <c r="F10" s="641">
        <f t="shared" si="0"/>
        <v>1.3424077486359105</v>
      </c>
      <c r="Q10" s="645">
        <f t="shared" si="4"/>
        <v>1.9000000000000003E-2</v>
      </c>
      <c r="R10" s="624">
        <v>1.1803235001504366</v>
      </c>
      <c r="S10" s="626">
        <v>1.3279873121617736</v>
      </c>
      <c r="T10" s="624">
        <v>1.4696309945436417</v>
      </c>
      <c r="U10" s="625">
        <f t="shared" si="1"/>
        <v>1.3264822797544062</v>
      </c>
      <c r="X10" s="651">
        <v>0</v>
      </c>
      <c r="Y10" s="624">
        <v>1.1836318621741548</v>
      </c>
      <c r="Z10" s="627">
        <v>1.3279873121617736</v>
      </c>
      <c r="AA10" s="624">
        <v>1.4696309945436417</v>
      </c>
      <c r="AB10" s="625">
        <f>Y10*0.25+Z10*0.5+AA10*0.25</f>
        <v>1.3273093702603358</v>
      </c>
      <c r="AN10" s="633"/>
      <c r="AO10" s="635">
        <v>0.1109</v>
      </c>
      <c r="AP10" s="636">
        <v>1.9999761816836275</v>
      </c>
      <c r="AQ10" s="636">
        <v>1.9414490946190652</v>
      </c>
      <c r="AR10" s="636">
        <v>1.8844318206409205</v>
      </c>
      <c r="AS10" s="636">
        <v>1.8288799518299819</v>
      </c>
      <c r="AT10" s="636">
        <v>1.7747505206471679</v>
      </c>
      <c r="AU10" s="636">
        <v>1.7220019492122385</v>
      </c>
      <c r="AV10" s="636">
        <v>1.6705940005034301</v>
      </c>
      <c r="AW10" s="636">
        <v>1.6204877314002586</v>
      </c>
      <c r="AX10" s="636">
        <v>1.5716454474951678</v>
      </c>
      <c r="AY10" s="636">
        <v>1.524030659602766</v>
      </c>
      <c r="AZ10" s="636">
        <v>1.4776080418985489</v>
      </c>
    </row>
    <row r="11" spans="1:52" x14ac:dyDescent="0.25">
      <c r="A11" s="646">
        <f t="shared" si="3"/>
        <v>0.5499999999999996</v>
      </c>
      <c r="B11" s="647">
        <v>0.14929999999999999</v>
      </c>
      <c r="C11" s="640">
        <v>1.2</v>
      </c>
      <c r="D11" s="640">
        <v>1.34</v>
      </c>
      <c r="E11" s="640">
        <v>1.4696309945436417</v>
      </c>
      <c r="F11" s="641">
        <f t="shared" si="0"/>
        <v>1.3374077486359104</v>
      </c>
      <c r="Q11" s="647">
        <f t="shared" si="4"/>
        <v>1.9500000000000003E-2</v>
      </c>
      <c r="R11" s="624">
        <v>1.1819713867140011</v>
      </c>
      <c r="S11" s="626">
        <v>1.3279873121617736</v>
      </c>
      <c r="T11" s="624">
        <v>1.4696309945436417</v>
      </c>
      <c r="U11" s="625">
        <f t="shared" si="1"/>
        <v>1.3268942513952975</v>
      </c>
      <c r="X11" s="652">
        <v>-0.01</v>
      </c>
      <c r="Y11" s="624">
        <v>1.18363186217415</v>
      </c>
      <c r="Z11" s="624">
        <v>1.3345967021817875</v>
      </c>
      <c r="AA11" s="624">
        <v>1.4696309945436401</v>
      </c>
      <c r="AB11" s="625">
        <f t="shared" si="2"/>
        <v>1.3306140652703413</v>
      </c>
      <c r="AN11" s="633"/>
      <c r="AO11" s="635">
        <v>0.12089999999999999</v>
      </c>
      <c r="AP11" s="636">
        <v>1.8787675342428332</v>
      </c>
      <c r="AQ11" s="636">
        <v>1.8233609445567225</v>
      </c>
      <c r="AR11" s="636">
        <v>1.769372540067389</v>
      </c>
      <c r="AS11" s="636">
        <v>1.7167608802085894</v>
      </c>
      <c r="AT11" s="636">
        <v>1.6654858604578673</v>
      </c>
      <c r="AU11" s="636">
        <v>1.615508665560953</v>
      </c>
      <c r="AV11" s="636">
        <v>1.5667917245176586</v>
      </c>
      <c r="AW11" s="636">
        <v>1.5192986672583837</v>
      </c>
      <c r="AX11" s="636">
        <v>1.4729942829433953</v>
      </c>
      <c r="AY11" s="636">
        <v>1.4278444798199377</v>
      </c>
      <c r="AZ11" s="636">
        <v>1.3838162465749722</v>
      </c>
    </row>
    <row r="12" spans="1:52" x14ac:dyDescent="0.25">
      <c r="A12" s="644">
        <f t="shared" si="3"/>
        <v>0.49999999999999961</v>
      </c>
      <c r="B12" s="645">
        <v>0.14979999999999999</v>
      </c>
      <c r="C12" s="640">
        <v>1.1945774596231031</v>
      </c>
      <c r="D12" s="640">
        <v>1.3377400978370531</v>
      </c>
      <c r="E12" s="640">
        <v>1.4696309945436417</v>
      </c>
      <c r="F12" s="641">
        <f t="shared" si="0"/>
        <v>1.3349221624602128</v>
      </c>
      <c r="Q12" s="645">
        <f t="shared" si="4"/>
        <v>2.0000000000000004E-2</v>
      </c>
      <c r="R12" s="624">
        <v>1.1836318621741548</v>
      </c>
      <c r="S12" s="626">
        <v>1.3279873121617736</v>
      </c>
      <c r="T12" s="624">
        <v>1.4696309945436417</v>
      </c>
      <c r="U12" s="625">
        <f>R12*0.25+S12*0.5+T12*0.25</f>
        <v>1.3273093702603358</v>
      </c>
      <c r="X12" s="651">
        <v>-0.02</v>
      </c>
      <c r="Y12" s="624">
        <v>1.18363186217415</v>
      </c>
      <c r="Z12" s="624">
        <v>1.3412060922018014</v>
      </c>
      <c r="AA12" s="624">
        <v>1.4696309945436401</v>
      </c>
      <c r="AB12" s="625">
        <f t="shared" si="2"/>
        <v>1.3339187602803482</v>
      </c>
      <c r="AN12" s="633"/>
      <c r="AO12" s="635">
        <v>0.13089999999999999</v>
      </c>
      <c r="AP12" s="636">
        <v>1.7640085418924525</v>
      </c>
      <c r="AQ12" s="636">
        <v>1.7115333863094044</v>
      </c>
      <c r="AR12" s="636">
        <v>1.6603909013099474</v>
      </c>
      <c r="AS12" s="636">
        <v>1.6105423990488783</v>
      </c>
      <c r="AT12" s="636">
        <v>1.5619504314933947</v>
      </c>
      <c r="AU12" s="636">
        <v>1.5145787472661942</v>
      </c>
      <c r="AV12" s="636">
        <v>1.4683922501046385</v>
      </c>
      <c r="AW12" s="636">
        <v>1.4233569588713668</v>
      </c>
      <c r="AX12" s="636">
        <v>1.379439969054425</v>
      </c>
      <c r="AY12" s="636">
        <v>1.3366094156976249</v>
      </c>
      <c r="AZ12" s="636">
        <v>1.2948344377043484</v>
      </c>
    </row>
    <row r="13" spans="1:52" x14ac:dyDescent="0.25">
      <c r="A13" s="646">
        <f t="shared" si="3"/>
        <v>0.44999999999999962</v>
      </c>
      <c r="B13" s="647">
        <v>0.15040000000000001</v>
      </c>
      <c r="C13" s="640">
        <v>1.1885841608073149</v>
      </c>
      <c r="D13" s="640">
        <v>1.3324134277893391</v>
      </c>
      <c r="E13" s="640">
        <v>1.4696309945436417</v>
      </c>
      <c r="F13" s="641">
        <f t="shared" si="0"/>
        <v>1.3307605027324088</v>
      </c>
      <c r="Q13" s="647">
        <f t="shared" si="4"/>
        <v>2.0500000000000004E-2</v>
      </c>
      <c r="R13" s="624">
        <v>1.1853050713418254</v>
      </c>
      <c r="S13" s="626">
        <v>1.3279873121617736</v>
      </c>
      <c r="T13" s="624">
        <v>1.4696309945436401</v>
      </c>
      <c r="U13" s="625">
        <f t="shared" si="1"/>
        <v>1.3277276725522531</v>
      </c>
      <c r="X13" s="652">
        <v>-0.03</v>
      </c>
      <c r="Y13" s="624">
        <v>1.18363186217415</v>
      </c>
      <c r="Z13" s="624">
        <v>1.3478154822218154</v>
      </c>
      <c r="AA13" s="624">
        <v>1.4696309945436401</v>
      </c>
      <c r="AB13" s="625">
        <f t="shared" si="2"/>
        <v>1.3372234552903552</v>
      </c>
      <c r="AN13" s="633"/>
      <c r="AO13" s="635">
        <v>0.1409</v>
      </c>
      <c r="AP13" s="636">
        <v>1.6553090840392279</v>
      </c>
      <c r="AQ13" s="636">
        <v>1.6055888940924139</v>
      </c>
      <c r="AR13" s="636">
        <v>1.5571215318561731</v>
      </c>
      <c r="AS13" s="636">
        <v>1.5098708642236207</v>
      </c>
      <c r="AT13" s="636">
        <v>1.4638019091030916</v>
      </c>
      <c r="AU13" s="636">
        <v>1.4188807955816314</v>
      </c>
      <c r="AV13" s="636">
        <v>1.375074725571906</v>
      </c>
      <c r="AW13" s="636">
        <v>1.3323519368835175</v>
      </c>
      <c r="AX13" s="636">
        <v>1.2906816676621571</v>
      </c>
      <c r="AY13" s="636">
        <v>1.2500341221425095</v>
      </c>
      <c r="AZ13" s="636">
        <v>1.2103804376629657</v>
      </c>
    </row>
    <row r="14" spans="1:52" x14ac:dyDescent="0.25">
      <c r="A14" s="644">
        <f t="shared" si="3"/>
        <v>0.39999999999999963</v>
      </c>
      <c r="B14" s="645">
        <v>0.15090000000000001</v>
      </c>
      <c r="C14" s="640">
        <v>1.1836318621741548</v>
      </c>
      <c r="D14" s="640">
        <v>1.3279873121617736</v>
      </c>
      <c r="E14" s="640">
        <v>1.4696309945436417</v>
      </c>
      <c r="F14" s="641">
        <f t="shared" si="0"/>
        <v>1.3273093702603358</v>
      </c>
      <c r="Q14" s="645">
        <f t="shared" si="4"/>
        <v>2.1000000000000005E-2</v>
      </c>
      <c r="R14" s="624">
        <v>1.1869911612575148</v>
      </c>
      <c r="S14" s="626">
        <v>1.3279873121617736</v>
      </c>
      <c r="T14" s="624">
        <v>1.4696309945436401</v>
      </c>
      <c r="U14" s="625">
        <f t="shared" si="1"/>
        <v>1.3281491950311755</v>
      </c>
      <c r="X14" s="651">
        <v>-0.04</v>
      </c>
      <c r="Y14" s="624">
        <v>1.18363186217415</v>
      </c>
      <c r="Z14" s="624">
        <v>1.3544248722418293</v>
      </c>
      <c r="AA14" s="624">
        <v>1.4696309945436401</v>
      </c>
      <c r="AB14" s="625">
        <f t="shared" si="2"/>
        <v>1.3405281503003621</v>
      </c>
      <c r="AN14" s="633" t="s">
        <v>9</v>
      </c>
      <c r="AO14" s="637">
        <v>0.15090000000000001</v>
      </c>
      <c r="AP14" s="636">
        <v>1.552304989158942</v>
      </c>
      <c r="AQ14" s="636">
        <v>1.5051749828431098</v>
      </c>
      <c r="AR14" s="636">
        <v>1.4592232257706261</v>
      </c>
      <c r="AS14" s="636">
        <v>1.4144159568634345</v>
      </c>
      <c r="AT14" s="636">
        <v>1.3707204840837883</v>
      </c>
      <c r="AU14" s="636">
        <v>1.3281051476459287</v>
      </c>
      <c r="AV14" s="636">
        <v>1.2865392845900676</v>
      </c>
      <c r="AW14" s="636">
        <v>1.2459931946647522</v>
      </c>
      <c r="AX14" s="636">
        <v>1.2064381074659758</v>
      </c>
      <c r="AY14" s="636">
        <v>1.1678461507835394</v>
      </c>
      <c r="AZ14" s="636">
        <v>1.1301903201072769</v>
      </c>
    </row>
    <row r="15" spans="1:52" x14ac:dyDescent="0.25">
      <c r="A15" s="646">
        <f t="shared" si="3"/>
        <v>0.34999999999999964</v>
      </c>
      <c r="B15" s="647">
        <v>0.1515</v>
      </c>
      <c r="C15" s="640">
        <v>1.1777389916835299</v>
      </c>
      <c r="D15" s="640">
        <v>1.3226912523075887</v>
      </c>
      <c r="E15" s="640">
        <v>1.4696309945436417</v>
      </c>
      <c r="F15" s="641">
        <f t="shared" si="0"/>
        <v>1.3231881227105873</v>
      </c>
      <c r="Q15" s="647">
        <f t="shared" si="4"/>
        <v>2.1500000000000005E-2</v>
      </c>
      <c r="R15" s="624">
        <v>1.1886902812343765</v>
      </c>
      <c r="S15" s="626">
        <v>1.3279873121617736</v>
      </c>
      <c r="T15" s="624">
        <v>1.4696309945436401</v>
      </c>
      <c r="U15" s="625">
        <f t="shared" si="1"/>
        <v>1.3285739750253909</v>
      </c>
      <c r="X15" s="652">
        <v>-0.05</v>
      </c>
      <c r="Y15" s="624">
        <v>1.18363186217415</v>
      </c>
      <c r="Z15" s="624">
        <v>1.3610342622618432</v>
      </c>
      <c r="AA15" s="624">
        <v>1.4696309945436401</v>
      </c>
      <c r="AB15" s="625">
        <f t="shared" si="2"/>
        <v>1.3438328453103692</v>
      </c>
      <c r="AN15" s="633"/>
      <c r="AO15" s="635">
        <v>0.16089999999999999</v>
      </c>
      <c r="AP15" s="636">
        <v>1.4546561660497541</v>
      </c>
      <c r="AQ15" s="636">
        <v>1.4099624097363086</v>
      </c>
      <c r="AR15" s="636">
        <v>1.3663772126496099</v>
      </c>
      <c r="AS15" s="636">
        <v>1.3238690170487653</v>
      </c>
      <c r="AT15" s="636">
        <v>1.2824072585220103</v>
      </c>
      <c r="AU15" s="636">
        <v>1.2419623319980406</v>
      </c>
      <c r="AV15" s="636">
        <v>1.2025055590089764</v>
      </c>
      <c r="AW15" s="636">
        <v>1.1640091561557611</v>
      </c>
      <c r="AX15" s="636">
        <v>1.1264462047287034</v>
      </c>
      <c r="AY15" s="636">
        <v>1.0897906214379989</v>
      </c>
      <c r="AZ15" s="636">
        <v>1.0540171302108456</v>
      </c>
    </row>
    <row r="16" spans="1:52" x14ac:dyDescent="0.25">
      <c r="A16" s="644">
        <f t="shared" si="3"/>
        <v>0.29999999999999966</v>
      </c>
      <c r="B16" s="645">
        <v>0.152</v>
      </c>
      <c r="C16" s="640">
        <v>1.1728693361920621</v>
      </c>
      <c r="D16" s="640">
        <v>1.3182905605680033</v>
      </c>
      <c r="E16" s="640">
        <v>1.4696309945436417</v>
      </c>
      <c r="F16" s="641">
        <f t="shared" si="0"/>
        <v>1.3197703629679276</v>
      </c>
      <c r="Q16" s="645">
        <f t="shared" si="4"/>
        <v>2.2000000000000006E-2</v>
      </c>
      <c r="R16" s="624">
        <v>1.190402582902292</v>
      </c>
      <c r="S16" s="626">
        <v>1.3279873121617736</v>
      </c>
      <c r="T16" s="624">
        <v>1.4696309945436401</v>
      </c>
      <c r="U16" s="625">
        <f t="shared" si="1"/>
        <v>1.3290020504423699</v>
      </c>
      <c r="X16" s="651">
        <v>-0.06</v>
      </c>
      <c r="Y16" s="624">
        <v>1.18363186217415</v>
      </c>
      <c r="Z16" s="624">
        <v>1.3676436522818565</v>
      </c>
      <c r="AA16" s="624">
        <v>1.4696309945436401</v>
      </c>
      <c r="AB16" s="625">
        <f t="shared" si="2"/>
        <v>1.3471375403203758</v>
      </c>
      <c r="AN16" s="633"/>
      <c r="AO16" s="635">
        <v>0.1709</v>
      </c>
      <c r="AP16" s="636">
        <v>1.3620448794317379</v>
      </c>
      <c r="AQ16" s="636">
        <v>1.3196435142552287</v>
      </c>
      <c r="AR16" s="636">
        <v>1.2782855595878255</v>
      </c>
      <c r="AS16" s="636">
        <v>1.2379415052058937</v>
      </c>
      <c r="AT16" s="636">
        <v>1.1985827642574429</v>
      </c>
      <c r="AU16" s="636">
        <v>1.1601816418460231</v>
      </c>
      <c r="AV16" s="636">
        <v>1.1227113047651698</v>
      </c>
      <c r="AW16" s="636">
        <v>1.0861457523383415</v>
      </c>
      <c r="AX16" s="636">
        <v>1.0504597883212059</v>
      </c>
      <c r="AY16" s="636">
        <v>1.015628993824861</v>
      </c>
      <c r="AZ16" s="636">
        <v>0.98162970122041682</v>
      </c>
    </row>
    <row r="17" spans="1:52" x14ac:dyDescent="0.25">
      <c r="A17" s="646">
        <f t="shared" si="3"/>
        <v>0.24999999999999967</v>
      </c>
      <c r="B17" s="647">
        <v>0.15260000000000001</v>
      </c>
      <c r="C17" s="640">
        <v>1.1670744024278425</v>
      </c>
      <c r="D17" s="640">
        <v>1.3130249082361913</v>
      </c>
      <c r="E17" s="640">
        <v>1.4696309945436417</v>
      </c>
      <c r="F17" s="641">
        <f t="shared" si="0"/>
        <v>1.3156888033609668</v>
      </c>
      <c r="Q17" s="647">
        <f t="shared" si="4"/>
        <v>2.2500000000000006E-2</v>
      </c>
      <c r="R17" s="624">
        <v>1.1921282202529795</v>
      </c>
      <c r="S17" s="626">
        <v>1.3279873121617736</v>
      </c>
      <c r="T17" s="624">
        <v>1.4696309945436401</v>
      </c>
      <c r="U17" s="625">
        <f t="shared" si="1"/>
        <v>1.3294334597800417</v>
      </c>
      <c r="X17" s="652">
        <v>-7.0000000000000007E-2</v>
      </c>
      <c r="Y17" s="624">
        <v>1.18363186217415</v>
      </c>
      <c r="Z17" s="624">
        <v>1.3742530423018704</v>
      </c>
      <c r="AA17" s="624">
        <v>1.4696309945436401</v>
      </c>
      <c r="AB17" s="625">
        <f t="shared" si="2"/>
        <v>1.3504422353303827</v>
      </c>
      <c r="AN17" s="633"/>
      <c r="AO17" s="635">
        <v>0.18090000000000001</v>
      </c>
      <c r="AP17" s="636">
        <v>1.2741741580129107</v>
      </c>
      <c r="AQ17" s="636">
        <v>1.2339306854441596</v>
      </c>
      <c r="AR17" s="636">
        <v>1.1946696952660429</v>
      </c>
      <c r="AS17" s="636">
        <v>1.1563635807773587</v>
      </c>
      <c r="AT17" s="636">
        <v>1.1189855939787177</v>
      </c>
      <c r="AU17" s="636">
        <v>1.0825098165214964</v>
      </c>
      <c r="AV17" s="636">
        <v>1.0469111317148401</v>
      </c>
      <c r="AW17" s="636">
        <v>1.0121651975495729</v>
      </c>
      <c r="AX17" s="636">
        <v>0.9782484206995079</v>
      </c>
      <c r="AY17" s="636">
        <v>0.94513793146228897</v>
      </c>
      <c r="AZ17" s="636">
        <v>0.91281155960347549</v>
      </c>
    </row>
    <row r="18" spans="1:52" x14ac:dyDescent="0.25">
      <c r="A18" s="644">
        <f t="shared" si="3"/>
        <v>0.19999999999999968</v>
      </c>
      <c r="B18" s="645">
        <v>0.15310000000000001</v>
      </c>
      <c r="C18" s="640">
        <v>1.1622853481945199</v>
      </c>
      <c r="D18" s="640">
        <v>1.3086494721131237</v>
      </c>
      <c r="E18" s="640">
        <v>1.4696309945436417</v>
      </c>
      <c r="F18" s="641">
        <f t="shared" si="0"/>
        <v>1.3123038217411023</v>
      </c>
      <c r="Q18" s="645">
        <f t="shared" si="4"/>
        <v>2.3000000000000007E-2</v>
      </c>
      <c r="R18" s="624">
        <v>1.1938673496861589</v>
      </c>
      <c r="S18" s="626">
        <v>1.3279873121617736</v>
      </c>
      <c r="T18" s="624">
        <v>1.4696309945436401</v>
      </c>
      <c r="U18" s="625">
        <f t="shared" si="1"/>
        <v>1.3298682421383365</v>
      </c>
      <c r="X18" s="651">
        <v>-0.08</v>
      </c>
      <c r="Y18" s="624">
        <v>1.18363186217415</v>
      </c>
      <c r="Z18" s="624">
        <v>1.3808624323218843</v>
      </c>
      <c r="AA18" s="624">
        <v>1.4696309945436401</v>
      </c>
      <c r="AB18" s="625">
        <f t="shared" si="2"/>
        <v>1.3537469303403897</v>
      </c>
      <c r="AN18" s="633"/>
      <c r="AO18" s="635">
        <v>0.19089999999999999</v>
      </c>
      <c r="AP18" s="636">
        <v>1.190766324178322</v>
      </c>
      <c r="AQ18" s="636">
        <v>1.1525549459586546</v>
      </c>
      <c r="AR18" s="636">
        <v>1.1152690462143491</v>
      </c>
      <c r="AS18" s="636">
        <v>1.0788827886404013</v>
      </c>
      <c r="AT18" s="636">
        <v>1.0433711358254771</v>
      </c>
      <c r="AU18" s="636">
        <v>1.008709822376082</v>
      </c>
      <c r="AV18" s="636">
        <v>0.97487532901424956</v>
      </c>
      <c r="AW18" s="636">
        <v>0.94184485761103531</v>
      </c>
      <c r="AX18" s="636">
        <v>0.9095963071196651</v>
      </c>
      <c r="AY18" s="636">
        <v>0.87810825037370632</v>
      </c>
      <c r="AZ18" s="636">
        <v>0.84735991171697234</v>
      </c>
    </row>
    <row r="19" spans="1:52" x14ac:dyDescent="0.25">
      <c r="A19" s="646">
        <f t="shared" si="3"/>
        <v>0.14999999999999969</v>
      </c>
      <c r="B19" s="647">
        <v>0.1537</v>
      </c>
      <c r="C19" s="640">
        <v>1.1565859413555042</v>
      </c>
      <c r="D19" s="640">
        <v>1.3034140261202427</v>
      </c>
      <c r="E19" s="640">
        <v>1.4696309945436417</v>
      </c>
      <c r="F19" s="641">
        <f t="shared" si="0"/>
        <v>1.3082612470349078</v>
      </c>
      <c r="Q19" s="647">
        <f t="shared" si="4"/>
        <v>2.3500000000000007E-2</v>
      </c>
      <c r="R19" s="624">
        <v>1.1956201300568043</v>
      </c>
      <c r="S19" s="626">
        <v>1.3279873121617736</v>
      </c>
      <c r="T19" s="624">
        <v>1.4696309945436401</v>
      </c>
      <c r="U19" s="625">
        <f t="shared" si="1"/>
        <v>1.3303064372309978</v>
      </c>
      <c r="Y19" s="591"/>
      <c r="AN19" s="633"/>
      <c r="AO19" s="635">
        <v>0.2009</v>
      </c>
      <c r="AP19" s="636">
        <v>1.111561635399761</v>
      </c>
      <c r="AQ19" s="636">
        <v>1.0752646434279078</v>
      </c>
      <c r="AR19" s="636">
        <v>1.0398397761640659</v>
      </c>
      <c r="AS19" s="636">
        <v>1.0052628445673659</v>
      </c>
      <c r="AT19" s="636">
        <v>0.97151040315450932</v>
      </c>
      <c r="AU19" s="636">
        <v>0.9385597251255412</v>
      </c>
      <c r="AV19" s="636">
        <v>0.90638877838573162</v>
      </c>
      <c r="AW19" s="636">
        <v>0.87497620242904317</v>
      </c>
      <c r="AX19" s="636">
        <v>0.84430128605007737</v>
      </c>
      <c r="AY19" s="636">
        <v>0.81434394585276271</v>
      </c>
      <c r="AZ19" s="636">
        <v>0.78508470552530096</v>
      </c>
    </row>
    <row r="20" spans="1:52" x14ac:dyDescent="0.25">
      <c r="A20" s="644">
        <f t="shared" si="3"/>
        <v>9.9999999999999686E-2</v>
      </c>
      <c r="B20" s="645">
        <v>0.1542</v>
      </c>
      <c r="C20" s="640">
        <v>1.1518755132558036</v>
      </c>
      <c r="D20" s="640">
        <v>1.2990636785770189</v>
      </c>
      <c r="E20" s="640">
        <v>1.4696309945436417</v>
      </c>
      <c r="F20" s="641">
        <f t="shared" si="0"/>
        <v>1.3049084662383708</v>
      </c>
      <c r="Q20" s="645">
        <f t="shared" si="4"/>
        <v>2.4000000000000007E-2</v>
      </c>
      <c r="R20" s="624">
        <v>1.1973867227235147</v>
      </c>
      <c r="S20" s="626">
        <v>1.3279873121617736</v>
      </c>
      <c r="T20" s="624">
        <v>1.4696309945436401</v>
      </c>
      <c r="U20" s="625">
        <f t="shared" si="1"/>
        <v>1.3307480853976754</v>
      </c>
      <c r="AN20" s="633"/>
      <c r="AO20" s="635">
        <v>0.2109</v>
      </c>
      <c r="AP20" s="636">
        <v>1.0363170283185039</v>
      </c>
      <c r="AQ20" s="636">
        <v>1.0018242404607742</v>
      </c>
      <c r="AR20" s="636">
        <v>0.96815362018204687</v>
      </c>
      <c r="AS20" s="636">
        <v>0.93528251176784405</v>
      </c>
      <c r="AT20" s="636">
        <v>0.90318895184071302</v>
      </c>
      <c r="AU20" s="636">
        <v>0.87185164632865486</v>
      </c>
      <c r="AV20" s="636">
        <v>0.84124994825880306</v>
      </c>
      <c r="AW20" s="636">
        <v>0.8113638363446799</v>
      </c>
      <c r="AX20" s="636">
        <v>0.78217389433674667</v>
      </c>
      <c r="AY20" s="636">
        <v>0.75366129110712943</v>
      </c>
      <c r="AZ20" s="636">
        <v>0.72580776144060888</v>
      </c>
    </row>
    <row r="21" spans="1:52" x14ac:dyDescent="0.25">
      <c r="A21" s="646">
        <f>A20-5%</f>
        <v>4.9999999999999684E-2</v>
      </c>
      <c r="B21" s="647">
        <v>0.15479999999999999</v>
      </c>
      <c r="C21" s="640">
        <v>1.1462693020076946</v>
      </c>
      <c r="D21" s="640">
        <v>1.2938582392154423</v>
      </c>
      <c r="E21" s="640">
        <v>1.4696309945436417</v>
      </c>
      <c r="F21" s="641">
        <f t="shared" si="0"/>
        <v>1.3009041937455552</v>
      </c>
      <c r="Q21" s="647">
        <f t="shared" si="4"/>
        <v>2.4500000000000008E-2</v>
      </c>
      <c r="R21" s="624">
        <v>1.1991672915980311</v>
      </c>
      <c r="S21" s="626">
        <v>1.3279873121617736</v>
      </c>
      <c r="T21" s="624">
        <v>1.4696309945436401</v>
      </c>
      <c r="U21" s="625">
        <f t="shared" si="1"/>
        <v>1.3311932276163045</v>
      </c>
      <c r="AN21" s="633"/>
      <c r="AO21" s="635">
        <v>0.22090000000000001</v>
      </c>
      <c r="AP21" s="636">
        <v>0.96480495723028559</v>
      </c>
      <c r="AQ21" s="636">
        <v>0.93201319536925198</v>
      </c>
      <c r="AR21" s="636">
        <v>0.89999680599060716</v>
      </c>
      <c r="AS21" s="636">
        <v>0.86873456123088122</v>
      </c>
      <c r="AT21" s="636">
        <v>0.83820587813226888</v>
      </c>
      <c r="AU21" s="636">
        <v>0.80839079730817953</v>
      </c>
      <c r="AV21" s="636">
        <v>0.77926996236907153</v>
      </c>
      <c r="AW21" s="636">
        <v>0.75082460007960294</v>
      </c>
      <c r="AX21" s="636">
        <v>0.7230365012192983</v>
      </c>
      <c r="AY21" s="636">
        <v>0.69588800212004076</v>
      </c>
      <c r="AZ21" s="636">
        <v>0.66936196685483629</v>
      </c>
    </row>
    <row r="22" spans="1:52" x14ac:dyDescent="0.25">
      <c r="A22" s="644">
        <f t="shared" si="3"/>
        <v>-3.1918911957973251E-16</v>
      </c>
      <c r="B22" s="645">
        <v>0.15529999999999999</v>
      </c>
      <c r="C22" s="640">
        <v>1.1416355889688605</v>
      </c>
      <c r="D22" s="640">
        <v>1.2895328144403106</v>
      </c>
      <c r="E22" s="640">
        <v>1.4696309945436417</v>
      </c>
      <c r="F22" s="641">
        <f t="shared" si="0"/>
        <v>1.2975830530982808</v>
      </c>
      <c r="Q22" s="645">
        <f t="shared" si="4"/>
        <v>2.5000000000000008E-2</v>
      </c>
      <c r="R22" s="624">
        <v>1.2009620031959354</v>
      </c>
      <c r="S22" s="626">
        <v>1.3279873121617736</v>
      </c>
      <c r="T22" s="624">
        <v>1.4696309945436401</v>
      </c>
      <c r="U22" s="625">
        <f t="shared" si="1"/>
        <v>1.3316419055157807</v>
      </c>
      <c r="AN22" s="633"/>
      <c r="AO22" s="635">
        <v>0.23089999999999999</v>
      </c>
      <c r="AP22" s="636">
        <v>0.89681231940816419</v>
      </c>
      <c r="AQ22" s="636">
        <v>0.86562492635860544</v>
      </c>
      <c r="AR22" s="636">
        <v>0.83516905552200726</v>
      </c>
      <c r="AS22" s="636">
        <v>0.8054248092027283</v>
      </c>
      <c r="AT22" s="636">
        <v>0.77637289066969772</v>
      </c>
      <c r="AU22" s="636">
        <v>0.7479945843857323</v>
      </c>
      <c r="AV22" s="636">
        <v>0.72027173693759583</v>
      </c>
      <c r="AW22" s="636">
        <v>0.69318673864027758</v>
      </c>
      <c r="AX22" s="636">
        <v>0.66672250578998482</v>
      </c>
      <c r="AY22" s="636">
        <v>0.64086246354138277</v>
      </c>
      <c r="AZ22" s="636">
        <v>0.61559052938558712</v>
      </c>
    </row>
    <row r="23" spans="1:52" x14ac:dyDescent="0.25">
      <c r="A23" s="392"/>
      <c r="Q23" s="647">
        <f>Q22+0.05%</f>
        <v>2.5500000000000009E-2</v>
      </c>
      <c r="R23" s="624">
        <v>1.2027710266885601</v>
      </c>
      <c r="S23" s="626">
        <v>1.3279873121617736</v>
      </c>
      <c r="T23" s="624">
        <v>1.4696309945436401</v>
      </c>
      <c r="U23" s="625">
        <f t="shared" si="1"/>
        <v>1.3320941613889368</v>
      </c>
      <c r="AN23" s="633"/>
      <c r="AO23" s="635">
        <v>0.2409</v>
      </c>
      <c r="AP23" s="636">
        <v>0.83213946034174546</v>
      </c>
      <c r="AQ23" s="636">
        <v>0.8024658525479339</v>
      </c>
      <c r="AR23" s="636">
        <v>0.77348266034421131</v>
      </c>
      <c r="AS23" s="636">
        <v>0.74517122569787986</v>
      </c>
      <c r="AT23" s="636">
        <v>0.71751345081612006</v>
      </c>
      <c r="AU23" s="636">
        <v>0.69049177981678633</v>
      </c>
      <c r="AV23" s="636">
        <v>0.66408918104540093</v>
      </c>
      <c r="AW23" s="636">
        <v>0.63828913001399146</v>
      </c>
      <c r="AX23" s="636">
        <v>0.61307559293835545</v>
      </c>
      <c r="AY23" s="636">
        <v>0.5884330108513397</v>
      </c>
      <c r="AZ23" s="636">
        <v>0.56434628427052347</v>
      </c>
    </row>
    <row r="24" spans="1:52" x14ac:dyDescent="0.25">
      <c r="A24" s="392"/>
      <c r="G24" s="591"/>
      <c r="Q24" s="645">
        <f t="shared" si="4"/>
        <v>2.6000000000000009E-2</v>
      </c>
      <c r="R24" s="624">
        <v>1.2045945339561455</v>
      </c>
      <c r="S24" s="626">
        <v>1.3279873121617736</v>
      </c>
      <c r="T24" s="624">
        <v>1.4696309945436401</v>
      </c>
      <c r="U24" s="625">
        <f t="shared" si="1"/>
        <v>1.3325500382058331</v>
      </c>
      <c r="AN24" s="633"/>
      <c r="AO24" s="635">
        <v>0.25090000000000001</v>
      </c>
      <c r="AP24" s="636">
        <v>0.77059925255618877</v>
      </c>
      <c r="AQ24" s="636">
        <v>0.74235450574449846</v>
      </c>
      <c r="AR24" s="636">
        <v>0.71476162512974095</v>
      </c>
      <c r="AS24" s="636">
        <v>0.68780310845304959</v>
      </c>
      <c r="AT24" s="636">
        <v>0.66146197593599176</v>
      </c>
      <c r="AU24" s="636">
        <v>0.63572175328076219</v>
      </c>
      <c r="AV24" s="636">
        <v>0.61056645526650477</v>
      </c>
      <c r="AW24" s="636">
        <v>0.58598056991941805</v>
      </c>
      <c r="AX24" s="636">
        <v>0.56194904323516504</v>
      </c>
      <c r="AY24" s="636">
        <v>0.53845726443297037</v>
      </c>
      <c r="AZ24" s="636">
        <v>0.51549105172160514</v>
      </c>
    </row>
    <row r="25" spans="1:52" ht="15.75" thickBot="1" x14ac:dyDescent="0.3">
      <c r="A25" s="643" t="s">
        <v>978</v>
      </c>
      <c r="B25" s="643" t="s">
        <v>9</v>
      </c>
      <c r="C25" s="642" t="s">
        <v>801</v>
      </c>
      <c r="D25" s="642" t="s">
        <v>802</v>
      </c>
      <c r="E25" s="642" t="s">
        <v>977</v>
      </c>
      <c r="F25" s="642" t="s">
        <v>828</v>
      </c>
      <c r="G25" s="591"/>
      <c r="Q25" s="647">
        <f t="shared" si="4"/>
        <v>2.650000000000001E-2</v>
      </c>
      <c r="R25" s="624">
        <v>1.2064326996422805</v>
      </c>
      <c r="S25" s="626">
        <v>1.3279873121617736</v>
      </c>
      <c r="T25" s="624">
        <v>1.4696309945436401</v>
      </c>
      <c r="U25" s="625">
        <f t="shared" si="1"/>
        <v>1.3330095796273669</v>
      </c>
      <c r="AO25" s="633"/>
      <c r="AP25" s="633"/>
      <c r="AQ25" s="633"/>
      <c r="AR25" s="633"/>
      <c r="AS25" s="633"/>
      <c r="AT25" s="633"/>
      <c r="AU25" s="633"/>
      <c r="AV25" s="633"/>
      <c r="AW25" s="633"/>
      <c r="AX25" s="633"/>
      <c r="AY25" s="633"/>
      <c r="AZ25" s="633"/>
    </row>
    <row r="26" spans="1:52" x14ac:dyDescent="0.25">
      <c r="A26" s="649" t="s">
        <v>979</v>
      </c>
      <c r="B26" s="650">
        <v>0.15090000000000001</v>
      </c>
      <c r="C26" s="640">
        <v>1.1836318621741548</v>
      </c>
      <c r="D26" s="640">
        <v>1.3279873121617736</v>
      </c>
      <c r="E26" s="640">
        <v>1.4696309945436417</v>
      </c>
      <c r="F26" s="641">
        <f>C26*0.25+D26*0.5+E26*0.25</f>
        <v>1.3273093702603358</v>
      </c>
      <c r="Q26" s="645">
        <f t="shared" si="4"/>
        <v>2.700000000000001E-2</v>
      </c>
      <c r="R26" s="624">
        <v>1.2082857012096597</v>
      </c>
      <c r="S26" s="626">
        <v>1.3279873121617736</v>
      </c>
      <c r="T26" s="624">
        <v>1.4696309945436401</v>
      </c>
      <c r="U26" s="625">
        <f t="shared" si="1"/>
        <v>1.3334728300192118</v>
      </c>
      <c r="AO26" s="591"/>
    </row>
    <row r="27" spans="1:52" x14ac:dyDescent="0.25">
      <c r="A27" s="648" t="s">
        <v>980</v>
      </c>
      <c r="B27" s="648">
        <v>0.1333</v>
      </c>
      <c r="C27" s="640">
        <v>1.3843511892992248</v>
      </c>
      <c r="D27" s="640">
        <v>1.4910168052209556</v>
      </c>
      <c r="E27" s="640">
        <v>1.4696309945436417</v>
      </c>
      <c r="F27" s="641">
        <f t="shared" ref="F27:F29" si="5">C27*0.25+D27*0.5+E27*0.25</f>
        <v>1.4590039485711943</v>
      </c>
      <c r="Q27" s="647">
        <f t="shared" si="4"/>
        <v>2.7500000000000011E-2</v>
      </c>
      <c r="R27" s="624">
        <v>1.210153718997196</v>
      </c>
      <c r="S27" s="626">
        <v>1.3279873121617736</v>
      </c>
      <c r="T27" s="624">
        <v>1.4696309945436401</v>
      </c>
      <c r="U27" s="625">
        <f t="shared" si="1"/>
        <v>1.3339398344660958</v>
      </c>
    </row>
    <row r="28" spans="1:52" x14ac:dyDescent="0.25">
      <c r="A28" s="649" t="s">
        <v>982</v>
      </c>
      <c r="B28" s="650">
        <v>0.12429999999999999</v>
      </c>
      <c r="C28" s="640">
        <v>1.5132387806223511</v>
      </c>
      <c r="D28" s="640">
        <v>1.5804497064606406</v>
      </c>
      <c r="E28" s="640">
        <v>1.4696309945436417</v>
      </c>
      <c r="F28" s="641">
        <f t="shared" si="5"/>
        <v>1.5359422970218184</v>
      </c>
      <c r="Q28" s="645">
        <f>Q27+0.05%</f>
        <v>2.8000000000000011E-2</v>
      </c>
      <c r="R28" s="624">
        <v>1.2120369362785284</v>
      </c>
      <c r="S28" s="626">
        <v>1.3279873121617736</v>
      </c>
      <c r="T28" s="624">
        <v>1.4696309945436401</v>
      </c>
      <c r="U28" s="625">
        <f t="shared" si="1"/>
        <v>1.334410638786429</v>
      </c>
    </row>
    <row r="29" spans="1:52" x14ac:dyDescent="0.25">
      <c r="A29" s="648" t="s">
        <v>981</v>
      </c>
      <c r="B29" s="648">
        <v>0.1067</v>
      </c>
      <c r="C29" s="640">
        <v>1.8427504420981398</v>
      </c>
      <c r="D29" s="640">
        <v>1.7683234627129116</v>
      </c>
      <c r="E29" s="640">
        <v>1.4696309945436417</v>
      </c>
      <c r="F29" s="641">
        <f t="shared" si="5"/>
        <v>1.7122570905169012</v>
      </c>
      <c r="Q29" s="647">
        <f t="shared" si="4"/>
        <v>2.8500000000000011E-2</v>
      </c>
      <c r="R29" s="624">
        <v>1.2139355393219629</v>
      </c>
      <c r="S29" s="626">
        <v>1.3279873121617736</v>
      </c>
      <c r="T29" s="624">
        <v>1.4696309945436401</v>
      </c>
      <c r="U29" s="625">
        <f t="shared" si="1"/>
        <v>1.3348852895472876</v>
      </c>
    </row>
    <row r="30" spans="1:52" s="591" customFormat="1" x14ac:dyDescent="0.25">
      <c r="Q30" s="645">
        <f t="shared" si="4"/>
        <v>2.9000000000000012E-2</v>
      </c>
      <c r="R30" s="624">
        <v>1.2158497174518901</v>
      </c>
      <c r="S30" s="626">
        <v>1.3279873121617736</v>
      </c>
      <c r="T30" s="624">
        <v>1.4696309945436401</v>
      </c>
      <c r="U30" s="625">
        <f t="shared" si="1"/>
        <v>1.3353638340797693</v>
      </c>
    </row>
    <row r="31" spans="1:52" x14ac:dyDescent="0.25">
      <c r="C31" s="591"/>
      <c r="D31" s="591"/>
      <c r="E31" s="591"/>
      <c r="F31" s="591"/>
      <c r="Q31" s="647">
        <f>Q30+0.05%</f>
        <v>2.9500000000000012E-2</v>
      </c>
      <c r="R31" s="624">
        <v>1.2177796631117179</v>
      </c>
      <c r="S31" s="626">
        <v>1.3279873121617736</v>
      </c>
      <c r="T31" s="624">
        <v>1.4696309945436401</v>
      </c>
      <c r="U31" s="625">
        <f t="shared" si="1"/>
        <v>1.3358463204947262</v>
      </c>
    </row>
    <row r="32" spans="1:52" x14ac:dyDescent="0.25">
      <c r="Q32" s="645">
        <f t="shared" si="4"/>
        <v>3.0000000000000013E-2</v>
      </c>
      <c r="R32" s="624">
        <v>1.2197255719283677</v>
      </c>
      <c r="S32" s="626">
        <v>1.3279873121617736</v>
      </c>
      <c r="T32" s="624">
        <v>1.4696309945436401</v>
      </c>
      <c r="U32" s="625">
        <f t="shared" si="1"/>
        <v>1.3363327976988888</v>
      </c>
    </row>
    <row r="86" spans="1:16" x14ac:dyDescent="0.25">
      <c r="A86" s="623"/>
    </row>
    <row r="88" spans="1:16" x14ac:dyDescent="0.25">
      <c r="P88" s="633"/>
    </row>
    <row r="89" spans="1:16" x14ac:dyDescent="0.25">
      <c r="P89" s="633"/>
    </row>
    <row r="90" spans="1:16" x14ac:dyDescent="0.25">
      <c r="P90" s="633"/>
    </row>
    <row r="91" spans="1:16" x14ac:dyDescent="0.25">
      <c r="P91" s="633"/>
    </row>
    <row r="92" spans="1:16" x14ac:dyDescent="0.25">
      <c r="P92" s="633"/>
    </row>
    <row r="93" spans="1:16" x14ac:dyDescent="0.25">
      <c r="P93" s="633"/>
    </row>
    <row r="94" spans="1:16" x14ac:dyDescent="0.25">
      <c r="P94" s="633"/>
    </row>
    <row r="95" spans="1:16" x14ac:dyDescent="0.25">
      <c r="P95" s="633"/>
    </row>
    <row r="96" spans="1:16" x14ac:dyDescent="0.25">
      <c r="P96" s="633"/>
    </row>
    <row r="97" spans="14:16" x14ac:dyDescent="0.25">
      <c r="P97" s="633"/>
    </row>
    <row r="98" spans="14:16" x14ac:dyDescent="0.25">
      <c r="P98" s="633"/>
    </row>
    <row r="99" spans="14:16" x14ac:dyDescent="0.25">
      <c r="P99" s="633"/>
    </row>
    <row r="100" spans="14:16" x14ac:dyDescent="0.25">
      <c r="P100" s="633"/>
    </row>
    <row r="101" spans="14:16" x14ac:dyDescent="0.25">
      <c r="P101" s="633"/>
    </row>
    <row r="102" spans="14:16" x14ac:dyDescent="0.25">
      <c r="P102" s="633"/>
    </row>
    <row r="103" spans="14:16" x14ac:dyDescent="0.25">
      <c r="P103" s="633"/>
    </row>
    <row r="104" spans="14:16" x14ac:dyDescent="0.25">
      <c r="P104" s="633"/>
    </row>
    <row r="105" spans="14:16" x14ac:dyDescent="0.25">
      <c r="P105" s="633"/>
    </row>
    <row r="106" spans="14:16" x14ac:dyDescent="0.25">
      <c r="P106" s="633"/>
    </row>
    <row r="107" spans="14:16" x14ac:dyDescent="0.25">
      <c r="P107" s="633"/>
    </row>
    <row r="108" spans="14:16" x14ac:dyDescent="0.25">
      <c r="P108" s="633"/>
    </row>
    <row r="109" spans="14:16" x14ac:dyDescent="0.25">
      <c r="P109" s="633"/>
    </row>
    <row r="110" spans="14:16" x14ac:dyDescent="0.25">
      <c r="P110" s="633"/>
    </row>
    <row r="111" spans="14:16" x14ac:dyDescent="0.25">
      <c r="N111" s="633"/>
      <c r="O111" s="633"/>
      <c r="P111" s="633"/>
    </row>
  </sheetData>
  <conditionalFormatting sqref="AP5:AZ24">
    <cfRule type="colorScale" priority="5">
      <colorScale>
        <cfvo type="min"/>
        <cfvo type="percentile" val="50"/>
        <cfvo type="max"/>
        <color rgb="FFF8696B"/>
        <color rgb="FFFFEB84"/>
        <color rgb="FF63BE7B"/>
      </colorScale>
    </cfRule>
  </conditionalFormatting>
  <conditionalFormatting sqref="C26:F29">
    <cfRule type="colorScale" priority="4">
      <colorScale>
        <cfvo type="min"/>
        <cfvo type="percentile" val="50"/>
        <cfvo type="max"/>
        <color rgb="FFF8696B"/>
        <color rgb="FFFFEB84"/>
        <color rgb="FF63BE7B"/>
      </colorScale>
    </cfRule>
  </conditionalFormatting>
  <conditionalFormatting sqref="C2:F22">
    <cfRule type="colorScale" priority="3">
      <colorScale>
        <cfvo type="min"/>
        <cfvo type="percentile" val="50"/>
        <cfvo type="max"/>
        <color rgb="FFF8696B"/>
        <color rgb="FFFFEB84"/>
        <color rgb="FF63BE7B"/>
      </colorScale>
    </cfRule>
  </conditionalFormatting>
  <conditionalFormatting sqref="R2:U32">
    <cfRule type="colorScale" priority="2">
      <colorScale>
        <cfvo type="min"/>
        <cfvo type="percentile" val="50"/>
        <cfvo type="max"/>
        <color rgb="FFF8696B"/>
        <color rgb="FFFFEB84"/>
        <color rgb="FF63BE7B"/>
      </colorScale>
    </cfRule>
  </conditionalFormatting>
  <conditionalFormatting sqref="Z2:AB18">
    <cfRule type="colorScale" priority="1">
      <colorScale>
        <cfvo type="min"/>
        <cfvo type="percentile" val="50"/>
        <cfvo type="max"/>
        <color rgb="FFF8696B"/>
        <color rgb="FFFFEB84"/>
        <color rgb="FF63BE7B"/>
      </colorScale>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496B0"/>
  </sheetPr>
  <dimension ref="A2:AK1027"/>
  <sheetViews>
    <sheetView showGridLines="0" workbookViewId="0">
      <pane xSplit="5" ySplit="9" topLeftCell="F83" activePane="bottomRight" state="frozen"/>
      <selection pane="topRight" activeCell="F1" sqref="F1"/>
      <selection pane="bottomLeft" activeCell="A10" sqref="A10"/>
      <selection pane="bottomRight" activeCell="Y45" sqref="Y45"/>
    </sheetView>
  </sheetViews>
  <sheetFormatPr defaultColWidth="14.42578125" defaultRowHeight="15" customHeight="1" outlineLevelCol="1" x14ac:dyDescent="0.25"/>
  <cols>
    <col min="1" max="2" width="2.7109375" customWidth="1"/>
    <col min="3" max="3" width="1.42578125" customWidth="1"/>
    <col min="4" max="4" width="3.42578125" customWidth="1"/>
    <col min="5" max="5" width="44.42578125" customWidth="1"/>
    <col min="6" max="7" width="11.140625" customWidth="1"/>
    <col min="8" max="8" width="13.42578125" customWidth="1" outlineLevel="1"/>
    <col min="9" max="10" width="13.42578125" customWidth="1"/>
    <col min="11" max="15" width="11.7109375" customWidth="1"/>
    <col min="16" max="16" width="13.28515625" customWidth="1"/>
    <col min="17" max="25" width="11.7109375" customWidth="1"/>
    <col min="26" max="37" width="9.140625" customWidth="1"/>
  </cols>
  <sheetData>
    <row r="2" spans="1:37" x14ac:dyDescent="0.25">
      <c r="A2" s="1"/>
      <c r="B2" s="1"/>
      <c r="C2" s="1"/>
      <c r="D2" s="2" t="s">
        <v>210</v>
      </c>
      <c r="E2" s="1"/>
      <c r="F2" s="1"/>
      <c r="G2" s="1"/>
      <c r="H2" s="601" t="s">
        <v>211</v>
      </c>
      <c r="I2" s="602"/>
      <c r="J2" s="602"/>
      <c r="K2" s="602"/>
      <c r="L2" s="602"/>
      <c r="M2" s="602"/>
      <c r="N2" s="599"/>
      <c r="O2" s="1"/>
      <c r="P2" s="1"/>
      <c r="Q2" s="1"/>
      <c r="R2" s="1"/>
      <c r="S2" s="1"/>
      <c r="T2" s="1"/>
      <c r="U2" s="1"/>
      <c r="V2" s="1"/>
      <c r="W2" s="1"/>
      <c r="X2" s="1"/>
      <c r="Y2" s="1"/>
      <c r="Z2" s="1"/>
      <c r="AA2" s="1"/>
      <c r="AB2" s="1"/>
      <c r="AC2" s="1"/>
      <c r="AD2" s="1"/>
      <c r="AE2" s="1"/>
      <c r="AF2" s="1"/>
      <c r="AG2" s="1"/>
      <c r="AH2" s="1"/>
      <c r="AI2" s="1"/>
      <c r="AJ2" s="1"/>
      <c r="AK2" s="1"/>
    </row>
    <row r="3" spans="1:37" ht="9" customHeight="1" x14ac:dyDescent="0.25">
      <c r="C3" s="1"/>
      <c r="D3" s="1"/>
      <c r="E3" s="1"/>
      <c r="F3" s="1"/>
      <c r="G3" s="1"/>
      <c r="H3" s="1"/>
      <c r="I3" s="1"/>
      <c r="J3" s="1"/>
      <c r="K3" s="1"/>
      <c r="L3" s="1"/>
      <c r="M3" s="1"/>
      <c r="N3" s="1"/>
      <c r="O3" s="1"/>
      <c r="P3" s="1"/>
      <c r="Q3" s="1"/>
      <c r="R3" s="1"/>
      <c r="S3" s="1"/>
      <c r="T3" s="1"/>
      <c r="U3" s="1"/>
      <c r="V3" s="1"/>
      <c r="W3" s="1"/>
      <c r="X3" s="1"/>
      <c r="Y3" s="1"/>
    </row>
    <row r="4" spans="1:37" x14ac:dyDescent="0.25">
      <c r="C4" s="3"/>
      <c r="D4" s="4" t="s">
        <v>212</v>
      </c>
      <c r="E4" s="3"/>
      <c r="F4" s="5" t="s">
        <v>213</v>
      </c>
      <c r="G4" s="5"/>
      <c r="H4" s="4">
        <f>'&gt;&gt; Inputs'!G17</f>
        <v>2017</v>
      </c>
      <c r="I4" s="4">
        <f t="shared" ref="I4:Y4" si="0">H4 + 1</f>
        <v>2018</v>
      </c>
      <c r="J4" s="4">
        <f t="shared" si="0"/>
        <v>2019</v>
      </c>
      <c r="K4" s="4">
        <f t="shared" si="0"/>
        <v>2020</v>
      </c>
      <c r="L4" s="4">
        <f t="shared" si="0"/>
        <v>2021</v>
      </c>
      <c r="M4" s="4">
        <f t="shared" si="0"/>
        <v>2022</v>
      </c>
      <c r="N4" s="4">
        <f t="shared" si="0"/>
        <v>2023</v>
      </c>
      <c r="O4" s="4">
        <f t="shared" si="0"/>
        <v>2024</v>
      </c>
      <c r="P4" s="4">
        <f t="shared" si="0"/>
        <v>2025</v>
      </c>
      <c r="Q4" s="4">
        <f t="shared" si="0"/>
        <v>2026</v>
      </c>
      <c r="R4" s="4">
        <f t="shared" si="0"/>
        <v>2027</v>
      </c>
      <c r="S4" s="4">
        <f t="shared" si="0"/>
        <v>2028</v>
      </c>
      <c r="T4" s="4">
        <f t="shared" si="0"/>
        <v>2029</v>
      </c>
      <c r="U4" s="4">
        <f t="shared" si="0"/>
        <v>2030</v>
      </c>
      <c r="V4" s="4">
        <f t="shared" si="0"/>
        <v>2031</v>
      </c>
      <c r="W4" s="4">
        <f t="shared" si="0"/>
        <v>2032</v>
      </c>
      <c r="X4" s="4">
        <f t="shared" si="0"/>
        <v>2033</v>
      </c>
      <c r="Y4" s="4">
        <f t="shared" si="0"/>
        <v>2034</v>
      </c>
    </row>
    <row r="5" spans="1:37" ht="12.75" customHeight="1" x14ac:dyDescent="0.25">
      <c r="C5" s="6"/>
      <c r="D5" s="6"/>
      <c r="E5" s="6" t="s">
        <v>214</v>
      </c>
      <c r="F5" s="7" t="s">
        <v>169</v>
      </c>
      <c r="G5" s="7"/>
      <c r="H5" s="10">
        <f t="shared" ref="H5:M5" si="1">I5-1</f>
        <v>-6</v>
      </c>
      <c r="I5" s="10">
        <f t="shared" si="1"/>
        <v>-5</v>
      </c>
      <c r="J5" s="10">
        <f t="shared" si="1"/>
        <v>-4</v>
      </c>
      <c r="K5" s="10">
        <f t="shared" si="1"/>
        <v>-3</v>
      </c>
      <c r="L5" s="10">
        <f t="shared" si="1"/>
        <v>-2</v>
      </c>
      <c r="M5" s="10">
        <f t="shared" si="1"/>
        <v>-1</v>
      </c>
      <c r="N5" s="10">
        <v>0</v>
      </c>
      <c r="O5" s="10">
        <v>0</v>
      </c>
      <c r="P5" s="10">
        <f t="shared" ref="P5:Y5" si="2">O5 + 1</f>
        <v>1</v>
      </c>
      <c r="Q5" s="10">
        <f t="shared" si="2"/>
        <v>2</v>
      </c>
      <c r="R5" s="10">
        <f t="shared" si="2"/>
        <v>3</v>
      </c>
      <c r="S5" s="10">
        <f t="shared" si="2"/>
        <v>4</v>
      </c>
      <c r="T5" s="10">
        <f t="shared" si="2"/>
        <v>5</v>
      </c>
      <c r="U5" s="10">
        <f t="shared" si="2"/>
        <v>6</v>
      </c>
      <c r="V5" s="10">
        <f t="shared" si="2"/>
        <v>7</v>
      </c>
      <c r="W5" s="10">
        <f t="shared" si="2"/>
        <v>8</v>
      </c>
      <c r="X5" s="10">
        <f t="shared" si="2"/>
        <v>9</v>
      </c>
      <c r="Y5" s="10">
        <f t="shared" si="2"/>
        <v>10</v>
      </c>
    </row>
    <row r="6" spans="1:37" ht="12.75" customHeight="1" x14ac:dyDescent="0.25">
      <c r="C6" s="6"/>
      <c r="D6" s="6"/>
      <c r="E6" s="6" t="s">
        <v>215</v>
      </c>
      <c r="F6" s="9" t="s">
        <v>216</v>
      </c>
      <c r="G6" s="9"/>
      <c r="H6" s="10">
        <v>0</v>
      </c>
      <c r="I6" s="10">
        <v>0</v>
      </c>
      <c r="J6" s="10">
        <v>0</v>
      </c>
      <c r="K6" s="10">
        <v>0.5</v>
      </c>
      <c r="L6" s="10">
        <f t="shared" ref="L6:Y6" si="3">K6 + 1</f>
        <v>1.5</v>
      </c>
      <c r="M6" s="10">
        <f t="shared" si="3"/>
        <v>2.5</v>
      </c>
      <c r="N6" s="10">
        <f t="shared" si="3"/>
        <v>3.5</v>
      </c>
      <c r="O6" s="10">
        <f t="shared" si="3"/>
        <v>4.5</v>
      </c>
      <c r="P6" s="10">
        <f t="shared" si="3"/>
        <v>5.5</v>
      </c>
      <c r="Q6" s="10">
        <f t="shared" si="3"/>
        <v>6.5</v>
      </c>
      <c r="R6" s="10">
        <f t="shared" si="3"/>
        <v>7.5</v>
      </c>
      <c r="S6" s="10">
        <f t="shared" si="3"/>
        <v>8.5</v>
      </c>
      <c r="T6" s="10">
        <f t="shared" si="3"/>
        <v>9.5</v>
      </c>
      <c r="U6" s="10">
        <f t="shared" si="3"/>
        <v>10.5</v>
      </c>
      <c r="V6" s="10">
        <f t="shared" si="3"/>
        <v>11.5</v>
      </c>
      <c r="W6" s="10">
        <f t="shared" si="3"/>
        <v>12.5</v>
      </c>
      <c r="X6" s="10">
        <f t="shared" si="3"/>
        <v>13.5</v>
      </c>
      <c r="Y6" s="10">
        <f t="shared" si="3"/>
        <v>14.5</v>
      </c>
    </row>
    <row r="7" spans="1:37" ht="12.75" customHeight="1" x14ac:dyDescent="0.25">
      <c r="C7" s="6"/>
      <c r="D7" s="6"/>
      <c r="E7" s="6" t="s">
        <v>217</v>
      </c>
      <c r="F7" s="9" t="s">
        <v>5</v>
      </c>
      <c r="G7" s="9"/>
      <c r="H7" s="11">
        <f>EOMONTH( H8, -12 ) + 1</f>
        <v>42552</v>
      </c>
      <c r="I7" s="160">
        <f t="shared" ref="I7:Y7" si="4">H8 + 1</f>
        <v>42917</v>
      </c>
      <c r="J7" s="160">
        <f t="shared" si="4"/>
        <v>43282</v>
      </c>
      <c r="K7" s="160">
        <f t="shared" si="4"/>
        <v>43647</v>
      </c>
      <c r="L7" s="160">
        <f t="shared" si="4"/>
        <v>44013</v>
      </c>
      <c r="M7" s="160">
        <f t="shared" si="4"/>
        <v>44378</v>
      </c>
      <c r="N7" s="160">
        <f t="shared" si="4"/>
        <v>44743</v>
      </c>
      <c r="O7" s="160">
        <f t="shared" si="4"/>
        <v>45108</v>
      </c>
      <c r="P7" s="160">
        <f t="shared" si="4"/>
        <v>45474</v>
      </c>
      <c r="Q7" s="160">
        <f t="shared" si="4"/>
        <v>45839</v>
      </c>
      <c r="R7" s="160">
        <f t="shared" si="4"/>
        <v>46204</v>
      </c>
      <c r="S7" s="160">
        <f t="shared" si="4"/>
        <v>46569</v>
      </c>
      <c r="T7" s="160">
        <f t="shared" si="4"/>
        <v>46935</v>
      </c>
      <c r="U7" s="160">
        <f t="shared" si="4"/>
        <v>47300</v>
      </c>
      <c r="V7" s="160">
        <f t="shared" si="4"/>
        <v>47665</v>
      </c>
      <c r="W7" s="160">
        <f t="shared" si="4"/>
        <v>48030</v>
      </c>
      <c r="X7" s="160">
        <f t="shared" si="4"/>
        <v>48396</v>
      </c>
      <c r="Y7" s="160">
        <f t="shared" si="4"/>
        <v>48761</v>
      </c>
    </row>
    <row r="8" spans="1:37" ht="12.75" customHeight="1" x14ac:dyDescent="0.25">
      <c r="C8" s="6"/>
      <c r="D8" s="6"/>
      <c r="E8" s="6" t="s">
        <v>218</v>
      </c>
      <c r="F8" s="9" t="s">
        <v>5</v>
      </c>
      <c r="G8" s="9"/>
      <c r="H8" s="11">
        <f>'&gt;&gt; Inputs'!G18</f>
        <v>42916</v>
      </c>
      <c r="I8" s="11">
        <f t="shared" ref="I8:Y8" si="5">EOMONTH( I7, 11 )</f>
        <v>43281</v>
      </c>
      <c r="J8" s="11">
        <f t="shared" si="5"/>
        <v>43646</v>
      </c>
      <c r="K8" s="11">
        <f t="shared" si="5"/>
        <v>44012</v>
      </c>
      <c r="L8" s="11">
        <f t="shared" si="5"/>
        <v>44377</v>
      </c>
      <c r="M8" s="11">
        <f t="shared" si="5"/>
        <v>44742</v>
      </c>
      <c r="N8" s="11">
        <f t="shared" si="5"/>
        <v>45107</v>
      </c>
      <c r="O8" s="11">
        <f t="shared" si="5"/>
        <v>45473</v>
      </c>
      <c r="P8" s="11">
        <f t="shared" si="5"/>
        <v>45838</v>
      </c>
      <c r="Q8" s="11">
        <f t="shared" si="5"/>
        <v>46203</v>
      </c>
      <c r="R8" s="11">
        <f t="shared" si="5"/>
        <v>46568</v>
      </c>
      <c r="S8" s="11">
        <f t="shared" si="5"/>
        <v>46934</v>
      </c>
      <c r="T8" s="11">
        <f t="shared" si="5"/>
        <v>47299</v>
      </c>
      <c r="U8" s="11">
        <f t="shared" si="5"/>
        <v>47664</v>
      </c>
      <c r="V8" s="11">
        <f t="shared" si="5"/>
        <v>48029</v>
      </c>
      <c r="W8" s="11">
        <f t="shared" si="5"/>
        <v>48395</v>
      </c>
      <c r="X8" s="11">
        <f t="shared" si="5"/>
        <v>48760</v>
      </c>
      <c r="Y8" s="11">
        <f t="shared" si="5"/>
        <v>49125</v>
      </c>
    </row>
    <row r="9" spans="1:37" ht="12.75" customHeight="1" x14ac:dyDescent="0.25">
      <c r="C9" s="6"/>
      <c r="D9" s="6"/>
      <c r="E9" s="6" t="s">
        <v>219</v>
      </c>
      <c r="F9" s="9" t="s">
        <v>11</v>
      </c>
      <c r="G9" s="9"/>
      <c r="H9" s="12" t="str">
        <f ca="1">IF( H8 &gt; '&gt;&gt; Inputs'!$G20, "Forecast", "Actual" )</f>
        <v>Actual</v>
      </c>
      <c r="I9" s="12" t="str">
        <f ca="1">IF( I8 &gt; '&gt;&gt; Inputs'!$G20, "Forecast", "Actual" )</f>
        <v>Actual</v>
      </c>
      <c r="J9" s="12" t="str">
        <f ca="1">IF( J8 &gt; '&gt;&gt; Inputs'!$G20, "Forecast", "Actual" )</f>
        <v>Actual</v>
      </c>
      <c r="K9" s="12" t="str">
        <f ca="1">IF( K8 &gt; '&gt;&gt; Inputs'!$G20, "Forecast", "Actual" )</f>
        <v>Actual</v>
      </c>
      <c r="L9" s="12" t="str">
        <f ca="1">IF( L8 &gt; '&gt;&gt; Inputs'!$G20, "Forecast", "Actual" )</f>
        <v>Actual</v>
      </c>
      <c r="M9" s="12" t="str">
        <f ca="1">IF( M8 &gt; '&gt;&gt; Inputs'!$G20, "Forecast", "Actual" )</f>
        <v>Actual</v>
      </c>
      <c r="N9" s="12" t="str">
        <f ca="1">IF( N8 &gt; '&gt;&gt; Inputs'!$G20, "Forecast", "Actual" )</f>
        <v>Actual</v>
      </c>
      <c r="O9" s="12" t="str">
        <f ca="1">IF( O8 &gt; '&gt;&gt; Inputs'!$G20, "Forecast", "Actual" )</f>
        <v>Actual</v>
      </c>
      <c r="P9" s="12" t="str">
        <f ca="1">IF( P8 &gt; '&gt;&gt; Inputs'!$G20, "Forecast", "Actual" )</f>
        <v>Forecast</v>
      </c>
      <c r="Q9" s="12" t="str">
        <f ca="1">IF( Q8 &gt; '&gt;&gt; Inputs'!$G20, "Forecast", "Actual" )</f>
        <v>Forecast</v>
      </c>
      <c r="R9" s="12" t="str">
        <f ca="1">IF( R8 &gt; '&gt;&gt; Inputs'!$G20, "Forecast", "Actual" )</f>
        <v>Forecast</v>
      </c>
      <c r="S9" s="12" t="str">
        <f ca="1">IF( S8 &gt; '&gt;&gt; Inputs'!$G20, "Forecast", "Actual" )</f>
        <v>Forecast</v>
      </c>
      <c r="T9" s="12" t="str">
        <f ca="1">IF( T8 &gt; '&gt;&gt; Inputs'!$G20, "Forecast", "Actual" )</f>
        <v>Forecast</v>
      </c>
      <c r="U9" s="12" t="str">
        <f ca="1">IF( U8 &gt; '&gt;&gt; Inputs'!$G20, "Forecast", "Actual" )</f>
        <v>Forecast</v>
      </c>
      <c r="V9" s="12" t="str">
        <f ca="1">IF( V8 &gt; '&gt;&gt; Inputs'!$G20, "Forecast", "Actual" )</f>
        <v>Forecast</v>
      </c>
      <c r="W9" s="12" t="str">
        <f ca="1">IF( W8 &gt; '&gt;&gt; Inputs'!$G20, "Forecast", "Actual" )</f>
        <v>Forecast</v>
      </c>
      <c r="X9" s="12" t="str">
        <f ca="1">IF( X8 &gt; '&gt;&gt; Inputs'!$G20, "Forecast", "Actual" )</f>
        <v>Forecast</v>
      </c>
      <c r="Y9" s="12" t="str">
        <f ca="1">IF( Y8 &gt; '&gt;&gt; Inputs'!$G20, "Forecast", "Actual" )</f>
        <v>Forecast</v>
      </c>
    </row>
    <row r="10" spans="1:37" ht="10.5" customHeight="1" x14ac:dyDescent="0.25">
      <c r="C10" s="13"/>
      <c r="D10" s="13"/>
      <c r="E10" s="13"/>
      <c r="F10" s="13"/>
      <c r="G10" s="13"/>
      <c r="H10" s="13"/>
      <c r="I10" s="13"/>
      <c r="J10" s="13"/>
      <c r="K10" s="13"/>
      <c r="L10" s="13"/>
      <c r="M10" s="13"/>
      <c r="N10" s="13"/>
      <c r="O10" s="13"/>
      <c r="P10" s="13"/>
      <c r="Q10" s="13"/>
      <c r="R10" s="13"/>
      <c r="S10" s="13"/>
      <c r="T10" s="13"/>
      <c r="U10" s="13"/>
      <c r="V10" s="13"/>
      <c r="W10" s="13"/>
      <c r="X10" s="13"/>
      <c r="Y10" s="13"/>
    </row>
    <row r="11" spans="1:37" ht="6.75" customHeight="1" x14ac:dyDescent="0.25">
      <c r="C11" s="1"/>
      <c r="D11" s="1"/>
      <c r="E11" s="1"/>
      <c r="F11" s="1"/>
      <c r="G11" s="1"/>
      <c r="H11" s="1"/>
      <c r="I11" s="1"/>
      <c r="J11" s="1"/>
      <c r="K11" s="1"/>
      <c r="L11" s="1"/>
      <c r="M11" s="1"/>
      <c r="N11" s="1"/>
      <c r="O11" s="1"/>
      <c r="P11" s="1"/>
      <c r="Q11" s="1"/>
      <c r="R11" s="1"/>
      <c r="S11" s="1"/>
      <c r="T11" s="1"/>
      <c r="U11" s="1"/>
      <c r="V11" s="1"/>
      <c r="W11" s="1"/>
      <c r="X11" s="1"/>
      <c r="Y11" s="1"/>
    </row>
    <row r="12" spans="1:37" ht="12.75" customHeight="1" x14ac:dyDescent="0.25">
      <c r="A12" s="1"/>
      <c r="B12" s="1"/>
      <c r="C12" s="1"/>
      <c r="D12" s="1"/>
      <c r="E12" s="1" t="s">
        <v>220</v>
      </c>
      <c r="F12" s="33" t="s">
        <v>11</v>
      </c>
      <c r="G12" s="33"/>
      <c r="H12" s="84">
        <f>IF( AND( H5 &lt;= '&gt;&gt; Inputs'!$G56, H5 &gt;= 1 ), 1, 0 )</f>
        <v>0</v>
      </c>
      <c r="I12" s="84">
        <f>IF( AND( I5 &lt;= '&gt;&gt; Inputs'!$G56, I5 &gt;= 1 ), 1, 0 )</f>
        <v>0</v>
      </c>
      <c r="J12" s="84">
        <f>IF( AND( J5 &lt;= '&gt;&gt; Inputs'!$G56, J5 &gt;= 1 ), 1, 0 )</f>
        <v>0</v>
      </c>
      <c r="K12" s="84">
        <f>IF( AND( K5 &lt;= '&gt;&gt; Inputs'!$G56, K5 &gt;= 1 ), 1, 0 )</f>
        <v>0</v>
      </c>
      <c r="L12" s="84">
        <f>IF( AND( L5 &lt;= '&gt;&gt; Inputs'!$G56, L5 &gt;= 1 ), 1, 0 )</f>
        <v>0</v>
      </c>
      <c r="M12" s="84">
        <f>IF( AND( M5 &lt;= '&gt;&gt; Inputs'!$G56, M5 &gt;= 1 ), 1, 0 )</f>
        <v>0</v>
      </c>
      <c r="N12" s="161">
        <f>IF( AND( N5 &lt;= '&gt;&gt; Inputs'!$G56, N5 &gt;= 1 ), 1, 0 )</f>
        <v>0</v>
      </c>
      <c r="O12" s="161">
        <f>IF( AND( O5 &lt;= '&gt;&gt; Inputs'!$G56, O5 &gt;= 1 ), 1, 0 )</f>
        <v>0</v>
      </c>
      <c r="P12" s="161">
        <f>IF( AND( P5 &lt;= '&gt;&gt; Inputs'!$G56, P5 &gt;= 1 ), 1, 0 )</f>
        <v>1</v>
      </c>
      <c r="Q12" s="161">
        <f>IF( AND( Q5 &lt;= '&gt;&gt; Inputs'!$G56, Q5 &gt;= 1 ), 1, 0 )</f>
        <v>1</v>
      </c>
      <c r="R12" s="161">
        <f>IF( AND( R5 &lt;= '&gt;&gt; Inputs'!$G56, R5 &gt;= 1 ), 1, 0 )</f>
        <v>1</v>
      </c>
      <c r="S12" s="161">
        <f>IF( AND( S5 &lt;= '&gt;&gt; Inputs'!$G56, S5 &gt;= 1 ), 1, 0 )</f>
        <v>1</v>
      </c>
      <c r="T12" s="161">
        <f>IF( AND( T5 &lt;= '&gt;&gt; Inputs'!$G56, T5 &gt;= 1 ), 1, 0 )</f>
        <v>1</v>
      </c>
      <c r="U12" s="161">
        <f>IF( AND( U5 &lt;= '&gt;&gt; Inputs'!$G56, U5 &gt;= 1 ), 1, 0 )</f>
        <v>1</v>
      </c>
      <c r="V12" s="161">
        <f>IF( AND( V5 &lt;= '&gt;&gt; Inputs'!$G56, V5 &gt;= 1 ), 1, 0 )</f>
        <v>1</v>
      </c>
      <c r="W12" s="161">
        <f>IF( AND( W5 &lt;= '&gt;&gt; Inputs'!$G56, W5 &gt;= 1 ), 1, 0 )</f>
        <v>1</v>
      </c>
      <c r="X12" s="161">
        <f>IF( AND( X5 &lt;= '&gt;&gt; Inputs'!$G56, X5 &gt;= 1 ), 1, 0 )</f>
        <v>1</v>
      </c>
      <c r="Y12" s="161">
        <f>IF( AND( Y5 &lt;= '&gt;&gt; Inputs'!$G56, Y5 &gt;= 1 ), 1, 0 )</f>
        <v>1</v>
      </c>
    </row>
    <row r="13" spans="1:37" ht="12.75" customHeight="1" x14ac:dyDescent="0.25">
      <c r="A13" s="1"/>
      <c r="B13" s="1"/>
      <c r="C13" s="1"/>
      <c r="D13" s="1"/>
      <c r="E13" s="1" t="s">
        <v>221</v>
      </c>
      <c r="F13" s="33" t="s">
        <v>11</v>
      </c>
      <c r="G13" s="33"/>
      <c r="H13" s="84">
        <f>IF( H5 = '&gt;&gt; Inputs'!$G56, 1, 0 )</f>
        <v>0</v>
      </c>
      <c r="I13" s="84">
        <f>IF( I5 = '&gt;&gt; Inputs'!$G56, 1, 0 )</f>
        <v>0</v>
      </c>
      <c r="J13" s="84">
        <f>IF( J5 = '&gt;&gt; Inputs'!$G56, 1, 0 )</f>
        <v>0</v>
      </c>
      <c r="K13" s="84">
        <f>IF( K5 = '&gt;&gt; Inputs'!$G56, 1, 0 )</f>
        <v>0</v>
      </c>
      <c r="L13" s="84">
        <f>IF( L5 = '&gt;&gt; Inputs'!$G56, 1, 0 )</f>
        <v>0</v>
      </c>
      <c r="M13" s="84">
        <f>IF( M5 = '&gt;&gt; Inputs'!$G56, 1, 0 )</f>
        <v>0</v>
      </c>
      <c r="N13" s="84">
        <f>IF( N5 = '&gt;&gt; Inputs'!$G56, 1, 0 )</f>
        <v>0</v>
      </c>
      <c r="O13" s="84">
        <f>IF( O5 = '&gt;&gt; Inputs'!$G56, 1, 0 )</f>
        <v>0</v>
      </c>
      <c r="P13" s="84">
        <f>IF( P5 = '&gt;&gt; Inputs'!$G56, 1, 0 )</f>
        <v>0</v>
      </c>
      <c r="Q13" s="84">
        <f>IF( Q5 = '&gt;&gt; Inputs'!$G56, 1, 0 )</f>
        <v>0</v>
      </c>
      <c r="R13" s="84">
        <f>IF( R5 = '&gt;&gt; Inputs'!$G56, 1, 0 )</f>
        <v>0</v>
      </c>
      <c r="S13" s="84">
        <f>IF( S5 = '&gt;&gt; Inputs'!$G56, 1, 0 )</f>
        <v>0</v>
      </c>
      <c r="T13" s="84">
        <f>IF( T5 = '&gt;&gt; Inputs'!$G56, 1, 0 )</f>
        <v>0</v>
      </c>
      <c r="U13" s="84">
        <f>IF( U5 = '&gt;&gt; Inputs'!$G56, 1, 0 )</f>
        <v>0</v>
      </c>
      <c r="V13" s="84">
        <f>IF( V5 = '&gt;&gt; Inputs'!$G56, 1, 0 )</f>
        <v>0</v>
      </c>
      <c r="W13" s="84">
        <f>IF( W5 = '&gt;&gt; Inputs'!$G56, 1, 0 )</f>
        <v>0</v>
      </c>
      <c r="X13" s="84">
        <f>IF( X5 = '&gt;&gt; Inputs'!$G56, 1, 0 )</f>
        <v>0</v>
      </c>
      <c r="Y13" s="84">
        <f>IF( Y5 = '&gt;&gt; Inputs'!$G56, 1, 0 )</f>
        <v>1</v>
      </c>
    </row>
    <row r="14" spans="1:37" ht="12" customHeight="1" x14ac:dyDescent="0.25">
      <c r="A14" s="1"/>
      <c r="B14" s="1"/>
      <c r="C14" s="1"/>
      <c r="D14" s="1"/>
      <c r="E14" s="1" t="s">
        <v>222</v>
      </c>
      <c r="F14" s="33" t="s">
        <v>11</v>
      </c>
      <c r="G14" s="33"/>
      <c r="H14" s="76" t="str">
        <f>IF( H4 = '&gt;&gt; Inputs'!H5, "Passed", " Error" )</f>
        <v>Passed</v>
      </c>
      <c r="I14" s="76" t="str">
        <f>IF( I4 = '&gt;&gt; Inputs'!I5, "Passed", " Error" )</f>
        <v>Passed</v>
      </c>
      <c r="J14" s="76" t="str">
        <f>IF( J4 = '&gt;&gt; Inputs'!J5, "Passed", " Error" )</f>
        <v>Passed</v>
      </c>
      <c r="K14" s="76" t="str">
        <f>IF( K4 = '&gt;&gt; Inputs'!K5, "Passed", " Error" )</f>
        <v>Passed</v>
      </c>
      <c r="L14" s="76" t="str">
        <f>IF( L4 = '&gt;&gt; Inputs'!L5, "Passed", " Error" )</f>
        <v>Passed</v>
      </c>
      <c r="M14" s="76" t="str">
        <f>IF( M4 = '&gt;&gt; Inputs'!M5, "Passed", " Error" )</f>
        <v>Passed</v>
      </c>
      <c r="N14" s="76" t="str">
        <f>IF( N4 = '&gt;&gt; Inputs'!N5, "Passed", " Error" )</f>
        <v>Passed</v>
      </c>
      <c r="O14" s="76" t="str">
        <f>IF( O4 = '&gt;&gt; Inputs'!O5, "Passed", " Error" )</f>
        <v>Passed</v>
      </c>
      <c r="P14" s="76" t="str">
        <f>IF( P4 = '&gt;&gt; Inputs'!P5, "Passed", " Error" )</f>
        <v>Passed</v>
      </c>
      <c r="Q14" s="76" t="str">
        <f>IF( Q4 = '&gt;&gt; Inputs'!Q5, "Passed", " Error" )</f>
        <v>Passed</v>
      </c>
      <c r="R14" s="76" t="str">
        <f>IF( R4 = '&gt;&gt; Inputs'!R5, "Passed", " Error" )</f>
        <v>Passed</v>
      </c>
      <c r="S14" s="76" t="str">
        <f>IF( S4 = '&gt;&gt; Inputs'!S5, "Passed", " Error" )</f>
        <v>Passed</v>
      </c>
      <c r="T14" s="76" t="str">
        <f>IF( T4 = '&gt;&gt; Inputs'!T5, "Passed", " Error" )</f>
        <v>Passed</v>
      </c>
      <c r="U14" s="76" t="str">
        <f>IF( U4 = '&gt;&gt; Inputs'!U5, "Passed", " Error" )</f>
        <v>Passed</v>
      </c>
      <c r="V14" s="76" t="str">
        <f>IF( V4 = '&gt;&gt; Inputs'!V5, "Passed", " Error" )</f>
        <v>Passed</v>
      </c>
      <c r="W14" s="76" t="str">
        <f>IF( W4 = '&gt;&gt; Inputs'!W5, "Passed", " Error" )</f>
        <v>Passed</v>
      </c>
      <c r="X14" s="76" t="str">
        <f>IF( X4 = '&gt;&gt; Inputs'!X5, "Passed", " Error" )</f>
        <v>Passed</v>
      </c>
      <c r="Y14" s="76" t="str">
        <f>IF( Y4 = '&gt;&gt; Inputs'!Y5, "Passed", " Error" )</f>
        <v>Passed</v>
      </c>
      <c r="Z14" s="1"/>
      <c r="AA14" s="1"/>
      <c r="AB14" s="1"/>
      <c r="AC14" s="1"/>
      <c r="AD14" s="1"/>
      <c r="AE14" s="1"/>
      <c r="AF14" s="1"/>
      <c r="AG14" s="1"/>
      <c r="AH14" s="1"/>
      <c r="AI14" s="1"/>
      <c r="AJ14" s="1"/>
      <c r="AK14" s="1"/>
    </row>
    <row r="15" spans="1:37" ht="9" customHeight="1" x14ac:dyDescent="0.25">
      <c r="A15" s="1"/>
      <c r="B15" s="1"/>
      <c r="C15" s="1"/>
      <c r="D15" s="1"/>
      <c r="E15" s="1"/>
      <c r="F15" s="33"/>
      <c r="G15" s="33"/>
      <c r="H15" s="1"/>
      <c r="I15" s="1"/>
      <c r="J15" s="1"/>
      <c r="K15" s="162"/>
      <c r="L15" s="162"/>
      <c r="M15" s="162"/>
      <c r="N15" s="162"/>
      <c r="O15" s="162"/>
      <c r="P15" s="162"/>
      <c r="Q15" s="162"/>
      <c r="R15" s="162"/>
      <c r="S15" s="162"/>
      <c r="T15" s="162"/>
      <c r="U15" s="162"/>
      <c r="V15" s="162"/>
      <c r="W15" s="162"/>
      <c r="X15" s="162"/>
      <c r="Y15" s="162"/>
      <c r="Z15" s="1"/>
      <c r="AA15" s="1"/>
      <c r="AB15" s="1"/>
      <c r="AC15" s="1"/>
      <c r="AD15" s="1"/>
      <c r="AE15" s="1"/>
      <c r="AF15" s="1"/>
      <c r="AG15" s="1"/>
      <c r="AH15" s="1"/>
      <c r="AI15" s="1"/>
      <c r="AJ15" s="1"/>
      <c r="AK15" s="1"/>
    </row>
    <row r="16" spans="1:37" ht="6" customHeight="1" x14ac:dyDescent="0.25">
      <c r="A16" s="1"/>
      <c r="B16" s="1"/>
      <c r="C16" s="1"/>
      <c r="D16" s="1"/>
      <c r="E16" s="1"/>
      <c r="F16" s="33"/>
      <c r="G16" s="33"/>
      <c r="H16" s="157"/>
      <c r="I16" s="157"/>
      <c r="J16" s="157"/>
      <c r="K16" s="162"/>
      <c r="L16" s="162"/>
      <c r="M16" s="162"/>
      <c r="N16" s="162"/>
      <c r="O16" s="162"/>
      <c r="P16" s="162"/>
      <c r="Q16" s="162"/>
      <c r="R16" s="162"/>
      <c r="S16" s="162"/>
      <c r="T16" s="162"/>
      <c r="U16" s="162"/>
      <c r="V16" s="162"/>
      <c r="W16" s="162"/>
      <c r="X16" s="162"/>
      <c r="Y16" s="162"/>
      <c r="Z16" s="1"/>
      <c r="AA16" s="1"/>
      <c r="AB16" s="1"/>
      <c r="AC16" s="1"/>
      <c r="AD16" s="1"/>
      <c r="AE16" s="1"/>
      <c r="AF16" s="1"/>
      <c r="AG16" s="1"/>
      <c r="AH16" s="1"/>
      <c r="AI16" s="1"/>
      <c r="AJ16" s="1"/>
      <c r="AK16" s="1"/>
    </row>
    <row r="17" spans="1:37" ht="7.5" customHeight="1" x14ac:dyDescent="0.25">
      <c r="A17" s="1"/>
      <c r="B17" s="1"/>
      <c r="C17" s="1"/>
      <c r="D17" s="1"/>
      <c r="E17" s="13"/>
      <c r="F17" s="43"/>
      <c r="G17" s="43"/>
      <c r="H17" s="13"/>
      <c r="I17" s="13"/>
      <c r="J17" s="13"/>
      <c r="K17" s="163"/>
      <c r="L17" s="163"/>
      <c r="M17" s="163"/>
      <c r="N17" s="163"/>
      <c r="O17" s="163"/>
      <c r="P17" s="163"/>
      <c r="Q17" s="163"/>
      <c r="R17" s="163"/>
      <c r="S17" s="163"/>
      <c r="T17" s="163"/>
      <c r="U17" s="163"/>
      <c r="V17" s="163"/>
      <c r="W17" s="163"/>
      <c r="X17" s="163"/>
      <c r="Y17" s="163"/>
      <c r="Z17" s="1"/>
      <c r="AA17" s="1"/>
      <c r="AB17" s="1"/>
      <c r="AC17" s="1"/>
      <c r="AD17" s="1"/>
      <c r="AE17" s="1"/>
      <c r="AF17" s="1"/>
      <c r="AG17" s="1"/>
      <c r="AH17" s="1"/>
      <c r="AI17" s="1"/>
      <c r="AJ17" s="1"/>
      <c r="AK17" s="1"/>
    </row>
    <row r="18" spans="1:37" ht="7.5" customHeight="1" x14ac:dyDescent="0.25">
      <c r="A18" s="1"/>
      <c r="B18" s="1"/>
      <c r="C18" s="1"/>
      <c r="D18" s="1"/>
      <c r="E18" s="1"/>
      <c r="F18" s="33"/>
      <c r="G18" s="33"/>
      <c r="H18" s="1"/>
      <c r="I18" s="1"/>
      <c r="J18" s="1"/>
      <c r="K18" s="162"/>
      <c r="L18" s="162"/>
      <c r="M18" s="162"/>
      <c r="N18" s="162"/>
      <c r="O18" s="162"/>
      <c r="P18" s="162"/>
      <c r="Q18" s="162"/>
      <c r="R18" s="162"/>
      <c r="S18" s="162"/>
      <c r="T18" s="162"/>
      <c r="U18" s="162"/>
      <c r="V18" s="162"/>
      <c r="W18" s="162"/>
      <c r="X18" s="162"/>
      <c r="Y18" s="162"/>
      <c r="Z18" s="1"/>
      <c r="AA18" s="1"/>
      <c r="AB18" s="1"/>
      <c r="AC18" s="1"/>
      <c r="AD18" s="1"/>
      <c r="AE18" s="1"/>
      <c r="AF18" s="1"/>
      <c r="AG18" s="1"/>
      <c r="AH18" s="1"/>
      <c r="AI18" s="1"/>
      <c r="AJ18" s="1"/>
      <c r="AK18" s="1"/>
    </row>
    <row r="19" spans="1:37" ht="11.25" customHeight="1" x14ac:dyDescent="0.25">
      <c r="A19" s="1"/>
      <c r="B19" s="1"/>
      <c r="C19" s="164" t="s">
        <v>223</v>
      </c>
      <c r="D19" s="1"/>
      <c r="E19" s="1"/>
      <c r="F19" s="33"/>
      <c r="G19" s="33"/>
      <c r="H19" s="165"/>
      <c r="I19" s="1"/>
      <c r="J19" s="1"/>
      <c r="K19" s="162"/>
      <c r="L19" s="162"/>
      <c r="M19" s="162"/>
      <c r="N19" s="162"/>
      <c r="O19" s="162"/>
      <c r="P19" s="162"/>
      <c r="Q19" s="162"/>
      <c r="R19" s="162"/>
      <c r="S19" s="162"/>
      <c r="T19" s="162"/>
      <c r="U19" s="162"/>
      <c r="V19" s="162"/>
      <c r="W19" s="162"/>
      <c r="X19" s="162"/>
      <c r="Y19" s="162"/>
      <c r="Z19" s="1"/>
      <c r="AA19" s="1"/>
      <c r="AB19" s="1"/>
      <c r="AC19" s="1"/>
      <c r="AD19" s="1"/>
      <c r="AE19" s="1"/>
      <c r="AF19" s="1"/>
      <c r="AG19" s="1"/>
      <c r="AH19" s="1"/>
      <c r="AI19" s="1"/>
      <c r="AJ19" s="1"/>
      <c r="AK19" s="1"/>
    </row>
    <row r="20" spans="1:37" ht="6.75" customHeight="1" x14ac:dyDescent="0.25">
      <c r="A20" s="1"/>
      <c r="B20" s="1"/>
      <c r="C20" s="1"/>
      <c r="D20" s="1"/>
      <c r="E20" s="1"/>
      <c r="F20" s="33"/>
      <c r="G20" s="33"/>
      <c r="H20" s="1"/>
      <c r="I20" s="1"/>
      <c r="J20" s="1"/>
      <c r="K20" s="162"/>
      <c r="L20" s="162"/>
      <c r="M20" s="162"/>
      <c r="N20" s="162"/>
      <c r="O20" s="162"/>
      <c r="P20" s="162"/>
      <c r="Q20" s="162"/>
      <c r="R20" s="162"/>
      <c r="S20" s="162"/>
      <c r="T20" s="162"/>
      <c r="U20" s="162"/>
      <c r="V20" s="162"/>
      <c r="W20" s="162"/>
      <c r="X20" s="162"/>
      <c r="Y20" s="162"/>
      <c r="Z20" s="1"/>
      <c r="AA20" s="1"/>
      <c r="AB20" s="1"/>
      <c r="AC20" s="1"/>
      <c r="AD20" s="1"/>
      <c r="AE20" s="1"/>
      <c r="AF20" s="1"/>
      <c r="AG20" s="1"/>
      <c r="AH20" s="1"/>
      <c r="AI20" s="1"/>
      <c r="AJ20" s="1"/>
      <c r="AK20" s="1"/>
    </row>
    <row r="21" spans="1:37" ht="12.75" customHeight="1" x14ac:dyDescent="0.25">
      <c r="A21" s="1"/>
      <c r="B21" s="1"/>
      <c r="C21" s="1"/>
      <c r="D21" s="1"/>
      <c r="E21" s="1" t="s">
        <v>224</v>
      </c>
      <c r="F21" s="33" t="s">
        <v>28</v>
      </c>
      <c r="G21" s="33"/>
      <c r="H21" s="39"/>
      <c r="I21" s="39">
        <f>'&gt;&gt; Fin Stmts'!I18</f>
        <v>884.78800000000001</v>
      </c>
      <c r="J21" s="39">
        <f>'&gt;&gt; Fin Stmts'!J18</f>
        <v>885.21799999999985</v>
      </c>
      <c r="K21" s="39">
        <f>'&gt;&gt; Fin Stmts'!K18</f>
        <v>821.47699999999986</v>
      </c>
      <c r="L21" s="39">
        <f>'&gt;&gt; Fin Stmts'!L18</f>
        <v>789.5780000000002</v>
      </c>
      <c r="M21" s="39">
        <f>'&gt;&gt; Fin Stmts'!M18</f>
        <v>628.30600000000004</v>
      </c>
      <c r="N21" s="39">
        <f>'&gt;&gt; Fin Stmts'!N18</f>
        <v>898.87900000000002</v>
      </c>
      <c r="O21" s="39">
        <f>'&gt;&gt; Fin Stmts'!O18</f>
        <v>920.94423494525529</v>
      </c>
      <c r="P21" s="39">
        <f>'&gt;&gt; Fin Stmts'!P18</f>
        <v>913.220426815682</v>
      </c>
      <c r="Q21" s="39">
        <f>'&gt;&gt; Fin Stmts'!Q18</f>
        <v>877.2016205573434</v>
      </c>
      <c r="R21" s="39">
        <f>'&gt;&gt; Fin Stmts'!R18</f>
        <v>894.74565296849028</v>
      </c>
      <c r="S21" s="39">
        <f>'&gt;&gt; Fin Stmts'!S18</f>
        <v>912.64056602786002</v>
      </c>
      <c r="T21" s="39">
        <f>'&gt;&gt; Fin Stmts'!T18</f>
        <v>930.89337734841729</v>
      </c>
      <c r="U21" s="39">
        <f>'&gt;&gt; Fin Stmts'!U18</f>
        <v>949.51124489538563</v>
      </c>
      <c r="V21" s="39">
        <f>'&gt;&gt; Fin Stmts'!V18</f>
        <v>968.50146979329338</v>
      </c>
      <c r="W21" s="39">
        <f>'&gt;&gt; Fin Stmts'!W18</f>
        <v>987.87149918915907</v>
      </c>
      <c r="X21" s="39">
        <f>'&gt;&gt; Fin Stmts'!X18</f>
        <v>1007.6289291729423</v>
      </c>
      <c r="Y21" s="39">
        <f>'&gt;&gt; Fin Stmts'!Y18</f>
        <v>1027.7815077564012</v>
      </c>
      <c r="Z21" s="1"/>
      <c r="AA21" s="1"/>
      <c r="AB21" s="1"/>
      <c r="AC21" s="1"/>
      <c r="AD21" s="1"/>
      <c r="AE21" s="1"/>
      <c r="AF21" s="1"/>
      <c r="AG21" s="1"/>
      <c r="AH21" s="1"/>
      <c r="AI21" s="1"/>
      <c r="AJ21" s="1"/>
      <c r="AK21" s="1"/>
    </row>
    <row r="22" spans="1:37" ht="12.75" customHeight="1" x14ac:dyDescent="0.25">
      <c r="A22" s="1"/>
      <c r="B22" s="1"/>
      <c r="C22" s="1"/>
      <c r="D22" s="1" t="s">
        <v>93</v>
      </c>
      <c r="E22" s="1" t="s">
        <v>225</v>
      </c>
      <c r="F22" s="33" t="s">
        <v>28</v>
      </c>
      <c r="G22" s="33"/>
      <c r="H22" s="39"/>
      <c r="I22" s="39">
        <f>'&gt;&gt; Fin Stmts'!I19</f>
        <v>-658.45899999999995</v>
      </c>
      <c r="J22" s="39">
        <f>'&gt;&gt; Fin Stmts'!J19</f>
        <v>-667.75299999999993</v>
      </c>
      <c r="K22" s="39">
        <f>'&gt;&gt; Fin Stmts'!K19</f>
        <v>-655.48900000000003</v>
      </c>
      <c r="L22" s="39">
        <f>'&gt;&gt; Fin Stmts'!L19</f>
        <v>-641.87900000000002</v>
      </c>
      <c r="M22" s="39">
        <f>'&gt;&gt; Fin Stmts'!M19</f>
        <v>-538.51900000000001</v>
      </c>
      <c r="N22" s="39">
        <f>'&gt;&gt; Fin Stmts'!N19</f>
        <v>-716.47500000000002</v>
      </c>
      <c r="O22" s="39">
        <f>'&gt;&gt; Fin Stmts'!O19</f>
        <v>-642.65542707741338</v>
      </c>
      <c r="P22" s="39">
        <f>'&gt;&gt; Fin Stmts'!P19</f>
        <v>-660.64790347158123</v>
      </c>
      <c r="Q22" s="39">
        <f>'&gt;&gt; Fin Stmts'!Q19</f>
        <v>-612.13085516061642</v>
      </c>
      <c r="R22" s="39">
        <f>'&gt;&gt; Fin Stmts'!R19</f>
        <v>-624.37347226382872</v>
      </c>
      <c r="S22" s="39">
        <f>'&gt;&gt; Fin Stmts'!S19</f>
        <v>-636.86094170910519</v>
      </c>
      <c r="T22" s="39">
        <f>'&gt;&gt; Fin Stmts'!T19</f>
        <v>-649.59816054328735</v>
      </c>
      <c r="U22" s="39">
        <f>'&gt;&gt; Fin Stmts'!U19</f>
        <v>-662.59012375415296</v>
      </c>
      <c r="V22" s="39">
        <f>'&gt;&gt; Fin Stmts'!V19</f>
        <v>-675.84192622923615</v>
      </c>
      <c r="W22" s="39">
        <f>'&gt;&gt; Fin Stmts'!W19</f>
        <v>-689.35876475382065</v>
      </c>
      <c r="X22" s="39">
        <f>'&gt;&gt; Fin Stmts'!X19</f>
        <v>-703.14594004889705</v>
      </c>
      <c r="Y22" s="39">
        <f>'&gt;&gt; Fin Stmts'!Y19</f>
        <v>-717.20885884987524</v>
      </c>
      <c r="Z22" s="1"/>
      <c r="AA22" s="1"/>
      <c r="AB22" s="1"/>
      <c r="AC22" s="1"/>
      <c r="AD22" s="1"/>
      <c r="AE22" s="1"/>
      <c r="AF22" s="1"/>
      <c r="AG22" s="1"/>
      <c r="AH22" s="1"/>
      <c r="AI22" s="1"/>
      <c r="AJ22" s="1"/>
      <c r="AK22" s="1"/>
    </row>
    <row r="23" spans="1:37" ht="15.75" customHeight="1" x14ac:dyDescent="0.25">
      <c r="A23" s="1"/>
      <c r="B23" s="1"/>
      <c r="C23" s="1"/>
      <c r="D23" s="1"/>
      <c r="E23" s="166" t="s">
        <v>151</v>
      </c>
      <c r="F23" s="43" t="s">
        <v>28</v>
      </c>
      <c r="G23" s="43"/>
      <c r="H23" s="167"/>
      <c r="I23" s="167">
        <f>'&gt;&gt; SKC segments'!I43</f>
        <v>311.33724183245442</v>
      </c>
      <c r="J23" s="167">
        <f>'&gt;&gt; SKC segments'!J43</f>
        <v>283.35363558274742</v>
      </c>
      <c r="K23" s="167">
        <f>'&gt;&gt; SKC segments'!K43</f>
        <v>207.98303829029385</v>
      </c>
      <c r="L23" s="167">
        <f>'&gt;&gt; SKC segments'!L43</f>
        <v>260.92141035422344</v>
      </c>
      <c r="M23" s="167">
        <f>'&gt;&gt; SKC segments'!M43</f>
        <v>152.10959860383946</v>
      </c>
      <c r="N23" s="167">
        <f>'&gt;&gt; SKC segments'!N43</f>
        <v>330.03146049336669</v>
      </c>
      <c r="O23" s="167">
        <f>'&gt;&gt; SKC segments'!O43</f>
        <v>286.72706882878208</v>
      </c>
      <c r="P23" s="167">
        <f>'&gt;&gt; SKC segments'!P43</f>
        <v>252.57252334410083</v>
      </c>
      <c r="Q23" s="167">
        <f>'&gt;&gt; SKC segments'!Q43</f>
        <v>265.07076539672704</v>
      </c>
      <c r="R23" s="167">
        <f>'&gt;&gt; SKC segments'!R43</f>
        <v>270.37218070466162</v>
      </c>
      <c r="S23" s="167">
        <f>'&gt;&gt; SKC segments'!S43</f>
        <v>275.77962431875483</v>
      </c>
      <c r="T23" s="167">
        <f>'&gt;&gt; SKC segments'!T43</f>
        <v>281.29521680513</v>
      </c>
      <c r="U23" s="167">
        <f>'&gt;&gt; SKC segments'!U43</f>
        <v>286.92112114123262</v>
      </c>
      <c r="V23" s="167">
        <f>'&gt;&gt; SKC segments'!V43</f>
        <v>292.65954356405723</v>
      </c>
      <c r="W23" s="167">
        <f>'&gt;&gt; SKC segments'!W43</f>
        <v>298.51273443533836</v>
      </c>
      <c r="X23" s="167">
        <f>'&gt;&gt; SKC segments'!X43</f>
        <v>304.48298912404522</v>
      </c>
      <c r="Y23" s="167">
        <f>'&gt;&gt; SKC segments'!Y43</f>
        <v>310.57264890652601</v>
      </c>
      <c r="Z23" s="1"/>
      <c r="AA23" s="590"/>
      <c r="AB23" s="1"/>
      <c r="AC23" s="1"/>
      <c r="AD23" s="1"/>
      <c r="AE23" s="1"/>
      <c r="AF23" s="1"/>
      <c r="AG23" s="1"/>
      <c r="AH23" s="1"/>
      <c r="AI23" s="1"/>
      <c r="AJ23" s="1"/>
      <c r="AK23" s="1"/>
    </row>
    <row r="24" spans="1:37" ht="4.5" customHeight="1" x14ac:dyDescent="0.25">
      <c r="A24" s="1"/>
      <c r="B24" s="1"/>
      <c r="C24" s="1"/>
      <c r="D24" s="1"/>
      <c r="E24" s="2"/>
      <c r="F24" s="33"/>
      <c r="G24" s="33"/>
      <c r="H24" s="14"/>
      <c r="I24" s="39"/>
      <c r="J24" s="39"/>
      <c r="K24" s="49"/>
      <c r="L24" s="49"/>
      <c r="M24" s="49"/>
      <c r="N24" s="49"/>
      <c r="O24" s="49"/>
      <c r="P24" s="49"/>
      <c r="Q24" s="49"/>
      <c r="R24" s="49"/>
      <c r="S24" s="49"/>
      <c r="T24" s="49"/>
      <c r="U24" s="49"/>
      <c r="V24" s="49"/>
      <c r="W24" s="49"/>
      <c r="X24" s="49"/>
      <c r="Y24" s="49"/>
      <c r="Z24" s="1"/>
      <c r="AB24" s="1"/>
      <c r="AC24" s="1"/>
      <c r="AD24" s="1"/>
      <c r="AE24" s="1"/>
      <c r="AF24" s="1"/>
      <c r="AG24" s="1"/>
      <c r="AH24" s="1"/>
      <c r="AI24" s="1"/>
      <c r="AJ24" s="1"/>
      <c r="AK24" s="1"/>
    </row>
    <row r="25" spans="1:37" ht="15.75" customHeight="1" x14ac:dyDescent="0.25">
      <c r="A25" s="1"/>
      <c r="B25" s="1"/>
      <c r="C25" s="1"/>
      <c r="D25" s="33" t="s">
        <v>93</v>
      </c>
      <c r="E25" s="1" t="s">
        <v>226</v>
      </c>
      <c r="F25" s="33" t="s">
        <v>28</v>
      </c>
      <c r="G25" s="33"/>
      <c r="H25" s="49"/>
      <c r="I25" s="49">
        <f>'&gt;&gt; Fin Stmts'!I148</f>
        <v>-82.429000000000002</v>
      </c>
      <c r="J25" s="49">
        <f>'&gt;&gt; Fin Stmts'!J148</f>
        <v>-71.448999999999998</v>
      </c>
      <c r="K25" s="49">
        <f>'&gt;&gt; Fin Stmts'!K148</f>
        <v>-67.459000000000003</v>
      </c>
      <c r="L25" s="49">
        <f>'&gt;&gt; Fin Stmts'!L148</f>
        <v>-73.15100000000001</v>
      </c>
      <c r="M25" s="49">
        <f>'&gt;&gt; Fin Stmts'!M148</f>
        <v>-75.490999999999985</v>
      </c>
      <c r="N25" s="49">
        <f>'&gt;&gt; Fin Stmts'!N148</f>
        <v>-71.033999999999992</v>
      </c>
      <c r="O25" s="49">
        <f>'&gt;&gt; Fin Stmts'!O148</f>
        <v>-79.045999999999992</v>
      </c>
      <c r="P25" s="49">
        <f>'&gt;&gt; Fin Stmts'!P148</f>
        <v>-88.600660722339768</v>
      </c>
      <c r="Q25" s="49">
        <f>'&gt;&gt; Fin Stmts'!Q148</f>
        <v>-85.31585268763223</v>
      </c>
      <c r="R25" s="49">
        <f>'&gt;&gt; Fin Stmts'!R148</f>
        <v>-81.722318648586253</v>
      </c>
      <c r="S25" s="49">
        <f>'&gt;&gt; Fin Stmts'!S148</f>
        <v>-82.69488829261573</v>
      </c>
      <c r="T25" s="49">
        <f>'&gt;&gt; Fin Stmts'!T148</f>
        <v>-83.998829763854303</v>
      </c>
      <c r="U25" s="49">
        <f>'&gt;&gt; Fin Stmts'!U148</f>
        <v>-84.649592927455984</v>
      </c>
      <c r="V25" s="49">
        <f>'&gt;&gt; Fin Stmts'!V148</f>
        <v>-84.583562413152407</v>
      </c>
      <c r="W25" s="49">
        <f>'&gt;&gt; Fin Stmts'!W148</f>
        <v>-84.422527246046471</v>
      </c>
      <c r="X25" s="49">
        <f>'&gt;&gt; Fin Stmts'!X148</f>
        <v>-84.498529087710381</v>
      </c>
      <c r="Y25" s="49">
        <f>'&gt;&gt; Fin Stmts'!Y148</f>
        <v>-83.985762633381725</v>
      </c>
      <c r="Z25" s="1"/>
      <c r="AA25" s="403"/>
      <c r="AB25" s="1"/>
      <c r="AC25" s="1"/>
      <c r="AD25" s="1"/>
      <c r="AE25" s="1"/>
      <c r="AF25" s="1"/>
      <c r="AG25" s="1"/>
      <c r="AH25" s="1"/>
      <c r="AI25" s="1"/>
      <c r="AJ25" s="1"/>
      <c r="AK25" s="1"/>
    </row>
    <row r="26" spans="1:37" ht="15.75" customHeight="1" x14ac:dyDescent="0.25">
      <c r="A26" s="1"/>
      <c r="B26" s="1"/>
      <c r="C26" s="1"/>
      <c r="D26" s="33" t="s">
        <v>93</v>
      </c>
      <c r="E26" s="1" t="s">
        <v>227</v>
      </c>
      <c r="F26" s="33" t="s">
        <v>28</v>
      </c>
      <c r="G26" s="33"/>
      <c r="H26" s="49"/>
      <c r="I26" s="49">
        <f>'&gt;&gt; Fin Stmts'!I149</f>
        <v>0</v>
      </c>
      <c r="J26" s="49">
        <f>'&gt;&gt; Fin Stmts'!J149</f>
        <v>0</v>
      </c>
      <c r="K26" s="49">
        <f>'&gt;&gt; Fin Stmts'!K149</f>
        <v>-1.1140000000000001</v>
      </c>
      <c r="L26" s="49">
        <f>'&gt;&gt; Fin Stmts'!L149</f>
        <v>-1.8939999999999999</v>
      </c>
      <c r="M26" s="49">
        <f>'&gt;&gt; Fin Stmts'!M149</f>
        <v>-5.968</v>
      </c>
      <c r="N26" s="49">
        <f>'&gt;&gt; Fin Stmts'!N149</f>
        <v>-6.3090000000000002</v>
      </c>
      <c r="O26" s="49">
        <f>'&gt;&gt; Fin Stmts'!O149</f>
        <v>-6</v>
      </c>
      <c r="P26" s="49">
        <f>'&gt;&gt; Fin Stmts'!P149</f>
        <v>-2.660625</v>
      </c>
      <c r="Q26" s="49">
        <f>'&gt;&gt; Fin Stmts'!Q149</f>
        <v>-2.993203125</v>
      </c>
      <c r="R26" s="49">
        <f>'&gt;&gt; Fin Stmts'!R149</f>
        <v>-3.3673535156250001</v>
      </c>
      <c r="S26" s="49">
        <f>'&gt;&gt; Fin Stmts'!S149</f>
        <v>-3.7882727050781249</v>
      </c>
      <c r="T26" s="49">
        <f>'&gt;&gt; Fin Stmts'!T149</f>
        <v>-4.1225567932128904</v>
      </c>
      <c r="U26" s="49">
        <f>'&gt;&gt; Fin Stmts'!U149</f>
        <v>-4.4011263923645023</v>
      </c>
      <c r="V26" s="49">
        <f>'&gt;&gt; Fin Stmts'!V149</f>
        <v>-4.2052671914100648</v>
      </c>
      <c r="W26" s="49">
        <f>'&gt;&gt; Fin Stmts'!W149</f>
        <v>-3.9423005903363229</v>
      </c>
      <c r="X26" s="49">
        <f>'&gt;&gt; Fin Stmts'!X149</f>
        <v>-3.6850881641283637</v>
      </c>
      <c r="Y26" s="49">
        <f>'&gt;&gt; Fin Stmts'!Y149</f>
        <v>-3.8131460596444087</v>
      </c>
      <c r="Z26" s="1"/>
      <c r="AA26" s="1"/>
      <c r="AB26" s="1"/>
      <c r="AC26" s="1"/>
      <c r="AD26" s="1"/>
      <c r="AE26" s="1"/>
      <c r="AF26" s="1"/>
      <c r="AG26" s="1"/>
      <c r="AH26" s="1"/>
      <c r="AI26" s="1"/>
      <c r="AJ26" s="1"/>
      <c r="AK26" s="1"/>
    </row>
    <row r="27" spans="1:37" ht="15.75" customHeight="1" x14ac:dyDescent="0.25">
      <c r="A27" s="1"/>
      <c r="B27" s="1"/>
      <c r="C27" s="1"/>
      <c r="D27" s="33" t="s">
        <v>95</v>
      </c>
      <c r="E27" s="166" t="s">
        <v>228</v>
      </c>
      <c r="F27" s="43" t="s">
        <v>28</v>
      </c>
      <c r="G27" s="43"/>
      <c r="H27" s="168"/>
      <c r="I27" s="169">
        <f t="shared" ref="I27:Y27" si="6">I23 + I25 + I26</f>
        <v>228.90824183245442</v>
      </c>
      <c r="J27" s="169">
        <f t="shared" si="6"/>
        <v>211.9046355827474</v>
      </c>
      <c r="K27" s="169">
        <f t="shared" si="6"/>
        <v>139.41003829029384</v>
      </c>
      <c r="L27" s="169">
        <f t="shared" si="6"/>
        <v>185.87641035422342</v>
      </c>
      <c r="M27" s="169">
        <f t="shared" si="6"/>
        <v>70.65059860383947</v>
      </c>
      <c r="N27" s="169">
        <f t="shared" si="6"/>
        <v>252.6884604933667</v>
      </c>
      <c r="O27" s="169">
        <f t="shared" si="6"/>
        <v>201.68106882878209</v>
      </c>
      <c r="P27" s="169">
        <f t="shared" si="6"/>
        <v>161.31123762176105</v>
      </c>
      <c r="Q27" s="169">
        <f t="shared" si="6"/>
        <v>176.7617095840948</v>
      </c>
      <c r="R27" s="169">
        <f t="shared" si="6"/>
        <v>185.28250854045035</v>
      </c>
      <c r="S27" s="169">
        <f t="shared" si="6"/>
        <v>189.29646332106097</v>
      </c>
      <c r="T27" s="169">
        <f t="shared" si="6"/>
        <v>193.17383024806281</v>
      </c>
      <c r="U27" s="169">
        <f t="shared" si="6"/>
        <v>197.87040182141214</v>
      </c>
      <c r="V27" s="169">
        <f t="shared" si="6"/>
        <v>203.87071395949476</v>
      </c>
      <c r="W27" s="169">
        <f t="shared" si="6"/>
        <v>210.14790659895559</v>
      </c>
      <c r="X27" s="169">
        <f t="shared" si="6"/>
        <v>216.29937187220648</v>
      </c>
      <c r="Y27" s="169">
        <f t="shared" si="6"/>
        <v>222.77374021349988</v>
      </c>
      <c r="Z27" s="1"/>
      <c r="AA27" s="1"/>
      <c r="AB27" s="1"/>
      <c r="AC27" s="1"/>
      <c r="AD27" s="1"/>
      <c r="AE27" s="1"/>
      <c r="AF27" s="1"/>
      <c r="AG27" s="1"/>
      <c r="AH27" s="1"/>
      <c r="AI27" s="1"/>
      <c r="AJ27" s="1"/>
      <c r="AK27" s="1"/>
    </row>
    <row r="28" spans="1:37" ht="7.5" customHeight="1" x14ac:dyDescent="0.25">
      <c r="A28" s="1"/>
      <c r="B28" s="1"/>
      <c r="C28" s="1"/>
      <c r="D28" s="33"/>
      <c r="E28" s="2"/>
      <c r="F28" s="33"/>
      <c r="G28" s="33"/>
      <c r="H28" s="14"/>
      <c r="I28" s="170"/>
      <c r="J28" s="170"/>
      <c r="K28" s="171"/>
      <c r="L28" s="171"/>
      <c r="M28" s="171"/>
      <c r="N28" s="171"/>
      <c r="O28" s="171"/>
      <c r="P28" s="171"/>
      <c r="Q28" s="171"/>
      <c r="R28" s="171"/>
      <c r="S28" s="171"/>
      <c r="T28" s="171"/>
      <c r="U28" s="171"/>
      <c r="V28" s="171"/>
      <c r="W28" s="171"/>
      <c r="X28" s="171"/>
      <c r="Y28" s="171"/>
      <c r="Z28" s="1"/>
      <c r="AA28" s="1"/>
      <c r="AB28" s="1"/>
      <c r="AC28" s="1"/>
      <c r="AD28" s="1"/>
      <c r="AE28" s="1"/>
      <c r="AF28" s="1"/>
      <c r="AG28" s="1"/>
      <c r="AH28" s="1"/>
      <c r="AI28" s="1"/>
      <c r="AJ28" s="1"/>
      <c r="AK28" s="1"/>
    </row>
    <row r="29" spans="1:37" ht="15.75" customHeight="1" x14ac:dyDescent="0.25">
      <c r="A29" s="1"/>
      <c r="B29" s="1"/>
      <c r="C29" s="1"/>
      <c r="D29" s="33" t="s">
        <v>93</v>
      </c>
      <c r="E29" s="1" t="s">
        <v>229</v>
      </c>
      <c r="F29" s="33" t="s">
        <v>28</v>
      </c>
      <c r="G29" s="33"/>
      <c r="H29" s="49"/>
      <c r="I29" s="49">
        <f>-'&gt;&gt; Fin Stmts'!I151</f>
        <v>-11.948</v>
      </c>
      <c r="J29" s="49">
        <f>-'&gt;&gt; Fin Stmts'!J151</f>
        <v>-13.248999999999999</v>
      </c>
      <c r="K29" s="49">
        <f>-'&gt;&gt; Fin Stmts'!K151</f>
        <v>-17.987000000000002</v>
      </c>
      <c r="L29" s="49">
        <f>-'&gt;&gt; Fin Stmts'!L151</f>
        <v>-16.368000000000002</v>
      </c>
      <c r="M29" s="49">
        <f>-'&gt;&gt; Fin Stmts'!M151</f>
        <v>-13.201000000000001</v>
      </c>
      <c r="N29" s="49">
        <f>-'&gt;&gt; Fin Stmts'!N151</f>
        <v>-13.329000000000001</v>
      </c>
      <c r="O29" s="49">
        <f>-'&gt;&gt; Fin Stmts'!O151</f>
        <v>-13.454000000000001</v>
      </c>
      <c r="P29" s="49">
        <f>-'&gt;&gt; Fin Stmts'!P151</f>
        <v>-13.977374999999999</v>
      </c>
      <c r="Q29" s="49">
        <f>-'&gt;&gt; Fin Stmts'!Q151</f>
        <v>-14.189171875</v>
      </c>
      <c r="R29" s="49">
        <f>-'&gt;&gt; Fin Stmts'!R151</f>
        <v>-14.469318359374999</v>
      </c>
      <c r="S29" s="49">
        <f>-'&gt;&gt; Fin Stmts'!S151</f>
        <v>-14.621858154296875</v>
      </c>
      <c r="T29" s="49">
        <f>-'&gt;&gt; Fin Stmts'!T151</f>
        <v>-14.201215423583987</v>
      </c>
      <c r="U29" s="49">
        <f>-'&gt;&gt; Fin Stmts'!U151</f>
        <v>-13.930367351531981</v>
      </c>
      <c r="V29" s="49">
        <f>-'&gt;&gt; Fin Stmts'!V151</f>
        <v>-14.02153827047348</v>
      </c>
      <c r="W29" s="49">
        <f>-'&gt;&gt; Fin Stmts'!W151</f>
        <v>-14.108105554282664</v>
      </c>
      <c r="X29" s="49">
        <f>-'&gt;&gt; Fin Stmts'!X151</f>
        <v>-14.189868748567996</v>
      </c>
      <c r="Y29" s="49">
        <f>-'&gt;&gt; Fin Stmts'!Y151</f>
        <v>-14.216430467138997</v>
      </c>
      <c r="Z29" s="1"/>
      <c r="AA29" s="1"/>
      <c r="AB29" s="1"/>
      <c r="AC29" s="1"/>
      <c r="AD29" s="1"/>
      <c r="AE29" s="1"/>
      <c r="AF29" s="1"/>
      <c r="AG29" s="1"/>
      <c r="AH29" s="1"/>
      <c r="AI29" s="1"/>
      <c r="AJ29" s="1"/>
      <c r="AK29" s="1"/>
    </row>
    <row r="30" spans="1:37" ht="15.75" customHeight="1" x14ac:dyDescent="0.25">
      <c r="A30" s="1"/>
      <c r="B30" s="1"/>
      <c r="C30" s="1"/>
      <c r="D30" s="33" t="s">
        <v>95</v>
      </c>
      <c r="E30" s="166" t="s">
        <v>230</v>
      </c>
      <c r="F30" s="43" t="s">
        <v>28</v>
      </c>
      <c r="G30" s="43"/>
      <c r="H30" s="168"/>
      <c r="I30" s="169">
        <f>'&gt;&gt; SKC segments'!I61</f>
        <v>184.86224183245446</v>
      </c>
      <c r="J30" s="169">
        <f>'&gt;&gt; SKC segments'!J61</f>
        <v>198.67199908639705</v>
      </c>
      <c r="K30" s="169">
        <f>'&gt;&gt; SKC segments'!K61</f>
        <v>120.46780676758682</v>
      </c>
      <c r="L30" s="169">
        <f>'&gt;&gt; SKC segments'!L61</f>
        <v>168.27481089918254</v>
      </c>
      <c r="M30" s="169">
        <f>'&gt;&gt; SKC segments'!M61</f>
        <v>55.234886561954639</v>
      </c>
      <c r="N30" s="169">
        <f>'&gt;&gt; SKC segments'!N61</f>
        <v>236.41874174336675</v>
      </c>
      <c r="O30" s="169">
        <f>'&gt;&gt; SKC segments'!O61</f>
        <v>192.68068131604713</v>
      </c>
      <c r="P30" s="169">
        <f>'&gt;&gt; SKC segments'!P61</f>
        <v>147.33386262176106</v>
      </c>
      <c r="Q30" s="169">
        <f>'&gt;&gt; SKC segments'!Q61</f>
        <v>162.57253770909489</v>
      </c>
      <c r="R30" s="169">
        <f>'&gt;&gt; SKC segments'!R61</f>
        <v>170.81319018107541</v>
      </c>
      <c r="S30" s="169">
        <f>'&gt;&gt; SKC segments'!S61</f>
        <v>174.67460516676417</v>
      </c>
      <c r="T30" s="169">
        <f>'&gt;&gt; SKC segments'!T61</f>
        <v>178.97261482447877</v>
      </c>
      <c r="U30" s="169">
        <f>'&gt;&gt; SKC segments'!U61</f>
        <v>183.94003446988009</v>
      </c>
      <c r="V30" s="169">
        <f>'&gt;&gt; SKC segments'!V61</f>
        <v>189.84917568902125</v>
      </c>
      <c r="W30" s="169">
        <f>'&gt;&gt; SKC segments'!W61</f>
        <v>196.03980104467291</v>
      </c>
      <c r="X30" s="169">
        <f>'&gt;&gt; SKC segments'!X61</f>
        <v>202.10950312363838</v>
      </c>
      <c r="Y30" s="169">
        <f>'&gt;&gt; SKC segments'!Y61</f>
        <v>208.55730974636094</v>
      </c>
      <c r="Z30" s="1"/>
      <c r="AA30" s="1"/>
      <c r="AB30" s="1"/>
      <c r="AC30" s="1"/>
      <c r="AD30" s="1"/>
      <c r="AE30" s="1"/>
      <c r="AF30" s="1"/>
      <c r="AG30" s="1"/>
      <c r="AH30" s="1"/>
      <c r="AI30" s="1"/>
      <c r="AJ30" s="1"/>
      <c r="AK30" s="1"/>
    </row>
    <row r="31" spans="1:37" ht="15.75" customHeight="1" x14ac:dyDescent="0.25">
      <c r="A31" s="1"/>
      <c r="B31" s="1"/>
      <c r="C31" s="1"/>
      <c r="D31" s="33"/>
      <c r="E31" s="1"/>
      <c r="F31" s="33"/>
      <c r="G31" s="33"/>
      <c r="H31" s="14"/>
      <c r="I31" s="39"/>
      <c r="J31" s="39"/>
      <c r="K31" s="49"/>
      <c r="L31" s="49"/>
      <c r="M31" s="49"/>
      <c r="N31" s="49"/>
      <c r="O31" s="49"/>
      <c r="P31" s="49"/>
      <c r="Q31" s="49"/>
      <c r="R31" s="49"/>
      <c r="S31" s="49"/>
      <c r="T31" s="49"/>
      <c r="U31" s="49"/>
      <c r="V31" s="49"/>
      <c r="W31" s="49"/>
      <c r="X31" s="49"/>
      <c r="Y31" s="49"/>
      <c r="Z31" s="1"/>
      <c r="AA31" s="1"/>
      <c r="AB31" s="1"/>
      <c r="AC31" s="1"/>
      <c r="AD31" s="1"/>
      <c r="AE31" s="1"/>
      <c r="AF31" s="1"/>
      <c r="AG31" s="1"/>
      <c r="AH31" s="1"/>
      <c r="AI31" s="1"/>
      <c r="AJ31" s="1"/>
      <c r="AK31" s="1"/>
    </row>
    <row r="32" spans="1:37" ht="15.75" customHeight="1" x14ac:dyDescent="0.25">
      <c r="A32" s="1"/>
      <c r="B32" s="1"/>
      <c r="C32" s="1"/>
      <c r="D32" s="33"/>
      <c r="E32" s="1" t="s">
        <v>228</v>
      </c>
      <c r="F32" s="33" t="s">
        <v>28</v>
      </c>
      <c r="G32" s="33"/>
      <c r="H32" s="39"/>
      <c r="I32" s="39">
        <f t="shared" ref="I32:Y32" si="7">I27</f>
        <v>228.90824183245442</v>
      </c>
      <c r="J32" s="39">
        <f t="shared" si="7"/>
        <v>211.9046355827474</v>
      </c>
      <c r="K32" s="39">
        <f t="shared" si="7"/>
        <v>139.41003829029384</v>
      </c>
      <c r="L32" s="39">
        <f t="shared" si="7"/>
        <v>185.87641035422342</v>
      </c>
      <c r="M32" s="39">
        <f t="shared" si="7"/>
        <v>70.65059860383947</v>
      </c>
      <c r="N32" s="39">
        <f t="shared" si="7"/>
        <v>252.6884604933667</v>
      </c>
      <c r="O32" s="39">
        <f t="shared" si="7"/>
        <v>201.68106882878209</v>
      </c>
      <c r="P32" s="39">
        <f t="shared" si="7"/>
        <v>161.31123762176105</v>
      </c>
      <c r="Q32" s="39">
        <f t="shared" si="7"/>
        <v>176.7617095840948</v>
      </c>
      <c r="R32" s="39">
        <f t="shared" si="7"/>
        <v>185.28250854045035</v>
      </c>
      <c r="S32" s="39">
        <f t="shared" si="7"/>
        <v>189.29646332106097</v>
      </c>
      <c r="T32" s="39">
        <f t="shared" si="7"/>
        <v>193.17383024806281</v>
      </c>
      <c r="U32" s="39">
        <f t="shared" si="7"/>
        <v>197.87040182141214</v>
      </c>
      <c r="V32" s="39">
        <f t="shared" si="7"/>
        <v>203.87071395949476</v>
      </c>
      <c r="W32" s="39">
        <f t="shared" si="7"/>
        <v>210.14790659895559</v>
      </c>
      <c r="X32" s="39">
        <f t="shared" si="7"/>
        <v>216.29937187220648</v>
      </c>
      <c r="Y32" s="39">
        <f t="shared" si="7"/>
        <v>222.77374021349988</v>
      </c>
      <c r="Z32" s="1"/>
      <c r="AA32" s="1"/>
      <c r="AB32" s="1"/>
      <c r="AC32" s="1"/>
      <c r="AD32" s="1"/>
      <c r="AE32" s="1"/>
      <c r="AF32" s="1"/>
      <c r="AG32" s="1"/>
      <c r="AH32" s="1"/>
      <c r="AI32" s="1"/>
      <c r="AJ32" s="1"/>
      <c r="AK32" s="1"/>
    </row>
    <row r="33" spans="1:37" ht="15.75" customHeight="1" x14ac:dyDescent="0.25">
      <c r="A33" s="1"/>
      <c r="B33" s="1"/>
      <c r="C33" s="1"/>
      <c r="D33" s="33" t="s">
        <v>93</v>
      </c>
      <c r="E33" s="1" t="s">
        <v>231</v>
      </c>
      <c r="F33" s="33" t="s">
        <v>28</v>
      </c>
      <c r="G33" s="33"/>
      <c r="H33" s="52"/>
      <c r="I33" s="49">
        <f>0 - ( '&gt;&gt; Inputs'!$G$72 * I27 )</f>
        <v>-64.094307713087247</v>
      </c>
      <c r="J33" s="49">
        <f>0 - ( '&gt;&gt; Inputs'!$G$72 * J27 )</f>
        <v>-59.333297963169279</v>
      </c>
      <c r="K33" s="49">
        <f>0 - ( '&gt;&gt; Inputs'!$G$72 * K27 )</f>
        <v>-39.034810721282277</v>
      </c>
      <c r="L33" s="49">
        <f>0 - ( '&gt;&gt; Inputs'!$G$72 * L27 )</f>
        <v>-52.045394899182561</v>
      </c>
      <c r="M33" s="49">
        <f>0 - ( '&gt;&gt; Inputs'!$G$72 * M27 )</f>
        <v>-19.782167609075053</v>
      </c>
      <c r="N33" s="49">
        <f>0 - ( '&gt;&gt; Inputs'!$G$72 * N27 )</f>
        <v>-70.75276893814268</v>
      </c>
      <c r="O33" s="49">
        <f>0 - ( '&gt;&gt; Inputs'!$G$72 * O27 )</f>
        <v>-56.470699272058987</v>
      </c>
      <c r="P33" s="49">
        <f>0 - ( '&gt;&gt; Inputs'!$G$72 * P27 )</f>
        <v>-45.167146534093099</v>
      </c>
      <c r="Q33" s="49">
        <f>0 - ( '&gt;&gt; Inputs'!$G$72 * Q27 )</f>
        <v>-49.493278683546549</v>
      </c>
      <c r="R33" s="49">
        <f>0 - ( '&gt;&gt; Inputs'!$G$72 * R27 )</f>
        <v>-51.8791023913261</v>
      </c>
      <c r="S33" s="49">
        <f>0 - ( '&gt;&gt; Inputs'!$G$72 * S27 )</f>
        <v>-53.003009729897073</v>
      </c>
      <c r="T33" s="49">
        <f>0 - ( '&gt;&gt; Inputs'!$G$72 * T27 )</f>
        <v>-54.088672469457592</v>
      </c>
      <c r="U33" s="49">
        <f>0 - ( '&gt;&gt; Inputs'!$G$72 * U27 )</f>
        <v>-55.403712509995408</v>
      </c>
      <c r="V33" s="49">
        <f>0 - ( '&gt;&gt; Inputs'!$G$72 * V27 )</f>
        <v>-57.083799908658541</v>
      </c>
      <c r="W33" s="49">
        <f>0 - ( '&gt;&gt; Inputs'!$G$72 * W27 )</f>
        <v>-58.841413847707571</v>
      </c>
      <c r="X33" s="49">
        <f>0 - ( '&gt;&gt; Inputs'!$G$72 * X27 )</f>
        <v>-60.563824124217817</v>
      </c>
      <c r="Y33" s="49">
        <f>0 - ( '&gt;&gt; Inputs'!$G$72 * Y27 )</f>
        <v>-62.376647259779972</v>
      </c>
      <c r="Z33" s="1"/>
      <c r="AA33" s="1"/>
      <c r="AB33" s="1"/>
      <c r="AC33" s="1"/>
      <c r="AD33" s="1"/>
      <c r="AE33" s="1"/>
      <c r="AF33" s="1"/>
      <c r="AG33" s="1"/>
      <c r="AH33" s="1"/>
      <c r="AI33" s="1"/>
      <c r="AJ33" s="1"/>
      <c r="AK33" s="1"/>
    </row>
    <row r="34" spans="1:37" ht="15.75" customHeight="1" x14ac:dyDescent="0.25">
      <c r="A34" s="1"/>
      <c r="B34" s="1"/>
      <c r="C34" s="1"/>
      <c r="D34" s="1"/>
      <c r="E34" s="166" t="s">
        <v>232</v>
      </c>
      <c r="F34" s="43" t="s">
        <v>28</v>
      </c>
      <c r="G34" s="43"/>
      <c r="H34" s="38"/>
      <c r="I34" s="169">
        <f>I27 + I33</f>
        <v>164.81393411936716</v>
      </c>
      <c r="J34" s="169">
        <f t="shared" ref="J34:Y34" si="8">J27 + J33</f>
        <v>152.57133761957812</v>
      </c>
      <c r="K34" s="169">
        <f t="shared" si="8"/>
        <v>100.37522756901157</v>
      </c>
      <c r="L34" s="169">
        <f t="shared" si="8"/>
        <v>133.83101545504087</v>
      </c>
      <c r="M34" s="169">
        <f>M27 + M33</f>
        <v>50.868430994764417</v>
      </c>
      <c r="N34" s="169">
        <f t="shared" si="8"/>
        <v>181.93569155522403</v>
      </c>
      <c r="O34" s="169">
        <f t="shared" si="8"/>
        <v>145.21036955672309</v>
      </c>
      <c r="P34" s="169">
        <f t="shared" si="8"/>
        <v>116.14409108766796</v>
      </c>
      <c r="Q34" s="169">
        <f t="shared" si="8"/>
        <v>127.26843090054825</v>
      </c>
      <c r="R34" s="169">
        <f t="shared" si="8"/>
        <v>133.40340614912424</v>
      </c>
      <c r="S34" s="169">
        <f t="shared" si="8"/>
        <v>136.29345359116388</v>
      </c>
      <c r="T34" s="169">
        <f t="shared" si="8"/>
        <v>139.08515777860521</v>
      </c>
      <c r="U34" s="169">
        <f t="shared" si="8"/>
        <v>142.46668931141673</v>
      </c>
      <c r="V34" s="169">
        <f t="shared" si="8"/>
        <v>146.78691405083623</v>
      </c>
      <c r="W34" s="169">
        <f t="shared" si="8"/>
        <v>151.30649275124802</v>
      </c>
      <c r="X34" s="169">
        <f t="shared" si="8"/>
        <v>155.73554774798868</v>
      </c>
      <c r="Y34" s="169">
        <f t="shared" si="8"/>
        <v>160.39709295371989</v>
      </c>
      <c r="Z34" s="1"/>
      <c r="AA34" s="1"/>
      <c r="AB34" s="1"/>
      <c r="AC34" s="1"/>
      <c r="AD34" s="1"/>
      <c r="AE34" s="1"/>
      <c r="AF34" s="1"/>
      <c r="AG34" s="1"/>
      <c r="AH34" s="1"/>
      <c r="AI34" s="1"/>
      <c r="AJ34" s="1"/>
      <c r="AK34" s="1"/>
    </row>
    <row r="35" spans="1:37" ht="5.25" customHeight="1" x14ac:dyDescent="0.25">
      <c r="A35" s="1"/>
      <c r="B35" s="1"/>
      <c r="C35" s="1"/>
      <c r="D35" s="1"/>
      <c r="E35" s="1"/>
      <c r="F35" s="33"/>
      <c r="G35" s="33"/>
      <c r="H35" s="1"/>
      <c r="I35" s="39"/>
      <c r="J35" s="39"/>
      <c r="K35" s="49"/>
      <c r="L35" s="49"/>
      <c r="M35" s="49"/>
      <c r="N35" s="49"/>
      <c r="O35" s="49"/>
      <c r="P35" s="49"/>
      <c r="Q35" s="49"/>
      <c r="R35" s="49"/>
      <c r="S35" s="49"/>
      <c r="T35" s="49"/>
      <c r="U35" s="49"/>
      <c r="V35" s="49"/>
      <c r="W35" s="49"/>
      <c r="X35" s="49"/>
      <c r="Y35" s="49"/>
      <c r="Z35" s="1"/>
      <c r="AA35" s="1"/>
      <c r="AB35" s="1"/>
      <c r="AC35" s="1"/>
      <c r="AD35" s="1"/>
      <c r="AE35" s="1"/>
      <c r="AF35" s="1"/>
      <c r="AG35" s="1"/>
      <c r="AH35" s="1"/>
      <c r="AI35" s="1"/>
      <c r="AJ35" s="1"/>
      <c r="AK35" s="1"/>
    </row>
    <row r="36" spans="1:37" ht="5.25" customHeight="1" x14ac:dyDescent="0.25">
      <c r="A36" s="1"/>
      <c r="B36" s="1"/>
      <c r="C36" s="1"/>
      <c r="D36" s="1"/>
      <c r="E36" s="1"/>
      <c r="F36" s="33"/>
      <c r="G36" s="33"/>
      <c r="H36" s="1"/>
      <c r="I36" s="39"/>
      <c r="J36" s="39"/>
      <c r="K36" s="49"/>
      <c r="L36" s="49"/>
      <c r="M36" s="49"/>
      <c r="N36" s="49"/>
      <c r="O36" s="49"/>
      <c r="P36" s="49"/>
      <c r="Q36" s="49"/>
      <c r="R36" s="49"/>
      <c r="S36" s="49"/>
      <c r="T36" s="49"/>
      <c r="U36" s="49"/>
      <c r="V36" s="49"/>
      <c r="W36" s="49"/>
      <c r="X36" s="49"/>
      <c r="Y36" s="49"/>
      <c r="Z36" s="1"/>
      <c r="AA36" s="1"/>
      <c r="AB36" s="1"/>
      <c r="AC36" s="1"/>
      <c r="AD36" s="1"/>
      <c r="AE36" s="1"/>
      <c r="AF36" s="1"/>
      <c r="AG36" s="1"/>
      <c r="AH36" s="1"/>
      <c r="AI36" s="1"/>
      <c r="AJ36" s="1"/>
      <c r="AK36" s="1"/>
    </row>
    <row r="37" spans="1:37" ht="10.5" customHeight="1" x14ac:dyDescent="0.25">
      <c r="A37" s="1"/>
      <c r="B37" s="1"/>
      <c r="C37" s="1"/>
      <c r="D37" s="1" t="s">
        <v>91</v>
      </c>
      <c r="E37" s="1" t="s">
        <v>233</v>
      </c>
      <c r="F37" s="33" t="s">
        <v>28</v>
      </c>
      <c r="G37" s="33"/>
      <c r="H37" s="52"/>
      <c r="I37" s="49">
        <f>- I25</f>
        <v>82.429000000000002</v>
      </c>
      <c r="J37" s="49">
        <f t="shared" ref="J37:Y37" si="9">- J25</f>
        <v>71.448999999999998</v>
      </c>
      <c r="K37" s="49">
        <f t="shared" si="9"/>
        <v>67.459000000000003</v>
      </c>
      <c r="L37" s="49">
        <f t="shared" si="9"/>
        <v>73.15100000000001</v>
      </c>
      <c r="M37" s="49">
        <f t="shared" si="9"/>
        <v>75.490999999999985</v>
      </c>
      <c r="N37" s="49">
        <f t="shared" si="9"/>
        <v>71.033999999999992</v>
      </c>
      <c r="O37" s="49">
        <f t="shared" si="9"/>
        <v>79.045999999999992</v>
      </c>
      <c r="P37" s="467">
        <f t="shared" si="9"/>
        <v>88.600660722339768</v>
      </c>
      <c r="Q37" s="467">
        <f t="shared" si="9"/>
        <v>85.31585268763223</v>
      </c>
      <c r="R37" s="467">
        <f t="shared" si="9"/>
        <v>81.722318648586253</v>
      </c>
      <c r="S37" s="467">
        <f t="shared" si="9"/>
        <v>82.69488829261573</v>
      </c>
      <c r="T37" s="467">
        <f t="shared" si="9"/>
        <v>83.998829763854303</v>
      </c>
      <c r="U37" s="467">
        <f t="shared" si="9"/>
        <v>84.649592927455984</v>
      </c>
      <c r="V37" s="467">
        <f t="shared" si="9"/>
        <v>84.583562413152407</v>
      </c>
      <c r="W37" s="467">
        <f t="shared" si="9"/>
        <v>84.422527246046471</v>
      </c>
      <c r="X37" s="467">
        <f t="shared" si="9"/>
        <v>84.498529087710381</v>
      </c>
      <c r="Y37" s="467">
        <f t="shared" si="9"/>
        <v>83.985762633381725</v>
      </c>
      <c r="Z37" s="1"/>
      <c r="AA37" s="1"/>
      <c r="AB37" s="1"/>
      <c r="AC37" s="1"/>
      <c r="AD37" s="1"/>
      <c r="AE37" s="1"/>
      <c r="AF37" s="1"/>
      <c r="AG37" s="1"/>
      <c r="AH37" s="1"/>
      <c r="AI37" s="1"/>
      <c r="AJ37" s="1"/>
      <c r="AK37" s="1"/>
    </row>
    <row r="38" spans="1:37" ht="10.5" customHeight="1" x14ac:dyDescent="0.25">
      <c r="A38" s="1"/>
      <c r="B38" s="1"/>
      <c r="C38" s="1"/>
      <c r="D38" s="1" t="s">
        <v>91</v>
      </c>
      <c r="E38" s="1" t="s">
        <v>234</v>
      </c>
      <c r="F38" s="33" t="s">
        <v>28</v>
      </c>
      <c r="G38" s="33"/>
      <c r="H38" s="52"/>
      <c r="I38" s="49">
        <f t="shared" ref="I38:Y38" si="10">- I26</f>
        <v>0</v>
      </c>
      <c r="J38" s="49">
        <f t="shared" si="10"/>
        <v>0</v>
      </c>
      <c r="K38" s="49">
        <f t="shared" si="10"/>
        <v>1.1140000000000001</v>
      </c>
      <c r="L38" s="49">
        <f t="shared" si="10"/>
        <v>1.8939999999999999</v>
      </c>
      <c r="M38" s="49">
        <f t="shared" si="10"/>
        <v>5.968</v>
      </c>
      <c r="N38" s="49">
        <f t="shared" si="10"/>
        <v>6.3090000000000002</v>
      </c>
      <c r="O38" s="49">
        <f t="shared" si="10"/>
        <v>6</v>
      </c>
      <c r="P38" s="49">
        <f t="shared" si="10"/>
        <v>2.660625</v>
      </c>
      <c r="Q38" s="49">
        <f t="shared" si="10"/>
        <v>2.993203125</v>
      </c>
      <c r="R38" s="49">
        <f t="shared" si="10"/>
        <v>3.3673535156250001</v>
      </c>
      <c r="S38" s="49">
        <f t="shared" si="10"/>
        <v>3.7882727050781249</v>
      </c>
      <c r="T38" s="49">
        <f t="shared" si="10"/>
        <v>4.1225567932128904</v>
      </c>
      <c r="U38" s="49">
        <f t="shared" si="10"/>
        <v>4.4011263923645023</v>
      </c>
      <c r="V38" s="49">
        <f t="shared" si="10"/>
        <v>4.2052671914100648</v>
      </c>
      <c r="W38" s="49">
        <f t="shared" si="10"/>
        <v>3.9423005903363229</v>
      </c>
      <c r="X38" s="49">
        <f t="shared" si="10"/>
        <v>3.6850881641283637</v>
      </c>
      <c r="Y38" s="49">
        <f t="shared" si="10"/>
        <v>3.8131460596444087</v>
      </c>
      <c r="Z38" s="1"/>
      <c r="AA38" s="1"/>
      <c r="AB38" s="1"/>
      <c r="AC38" s="1"/>
      <c r="AD38" s="1"/>
      <c r="AE38" s="1"/>
      <c r="AF38" s="1"/>
      <c r="AG38" s="1"/>
      <c r="AH38" s="1"/>
      <c r="AI38" s="1"/>
      <c r="AJ38" s="1"/>
      <c r="AK38" s="1"/>
    </row>
    <row r="39" spans="1:37" ht="15.75" customHeight="1" x14ac:dyDescent="0.25">
      <c r="A39" s="1"/>
      <c r="B39" s="1"/>
      <c r="C39" s="1"/>
      <c r="D39" s="18" t="s">
        <v>93</v>
      </c>
      <c r="E39" s="1" t="s">
        <v>235</v>
      </c>
      <c r="F39" s="33" t="s">
        <v>28</v>
      </c>
      <c r="G39" s="33"/>
      <c r="H39" s="52"/>
      <c r="I39" s="39">
        <f>'&gt;&gt; Fin Stmts'!I86</f>
        <v>50.605999999999995</v>
      </c>
      <c r="J39" s="39">
        <f>'&gt;&gt; Fin Stmts'!J86</f>
        <v>9.5840000000000316</v>
      </c>
      <c r="K39" s="39">
        <f>'&gt;&gt; Fin Stmts'!K86</f>
        <v>0.60200000000000387</v>
      </c>
      <c r="L39" s="39">
        <f>'&gt;&gt; Fin Stmts'!L86</f>
        <v>-13.389000000000038</v>
      </c>
      <c r="M39" s="39">
        <f>'&gt;&gt; Fin Stmts'!M86</f>
        <v>-5.7279999999999518</v>
      </c>
      <c r="N39" s="39">
        <f>'&gt;&gt; Fin Stmts'!N86</f>
        <v>2.7369999999999948</v>
      </c>
      <c r="O39" s="39">
        <f>'&gt;&gt; Fin Stmts'!O86</f>
        <v>-25.039000000000016</v>
      </c>
      <c r="P39" s="39">
        <f>'&gt;&gt; Fin Stmts'!P86</f>
        <v>7.824756107537155</v>
      </c>
      <c r="Q39" s="39">
        <f>'&gt;&gt; Fin Stmts'!Q86</f>
        <v>8.216596429064623</v>
      </c>
      <c r="R39" s="39">
        <f>'&gt;&gt; Fin Stmts'!R86</f>
        <v>8.6284809773302982</v>
      </c>
      <c r="S39" s="39">
        <f>'&gt;&gt; Fin Stmts'!S86</f>
        <v>9.0610150785525434</v>
      </c>
      <c r="T39" s="39">
        <f>'&gt;&gt; Fin Stmts'!T86</f>
        <v>9.5147601514756843</v>
      </c>
      <c r="U39" s="39">
        <f>'&gt;&gt; Fin Stmts'!U86</f>
        <v>9.9902182614297601</v>
      </c>
      <c r="V39" s="39">
        <f>'&gt;&gt; Fin Stmts'!V86</f>
        <v>10.48781381754435</v>
      </c>
      <c r="W39" s="39">
        <f>'&gt;&gt; Fin Stmts'!W86</f>
        <v>11.007871938383914</v>
      </c>
      <c r="X39" s="39">
        <f>'&gt;&gt; Fin Stmts'!X86</f>
        <v>11.550592934901459</v>
      </c>
      <c r="Y39" s="39">
        <f>'&gt;&gt; Fin Stmts'!Y86</f>
        <v>12.116022270841597</v>
      </c>
      <c r="Z39" s="1"/>
      <c r="AA39" s="1"/>
      <c r="AB39" s="1"/>
      <c r="AC39" s="1"/>
      <c r="AD39" s="1"/>
      <c r="AE39" s="1"/>
      <c r="AF39" s="1"/>
      <c r="AG39" s="1"/>
      <c r="AH39" s="1"/>
      <c r="AI39" s="1"/>
      <c r="AJ39" s="1"/>
      <c r="AK39" s="1"/>
    </row>
    <row r="40" spans="1:37" ht="15.75" customHeight="1" x14ac:dyDescent="0.25">
      <c r="A40" s="1"/>
      <c r="B40" s="1"/>
      <c r="C40" s="1"/>
      <c r="D40" s="18" t="s">
        <v>93</v>
      </c>
      <c r="E40" s="1" t="s">
        <v>236</v>
      </c>
      <c r="F40" s="33" t="s">
        <v>28</v>
      </c>
      <c r="G40" s="33"/>
      <c r="H40" s="52"/>
      <c r="I40" s="49">
        <f>'&gt;&gt; Fin Stmts'!I101</f>
        <v>-206.46600000000001</v>
      </c>
      <c r="J40" s="49">
        <f>'&gt;&gt; Fin Stmts'!J101</f>
        <v>-303.65100000000001</v>
      </c>
      <c r="K40" s="49">
        <f>'&gt;&gt; Fin Stmts'!K101</f>
        <v>-326.87700000000001</v>
      </c>
      <c r="L40" s="49">
        <f>'&gt;&gt; Fin Stmts'!L101</f>
        <v>-171.673</v>
      </c>
      <c r="M40" s="49">
        <f>'&gt;&gt; Fin Stmts'!M101</f>
        <v>-100.065</v>
      </c>
      <c r="N40" s="49">
        <f>'&gt;&gt; Fin Stmts'!N101</f>
        <v>-254.74600000000001</v>
      </c>
      <c r="O40" s="49">
        <f>'&gt;&gt; Fin Stmts'!O101</f>
        <v>-303.68900000000002</v>
      </c>
      <c r="P40" s="467">
        <f>'&gt;&gt; Fin Stmts'!P101</f>
        <v>-156</v>
      </c>
      <c r="Q40" s="467">
        <f>'&gt;&gt; Fin Stmts'!Q101</f>
        <v>-61.089999999999996</v>
      </c>
      <c r="R40" s="467">
        <f>'&gt;&gt; Fin Stmts'!R101</f>
        <v>-61.089999999999996</v>
      </c>
      <c r="S40" s="467">
        <f>'&gt;&gt; Fin Stmts'!S101</f>
        <v>-62.311799999999998</v>
      </c>
      <c r="T40" s="467">
        <f>'&gt;&gt; Fin Stmts'!T101</f>
        <v>-63.558036000000001</v>
      </c>
      <c r="U40" s="467">
        <f>'&gt;&gt; Fin Stmts'!U101</f>
        <v>-64.829196719999999</v>
      </c>
      <c r="V40" s="467">
        <f>'&gt;&gt; Fin Stmts'!V101</f>
        <v>-117.3757806544</v>
      </c>
      <c r="W40" s="467">
        <f>'&gt;&gt; Fin Stmts'!W101</f>
        <v>-119.97954626748799</v>
      </c>
      <c r="X40" s="467">
        <f>'&gt;&gt; Fin Stmts'!X101</f>
        <v>-122.64179344283775</v>
      </c>
      <c r="Y40" s="467">
        <f>'&gt;&gt; Fin Stmts'!Y101</f>
        <v>-70.173207436694526</v>
      </c>
      <c r="Z40" s="1"/>
      <c r="AA40" s="1"/>
      <c r="AB40" s="1"/>
      <c r="AC40" s="1"/>
      <c r="AD40" s="1"/>
      <c r="AE40" s="1"/>
      <c r="AF40" s="1"/>
      <c r="AG40" s="1"/>
      <c r="AH40" s="1"/>
      <c r="AI40" s="1"/>
      <c r="AJ40" s="1"/>
      <c r="AK40" s="1"/>
    </row>
    <row r="41" spans="1:37" ht="15.75" customHeight="1" x14ac:dyDescent="0.25">
      <c r="A41" s="1"/>
      <c r="B41" s="1"/>
      <c r="C41" s="1"/>
      <c r="D41" s="18" t="s">
        <v>93</v>
      </c>
      <c r="E41" s="1" t="s">
        <v>237</v>
      </c>
      <c r="F41" s="33" t="s">
        <v>28</v>
      </c>
      <c r="G41" s="33"/>
      <c r="H41" s="52"/>
      <c r="I41" s="49">
        <f>'&gt;&gt; Fin Stmts'!H100</f>
        <v>-3.97</v>
      </c>
      <c r="J41" s="49">
        <f>'&gt;&gt; Fin Stmts'!I100</f>
        <v>-8.5890000000000004</v>
      </c>
      <c r="K41" s="49">
        <f>'&gt;&gt; Fin Stmts'!J100</f>
        <v>-29.129000000000001</v>
      </c>
      <c r="L41" s="49">
        <f>'&gt;&gt; Fin Stmts'!K100</f>
        <v>-20.515000000000001</v>
      </c>
      <c r="M41" s="49">
        <f>'&gt;&gt; Fin Stmts'!L100</f>
        <v>-5.7990000000000004</v>
      </c>
      <c r="N41" s="49">
        <f>'&gt;&gt; Fin Stmts'!M100</f>
        <v>-11.411</v>
      </c>
      <c r="O41" s="49">
        <f>'&gt;&gt; Fin Stmts'!N100</f>
        <v>-8.1129999999999995</v>
      </c>
      <c r="P41" s="49">
        <f>'&gt;&gt; Fin Stmts'!O100</f>
        <v>-7.0469999999999997</v>
      </c>
      <c r="Q41" s="49">
        <f>'&gt;&gt; Fin Stmts'!P100</f>
        <v>-6.9878979677338027</v>
      </c>
      <c r="R41" s="49">
        <f>'&gt;&gt; Fin Stmts'!Q100</f>
        <v>-7.6866877645071838</v>
      </c>
      <c r="S41" s="49">
        <f>'&gt;&gt; Fin Stmts'!R100</f>
        <v>-8.4553565409579026</v>
      </c>
      <c r="T41" s="49">
        <f>'&gt;&gt; Fin Stmts'!S100</f>
        <v>-9.3008921950536934</v>
      </c>
      <c r="U41" s="49">
        <f>'&gt;&gt; Fin Stmts'!T100</f>
        <v>-10.230981414559064</v>
      </c>
      <c r="V41" s="49">
        <f>'&gt;&gt; Fin Stmts'!U100</f>
        <v>-11.254079556014972</v>
      </c>
      <c r="W41" s="49">
        <f>'&gt;&gt; Fin Stmts'!V100</f>
        <v>-12.379487511616469</v>
      </c>
      <c r="X41" s="49">
        <f>'&gt;&gt; Fin Stmts'!W100</f>
        <v>-13.617436262778117</v>
      </c>
      <c r="Y41" s="49">
        <f>'&gt;&gt; Fin Stmts'!X100</f>
        <v>-14.97917988905593</v>
      </c>
      <c r="Z41" s="1"/>
      <c r="AA41" s="1"/>
      <c r="AB41" s="1"/>
      <c r="AC41" s="1"/>
      <c r="AD41" s="1"/>
      <c r="AE41" s="1"/>
      <c r="AF41" s="1"/>
      <c r="AG41" s="1"/>
      <c r="AH41" s="1"/>
      <c r="AI41" s="1"/>
      <c r="AJ41" s="1"/>
      <c r="AK41" s="1"/>
    </row>
    <row r="42" spans="1:37" ht="15.75" customHeight="1" x14ac:dyDescent="0.25">
      <c r="A42" s="1"/>
      <c r="B42" s="1"/>
      <c r="C42" s="1"/>
      <c r="D42" s="18" t="s">
        <v>93</v>
      </c>
      <c r="E42" s="1" t="s">
        <v>238</v>
      </c>
      <c r="F42" s="33" t="s">
        <v>28</v>
      </c>
      <c r="G42" s="33"/>
      <c r="H42" s="52"/>
      <c r="I42" s="49"/>
      <c r="J42" s="49"/>
      <c r="K42" s="49"/>
      <c r="L42" s="49"/>
      <c r="M42" s="49"/>
      <c r="N42" s="49"/>
      <c r="O42" s="49"/>
      <c r="P42" s="49"/>
      <c r="Q42" s="49"/>
      <c r="R42" s="49"/>
      <c r="S42" s="49"/>
      <c r="T42" s="49"/>
      <c r="U42" s="49"/>
      <c r="V42" s="49"/>
      <c r="W42" s="49"/>
      <c r="X42" s="49"/>
      <c r="Y42" s="49"/>
      <c r="Z42" s="1"/>
      <c r="AA42" s="1"/>
      <c r="AB42" s="1"/>
      <c r="AC42" s="1"/>
      <c r="AD42" s="1"/>
      <c r="AE42" s="1"/>
      <c r="AF42" s="1"/>
      <c r="AG42" s="1"/>
      <c r="AH42" s="1"/>
      <c r="AI42" s="1"/>
      <c r="AJ42" s="1"/>
      <c r="AK42" s="1"/>
    </row>
    <row r="43" spans="1:37" ht="15.75" customHeight="1" x14ac:dyDescent="0.25">
      <c r="A43" s="1"/>
      <c r="B43" s="1"/>
      <c r="C43" s="1"/>
      <c r="D43" s="18"/>
      <c r="E43" s="166" t="s">
        <v>239</v>
      </c>
      <c r="F43" s="43" t="s">
        <v>28</v>
      </c>
      <c r="G43" s="43"/>
      <c r="H43" s="167"/>
      <c r="I43" s="167">
        <f t="shared" ref="I43:Y43" si="11">SUM( I34:I42 )</f>
        <v>87.412934119367179</v>
      </c>
      <c r="J43" s="167">
        <f t="shared" si="11"/>
        <v>-78.635662380421849</v>
      </c>
      <c r="K43" s="167">
        <f t="shared" si="11"/>
        <v>-186.45577243098842</v>
      </c>
      <c r="L43" s="167">
        <f t="shared" si="11"/>
        <v>3.2990154550408448</v>
      </c>
      <c r="M43" s="167">
        <f t="shared" si="11"/>
        <v>20.73543099476445</v>
      </c>
      <c r="N43" s="167">
        <f t="shared" si="11"/>
        <v>-4.1413084447759427</v>
      </c>
      <c r="O43" s="167">
        <f t="shared" si="11"/>
        <v>-106.58463044327695</v>
      </c>
      <c r="P43" s="167">
        <f>SUM( P34:P42 )</f>
        <v>52.183132917544896</v>
      </c>
      <c r="Q43" s="167">
        <f t="shared" si="11"/>
        <v>155.71618517451131</v>
      </c>
      <c r="R43" s="167">
        <f t="shared" si="11"/>
        <v>158.34487152615861</v>
      </c>
      <c r="S43" s="167">
        <f t="shared" si="11"/>
        <v>161.07047312645238</v>
      </c>
      <c r="T43" s="167">
        <f t="shared" si="11"/>
        <v>163.86237629209435</v>
      </c>
      <c r="U43" s="167">
        <f t="shared" si="11"/>
        <v>166.4474487581079</v>
      </c>
      <c r="V43" s="167">
        <f t="shared" si="11"/>
        <v>117.43369726252809</v>
      </c>
      <c r="W43" s="167">
        <f t="shared" si="11"/>
        <v>118.32015874691024</v>
      </c>
      <c r="X43" s="167">
        <f t="shared" si="11"/>
        <v>119.21052822911301</v>
      </c>
      <c r="Y43" s="167">
        <f t="shared" si="11"/>
        <v>175.15963659183717</v>
      </c>
      <c r="Z43" s="1"/>
      <c r="AA43" s="1"/>
      <c r="AB43" s="1"/>
      <c r="AC43" s="1"/>
      <c r="AD43" s="1"/>
      <c r="AE43" s="1"/>
      <c r="AF43" s="1"/>
      <c r="AG43" s="1"/>
      <c r="AH43" s="1"/>
      <c r="AI43" s="1"/>
      <c r="AJ43" s="1"/>
      <c r="AK43" s="1"/>
    </row>
    <row r="44" spans="1:37" ht="6.75" customHeight="1" x14ac:dyDescent="0.25">
      <c r="A44" s="1"/>
      <c r="B44" s="1"/>
      <c r="C44" s="1"/>
      <c r="D44" s="18"/>
      <c r="E44" s="1"/>
      <c r="F44" s="33"/>
      <c r="G44" s="33"/>
      <c r="H44" s="1"/>
      <c r="I44" s="39"/>
      <c r="J44" s="39"/>
      <c r="K44" s="49"/>
      <c r="L44" s="49"/>
      <c r="M44" s="49"/>
      <c r="N44" s="49"/>
      <c r="O44" s="49"/>
      <c r="P44" s="49"/>
      <c r="Q44" s="49"/>
      <c r="R44" s="49"/>
      <c r="S44" s="49"/>
      <c r="T44" s="49"/>
      <c r="U44" s="49"/>
      <c r="V44" s="49"/>
      <c r="W44" s="49"/>
      <c r="X44" s="49"/>
      <c r="Y44" s="49"/>
      <c r="Z44" s="1"/>
      <c r="AA44" s="1"/>
      <c r="AB44" s="1"/>
      <c r="AC44" s="1"/>
      <c r="AD44" s="1"/>
      <c r="AE44" s="1"/>
      <c r="AF44" s="1"/>
      <c r="AG44" s="1"/>
      <c r="AH44" s="1"/>
      <c r="AI44" s="1"/>
      <c r="AJ44" s="1"/>
      <c r="AK44" s="1"/>
    </row>
    <row r="45" spans="1:37" ht="15.75" customHeight="1" x14ac:dyDescent="0.25">
      <c r="A45" s="1"/>
      <c r="B45" s="1"/>
      <c r="C45" s="1"/>
      <c r="D45" s="18"/>
      <c r="E45" s="13" t="s">
        <v>240</v>
      </c>
      <c r="F45" s="43" t="s">
        <v>28</v>
      </c>
      <c r="G45" s="43"/>
      <c r="H45" s="38"/>
      <c r="I45" s="38"/>
      <c r="J45" s="38"/>
      <c r="K45" s="38"/>
      <c r="L45" s="38"/>
      <c r="M45" s="38"/>
      <c r="N45" s="38">
        <f>IF( N5 = '&gt;&gt; Inputs'!$G56, '&gt;&gt; Inputs'!$G60, 0 )</f>
        <v>0</v>
      </c>
      <c r="O45" s="38">
        <f>IF( O5 = '&gt;&gt; Inputs'!$G56, '&gt;&gt; Inputs'!$G60, 0 )</f>
        <v>0</v>
      </c>
      <c r="P45" s="38">
        <f>IF( P5 = '&gt;&gt; Inputs'!$G56, '&gt;&gt; Inputs'!$G60, 0 )</f>
        <v>0</v>
      </c>
      <c r="Q45" s="38">
        <f>IF( Q5 = '&gt;&gt; Inputs'!$G56, '&gt;&gt; Inputs'!$G60, 0 )</f>
        <v>0</v>
      </c>
      <c r="R45" s="38">
        <f>IF( R5 = '&gt;&gt; Inputs'!$G56, '&gt;&gt; Inputs'!$G60, 0 )</f>
        <v>0</v>
      </c>
      <c r="S45" s="38">
        <f>IF( S5 = '&gt;&gt; Inputs'!$G56, '&gt;&gt; Inputs'!$G60, 0 )</f>
        <v>0</v>
      </c>
      <c r="T45" s="38">
        <f>IF( T5 = '&gt;&gt; Inputs'!$G56, '&gt;&gt; Inputs'!$G60, 0 )</f>
        <v>0</v>
      </c>
      <c r="U45" s="38">
        <f>IF( U5 = '&gt;&gt; Inputs'!$G56, '&gt;&gt; Inputs'!$G60, 0 )</f>
        <v>0</v>
      </c>
      <c r="V45" s="38">
        <f>IF( V5 = '&gt;&gt; Inputs'!$G56, '&gt;&gt; Inputs'!$G60, 0 )</f>
        <v>0</v>
      </c>
      <c r="W45" s="38">
        <f>IF( W5 = '&gt;&gt; Inputs'!$G56, '&gt;&gt; Inputs'!$G60, 0 )</f>
        <v>0</v>
      </c>
      <c r="X45" s="38">
        <f>IF( X5 = '&gt;&gt; Inputs'!$G56, '&gt;&gt; Inputs'!$G60, 0 )</f>
        <v>0</v>
      </c>
      <c r="Y45" s="468">
        <f>IF( Y5 = '&gt;&gt; Inputs'!$G56, '&gt;&gt; Inputs'!$G60, 0 )</f>
        <v>2534.2728150772523</v>
      </c>
      <c r="Z45" s="1"/>
      <c r="AA45" s="588">
        <f>Y23*1.02/('&gt;&gt; Dash'!Z50-2%)</f>
        <v>2420.0466148560467</v>
      </c>
      <c r="AB45" s="1"/>
      <c r="AC45" s="1"/>
      <c r="AD45" s="1"/>
      <c r="AE45" s="1"/>
      <c r="AF45" s="1"/>
      <c r="AG45" s="1"/>
      <c r="AH45" s="1"/>
      <c r="AI45" s="1"/>
      <c r="AJ45" s="1"/>
      <c r="AK45" s="1"/>
    </row>
    <row r="46" spans="1:37" ht="15.75" customHeight="1" x14ac:dyDescent="0.25">
      <c r="A46" s="1"/>
      <c r="B46" s="1"/>
      <c r="C46" s="1"/>
      <c r="D46" s="18"/>
      <c r="E46" s="1" t="s">
        <v>241</v>
      </c>
      <c r="F46" s="33" t="s">
        <v>28</v>
      </c>
      <c r="G46" s="33"/>
      <c r="H46" s="39"/>
      <c r="I46" s="39"/>
      <c r="J46" s="39"/>
      <c r="K46" s="39"/>
      <c r="L46" s="39"/>
      <c r="M46" s="39"/>
      <c r="N46" s="39">
        <f>IF( N5 = '&gt;&gt; Inputs'!$G56, ( ( N43 * ( 1 + '&gt;&gt; Inputs'!$G54 ) ) / ( '&gt;&gt; Inputs'!$G15 - '&gt;&gt; Inputs'!$G54 ) ), 0 )</f>
        <v>0</v>
      </c>
      <c r="O46" s="39">
        <f>IF( O5 = '&gt;&gt; Inputs'!$G56, ( ( O43 * ( 1 + '&gt;&gt; Inputs'!$G54 ) ) / ( '&gt;&gt; Inputs'!$G15 - '&gt;&gt; Inputs'!$G54 ) ), 0 )</f>
        <v>0</v>
      </c>
      <c r="P46" s="39">
        <f>IF( P5 = '&gt;&gt; Inputs'!$G56, ( ( P43 * ( 1 + '&gt;&gt; Inputs'!$G54 ) ) / ( '&gt;&gt; Inputs'!$G15 - '&gt;&gt; Inputs'!$G54 ) ), 0 )</f>
        <v>0</v>
      </c>
      <c r="Q46" s="39">
        <f>IF( Q5 = '&gt;&gt; Inputs'!$G56, ( ( Q43 * ( 1 + '&gt;&gt; Inputs'!$G54 ) ) / ( '&gt;&gt; Inputs'!$G15 - '&gt;&gt; Inputs'!$G54 ) ), 0 )</f>
        <v>0</v>
      </c>
      <c r="R46" s="39">
        <f>IF( R5 = '&gt;&gt; Inputs'!$G56, ( ( R43 * ( 1 + '&gt;&gt; Inputs'!$G54 ) ) / ( '&gt;&gt; Inputs'!$G15 - '&gt;&gt; Inputs'!$G54 ) ), 0 )</f>
        <v>0</v>
      </c>
      <c r="S46" s="39">
        <f>IF( S5 = '&gt;&gt; Inputs'!$G56, ( ( S43 * ( 1 + '&gt;&gt; Inputs'!$G54 ) ) / ( '&gt;&gt; Inputs'!$G15 - '&gt;&gt; Inputs'!$G54 ) ), 0 )</f>
        <v>0</v>
      </c>
      <c r="T46" s="39">
        <f>IF( T5 = '&gt;&gt; Inputs'!$G56, ( ( T43 * ( 1 + '&gt;&gt; Inputs'!$G54 ) ) / ( '&gt;&gt; Inputs'!$G15 - '&gt;&gt; Inputs'!$G54 ) ), 0 )</f>
        <v>0</v>
      </c>
      <c r="U46" s="39">
        <f>IF( U5 = '&gt;&gt; Inputs'!$G56, ( ( U43 * ( 1 + '&gt;&gt; Inputs'!$G54 ) ) / ( '&gt;&gt; Inputs'!$G15 - '&gt;&gt; Inputs'!$G54 ) ), 0 )</f>
        <v>0</v>
      </c>
      <c r="V46" s="39">
        <f>IF( V5 = '&gt;&gt; Inputs'!$G56, ( ( V43 * ( 1 + '&gt;&gt; Inputs'!$G54 ) ) / ( '&gt;&gt; Inputs'!$G15 - '&gt;&gt; Inputs'!$G54 ) ), 0 )</f>
        <v>0</v>
      </c>
      <c r="W46" s="39">
        <f>IF( W5 = '&gt;&gt; Inputs'!$G56, ( ( W43 * ( 1 + '&gt;&gt; Inputs'!$G54 ) ) / ( '&gt;&gt; Inputs'!$G15 - '&gt;&gt; Inputs'!$G54 ) ), 0 )</f>
        <v>0</v>
      </c>
      <c r="X46" s="39">
        <f>IF( $X$5 = '&gt;&gt; Inputs'!$G$56, ( ( X43 * ( 1 + '&gt;&gt; Inputs'!$G$54 ) ) / ( '&gt;&gt; Inputs'!$G$15 - '&gt;&gt; Inputs'!$G$54 ) ), 0 )</f>
        <v>0</v>
      </c>
      <c r="Y46" s="469">
        <f>IF( $Y$5 = '&gt;&gt; Inputs'!$G$56, ( ( Y23 * ( 1 + '&gt;&gt; Inputs'!$G$54 ) ) / ( '&gt;&gt; Inputs'!$G$16 - '&gt;&gt; Inputs'!$G$54 ) ), 0 )</f>
        <v>2420.0466148560467</v>
      </c>
      <c r="Z46" s="1"/>
      <c r="AA46" s="588">
        <f>AA45/Y23</f>
        <v>7.7922077922077921</v>
      </c>
      <c r="AB46" s="1"/>
      <c r="AC46" s="1"/>
      <c r="AD46" s="1"/>
      <c r="AE46" s="1"/>
      <c r="AF46" s="1"/>
      <c r="AG46" s="1"/>
      <c r="AH46" s="1"/>
      <c r="AI46" s="1"/>
      <c r="AJ46" s="1"/>
      <c r="AK46" s="1"/>
    </row>
    <row r="47" spans="1:37" ht="6.75" customHeight="1" x14ac:dyDescent="0.25">
      <c r="A47" s="1"/>
      <c r="B47" s="1"/>
      <c r="C47" s="1"/>
      <c r="D47" s="18"/>
      <c r="E47" s="1"/>
      <c r="F47" s="33"/>
      <c r="G47" s="33"/>
      <c r="H47" s="1"/>
      <c r="I47" s="1"/>
      <c r="J47" s="1"/>
      <c r="K47" s="162"/>
      <c r="L47" s="162"/>
      <c r="M47" s="162"/>
      <c r="N47" s="162"/>
      <c r="O47" s="162"/>
      <c r="P47" s="162"/>
      <c r="Q47" s="162"/>
      <c r="R47" s="162"/>
      <c r="S47" s="162"/>
      <c r="T47" s="162"/>
      <c r="U47" s="162"/>
      <c r="V47" s="162"/>
      <c r="W47" s="162"/>
      <c r="X47" s="162"/>
      <c r="Y47" s="162"/>
      <c r="Z47" s="1"/>
      <c r="AA47" s="1"/>
      <c r="AB47" s="1"/>
      <c r="AC47" s="1"/>
      <c r="AD47" s="1"/>
      <c r="AE47" s="1"/>
      <c r="AF47" s="1"/>
      <c r="AG47" s="1"/>
      <c r="AH47" s="1"/>
      <c r="AI47" s="1"/>
      <c r="AJ47" s="1"/>
      <c r="AK47" s="1"/>
    </row>
    <row r="48" spans="1:37" ht="12" customHeight="1" x14ac:dyDescent="0.25">
      <c r="A48" s="1"/>
      <c r="B48" s="1"/>
      <c r="C48" s="1"/>
      <c r="D48" s="18"/>
      <c r="E48" s="1" t="s">
        <v>63</v>
      </c>
      <c r="F48" s="33" t="s">
        <v>8</v>
      </c>
      <c r="G48" s="33"/>
      <c r="H48" s="41"/>
      <c r="I48" s="41"/>
      <c r="J48" s="41"/>
      <c r="K48" s="28"/>
      <c r="L48" s="28"/>
      <c r="M48" s="28"/>
      <c r="N48" s="28">
        <f>N12 * '&gt;&gt; Inputs'!N71</f>
        <v>0</v>
      </c>
      <c r="O48" s="28">
        <f>O12 * '&gt;&gt; Inputs'!O71</f>
        <v>0</v>
      </c>
      <c r="P48" s="28">
        <f ca="1">P12 * '&gt;&gt; Inputs'!P71</f>
        <v>0.77534246575342469</v>
      </c>
      <c r="Q48" s="28">
        <f ca="1">Q12 * '&gt;&gt; Inputs'!Q71</f>
        <v>1</v>
      </c>
      <c r="R48" s="28">
        <f ca="1">R12 * '&gt;&gt; Inputs'!R71</f>
        <v>1</v>
      </c>
      <c r="S48" s="28">
        <f ca="1">S12 * '&gt;&gt; Inputs'!S71</f>
        <v>1</v>
      </c>
      <c r="T48" s="28">
        <f ca="1">T12 * '&gt;&gt; Inputs'!T71</f>
        <v>1</v>
      </c>
      <c r="U48" s="28">
        <f ca="1">U12 * '&gt;&gt; Inputs'!U71</f>
        <v>1</v>
      </c>
      <c r="V48" s="28">
        <f ca="1">V12 * '&gt;&gt; Inputs'!V71</f>
        <v>1</v>
      </c>
      <c r="W48" s="28">
        <f ca="1">W12 * '&gt;&gt; Inputs'!W71</f>
        <v>1</v>
      </c>
      <c r="X48" s="28">
        <f ca="1">X12 * '&gt;&gt; Inputs'!X71</f>
        <v>1</v>
      </c>
      <c r="Y48" s="28">
        <f ca="1">Y12 * '&gt;&gt; Inputs'!Y71</f>
        <v>1</v>
      </c>
      <c r="Z48" s="1"/>
      <c r="AA48" s="1"/>
      <c r="AB48" s="1"/>
      <c r="AC48" s="1"/>
      <c r="AD48" s="1"/>
      <c r="AE48" s="1"/>
      <c r="AF48" s="1"/>
      <c r="AG48" s="1"/>
      <c r="AH48" s="1"/>
      <c r="AI48" s="1"/>
      <c r="AJ48" s="1"/>
      <c r="AK48" s="1"/>
    </row>
    <row r="49" spans="1:37" ht="12" customHeight="1" x14ac:dyDescent="0.25">
      <c r="A49" s="1"/>
      <c r="B49" s="1"/>
      <c r="C49" s="1"/>
      <c r="D49" s="18"/>
      <c r="E49" s="1" t="s">
        <v>242</v>
      </c>
      <c r="F49" s="33" t="s">
        <v>28</v>
      </c>
      <c r="G49" s="33"/>
      <c r="H49" s="39"/>
      <c r="I49" s="39"/>
      <c r="J49" s="39"/>
      <c r="K49" s="49"/>
      <c r="L49" s="49"/>
      <c r="M49" s="49"/>
      <c r="N49" s="49">
        <f t="shared" ref="N49:Y49" si="12">( N48 * N43 )</f>
        <v>0</v>
      </c>
      <c r="O49" s="49">
        <f t="shared" si="12"/>
        <v>0</v>
      </c>
      <c r="P49" s="49">
        <f ca="1">( P48 * P43 )</f>
        <v>40.459798947027963</v>
      </c>
      <c r="Q49" s="49">
        <f t="shared" ca="1" si="12"/>
        <v>155.71618517451131</v>
      </c>
      <c r="R49" s="49">
        <f t="shared" ca="1" si="12"/>
        <v>158.34487152615861</v>
      </c>
      <c r="S49" s="49">
        <f t="shared" ca="1" si="12"/>
        <v>161.07047312645238</v>
      </c>
      <c r="T49" s="49">
        <f t="shared" ca="1" si="12"/>
        <v>163.86237629209435</v>
      </c>
      <c r="U49" s="49">
        <f t="shared" ca="1" si="12"/>
        <v>166.4474487581079</v>
      </c>
      <c r="V49" s="49">
        <f t="shared" ca="1" si="12"/>
        <v>117.43369726252809</v>
      </c>
      <c r="W49" s="49">
        <f t="shared" ca="1" si="12"/>
        <v>118.32015874691024</v>
      </c>
      <c r="X49" s="49">
        <f t="shared" ca="1" si="12"/>
        <v>119.21052822911301</v>
      </c>
      <c r="Y49" s="49">
        <f t="shared" ca="1" si="12"/>
        <v>175.15963659183717</v>
      </c>
      <c r="Z49" s="1"/>
      <c r="AA49" s="1"/>
      <c r="AB49" s="1"/>
      <c r="AC49" s="1"/>
      <c r="AD49" s="1"/>
      <c r="AE49" s="1"/>
      <c r="AF49" s="1"/>
      <c r="AG49" s="1"/>
      <c r="AH49" s="1"/>
      <c r="AI49" s="1"/>
      <c r="AJ49" s="1"/>
      <c r="AK49" s="1"/>
    </row>
    <row r="50" spans="1:37" ht="12" customHeight="1" x14ac:dyDescent="0.25">
      <c r="A50" s="1"/>
      <c r="B50" s="1"/>
      <c r="C50" s="1"/>
      <c r="D50" s="18"/>
      <c r="E50" s="1" t="s">
        <v>243</v>
      </c>
      <c r="F50" s="33" t="s">
        <v>28</v>
      </c>
      <c r="G50" s="33"/>
      <c r="H50" s="39"/>
      <c r="I50" s="39"/>
      <c r="J50" s="39"/>
      <c r="K50" s="49"/>
      <c r="L50" s="49"/>
      <c r="M50" s="49"/>
      <c r="N50" s="49">
        <f t="shared" ref="N50:X50" si="13">N48 * N45</f>
        <v>0</v>
      </c>
      <c r="O50" s="49">
        <f t="shared" si="13"/>
        <v>0</v>
      </c>
      <c r="P50" s="49">
        <f t="shared" ca="1" si="13"/>
        <v>0</v>
      </c>
      <c r="Q50" s="49">
        <f t="shared" ca="1" si="13"/>
        <v>0</v>
      </c>
      <c r="R50" s="49">
        <f t="shared" ca="1" si="13"/>
        <v>0</v>
      </c>
      <c r="S50" s="49">
        <f t="shared" ca="1" si="13"/>
        <v>0</v>
      </c>
      <c r="T50" s="49">
        <f t="shared" ca="1" si="13"/>
        <v>0</v>
      </c>
      <c r="U50" s="49">
        <f t="shared" ca="1" si="13"/>
        <v>0</v>
      </c>
      <c r="V50" s="49">
        <f t="shared" ca="1" si="13"/>
        <v>0</v>
      </c>
      <c r="W50" s="49">
        <f t="shared" ca="1" si="13"/>
        <v>0</v>
      </c>
      <c r="X50" s="49">
        <f t="shared" ca="1" si="13"/>
        <v>0</v>
      </c>
      <c r="Y50" s="49">
        <f ca="1">Y48 * Y45</f>
        <v>2534.2728150772523</v>
      </c>
      <c r="Z50" s="1"/>
      <c r="AA50" s="1"/>
      <c r="AB50" s="1"/>
      <c r="AC50" s="1"/>
      <c r="AD50" s="1"/>
      <c r="AE50" s="1"/>
      <c r="AF50" s="1"/>
      <c r="AG50" s="1"/>
      <c r="AH50" s="1"/>
      <c r="AI50" s="1"/>
      <c r="AJ50" s="1"/>
      <c r="AK50" s="1"/>
    </row>
    <row r="51" spans="1:37" ht="12" customHeight="1" x14ac:dyDescent="0.25">
      <c r="A51" s="1"/>
      <c r="B51" s="1"/>
      <c r="C51" s="1"/>
      <c r="D51" s="18"/>
      <c r="E51" s="1"/>
      <c r="F51" s="33"/>
      <c r="G51" s="33"/>
      <c r="H51" s="14"/>
      <c r="I51" s="39"/>
      <c r="J51" s="39"/>
      <c r="K51" s="49"/>
      <c r="L51" s="49"/>
      <c r="M51" s="49"/>
      <c r="N51" s="49"/>
      <c r="O51" s="49"/>
      <c r="P51" s="49"/>
      <c r="Q51" s="49"/>
      <c r="R51" s="49"/>
      <c r="S51" s="49"/>
      <c r="T51" s="49"/>
      <c r="U51" s="49"/>
      <c r="V51" s="49"/>
      <c r="W51" s="49"/>
      <c r="X51" s="49"/>
      <c r="Y51" s="49"/>
      <c r="Z51" s="1"/>
      <c r="AA51" s="1"/>
      <c r="AB51" s="1"/>
      <c r="AC51" s="1"/>
      <c r="AD51" s="1"/>
      <c r="AE51" s="1"/>
      <c r="AF51" s="1"/>
      <c r="AG51" s="1"/>
      <c r="AH51" s="1"/>
      <c r="AI51" s="1"/>
      <c r="AJ51" s="1"/>
      <c r="AK51" s="1"/>
    </row>
    <row r="52" spans="1:37" ht="12" customHeight="1" x14ac:dyDescent="0.25">
      <c r="A52" s="1"/>
      <c r="B52" s="1"/>
      <c r="C52" s="1"/>
      <c r="D52" s="18"/>
      <c r="E52" s="1" t="s">
        <v>244</v>
      </c>
      <c r="F52" s="14" t="s">
        <v>11</v>
      </c>
      <c r="G52" s="14"/>
      <c r="H52" s="39"/>
      <c r="I52" s="39"/>
      <c r="J52" s="39"/>
      <c r="K52" s="161"/>
      <c r="L52" s="161"/>
      <c r="M52" s="161"/>
      <c r="N52" s="161">
        <f>IF( N12 = 1, ( N8 - '&gt;&gt; Inputs'!$G$27 ) / DiY, 0 )</f>
        <v>0</v>
      </c>
      <c r="O52" s="161"/>
      <c r="P52" s="161">
        <f ca="1">IF( P12 = 1, ( P8 - '&gt;&gt; Inputs'!$G$27 ) / DiY, 0 )</f>
        <v>0.77534246575342469</v>
      </c>
      <c r="Q52" s="161">
        <f ca="1">IF( Q12 = 1, ( Q8 - '&gt;&gt; Inputs'!$G$27 ) / DiY, 0 )</f>
        <v>1.7753424657534247</v>
      </c>
      <c r="R52" s="161">
        <f ca="1">IF( R12 = 1, ( R8 - '&gt;&gt; Inputs'!$G$27 ) / DiY, 0 )</f>
        <v>2.7753424657534245</v>
      </c>
      <c r="S52" s="161">
        <f ca="1">IF( S12 = 1, ( S8 - '&gt;&gt; Inputs'!$G$27 ) / DiY, 0 )</f>
        <v>3.7780821917808218</v>
      </c>
      <c r="T52" s="161">
        <f ca="1">IF( T12 = 1, ( T8 - '&gt;&gt; Inputs'!$G$27 ) / DiY, 0 )</f>
        <v>4.7780821917808218</v>
      </c>
      <c r="U52" s="161">
        <f ca="1">IF( U12 = 1, ( U8 - '&gt;&gt; Inputs'!$G$27 ) / DiY, 0 )</f>
        <v>5.7780821917808218</v>
      </c>
      <c r="V52" s="161">
        <f ca="1">IF( V12 = 1, ( V8 - '&gt;&gt; Inputs'!$G$27 ) / DiY, 0 )</f>
        <v>6.7780821917808218</v>
      </c>
      <c r="W52" s="161">
        <f ca="1">IF( W12 = 1, ( W8 - '&gt;&gt; Inputs'!$G$27 ) / DiY, 0 )</f>
        <v>7.7808219178082192</v>
      </c>
      <c r="X52" s="161">
        <f ca="1">IF( X12 = 1, ( X8 - '&gt;&gt; Inputs'!$G$27 ) / DiY, 0 )</f>
        <v>8.7808219178082183</v>
      </c>
      <c r="Y52" s="161">
        <f ca="1">IF( Y12 = 1, ( Y8 - '&gt;&gt; Inputs'!$G$27 ) / DiY, 0 )</f>
        <v>9.7808219178082183</v>
      </c>
      <c r="Z52" s="1"/>
      <c r="AA52" s="1"/>
      <c r="AB52" s="1"/>
      <c r="AC52" s="1"/>
      <c r="AD52" s="1"/>
      <c r="AE52" s="1"/>
      <c r="AF52" s="1"/>
      <c r="AG52" s="1"/>
      <c r="AH52" s="1"/>
      <c r="AI52" s="1"/>
      <c r="AJ52" s="1"/>
      <c r="AK52" s="1"/>
    </row>
    <row r="53" spans="1:37" ht="15.75" customHeight="1" x14ac:dyDescent="0.25">
      <c r="A53" s="1"/>
      <c r="B53" s="1"/>
      <c r="C53" s="1"/>
      <c r="D53" s="18"/>
      <c r="E53" s="1" t="s">
        <v>245</v>
      </c>
      <c r="F53" s="33" t="s">
        <v>11</v>
      </c>
      <c r="G53" s="33"/>
      <c r="H53" s="77"/>
      <c r="I53" s="77"/>
      <c r="J53" s="77"/>
      <c r="K53" s="29"/>
      <c r="L53" s="29"/>
      <c r="M53" s="29"/>
      <c r="N53" s="29">
        <f>N12 * ( 1 / ( 1 +'&gt;&gt; Dash'!$U$47 ) ^ N$52 )</f>
        <v>0</v>
      </c>
      <c r="O53" s="29"/>
      <c r="P53" s="29">
        <f ca="1">P12 * ( 1 / ( 1 +'&gt;&gt; Dash'!$U$47 ) ^ P$52 )</f>
        <v>0.9200682204897801</v>
      </c>
      <c r="Q53" s="29">
        <f ca="1">Q12 * ( 1 / ( 1 +'&gt;&gt; Dash'!$U$47 ) ^ Q$52 )</f>
        <v>0.82633627560720346</v>
      </c>
      <c r="R53" s="29">
        <f ca="1">R12 * ( 1 / ( 1 +'&gt;&gt; Dash'!$U$47 ) ^ R$52 )</f>
        <v>0.74215327209203275</v>
      </c>
      <c r="S53" s="29">
        <f ca="1">S12 * ( 1 / ( 1 +'&gt;&gt; Dash'!$U$47 ) ^ S$52 )</f>
        <v>0.66635022744097616</v>
      </c>
      <c r="T53" s="29">
        <f ca="1">T12 * ( 1 / ( 1 +'&gt;&gt; Dash'!$U$47 ) ^ T$52 )</f>
        <v>0.59846580169943531</v>
      </c>
      <c r="U53" s="29">
        <f ca="1">U12 * ( 1 / ( 1 +'&gt;&gt; Dash'!$U$47 ) ^ U$52 )</f>
        <v>0.5374971014555151</v>
      </c>
      <c r="V53" s="29">
        <f ca="1">V12 * ( 1 / ( 1 +'&gt;&gt; Dash'!$U$47 ) ^ V$52 )</f>
        <v>0.48273958721232785</v>
      </c>
      <c r="W53" s="29">
        <f ca="1">W12 * ( 1 / ( 1 +'&gt;&gt; Dash'!$U$47 ) ^ W$52 )</f>
        <v>0.4334328848634485</v>
      </c>
      <c r="X53" s="29">
        <f ca="1">X12 * ( 1 / ( 1 +'&gt;&gt; Dash'!$U$47 ) ^ X$52 )</f>
        <v>0.38927691211102566</v>
      </c>
      <c r="Y53" s="29">
        <f ca="1">Y12 * ( 1 / ( 1 +'&gt;&gt; Dash'!$U$47 ) ^ Y$52 )</f>
        <v>0.34961932883896485</v>
      </c>
      <c r="Z53" s="1"/>
      <c r="AA53" s="1"/>
      <c r="AB53" s="1"/>
      <c r="AC53" s="1"/>
      <c r="AD53" s="1"/>
      <c r="AE53" s="1"/>
      <c r="AF53" s="1"/>
      <c r="AG53" s="1"/>
      <c r="AH53" s="1"/>
      <c r="AI53" s="1"/>
      <c r="AJ53" s="1"/>
      <c r="AK53" s="1"/>
    </row>
    <row r="54" spans="1:37" ht="8.25" customHeight="1" x14ac:dyDescent="0.25">
      <c r="A54" s="1"/>
      <c r="B54" s="1"/>
      <c r="C54" s="1"/>
      <c r="D54" s="18"/>
      <c r="E54" s="1"/>
      <c r="F54" s="33"/>
      <c r="G54" s="33"/>
      <c r="H54" s="1"/>
      <c r="I54" s="1"/>
      <c r="J54" s="1"/>
      <c r="K54" s="162"/>
      <c r="L54" s="162"/>
      <c r="M54" s="162"/>
      <c r="N54" s="162"/>
      <c r="O54" s="162"/>
      <c r="P54" s="162"/>
      <c r="Q54" s="162"/>
      <c r="R54" s="162"/>
      <c r="S54" s="162"/>
      <c r="T54" s="162"/>
      <c r="U54" s="162"/>
      <c r="V54" s="162"/>
      <c r="W54" s="162"/>
      <c r="X54" s="162"/>
      <c r="Y54" s="162"/>
      <c r="Z54" s="1"/>
      <c r="AA54" s="1"/>
      <c r="AB54" s="1"/>
      <c r="AC54" s="1"/>
      <c r="AD54" s="1"/>
      <c r="AE54" s="1"/>
      <c r="AF54" s="1"/>
      <c r="AG54" s="1"/>
      <c r="AH54" s="1"/>
      <c r="AI54" s="1"/>
      <c r="AJ54" s="1"/>
      <c r="AK54" s="1"/>
    </row>
    <row r="55" spans="1:37" ht="15.75" customHeight="1" x14ac:dyDescent="0.25">
      <c r="A55" s="1"/>
      <c r="B55" s="1"/>
      <c r="C55" s="1"/>
      <c r="D55" s="18"/>
      <c r="E55" s="1" t="s">
        <v>246</v>
      </c>
      <c r="F55" s="33" t="s">
        <v>28</v>
      </c>
      <c r="G55" s="33"/>
      <c r="H55" s="39"/>
      <c r="I55" s="39"/>
      <c r="J55" s="39"/>
      <c r="K55" s="49"/>
      <c r="L55" s="49"/>
      <c r="M55" s="49"/>
      <c r="N55" s="49">
        <f>N49 * N53</f>
        <v>0</v>
      </c>
      <c r="O55" s="49"/>
      <c r="P55" s="49">
        <f ca="1">P49 * P53</f>
        <v>37.225775218566298</v>
      </c>
      <c r="Q55" s="49">
        <f t="shared" ref="Q55:Y55" ca="1" si="14">Q49 * Q53</f>
        <v>128.6739325088673</v>
      </c>
      <c r="R55" s="49">
        <f t="shared" ca="1" si="14"/>
        <v>117.51616452213116</v>
      </c>
      <c r="S55" s="49">
        <f t="shared" ca="1" si="14"/>
        <v>107.32934640183718</v>
      </c>
      <c r="T55" s="49">
        <f t="shared" ca="1" si="14"/>
        <v>98.066028396022787</v>
      </c>
      <c r="U55" s="49">
        <f t="shared" ca="1" si="14"/>
        <v>89.465021252148375</v>
      </c>
      <c r="V55" s="49">
        <f t="shared" ca="1" si="14"/>
        <v>56.689894541330283</v>
      </c>
      <c r="W55" s="49">
        <f t="shared" ca="1" si="14"/>
        <v>51.283847743174491</v>
      </c>
      <c r="X55" s="49">
        <f t="shared" ca="1" si="14"/>
        <v>46.40590632015337</v>
      </c>
      <c r="Y55" s="49">
        <f t="shared" ca="1" si="14"/>
        <v>61.239194584915097</v>
      </c>
      <c r="Z55" s="1"/>
      <c r="AA55" s="1"/>
      <c r="AB55" s="1"/>
      <c r="AC55" s="1"/>
      <c r="AD55" s="1"/>
      <c r="AE55" s="1"/>
      <c r="AF55" s="1"/>
      <c r="AG55" s="1"/>
      <c r="AH55" s="1"/>
      <c r="AI55" s="1"/>
      <c r="AJ55" s="1"/>
      <c r="AK55" s="1"/>
    </row>
    <row r="56" spans="1:37" ht="15.75" customHeight="1" x14ac:dyDescent="0.25">
      <c r="A56" s="1"/>
      <c r="B56" s="1"/>
      <c r="C56" s="1"/>
      <c r="D56" s="18"/>
      <c r="E56" s="1" t="s">
        <v>247</v>
      </c>
      <c r="F56" s="33" t="s">
        <v>28</v>
      </c>
      <c r="G56" s="33"/>
      <c r="H56" s="39"/>
      <c r="I56" s="39"/>
      <c r="J56" s="39"/>
      <c r="K56" s="39"/>
      <c r="L56" s="39"/>
      <c r="M56" s="39"/>
      <c r="N56" s="49">
        <f>N50 * N53</f>
        <v>0</v>
      </c>
      <c r="O56" s="49"/>
      <c r="P56" s="49">
        <f ca="1">P50 * P53</f>
        <v>0</v>
      </c>
      <c r="Q56" s="49">
        <f t="shared" ref="Q56:X56" ca="1" si="15">Q50 * Q53</f>
        <v>0</v>
      </c>
      <c r="R56" s="49">
        <f t="shared" ca="1" si="15"/>
        <v>0</v>
      </c>
      <c r="S56" s="49">
        <f t="shared" ca="1" si="15"/>
        <v>0</v>
      </c>
      <c r="T56" s="49">
        <f t="shared" ca="1" si="15"/>
        <v>0</v>
      </c>
      <c r="U56" s="49">
        <f t="shared" ca="1" si="15"/>
        <v>0</v>
      </c>
      <c r="V56" s="49">
        <f t="shared" ca="1" si="15"/>
        <v>0</v>
      </c>
      <c r="W56" s="49">
        <f t="shared" ca="1" si="15"/>
        <v>0</v>
      </c>
      <c r="X56" s="49">
        <f t="shared" ca="1" si="15"/>
        <v>0</v>
      </c>
      <c r="Y56" s="49">
        <f ca="1">Y50 * Y53</f>
        <v>886.03076070214297</v>
      </c>
      <c r="Z56" s="1"/>
      <c r="AA56" s="1"/>
      <c r="AB56" s="1"/>
      <c r="AC56" s="1"/>
      <c r="AD56" s="1"/>
      <c r="AE56" s="1"/>
      <c r="AF56" s="1"/>
      <c r="AG56" s="1"/>
      <c r="AH56" s="1"/>
      <c r="AI56" s="1"/>
      <c r="AJ56" s="1"/>
      <c r="AK56" s="1"/>
    </row>
    <row r="57" spans="1:37" ht="15.75" customHeight="1" x14ac:dyDescent="0.25">
      <c r="A57" s="1"/>
      <c r="B57" s="1"/>
      <c r="C57" s="1"/>
      <c r="D57" s="18"/>
      <c r="E57" s="1"/>
      <c r="F57" s="33"/>
      <c r="G57" s="33"/>
      <c r="H57" s="39"/>
      <c r="I57" s="39"/>
      <c r="J57" s="39"/>
      <c r="K57" s="39"/>
      <c r="L57" s="39"/>
      <c r="M57" s="39"/>
      <c r="N57" s="49"/>
      <c r="O57" s="49"/>
      <c r="P57" s="49"/>
      <c r="Q57" s="49"/>
      <c r="R57" s="49"/>
      <c r="S57" s="49"/>
      <c r="T57" s="49"/>
      <c r="U57" s="49"/>
      <c r="V57" s="49"/>
      <c r="W57" s="49"/>
      <c r="X57" s="49"/>
      <c r="Y57" s="49"/>
      <c r="Z57" s="1"/>
      <c r="AA57" s="1"/>
      <c r="AB57" s="1"/>
      <c r="AC57" s="1"/>
      <c r="AD57" s="1"/>
      <c r="AE57" s="1"/>
      <c r="AF57" s="1"/>
      <c r="AG57" s="1"/>
      <c r="AH57" s="1"/>
      <c r="AI57" s="1"/>
      <c r="AJ57" s="1"/>
      <c r="AK57" s="1"/>
    </row>
    <row r="58" spans="1:37" ht="15.75" customHeight="1" x14ac:dyDescent="0.25">
      <c r="A58" s="1"/>
      <c r="B58" s="1"/>
      <c r="C58" s="1"/>
      <c r="D58" s="18"/>
      <c r="E58" s="1" t="s">
        <v>27</v>
      </c>
      <c r="F58" s="33" t="s">
        <v>28</v>
      </c>
      <c r="G58" s="33"/>
      <c r="H58" s="398">
        <f>'&gt;&gt; Fin Stmts'!H68+'&gt;&gt; Fin Stmts'!H58</f>
        <v>-391.779</v>
      </c>
      <c r="I58" s="398">
        <f>'&gt;&gt; Fin Stmts'!I68+'&gt;&gt; Fin Stmts'!I58</f>
        <v>-508.45299999999997</v>
      </c>
      <c r="J58" s="398">
        <f>'&gt;&gt; Fin Stmts'!J68+'&gt;&gt; Fin Stmts'!J58</f>
        <v>-545.04</v>
      </c>
      <c r="K58" s="398">
        <f>'&gt;&gt; Fin Stmts'!K68+'&gt;&gt; Fin Stmts'!K58</f>
        <v>-585.24</v>
      </c>
      <c r="L58" s="398">
        <f>'&gt;&gt; Fin Stmts'!L68+'&gt;&gt; Fin Stmts'!L58</f>
        <v>-488.995</v>
      </c>
      <c r="M58" s="398">
        <f>'&gt;&gt; Fin Stmts'!M68+'&gt;&gt; Fin Stmts'!M58</f>
        <v>-529.37200000000007</v>
      </c>
      <c r="N58" s="398">
        <f>'&gt;&gt; Fin Stmts'!N68+'&gt;&gt; Fin Stmts'!N58</f>
        <v>-571.48</v>
      </c>
      <c r="O58" s="398">
        <f>'&gt;&gt; Fin Stmts'!O68+'&gt;&gt; Fin Stmts'!O58</f>
        <v>-609.49699999999996</v>
      </c>
      <c r="P58" s="398">
        <f>'&gt;&gt; Fin Stmts'!P68+'&gt;&gt; Fin Stmts'!P58</f>
        <v>-649.01918277778941</v>
      </c>
      <c r="Q58" s="398">
        <f>'&gt;&gt; Fin Stmts'!Q68+'&gt;&gt; Fin Stmts'!Q58</f>
        <v>-654.92750562114156</v>
      </c>
      <c r="R58" s="398">
        <f>'&gt;&gt; Fin Stmts'!R68+'&gt;&gt; Fin Stmts'!R58</f>
        <v>-663.235659004691</v>
      </c>
      <c r="S58" s="398">
        <f>'&gt;&gt; Fin Stmts'!S68+'&gt;&gt; Fin Stmts'!S58</f>
        <v>-698.84416448760862</v>
      </c>
      <c r="T58" s="398">
        <f>'&gt;&gt; Fin Stmts'!T68+'&gt;&gt; Fin Stmts'!T58</f>
        <v>-706.37655361787165</v>
      </c>
      <c r="U58" s="398">
        <f>'&gt;&gt; Fin Stmts'!U68+'&gt;&gt; Fin Stmts'!U58</f>
        <v>-713.55787810253071</v>
      </c>
      <c r="V58" s="398">
        <f>'&gt;&gt; Fin Stmts'!V68+'&gt;&gt; Fin Stmts'!V58</f>
        <v>-710.78292564629407</v>
      </c>
      <c r="W58" s="398">
        <f>'&gt;&gt; Fin Stmts'!W68+'&gt;&gt; Fin Stmts'!W58</f>
        <v>-727.70581694828877</v>
      </c>
      <c r="X58" s="398">
        <f>'&gt;&gt; Fin Stmts'!X68+'&gt;&gt; Fin Stmts'!X58</f>
        <v>-740.28536839234187</v>
      </c>
      <c r="Y58" s="398">
        <f>'&gt;&gt; Fin Stmts'!Y68+'&gt;&gt; Fin Stmts'!Y58</f>
        <v>-754.00077311040923</v>
      </c>
      <c r="Z58" s="1"/>
      <c r="AA58" s="1"/>
      <c r="AB58" s="1"/>
      <c r="AC58" s="1"/>
      <c r="AD58" s="1"/>
      <c r="AE58" s="1"/>
      <c r="AF58" s="1"/>
      <c r="AG58" s="1"/>
      <c r="AH58" s="1"/>
      <c r="AI58" s="1"/>
      <c r="AJ58" s="1"/>
      <c r="AK58" s="1"/>
    </row>
    <row r="59" spans="1:37" ht="15.75" customHeight="1" x14ac:dyDescent="0.25">
      <c r="A59" s="1"/>
      <c r="B59" s="1"/>
      <c r="C59" s="1"/>
      <c r="D59" s="18"/>
      <c r="E59" s="1" t="s">
        <v>29</v>
      </c>
      <c r="F59" s="33" t="s">
        <v>28</v>
      </c>
      <c r="G59" s="33"/>
      <c r="H59" s="398">
        <f>'&gt;&gt; Fin Stmts'!H60+'&gt;&gt; Fin Stmts'!H66</f>
        <v>0</v>
      </c>
      <c r="I59" s="398">
        <f>'&gt;&gt; Fin Stmts'!I60+'&gt;&gt; Fin Stmts'!I66</f>
        <v>0</v>
      </c>
      <c r="J59" s="398">
        <f>'&gt;&gt; Fin Stmts'!J60+'&gt;&gt; Fin Stmts'!J66</f>
        <v>0</v>
      </c>
      <c r="K59" s="398">
        <f>'&gt;&gt; Fin Stmts'!K60+'&gt;&gt; Fin Stmts'!K66</f>
        <v>-52.673000000000002</v>
      </c>
      <c r="L59" s="398">
        <f>'&gt;&gt; Fin Stmts'!L60+'&gt;&gt; Fin Stmts'!L66</f>
        <v>-118.807</v>
      </c>
      <c r="M59" s="398">
        <f>'&gt;&gt; Fin Stmts'!M60+'&gt;&gt; Fin Stmts'!M66</f>
        <v>-121.10599999999999</v>
      </c>
      <c r="N59" s="398">
        <f>'&gt;&gt; Fin Stmts'!N60+'&gt;&gt; Fin Stmts'!N66</f>
        <v>-119.88500000000001</v>
      </c>
      <c r="O59" s="398">
        <f>'&gt;&gt; Fin Stmts'!O60+'&gt;&gt; Fin Stmts'!O66</f>
        <v>-121.432</v>
      </c>
      <c r="P59" s="398">
        <f>'&gt;&gt; Fin Stmts'!P60+'&gt;&gt; Fin Stmts'!P66</f>
        <v>-121.432</v>
      </c>
      <c r="Q59" s="398">
        <f>'&gt;&gt; Fin Stmts'!Q60+'&gt;&gt; Fin Stmts'!Q66</f>
        <v>-121.432</v>
      </c>
      <c r="R59" s="398">
        <f>'&gt;&gt; Fin Stmts'!R60+'&gt;&gt; Fin Stmts'!R66</f>
        <v>-121.432</v>
      </c>
      <c r="S59" s="398">
        <f>'&gt;&gt; Fin Stmts'!S60+'&gt;&gt; Fin Stmts'!S66</f>
        <v>-121.432</v>
      </c>
      <c r="T59" s="398">
        <f>'&gt;&gt; Fin Stmts'!T60+'&gt;&gt; Fin Stmts'!T66</f>
        <v>-121.432</v>
      </c>
      <c r="U59" s="398">
        <f>'&gt;&gt; Fin Stmts'!U60+'&gt;&gt; Fin Stmts'!U66</f>
        <v>-121.432</v>
      </c>
      <c r="V59" s="398">
        <f>'&gt;&gt; Fin Stmts'!V60+'&gt;&gt; Fin Stmts'!V66</f>
        <v>-121.432</v>
      </c>
      <c r="W59" s="398">
        <f>'&gt;&gt; Fin Stmts'!W60+'&gt;&gt; Fin Stmts'!W66</f>
        <v>-121.432</v>
      </c>
      <c r="X59" s="398">
        <f>'&gt;&gt; Fin Stmts'!X60+'&gt;&gt; Fin Stmts'!X66</f>
        <v>-121.432</v>
      </c>
      <c r="Y59" s="398">
        <f>'&gt;&gt; Fin Stmts'!Y60+'&gt;&gt; Fin Stmts'!Y66</f>
        <v>-121.432</v>
      </c>
      <c r="Z59" s="1"/>
      <c r="AA59" s="1"/>
      <c r="AB59" s="1"/>
      <c r="AC59" s="1"/>
      <c r="AD59" s="1"/>
      <c r="AE59" s="1"/>
      <c r="AF59" s="1"/>
      <c r="AG59" s="1"/>
      <c r="AH59" s="1"/>
      <c r="AI59" s="1"/>
      <c r="AJ59" s="1"/>
      <c r="AK59" s="1"/>
    </row>
    <row r="60" spans="1:37" x14ac:dyDescent="0.25">
      <c r="A60" s="1"/>
      <c r="B60" s="1"/>
      <c r="C60" s="1"/>
      <c r="D60" s="18"/>
      <c r="E60" s="1" t="s">
        <v>31</v>
      </c>
      <c r="F60" s="33" t="s">
        <v>28</v>
      </c>
      <c r="G60" s="33"/>
      <c r="H60" s="398">
        <f>'&gt;&gt; Fin Stmts'!H35</f>
        <v>56.726999999999997</v>
      </c>
      <c r="I60" s="398">
        <f>'&gt;&gt; Fin Stmts'!I35</f>
        <v>75.954999999999998</v>
      </c>
      <c r="J60" s="398">
        <f>'&gt;&gt; Fin Stmts'!J35</f>
        <v>41.573999999999998</v>
      </c>
      <c r="K60" s="398">
        <f>'&gt;&gt; Fin Stmts'!K35</f>
        <v>54.223999999999997</v>
      </c>
      <c r="L60" s="398">
        <f>'&gt;&gt; Fin Stmts'!L35</f>
        <v>49.94</v>
      </c>
      <c r="M60" s="398">
        <f>'&gt;&gt; Fin Stmts'!M35</f>
        <v>48.698</v>
      </c>
      <c r="N60" s="398">
        <f>'&gt;&gt; Fin Stmts'!N35</f>
        <v>245.01300000000001</v>
      </c>
      <c r="O60" s="398">
        <f>'&gt;&gt; Fin Stmts'!O35</f>
        <v>60.545999999999999</v>
      </c>
      <c r="P60" s="398">
        <f>'&gt;&gt; Fin Stmts'!P35</f>
        <v>63.298069621019316</v>
      </c>
      <c r="Q60" s="398">
        <f>'&gt;&gt; Fin Stmts'!Q35</f>
        <v>66.225751068887973</v>
      </c>
      <c r="R60" s="398">
        <f>'&gt;&gt; Fin Stmts'!R35</f>
        <v>69.341699851913646</v>
      </c>
      <c r="S60" s="398">
        <f>'&gt;&gt; Fin Stmts'!S35</f>
        <v>72.659597497554415</v>
      </c>
      <c r="T60" s="398">
        <f>'&gt;&gt; Fin Stmts'!T35</f>
        <v>76.194241866659922</v>
      </c>
      <c r="U60" s="398">
        <f>'&gt;&gt; Fin Stmts'!U35</f>
        <v>79.961646027648627</v>
      </c>
      <c r="V60" s="398">
        <f>'&gt;&gt; Fin Stmts'!V35</f>
        <v>83.979146553180399</v>
      </c>
      <c r="W60" s="398">
        <f>'&gt;&gt; Fin Stmts'!W35</f>
        <v>88.265522193731201</v>
      </c>
      <c r="X60" s="398">
        <f>'&gt;&gt; Fin Stmts'!X35</f>
        <v>92.841123984593551</v>
      </c>
      <c r="Y60" s="398">
        <f>'&gt;&gt; Fin Stmts'!Y35</f>
        <v>97.728017956412629</v>
      </c>
      <c r="Z60" s="1"/>
      <c r="AA60" s="1"/>
      <c r="AB60" s="1"/>
      <c r="AC60" s="1"/>
      <c r="AD60" s="1"/>
      <c r="AE60" s="1"/>
      <c r="AF60" s="1"/>
      <c r="AG60" s="1"/>
      <c r="AH60" s="1"/>
      <c r="AI60" s="1"/>
      <c r="AJ60" s="1"/>
      <c r="AK60" s="1"/>
    </row>
    <row r="61" spans="1:37" x14ac:dyDescent="0.25">
      <c r="A61" s="1"/>
      <c r="B61" s="1"/>
      <c r="C61" s="1"/>
      <c r="D61" s="18"/>
      <c r="E61" s="1" t="s">
        <v>32</v>
      </c>
      <c r="F61" s="33" t="s">
        <v>28</v>
      </c>
      <c r="G61" s="33"/>
      <c r="H61" s="398">
        <f t="shared" ref="H61:N61" si="16">SUM(H58:H60)</f>
        <v>-335.05200000000002</v>
      </c>
      <c r="I61" s="398">
        <f t="shared" si="16"/>
        <v>-432.49799999999999</v>
      </c>
      <c r="J61" s="398">
        <f t="shared" si="16"/>
        <v>-503.46599999999995</v>
      </c>
      <c r="K61" s="398">
        <f t="shared" si="16"/>
        <v>-583.68899999999996</v>
      </c>
      <c r="L61" s="398">
        <f t="shared" si="16"/>
        <v>-557.86200000000008</v>
      </c>
      <c r="M61" s="398">
        <f t="shared" si="16"/>
        <v>-601.78000000000009</v>
      </c>
      <c r="N61" s="398">
        <f t="shared" si="16"/>
        <v>-446.35199999999998</v>
      </c>
      <c r="O61" s="398">
        <f>SUM(O58:O60)</f>
        <v>-670.38299999999992</v>
      </c>
      <c r="P61" s="398">
        <f>SUM(P58:P60)</f>
        <v>-707.15311315677013</v>
      </c>
      <c r="Q61" s="398">
        <f t="shared" ref="Q61:Y61" si="17">SUM(Q58:Q60)</f>
        <v>-710.13375455225355</v>
      </c>
      <c r="R61" s="398">
        <f t="shared" si="17"/>
        <v>-715.32595915277739</v>
      </c>
      <c r="S61" s="398">
        <f t="shared" si="17"/>
        <v>-747.61656699005425</v>
      </c>
      <c r="T61" s="398">
        <f t="shared" si="17"/>
        <v>-751.61431175121174</v>
      </c>
      <c r="U61" s="398">
        <f t="shared" si="17"/>
        <v>-755.02823207488211</v>
      </c>
      <c r="V61" s="398">
        <f t="shared" si="17"/>
        <v>-748.23577909311371</v>
      </c>
      <c r="W61" s="398">
        <f t="shared" si="17"/>
        <v>-760.87229475455763</v>
      </c>
      <c r="X61" s="398">
        <f t="shared" si="17"/>
        <v>-768.87624440774835</v>
      </c>
      <c r="Y61" s="398">
        <f t="shared" si="17"/>
        <v>-777.70475515399664</v>
      </c>
      <c r="Z61" s="1"/>
      <c r="AA61" s="1"/>
      <c r="AB61" s="1"/>
      <c r="AC61" s="1"/>
      <c r="AD61" s="1"/>
      <c r="AE61" s="1"/>
      <c r="AF61" s="1"/>
      <c r="AG61" s="1"/>
      <c r="AH61" s="1"/>
      <c r="AI61" s="1"/>
      <c r="AJ61" s="1"/>
      <c r="AK61" s="1"/>
    </row>
    <row r="62" spans="1:37" x14ac:dyDescent="0.25">
      <c r="A62" s="1"/>
      <c r="B62" s="1"/>
      <c r="C62" s="1"/>
      <c r="D62" s="18"/>
      <c r="E62" s="1" t="s">
        <v>738</v>
      </c>
      <c r="F62" s="33" t="s">
        <v>28</v>
      </c>
      <c r="G62" s="33"/>
      <c r="H62" s="398">
        <f t="shared" ref="H62:O62" si="18">G61-H61</f>
        <v>335.05200000000002</v>
      </c>
      <c r="I62" s="398">
        <f t="shared" si="18"/>
        <v>97.44599999999997</v>
      </c>
      <c r="J62" s="398">
        <f t="shared" si="18"/>
        <v>70.967999999999961</v>
      </c>
      <c r="K62" s="398">
        <f t="shared" si="18"/>
        <v>80.223000000000013</v>
      </c>
      <c r="L62" s="398">
        <f t="shared" si="18"/>
        <v>-25.826999999999884</v>
      </c>
      <c r="M62" s="398">
        <f t="shared" si="18"/>
        <v>43.918000000000006</v>
      </c>
      <c r="N62" s="398">
        <f t="shared" si="18"/>
        <v>-155.42800000000011</v>
      </c>
      <c r="O62" s="398">
        <f t="shared" si="18"/>
        <v>224.03099999999995</v>
      </c>
      <c r="P62" s="398">
        <f>O61-P61</f>
        <v>36.770113156770208</v>
      </c>
      <c r="Q62" s="398">
        <f t="shared" ref="Q62:Y62" si="19">P61-Q61</f>
        <v>2.980641395483417</v>
      </c>
      <c r="R62" s="398">
        <f t="shared" si="19"/>
        <v>5.1922046005238371</v>
      </c>
      <c r="S62" s="398">
        <f t="shared" si="19"/>
        <v>32.290607837276866</v>
      </c>
      <c r="T62" s="398">
        <f t="shared" si="19"/>
        <v>3.9977447611574917</v>
      </c>
      <c r="U62" s="398">
        <f t="shared" si="19"/>
        <v>3.4139203236703679</v>
      </c>
      <c r="V62" s="398">
        <f t="shared" si="19"/>
        <v>-6.7924529817684061</v>
      </c>
      <c r="W62" s="398">
        <f t="shared" si="19"/>
        <v>12.636515661443923</v>
      </c>
      <c r="X62" s="398">
        <f t="shared" si="19"/>
        <v>8.0039496531907162</v>
      </c>
      <c r="Y62" s="398">
        <f t="shared" si="19"/>
        <v>8.8285107462482983</v>
      </c>
      <c r="Z62" s="1"/>
      <c r="AA62" s="1"/>
      <c r="AB62" s="1"/>
      <c r="AC62" s="1"/>
      <c r="AD62" s="1"/>
      <c r="AE62" s="1"/>
      <c r="AF62" s="1"/>
      <c r="AG62" s="1"/>
      <c r="AH62" s="1"/>
      <c r="AI62" s="1"/>
      <c r="AJ62" s="1"/>
      <c r="AK62" s="1"/>
    </row>
    <row r="63" spans="1:37" x14ac:dyDescent="0.25">
      <c r="A63" s="1"/>
      <c r="B63" s="1"/>
      <c r="C63" s="1"/>
      <c r="D63" s="18"/>
      <c r="E63" s="1"/>
      <c r="F63" s="33"/>
      <c r="G63" s="33"/>
      <c r="H63" s="1"/>
      <c r="I63" s="1"/>
      <c r="J63" s="1"/>
      <c r="K63" s="1"/>
      <c r="L63" s="1"/>
      <c r="M63" s="1"/>
      <c r="N63" s="1"/>
      <c r="O63" s="398"/>
      <c r="P63" s="398"/>
      <c r="Q63" s="398"/>
      <c r="R63" s="398"/>
      <c r="S63" s="398"/>
      <c r="T63" s="398"/>
      <c r="U63" s="398"/>
      <c r="V63" s="398"/>
      <c r="W63" s="398"/>
      <c r="X63" s="398"/>
      <c r="Y63" s="398"/>
      <c r="Z63" s="1"/>
      <c r="AA63" s="1"/>
      <c r="AB63" s="1"/>
      <c r="AC63" s="1"/>
      <c r="AD63" s="1"/>
      <c r="AE63" s="1"/>
      <c r="AF63" s="1"/>
      <c r="AG63" s="1"/>
      <c r="AH63" s="1"/>
      <c r="AI63" s="1"/>
      <c r="AJ63" s="1"/>
      <c r="AK63" s="1"/>
    </row>
    <row r="64" spans="1:37" ht="15" customHeight="1" x14ac:dyDescent="0.25">
      <c r="E64" s="1" t="s">
        <v>340</v>
      </c>
      <c r="O64" s="399"/>
      <c r="P64" s="399">
        <f t="shared" ref="P64:Y64" si="20">P43</f>
        <v>52.183132917544896</v>
      </c>
      <c r="Q64" s="399">
        <f t="shared" si="20"/>
        <v>155.71618517451131</v>
      </c>
      <c r="R64" s="399">
        <f t="shared" si="20"/>
        <v>158.34487152615861</v>
      </c>
      <c r="S64" s="399">
        <f t="shared" si="20"/>
        <v>161.07047312645238</v>
      </c>
      <c r="T64" s="399">
        <f t="shared" si="20"/>
        <v>163.86237629209435</v>
      </c>
      <c r="U64" s="399">
        <f t="shared" si="20"/>
        <v>166.4474487581079</v>
      </c>
      <c r="V64" s="399">
        <f t="shared" si="20"/>
        <v>117.43369726252809</v>
      </c>
      <c r="W64" s="399">
        <f t="shared" si="20"/>
        <v>118.32015874691024</v>
      </c>
      <c r="X64" s="399">
        <f t="shared" si="20"/>
        <v>119.21052822911301</v>
      </c>
      <c r="Y64" s="399">
        <f t="shared" si="20"/>
        <v>175.15963659183717</v>
      </c>
    </row>
    <row r="65" spans="1:37" x14ac:dyDescent="0.25">
      <c r="A65" s="1"/>
      <c r="B65" s="1"/>
      <c r="C65" s="1"/>
      <c r="D65" s="18" t="s">
        <v>93</v>
      </c>
      <c r="E65" s="1" t="s">
        <v>739</v>
      </c>
      <c r="F65" s="33"/>
      <c r="G65" s="33"/>
      <c r="H65" s="1"/>
      <c r="I65" s="1"/>
      <c r="J65" s="1"/>
      <c r="K65" s="1"/>
      <c r="L65" s="1"/>
      <c r="M65" s="1"/>
      <c r="N65" s="1"/>
      <c r="O65" s="398"/>
      <c r="P65" s="398">
        <f>'&gt;&gt; Dash'!$Z$51*'&gt;&gt; Valuation'!P58</f>
        <v>-51.160884140007582</v>
      </c>
      <c r="Q65" s="398">
        <f>'&gt;&gt; Dash'!$Z$51*'&gt;&gt; Valuation'!Q58</f>
        <v>-51.626625413103341</v>
      </c>
      <c r="R65" s="398">
        <f>'&gt;&gt; Dash'!$Z$51*'&gt;&gt; Valuation'!R58</f>
        <v>-52.281540528021779</v>
      </c>
      <c r="S65" s="398">
        <f>'&gt;&gt; Dash'!$Z$51*'&gt;&gt; Valuation'!S58</f>
        <v>-55.08848779822921</v>
      </c>
      <c r="T65" s="398">
        <f>'&gt;&gt; Dash'!$Z$51*'&gt;&gt; Valuation'!T58</f>
        <v>-55.682250968589585</v>
      </c>
      <c r="U65" s="398">
        <f>'&gt;&gt; Dash'!$Z$51*'&gt;&gt; Valuation'!U58</f>
        <v>-56.248340415066288</v>
      </c>
      <c r="V65" s="398">
        <f>'&gt;&gt; Dash'!$Z$51*'&gt;&gt; Valuation'!V58</f>
        <v>-56.029596462846065</v>
      </c>
      <c r="W65" s="398">
        <f>'&gt;&gt; Dash'!$Z$51*'&gt;&gt; Valuation'!W58</f>
        <v>-57.363594138399705</v>
      </c>
      <c r="X65" s="398">
        <f>'&gt;&gt; Dash'!$Z$51*'&gt;&gt; Valuation'!X58</f>
        <v>-58.355215019631522</v>
      </c>
      <c r="Y65" s="398">
        <f>'&gt;&gt; Dash'!$Z$51*'&gt;&gt; Valuation'!Y58</f>
        <v>-59.436372942747333</v>
      </c>
      <c r="Z65" s="1"/>
      <c r="AA65" s="1"/>
      <c r="AB65" s="1"/>
      <c r="AC65" s="1"/>
      <c r="AD65" s="1"/>
      <c r="AE65" s="1"/>
      <c r="AF65" s="1"/>
      <c r="AG65" s="1"/>
      <c r="AH65" s="1"/>
      <c r="AI65" s="1"/>
      <c r="AJ65" s="1"/>
      <c r="AK65" s="1"/>
    </row>
    <row r="66" spans="1:37" x14ac:dyDescent="0.25">
      <c r="A66" s="1"/>
      <c r="B66" s="1"/>
      <c r="C66" s="1"/>
      <c r="D66" s="18" t="s">
        <v>91</v>
      </c>
      <c r="E66" s="1" t="s">
        <v>740</v>
      </c>
      <c r="F66" s="33"/>
      <c r="G66" s="33"/>
      <c r="H66" s="1"/>
      <c r="I66" s="1"/>
      <c r="J66" s="1"/>
      <c r="K66" s="1"/>
      <c r="L66" s="1"/>
      <c r="M66" s="1"/>
      <c r="N66" s="1"/>
      <c r="O66" s="398"/>
      <c r="P66" s="399">
        <f>P62</f>
        <v>36.770113156770208</v>
      </c>
      <c r="Q66" s="399">
        <f t="shared" ref="Q66:Y66" si="21">Q62</f>
        <v>2.980641395483417</v>
      </c>
      <c r="R66" s="399">
        <f t="shared" si="21"/>
        <v>5.1922046005238371</v>
      </c>
      <c r="S66" s="399">
        <f t="shared" si="21"/>
        <v>32.290607837276866</v>
      </c>
      <c r="T66" s="399">
        <f t="shared" si="21"/>
        <v>3.9977447611574917</v>
      </c>
      <c r="U66" s="399">
        <f t="shared" si="21"/>
        <v>3.4139203236703679</v>
      </c>
      <c r="V66" s="399">
        <f t="shared" si="21"/>
        <v>-6.7924529817684061</v>
      </c>
      <c r="W66" s="399">
        <f t="shared" si="21"/>
        <v>12.636515661443923</v>
      </c>
      <c r="X66" s="399">
        <f t="shared" si="21"/>
        <v>8.0039496531907162</v>
      </c>
      <c r="Y66" s="399">
        <f t="shared" si="21"/>
        <v>8.8285107462482983</v>
      </c>
      <c r="Z66" s="1"/>
      <c r="AA66" s="1"/>
      <c r="AB66" s="1"/>
      <c r="AC66" s="1"/>
      <c r="AD66" s="1"/>
      <c r="AE66" s="1"/>
      <c r="AF66" s="1"/>
      <c r="AG66" s="1"/>
      <c r="AH66" s="1"/>
      <c r="AI66" s="1"/>
      <c r="AJ66" s="1"/>
      <c r="AK66" s="1"/>
    </row>
    <row r="67" spans="1:37" x14ac:dyDescent="0.25">
      <c r="A67" s="1"/>
      <c r="B67" s="1"/>
      <c r="C67" s="1"/>
      <c r="D67" s="18"/>
      <c r="E67" s="2" t="s">
        <v>342</v>
      </c>
      <c r="F67" s="33"/>
      <c r="G67" s="33"/>
      <c r="H67" s="1"/>
      <c r="I67" s="1"/>
      <c r="J67" s="1"/>
      <c r="K67" s="1"/>
      <c r="L67" s="1"/>
      <c r="M67" s="1"/>
      <c r="N67" s="1"/>
      <c r="O67" s="398"/>
      <c r="P67" s="402">
        <f>P64-P65+P66</f>
        <v>140.1141302143227</v>
      </c>
      <c r="Q67" s="402">
        <f t="shared" ref="Q67:X67" si="22">Q64-Q65+Q66</f>
        <v>210.32345198309807</v>
      </c>
      <c r="R67" s="402">
        <f t="shared" si="22"/>
        <v>215.81861665470421</v>
      </c>
      <c r="S67" s="402">
        <f t="shared" si="22"/>
        <v>248.44956876195846</v>
      </c>
      <c r="T67" s="402">
        <f t="shared" si="22"/>
        <v>223.54237202184143</v>
      </c>
      <c r="U67" s="402">
        <f t="shared" si="22"/>
        <v>226.10970949684454</v>
      </c>
      <c r="V67" s="402">
        <f t="shared" si="22"/>
        <v>166.67084074360574</v>
      </c>
      <c r="W67" s="402">
        <f t="shared" si="22"/>
        <v>188.32026854675388</v>
      </c>
      <c r="X67" s="402">
        <f t="shared" si="22"/>
        <v>185.56969290193524</v>
      </c>
      <c r="Y67" s="402">
        <f>Y64-Y65+Y66</f>
        <v>243.42452028083281</v>
      </c>
      <c r="Z67" s="1"/>
      <c r="AA67" s="1"/>
      <c r="AB67" s="1"/>
      <c r="AC67" s="1"/>
      <c r="AD67" s="1"/>
      <c r="AE67" s="1"/>
      <c r="AF67" s="1"/>
      <c r="AG67" s="1"/>
      <c r="AH67" s="1"/>
      <c r="AI67" s="1"/>
      <c r="AJ67" s="1"/>
      <c r="AK67" s="1"/>
    </row>
    <row r="68" spans="1:37" x14ac:dyDescent="0.25">
      <c r="A68" s="1"/>
      <c r="B68" s="1"/>
      <c r="C68" s="1"/>
      <c r="D68" s="18"/>
      <c r="E68" s="1"/>
      <c r="F68" s="33"/>
      <c r="G68" s="33"/>
      <c r="H68" s="1"/>
      <c r="I68" s="1"/>
      <c r="J68" s="1"/>
      <c r="K68" s="1"/>
      <c r="L68" s="1"/>
      <c r="M68" s="1"/>
      <c r="N68" s="1"/>
      <c r="O68" s="398"/>
      <c r="P68" s="400"/>
      <c r="Q68" s="400"/>
      <c r="R68" s="400"/>
      <c r="S68" s="400"/>
      <c r="T68" s="400"/>
      <c r="U68" s="400"/>
      <c r="V68" s="400"/>
      <c r="W68" s="400"/>
      <c r="X68" s="400"/>
      <c r="Y68" s="400"/>
      <c r="Z68" s="1"/>
      <c r="AA68" s="1"/>
      <c r="AB68" s="1"/>
      <c r="AC68" s="1"/>
      <c r="AD68" s="1"/>
      <c r="AE68" s="1"/>
      <c r="AF68" s="1"/>
      <c r="AG68" s="1"/>
      <c r="AH68" s="1"/>
      <c r="AI68" s="1"/>
      <c r="AJ68" s="1"/>
      <c r="AK68" s="1"/>
    </row>
    <row r="69" spans="1:37" x14ac:dyDescent="0.25">
      <c r="A69" s="1"/>
      <c r="B69" s="1"/>
      <c r="C69" s="1"/>
      <c r="D69" s="18"/>
      <c r="E69" s="1" t="s">
        <v>245</v>
      </c>
      <c r="F69" s="33"/>
      <c r="G69" s="33"/>
      <c r="H69" s="1"/>
      <c r="I69" s="1"/>
      <c r="J69" s="1"/>
      <c r="K69" s="1"/>
      <c r="L69" s="1"/>
      <c r="M69" s="1"/>
      <c r="N69" s="1"/>
      <c r="O69" s="398"/>
      <c r="P69" s="400">
        <f ca="1">P12 * ( 1 / ( 1 +'&gt;&gt; Dash'!$Z$50 ) ^ P$52 )</f>
        <v>0.89675739024580436</v>
      </c>
      <c r="Q69" s="400">
        <f ca="1">Q12 * ( 1 / ( 1 +'&gt;&gt; Dash'!$Z$50 ) ^ Q$52 )</f>
        <v>0.77917924254566373</v>
      </c>
      <c r="R69" s="400">
        <f ca="1">R12 * ( 1 / ( 1 +'&gt;&gt; Dash'!$Z$50 ) ^ R$52 )</f>
        <v>0.67701732778318158</v>
      </c>
      <c r="S69" s="400">
        <f ca="1">S12 * ( 1 / ( 1 +'&gt;&gt; Dash'!$Z$50 ) ^ S$52 )</f>
        <v>0.5880238861745718</v>
      </c>
      <c r="T69" s="400">
        <f ca="1">T12 * ( 1 / ( 1 +'&gt;&gt; Dash'!$Z$50 ) ^ T$52 )</f>
        <v>0.51092526385834725</v>
      </c>
      <c r="U69" s="400">
        <f ca="1">U12 * ( 1 / ( 1 +'&gt;&gt; Dash'!$Z$50 ) ^ U$52 )</f>
        <v>0.44393541042518647</v>
      </c>
      <c r="V69" s="400">
        <f ca="1">V12 * ( 1 / ( 1 +'&gt;&gt; Dash'!$Z$50 ) ^ V$52 )</f>
        <v>0.38572891686956862</v>
      </c>
      <c r="W69" s="400">
        <f ca="1">W12 * ( 1 / ( 1 +'&gt;&gt; Dash'!$Z$50 ) ^ W$52 )</f>
        <v>0.33502512771754595</v>
      </c>
      <c r="X69" s="400">
        <f ca="1">X12 * ( 1 / ( 1 +'&gt;&gt; Dash'!$Z$50 ) ^ X$52 )</f>
        <v>0.29109838189029974</v>
      </c>
      <c r="Y69" s="400">
        <f ca="1">Y12 * ( 1 / ( 1 +'&gt;&gt; Dash'!$Z$50 ) ^ Y$52 )</f>
        <v>0.2529310816667823</v>
      </c>
      <c r="Z69" s="1"/>
      <c r="AA69" s="1"/>
      <c r="AB69" s="1"/>
      <c r="AC69" s="1"/>
      <c r="AD69" s="1"/>
      <c r="AE69" s="1"/>
      <c r="AF69" s="1"/>
      <c r="AG69" s="1"/>
      <c r="AH69" s="1"/>
      <c r="AI69" s="1"/>
      <c r="AJ69" s="1"/>
      <c r="AK69" s="1"/>
    </row>
    <row r="70" spans="1:37" x14ac:dyDescent="0.25">
      <c r="A70" s="1"/>
      <c r="B70" s="1"/>
      <c r="C70" s="1"/>
      <c r="D70" s="18"/>
      <c r="E70" s="1" t="s">
        <v>246</v>
      </c>
      <c r="F70" s="33"/>
      <c r="G70" s="33"/>
      <c r="H70" s="1"/>
      <c r="I70" s="1"/>
      <c r="J70" s="1"/>
      <c r="K70" s="1"/>
      <c r="L70" s="1"/>
      <c r="M70" s="1"/>
      <c r="N70" s="1"/>
      <c r="O70" s="398"/>
      <c r="P70" s="398">
        <f ca="1">P67*P69</f>
        <v>125.64838174755683</v>
      </c>
      <c r="Q70" s="398">
        <f ca="1">Q67*Q69</f>
        <v>163.87966800577962</v>
      </c>
      <c r="R70" s="398">
        <f t="shared" ref="R70:Y70" ca="1" si="23">R67*R69</f>
        <v>146.11294313343069</v>
      </c>
      <c r="S70" s="398">
        <f t="shared" ca="1" si="23"/>
        <v>146.09428094180331</v>
      </c>
      <c r="T70" s="398">
        <f t="shared" ca="1" si="23"/>
        <v>114.21344540878016</v>
      </c>
      <c r="U70" s="398">
        <f t="shared" ca="1" si="23"/>
        <v>100.37810668660137</v>
      </c>
      <c r="V70" s="398">
        <f t="shared" ca="1" si="23"/>
        <v>64.289762873771409</v>
      </c>
      <c r="W70" s="398">
        <f t="shared" ca="1" si="23"/>
        <v>63.092022021678773</v>
      </c>
      <c r="X70" s="398">
        <f t="shared" ca="1" si="23"/>
        <v>54.019037331633193</v>
      </c>
      <c r="Y70" s="398">
        <f t="shared" ca="1" si="23"/>
        <v>61.56962721884863</v>
      </c>
      <c r="Z70" s="1"/>
      <c r="AA70" s="1"/>
      <c r="AB70" s="1"/>
      <c r="AC70" s="1"/>
      <c r="AD70" s="1"/>
      <c r="AE70" s="1"/>
      <c r="AF70" s="1"/>
      <c r="AG70" s="1"/>
      <c r="AH70" s="1"/>
      <c r="AI70" s="1"/>
      <c r="AJ70" s="1"/>
      <c r="AK70" s="1"/>
    </row>
    <row r="71" spans="1:37" x14ac:dyDescent="0.25">
      <c r="A71" s="1"/>
      <c r="B71" s="1"/>
      <c r="C71" s="1"/>
      <c r="D71" s="18"/>
      <c r="E71" s="1" t="s">
        <v>247</v>
      </c>
      <c r="F71" s="33"/>
      <c r="G71" s="33"/>
      <c r="H71" s="1"/>
      <c r="I71" s="1"/>
      <c r="J71" s="1"/>
      <c r="K71" s="1"/>
      <c r="L71" s="1"/>
      <c r="M71" s="1"/>
      <c r="N71" s="1"/>
      <c r="O71" s="395"/>
      <c r="Y71" s="397">
        <f ca="1">Y45*Y69</f>
        <v>640.99636435621073</v>
      </c>
      <c r="Z71" s="1"/>
      <c r="AA71" s="1"/>
      <c r="AB71" s="1"/>
      <c r="AC71" s="1"/>
      <c r="AD71" s="1"/>
      <c r="AE71" s="1"/>
      <c r="AF71" s="1"/>
      <c r="AG71" s="1"/>
      <c r="AH71" s="1"/>
      <c r="AI71" s="1"/>
      <c r="AJ71" s="1"/>
      <c r="AK71" s="1"/>
    </row>
    <row r="72" spans="1:37" x14ac:dyDescent="0.25">
      <c r="A72" s="1"/>
      <c r="B72" s="1"/>
      <c r="C72" s="1"/>
      <c r="D72" s="18"/>
      <c r="E72" s="1"/>
      <c r="F72" s="33"/>
      <c r="G72" s="33"/>
      <c r="H72" s="1"/>
      <c r="I72" s="1"/>
      <c r="J72" s="1"/>
      <c r="K72" s="1"/>
      <c r="L72" s="1"/>
      <c r="M72" s="1"/>
      <c r="N72" s="1"/>
      <c r="O72" s="395"/>
      <c r="Y72" s="396"/>
      <c r="Z72" s="1"/>
      <c r="AA72" s="1"/>
      <c r="AB72" s="1"/>
      <c r="AC72" s="1"/>
      <c r="AD72" s="1"/>
      <c r="AE72" s="1"/>
      <c r="AF72" s="1"/>
      <c r="AG72" s="1"/>
      <c r="AH72" s="1"/>
      <c r="AI72" s="1"/>
      <c r="AJ72" s="1"/>
      <c r="AK72" s="1"/>
    </row>
    <row r="73" spans="1:37" ht="13.5" customHeight="1" x14ac:dyDescent="0.25">
      <c r="A73" s="1"/>
      <c r="B73" s="1"/>
      <c r="C73" s="1"/>
      <c r="D73" s="18"/>
      <c r="E73" s="603" t="s">
        <v>248</v>
      </c>
      <c r="F73" s="602"/>
      <c r="G73" s="602"/>
      <c r="H73" s="604"/>
      <c r="I73" s="1"/>
      <c r="J73" s="1"/>
      <c r="K73" s="1"/>
      <c r="L73" s="1"/>
      <c r="M73" s="1"/>
      <c r="N73" s="1"/>
      <c r="O73" s="1"/>
      <c r="Q73" s="1"/>
      <c r="R73" s="1"/>
      <c r="S73" s="1"/>
      <c r="T73" s="1"/>
      <c r="U73" s="1"/>
      <c r="V73" s="1"/>
      <c r="W73" s="1"/>
      <c r="X73" s="1"/>
      <c r="Y73" s="1"/>
      <c r="Z73" s="1"/>
      <c r="AA73" s="1"/>
      <c r="AB73" s="1"/>
      <c r="AC73" s="1"/>
      <c r="AD73" s="1"/>
      <c r="AE73" s="1"/>
      <c r="AF73" s="1"/>
      <c r="AG73" s="1"/>
      <c r="AH73" s="1"/>
      <c r="AI73" s="1"/>
      <c r="AJ73" s="1"/>
      <c r="AK73" s="1"/>
    </row>
    <row r="74" spans="1:37" ht="7.5" customHeight="1" x14ac:dyDescent="0.25">
      <c r="A74" s="1"/>
      <c r="B74" s="1"/>
      <c r="C74" s="1"/>
      <c r="D74" s="18"/>
      <c r="E74" s="1"/>
      <c r="F74" s="33"/>
      <c r="G74" s="33"/>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ht="7.5" customHeight="1" x14ac:dyDescent="0.25">
      <c r="A75" s="1"/>
      <c r="B75" s="1"/>
      <c r="C75" s="1"/>
      <c r="D75" s="18"/>
      <c r="E75" s="1"/>
      <c r="F75" s="33"/>
      <c r="G75" s="33"/>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ht="11.25" customHeight="1" x14ac:dyDescent="0.25">
      <c r="A76" s="1"/>
      <c r="B76" s="1"/>
      <c r="C76" s="1"/>
      <c r="D76" s="18"/>
      <c r="E76" s="172" t="s">
        <v>249</v>
      </c>
      <c r="F76" s="33" t="s">
        <v>28</v>
      </c>
      <c r="G76" s="33"/>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ht="15.75" customHeight="1" x14ac:dyDescent="0.25">
      <c r="A77" s="1"/>
      <c r="B77" s="1"/>
      <c r="C77" s="1"/>
      <c r="D77" s="18"/>
      <c r="E77" s="1" t="s">
        <v>90</v>
      </c>
      <c r="F77" s="33" t="s">
        <v>28</v>
      </c>
      <c r="G77" s="33"/>
      <c r="H77" s="80">
        <f ca="1">SUM(P55:Y56)</f>
        <v>1679.9258721912893</v>
      </c>
      <c r="I77" s="173"/>
      <c r="J77" s="80"/>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ht="15.75" customHeight="1" x14ac:dyDescent="0.25">
      <c r="A78" s="1"/>
      <c r="B78" s="1"/>
      <c r="C78" s="1"/>
      <c r="D78" s="18" t="s">
        <v>91</v>
      </c>
      <c r="E78" s="1" t="s">
        <v>92</v>
      </c>
      <c r="F78" s="33" t="s">
        <v>28</v>
      </c>
      <c r="G78" s="33"/>
      <c r="H78" s="15">
        <v>0</v>
      </c>
      <c r="I78" s="1"/>
      <c r="J78" s="80"/>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ht="15.75" customHeight="1" x14ac:dyDescent="0.25">
      <c r="A79" s="1"/>
      <c r="B79" s="1"/>
      <c r="C79" s="1"/>
      <c r="D79" s="18" t="s">
        <v>93</v>
      </c>
      <c r="E79" s="1" t="s">
        <v>94</v>
      </c>
      <c r="F79" s="33" t="s">
        <v>28</v>
      </c>
      <c r="G79" s="33"/>
      <c r="H79" s="39">
        <f>'&gt;&gt; Inputs'!$G36</f>
        <v>-670.38299999999992</v>
      </c>
      <c r="I79" s="1"/>
      <c r="J79" s="52"/>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ht="15.75" customHeight="1" x14ac:dyDescent="0.25">
      <c r="A80" s="1"/>
      <c r="B80" s="1"/>
      <c r="C80" s="1"/>
      <c r="D80" s="33" t="s">
        <v>95</v>
      </c>
      <c r="E80" s="13" t="s">
        <v>96</v>
      </c>
      <c r="F80" s="43" t="s">
        <v>28</v>
      </c>
      <c r="G80" s="43"/>
      <c r="H80" s="38">
        <f ca="1">H77 + H78 + H79</f>
        <v>1009.5428721912893</v>
      </c>
      <c r="I80" s="80"/>
      <c r="J80" s="39"/>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ht="6.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ht="15.75" customHeight="1" x14ac:dyDescent="0.25">
      <c r="A82" s="1"/>
      <c r="B82" s="1"/>
      <c r="C82" s="1"/>
      <c r="D82" s="1"/>
      <c r="E82" s="1" t="s">
        <v>97</v>
      </c>
      <c r="F82" s="14" t="s">
        <v>98</v>
      </c>
      <c r="G82" s="14"/>
      <c r="H82" s="39">
        <f>'&gt;&gt; Inputs'!G74</f>
        <v>760.20520899999997</v>
      </c>
      <c r="I82" s="1"/>
      <c r="J82" s="52"/>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ht="15.75" customHeight="1" x14ac:dyDescent="0.25">
      <c r="A83" s="1"/>
      <c r="B83" s="1"/>
      <c r="C83" s="1"/>
      <c r="D83" s="1"/>
      <c r="E83" s="2" t="s">
        <v>99</v>
      </c>
      <c r="F83" s="82" t="s">
        <v>100</v>
      </c>
      <c r="G83" s="82"/>
      <c r="H83" s="83">
        <f ca="1">H80 / H82</f>
        <v>1.3279873121617736</v>
      </c>
      <c r="I83" s="1"/>
      <c r="J83" s="83"/>
      <c r="K83" s="148">
        <f ca="1">80%*H83+20%*H109</f>
        <v>1.3280840669670424</v>
      </c>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ht="15.75" customHeight="1" x14ac:dyDescent="0.25">
      <c r="A84" s="1"/>
      <c r="B84" s="1"/>
      <c r="C84" s="1"/>
      <c r="D84" s="1"/>
      <c r="E84" s="1" t="s">
        <v>102</v>
      </c>
      <c r="F84" s="14" t="s">
        <v>100</v>
      </c>
      <c r="G84" s="14"/>
      <c r="H84" s="84">
        <f ca="1">( H83 * ( 1 + H90 ) ) - H89</f>
        <v>1.5283805975669853</v>
      </c>
      <c r="I84" s="1"/>
      <c r="J84" s="83"/>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ht="15.75" customHeight="1" x14ac:dyDescent="0.25">
      <c r="A85" s="1"/>
      <c r="B85" s="1"/>
      <c r="C85" s="1"/>
      <c r="D85" s="1"/>
      <c r="E85" s="2"/>
      <c r="F85" s="82"/>
      <c r="G85" s="82"/>
      <c r="H85" s="83"/>
      <c r="I85" s="1"/>
      <c r="J85" s="83"/>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ht="15.75" customHeight="1" x14ac:dyDescent="0.25">
      <c r="A86" s="1"/>
      <c r="B86" s="1"/>
      <c r="C86" s="1"/>
      <c r="D86" s="1"/>
      <c r="E86" s="1" t="s">
        <v>103</v>
      </c>
      <c r="F86" s="14" t="s">
        <v>100</v>
      </c>
      <c r="G86" s="14"/>
      <c r="H86" s="84">
        <f>'&gt;&gt; Inputs'!G21</f>
        <v>1.34</v>
      </c>
      <c r="I86" s="1"/>
      <c r="J86" s="83"/>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ht="15.75" customHeight="1" x14ac:dyDescent="0.25">
      <c r="A87" s="1"/>
      <c r="B87" s="1"/>
      <c r="C87" s="1"/>
      <c r="D87" s="1"/>
      <c r="E87" s="1" t="s">
        <v>104</v>
      </c>
      <c r="F87" s="14" t="s">
        <v>8</v>
      </c>
      <c r="G87" s="14"/>
      <c r="H87" s="41">
        <f ca="1">H83 / H86 - 1</f>
        <v>-8.9646924165869279E-3</v>
      </c>
      <c r="I87" s="1"/>
      <c r="J87" s="83"/>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ht="15.75" customHeight="1" x14ac:dyDescent="0.25">
      <c r="A88" s="1"/>
      <c r="B88" s="1"/>
      <c r="C88" s="1"/>
      <c r="D88" s="1"/>
      <c r="E88" s="1" t="s">
        <v>105</v>
      </c>
      <c r="F88" s="14" t="s">
        <v>8</v>
      </c>
      <c r="G88" s="14"/>
      <c r="H88" s="86" t="str">
        <f ca="1">IFERROR( _xll.TR('&gt;&gt; Inputs'!$G$14, "TR.DPSSmartYield(Period=NTM)") / 100, "n/a" )</f>
        <v>n/a</v>
      </c>
      <c r="I88" s="1"/>
      <c r="J88" s="174" t="s">
        <v>250</v>
      </c>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ht="15.75" customHeight="1" x14ac:dyDescent="0.25">
      <c r="A89" s="1"/>
      <c r="B89" s="1"/>
      <c r="C89" s="1"/>
      <c r="D89" s="1"/>
      <c r="E89" s="1" t="s">
        <v>251</v>
      </c>
      <c r="F89" s="14" t="s">
        <v>252</v>
      </c>
      <c r="G89" s="14"/>
      <c r="H89" s="84">
        <f>'&gt;&gt; Inputs'!G22</f>
        <v>0</v>
      </c>
      <c r="I89" s="1"/>
      <c r="J89" s="83"/>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ht="15.75" customHeight="1" x14ac:dyDescent="0.25">
      <c r="A90" s="1"/>
      <c r="B90" s="1"/>
      <c r="C90" s="1"/>
      <c r="D90" s="1"/>
      <c r="E90" s="1" t="s">
        <v>9</v>
      </c>
      <c r="F90" s="14" t="s">
        <v>8</v>
      </c>
      <c r="G90" s="14"/>
      <c r="H90" s="41">
        <f>'&gt;&gt; Inputs'!G16</f>
        <v>0.15090000000000001</v>
      </c>
      <c r="I90" s="1"/>
      <c r="J90" s="83"/>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ht="15.75" customHeight="1" x14ac:dyDescent="0.25">
      <c r="A91" s="1"/>
      <c r="B91" s="1"/>
      <c r="C91" s="1"/>
      <c r="D91" s="1"/>
      <c r="E91" s="1"/>
      <c r="F91" s="175"/>
      <c r="G91" s="175"/>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ht="15.75" customHeight="1" x14ac:dyDescent="0.25">
      <c r="A92" s="1"/>
      <c r="B92" s="1"/>
      <c r="C92" s="1"/>
      <c r="D92" s="1"/>
      <c r="E92" s="1" t="str">
        <f>"Forecast" &amp; " FY"&amp;P4 &amp; " EBITDA"</f>
        <v>Forecast FY2025 EBITDA</v>
      </c>
      <c r="F92" s="175" t="s">
        <v>28</v>
      </c>
      <c r="G92" s="175"/>
      <c r="H92" s="80">
        <f>P23</f>
        <v>252.57252334410083</v>
      </c>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ht="15.75" customHeight="1" x14ac:dyDescent="0.25">
      <c r="A93" s="1"/>
      <c r="B93" s="1"/>
      <c r="C93" s="1"/>
      <c r="D93" s="1"/>
      <c r="E93" s="1" t="str">
        <f>"Forecast" &amp; " FY"&amp;P4 &amp; " EBIT"</f>
        <v>Forecast FY2025 EBIT</v>
      </c>
      <c r="F93" s="175" t="s">
        <v>28</v>
      </c>
      <c r="G93" s="175"/>
      <c r="H93" s="80">
        <f>P30</f>
        <v>147.33386262176106</v>
      </c>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ht="15.75" customHeight="1" x14ac:dyDescent="0.25">
      <c r="A94" s="1"/>
      <c r="B94" s="1"/>
      <c r="C94" s="1"/>
      <c r="D94" s="1"/>
      <c r="E94" s="1"/>
      <c r="F94" s="175"/>
      <c r="G94" s="175"/>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ht="15.75" customHeight="1" x14ac:dyDescent="0.25">
      <c r="A95" s="1"/>
      <c r="B95" s="1"/>
      <c r="C95" s="1"/>
      <c r="D95" s="1"/>
      <c r="E95" s="1" t="s">
        <v>107</v>
      </c>
      <c r="F95" s="14" t="s">
        <v>52</v>
      </c>
      <c r="G95" s="14"/>
      <c r="H95" s="45">
        <f ca="1">H77 / '&gt;&gt; Fin Stmts'!O20</f>
        <v>6.0366275060155434</v>
      </c>
      <c r="I95" s="1"/>
      <c r="J95" s="174" t="s">
        <v>253</v>
      </c>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ht="15.75" customHeight="1" x14ac:dyDescent="0.25">
      <c r="A96" s="1"/>
      <c r="B96" s="1"/>
      <c r="C96" s="1"/>
      <c r="D96" s="1"/>
      <c r="E96" s="1" t="s">
        <v>108</v>
      </c>
      <c r="F96" s="14" t="s">
        <v>52</v>
      </c>
      <c r="G96" s="14"/>
      <c r="H96" s="45">
        <f ca="1">H77 / '&gt;&gt; Fin Stmts'!O23</f>
        <v>9.3438845950086016</v>
      </c>
      <c r="I96" s="1"/>
      <c r="J96" s="45"/>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ht="15.75" customHeight="1" x14ac:dyDescent="0.25">
      <c r="A97" s="1"/>
      <c r="B97" s="1"/>
      <c r="C97" s="1"/>
      <c r="D97" s="1"/>
      <c r="E97" s="1" t="s">
        <v>109</v>
      </c>
      <c r="F97" s="14" t="s">
        <v>52</v>
      </c>
      <c r="G97" s="14"/>
      <c r="H97" s="45">
        <f>( ( H86 * H82 ) + ( 0 - H79 ) ) / H92</f>
        <v>6.6874177669708512</v>
      </c>
      <c r="I97" s="1"/>
      <c r="J97" s="45"/>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ht="15.75" customHeight="1" x14ac:dyDescent="0.25">
      <c r="A98" s="1"/>
      <c r="B98" s="1"/>
      <c r="C98" s="1"/>
      <c r="D98" s="1"/>
      <c r="E98" s="1" t="s">
        <v>110</v>
      </c>
      <c r="F98" s="14" t="s">
        <v>52</v>
      </c>
      <c r="G98" s="14"/>
      <c r="H98" s="45">
        <f>( ( H86 * H82 ) + ( 0 - H79 ) ) / H93</f>
        <v>11.464153250337223</v>
      </c>
      <c r="I98" s="1"/>
      <c r="J98" s="45"/>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ht="15.75" customHeight="1" x14ac:dyDescent="0.25">
      <c r="A99" s="1"/>
      <c r="B99" s="1"/>
      <c r="C99" s="1"/>
      <c r="D99" s="1"/>
      <c r="E99" s="1"/>
      <c r="F99" s="14"/>
      <c r="G99" s="14"/>
      <c r="H99" s="45"/>
      <c r="I99" s="1"/>
      <c r="J99" s="45"/>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ht="15.75" customHeight="1" x14ac:dyDescent="0.25">
      <c r="A100" s="1"/>
      <c r="B100" s="1"/>
      <c r="C100" s="1"/>
      <c r="D100" s="1"/>
      <c r="E100" s="603" t="s">
        <v>248</v>
      </c>
      <c r="F100" s="602"/>
      <c r="G100" s="602"/>
      <c r="H100" s="604"/>
      <c r="I100" s="1"/>
      <c r="J100" s="45"/>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ht="15.75" customHeight="1" x14ac:dyDescent="0.25">
      <c r="A101" s="1"/>
      <c r="B101" s="1"/>
      <c r="C101" s="1"/>
      <c r="D101" s="1"/>
      <c r="E101" s="1"/>
      <c r="F101" s="33"/>
      <c r="G101" s="33"/>
      <c r="H101" s="1"/>
      <c r="I101" s="1"/>
      <c r="J101" s="45"/>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ht="15.75" customHeight="1" x14ac:dyDescent="0.25">
      <c r="A102" s="1"/>
      <c r="B102" s="1"/>
      <c r="C102" s="1"/>
      <c r="D102" s="1"/>
      <c r="E102" s="172" t="s">
        <v>249</v>
      </c>
      <c r="F102" s="33" t="s">
        <v>28</v>
      </c>
      <c r="G102" s="33"/>
      <c r="H102" s="1"/>
      <c r="I102" s="1"/>
      <c r="J102" s="45"/>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ht="15.75" customHeight="1" x14ac:dyDescent="0.25">
      <c r="A103" s="1"/>
      <c r="B103" s="1"/>
      <c r="C103" s="1"/>
      <c r="D103" s="1"/>
      <c r="E103" s="1" t="s">
        <v>90</v>
      </c>
      <c r="F103" s="33" t="s">
        <v>28</v>
      </c>
      <c r="G103" s="33"/>
      <c r="H103" s="80">
        <f ca="1">SUM(P70:Y71)</f>
        <v>1680.2936397260946</v>
      </c>
      <c r="I103" s="1"/>
      <c r="J103" s="45"/>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ht="15.75" customHeight="1" x14ac:dyDescent="0.25">
      <c r="A104" s="1"/>
      <c r="B104" s="1"/>
      <c r="C104" s="1"/>
      <c r="D104" s="1"/>
      <c r="E104" s="1" t="s">
        <v>92</v>
      </c>
      <c r="F104" s="33" t="s">
        <v>28</v>
      </c>
      <c r="G104" s="33"/>
      <c r="H104" s="15">
        <v>0</v>
      </c>
      <c r="I104" s="1"/>
      <c r="J104" s="45"/>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row r="105" spans="1:37" s="387" customFormat="1" ht="15.75" customHeight="1" x14ac:dyDescent="0.25">
      <c r="A105" s="146"/>
      <c r="B105" s="146"/>
      <c r="C105" s="146"/>
      <c r="D105" s="146"/>
      <c r="E105" s="1" t="s">
        <v>94</v>
      </c>
      <c r="F105" s="33" t="s">
        <v>28</v>
      </c>
      <c r="G105" s="33"/>
      <c r="H105" s="39">
        <f>'&gt;&gt; Inputs'!$G$36</f>
        <v>-670.38299999999992</v>
      </c>
      <c r="I105" s="146"/>
      <c r="J105" s="401"/>
      <c r="K105" s="146"/>
      <c r="L105" s="146"/>
      <c r="M105" s="146"/>
      <c r="N105" s="146"/>
      <c r="O105" s="146"/>
      <c r="P105" s="146"/>
      <c r="Q105" s="146"/>
      <c r="R105" s="146"/>
      <c r="S105" s="146"/>
      <c r="T105" s="146"/>
      <c r="U105" s="146"/>
      <c r="V105" s="146"/>
      <c r="W105" s="146"/>
      <c r="X105" s="146"/>
      <c r="Y105" s="146"/>
      <c r="Z105" s="146"/>
      <c r="AA105" s="146"/>
      <c r="AB105" s="146"/>
      <c r="AC105" s="146"/>
      <c r="AD105" s="146"/>
      <c r="AE105" s="146"/>
      <c r="AF105" s="146"/>
      <c r="AG105" s="146"/>
      <c r="AH105" s="146"/>
      <c r="AI105" s="146"/>
      <c r="AJ105" s="146"/>
      <c r="AK105" s="146"/>
    </row>
    <row r="106" spans="1:37" ht="15.75" customHeight="1" x14ac:dyDescent="0.25">
      <c r="A106" s="1"/>
      <c r="B106" s="1"/>
      <c r="C106" s="1"/>
      <c r="D106" s="1"/>
      <c r="E106" s="13" t="s">
        <v>96</v>
      </c>
      <c r="F106" s="43" t="s">
        <v>28</v>
      </c>
      <c r="G106" s="43"/>
      <c r="H106" s="38">
        <f ca="1">H103 + H104 + H105</f>
        <v>1009.9106397260947</v>
      </c>
      <c r="I106" s="1"/>
      <c r="J106" s="45"/>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row>
    <row r="107" spans="1:37" ht="15.75" customHeight="1" x14ac:dyDescent="0.25">
      <c r="A107" s="1"/>
      <c r="B107" s="1"/>
      <c r="C107" s="1"/>
      <c r="D107" s="1"/>
      <c r="E107" s="1"/>
      <c r="F107" s="1"/>
      <c r="G107" s="1"/>
      <c r="H107" s="1"/>
      <c r="I107" s="1"/>
      <c r="J107" s="45"/>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row>
    <row r="108" spans="1:37" ht="15.75" customHeight="1" x14ac:dyDescent="0.25">
      <c r="A108" s="1"/>
      <c r="B108" s="1"/>
      <c r="C108" s="1"/>
      <c r="D108" s="1"/>
      <c r="E108" s="1" t="s">
        <v>97</v>
      </c>
      <c r="F108" s="14" t="s">
        <v>98</v>
      </c>
      <c r="G108" s="14"/>
      <c r="H108" s="39">
        <f>'&gt;&gt; Inputs'!$G$74</f>
        <v>760.20520899999997</v>
      </c>
      <c r="I108" s="1"/>
      <c r="J108" s="45"/>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row>
    <row r="109" spans="1:37" ht="15.75" customHeight="1" x14ac:dyDescent="0.25">
      <c r="A109" s="1"/>
      <c r="B109" s="1"/>
      <c r="C109" s="1"/>
      <c r="D109" s="1"/>
      <c r="E109" s="2" t="s">
        <v>741</v>
      </c>
      <c r="F109" s="82" t="s">
        <v>100</v>
      </c>
      <c r="G109" s="82"/>
      <c r="H109" s="83">
        <f ca="1">H106 / H108</f>
        <v>1.3284710861881173</v>
      </c>
      <c r="I109" s="1"/>
      <c r="J109" s="45"/>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row>
    <row r="110" spans="1:37" ht="15.75" customHeight="1" x14ac:dyDescent="0.25">
      <c r="A110" s="1"/>
      <c r="B110" s="1"/>
      <c r="C110" s="1"/>
      <c r="D110" s="1"/>
      <c r="E110" s="1" t="s">
        <v>102</v>
      </c>
      <c r="F110" s="14" t="s">
        <v>100</v>
      </c>
      <c r="G110" s="14"/>
      <c r="H110" s="84">
        <f ca="1">( H109 * ( 1 +H90) ) -H89</f>
        <v>1.5289373730939042</v>
      </c>
      <c r="I110" s="1"/>
      <c r="J110" s="45"/>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row>
    <row r="111" spans="1:37" ht="15.75" customHeight="1" x14ac:dyDescent="0.25">
      <c r="A111" s="1"/>
      <c r="B111" s="1"/>
      <c r="C111" s="1"/>
      <c r="D111" s="1"/>
      <c r="E111" s="1"/>
      <c r="F111" s="14"/>
      <c r="G111" s="14"/>
      <c r="H111" s="45"/>
      <c r="I111" s="1"/>
      <c r="J111" s="45"/>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row>
    <row r="112" spans="1:37" ht="15.75" customHeight="1" x14ac:dyDescent="0.25">
      <c r="A112" s="1"/>
      <c r="B112" s="1"/>
      <c r="C112" s="1"/>
      <c r="D112" s="1"/>
      <c r="E112" s="1"/>
      <c r="F112" s="33"/>
      <c r="G112" s="33"/>
      <c r="H112" s="33"/>
      <c r="I112" s="45"/>
      <c r="J112" s="45"/>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row>
    <row r="113" spans="1:37" ht="15.75" customHeight="1" x14ac:dyDescent="0.25">
      <c r="A113" s="1"/>
      <c r="B113" s="1"/>
      <c r="C113" s="1"/>
      <c r="D113" s="104"/>
      <c r="E113" s="4" t="s">
        <v>254</v>
      </c>
      <c r="F113" s="103"/>
      <c r="G113" s="103"/>
      <c r="H113" s="103"/>
      <c r="I113" s="176"/>
      <c r="J113" s="176"/>
      <c r="K113" s="176"/>
      <c r="L113" s="176"/>
      <c r="M113" s="176"/>
      <c r="N113" s="176"/>
      <c r="O113" s="176"/>
      <c r="P113" s="176"/>
      <c r="Q113" s="176"/>
      <c r="R113" s="176"/>
      <c r="S113" s="176"/>
      <c r="T113" s="176"/>
      <c r="U113" s="176"/>
      <c r="V113" s="176"/>
      <c r="W113" s="176"/>
      <c r="X113" s="176"/>
      <c r="Y113" s="176"/>
      <c r="Z113" s="1"/>
      <c r="AA113" s="1"/>
      <c r="AB113" s="1"/>
      <c r="AC113" s="1"/>
      <c r="AD113" s="1"/>
      <c r="AE113" s="1"/>
      <c r="AF113" s="1"/>
      <c r="AG113" s="1"/>
      <c r="AH113" s="1"/>
      <c r="AI113" s="1"/>
      <c r="AJ113" s="1"/>
      <c r="AK113" s="1"/>
    </row>
    <row r="114" spans="1:37" ht="15.75" customHeight="1" x14ac:dyDescent="0.25">
      <c r="A114" s="1"/>
      <c r="B114" s="1"/>
      <c r="C114" s="1"/>
      <c r="D114" s="6"/>
      <c r="E114" s="6"/>
      <c r="F114" s="177"/>
      <c r="G114" s="177"/>
      <c r="H114" s="177"/>
      <c r="I114" s="178"/>
      <c r="J114" s="178"/>
      <c r="K114" s="6"/>
      <c r="L114" s="6"/>
      <c r="M114" s="6"/>
      <c r="N114" s="6"/>
      <c r="O114" s="6"/>
      <c r="P114" s="6"/>
      <c r="Q114" s="6"/>
      <c r="R114" s="6"/>
      <c r="S114" s="6"/>
      <c r="T114" s="6"/>
      <c r="U114" s="6"/>
      <c r="V114" s="6"/>
      <c r="W114" s="6"/>
      <c r="X114" s="6"/>
      <c r="Y114" s="6"/>
      <c r="Z114" s="1"/>
      <c r="AA114" s="1"/>
      <c r="AB114" s="1"/>
      <c r="AC114" s="1"/>
      <c r="AD114" s="1"/>
      <c r="AE114" s="1"/>
      <c r="AF114" s="1"/>
      <c r="AG114" s="1"/>
      <c r="AH114" s="1"/>
      <c r="AI114" s="1"/>
      <c r="AJ114" s="1"/>
      <c r="AK114" s="1"/>
    </row>
    <row r="115" spans="1:37" ht="15.75" customHeight="1" x14ac:dyDescent="0.25">
      <c r="A115" s="1"/>
      <c r="B115" s="1"/>
      <c r="C115" s="1"/>
      <c r="D115" s="13"/>
      <c r="E115" s="13"/>
      <c r="F115" s="43"/>
      <c r="G115" s="43"/>
      <c r="H115" s="43"/>
      <c r="I115" s="145"/>
      <c r="J115" s="145"/>
      <c r="K115" s="13"/>
      <c r="L115" s="13"/>
      <c r="M115" s="13"/>
      <c r="N115" s="13"/>
      <c r="O115" s="13"/>
      <c r="P115" s="13"/>
      <c r="Q115" s="13"/>
      <c r="R115" s="13"/>
      <c r="S115" s="13"/>
      <c r="T115" s="13"/>
      <c r="U115" s="13"/>
      <c r="V115" s="13"/>
      <c r="W115" s="13"/>
      <c r="X115" s="13"/>
      <c r="Y115" s="13"/>
      <c r="Z115" s="1"/>
      <c r="AA115" s="1"/>
      <c r="AB115" s="1"/>
      <c r="AC115" s="1"/>
      <c r="AD115" s="1"/>
      <c r="AE115" s="1"/>
      <c r="AF115" s="1"/>
      <c r="AG115" s="1"/>
      <c r="AH115" s="1"/>
      <c r="AI115" s="1"/>
      <c r="AJ115" s="1"/>
      <c r="AK115" s="1"/>
    </row>
    <row r="116" spans="1:37" ht="15.75" customHeight="1" x14ac:dyDescent="0.25">
      <c r="A116" s="1"/>
      <c r="B116" s="1"/>
      <c r="C116" s="1"/>
      <c r="D116" s="1"/>
      <c r="E116" s="1" t="s">
        <v>246</v>
      </c>
      <c r="F116" s="33" t="s">
        <v>28</v>
      </c>
      <c r="G116" s="33"/>
      <c r="H116" s="33"/>
      <c r="I116" s="39">
        <f t="shared" ref="I116:Y116" si="24">I55</f>
        <v>0</v>
      </c>
      <c r="J116" s="39">
        <f t="shared" si="24"/>
        <v>0</v>
      </c>
      <c r="K116" s="39">
        <f t="shared" si="24"/>
        <v>0</v>
      </c>
      <c r="L116" s="39">
        <f t="shared" si="24"/>
        <v>0</v>
      </c>
      <c r="M116" s="39">
        <f t="shared" si="24"/>
        <v>0</v>
      </c>
      <c r="N116" s="39">
        <f t="shared" si="24"/>
        <v>0</v>
      </c>
      <c r="O116" s="39">
        <f t="shared" si="24"/>
        <v>0</v>
      </c>
      <c r="P116" s="39">
        <f ca="1">P55</f>
        <v>37.225775218566298</v>
      </c>
      <c r="Q116" s="39">
        <f t="shared" ca="1" si="24"/>
        <v>128.6739325088673</v>
      </c>
      <c r="R116" s="39">
        <f t="shared" ca="1" si="24"/>
        <v>117.51616452213116</v>
      </c>
      <c r="S116" s="39">
        <f t="shared" ca="1" si="24"/>
        <v>107.32934640183718</v>
      </c>
      <c r="T116" s="39">
        <f t="shared" ca="1" si="24"/>
        <v>98.066028396022787</v>
      </c>
      <c r="U116" s="39">
        <f t="shared" ca="1" si="24"/>
        <v>89.465021252148375</v>
      </c>
      <c r="V116" s="39">
        <f t="shared" ca="1" si="24"/>
        <v>56.689894541330283</v>
      </c>
      <c r="W116" s="39">
        <f t="shared" ca="1" si="24"/>
        <v>51.283847743174491</v>
      </c>
      <c r="X116" s="39">
        <f t="shared" ca="1" si="24"/>
        <v>46.40590632015337</v>
      </c>
      <c r="Y116" s="39">
        <f t="shared" ca="1" si="24"/>
        <v>61.239194584915097</v>
      </c>
      <c r="Z116" s="1"/>
      <c r="AA116" s="1"/>
      <c r="AB116" s="1"/>
      <c r="AC116" s="1"/>
      <c r="AD116" s="1"/>
      <c r="AE116" s="1"/>
      <c r="AF116" s="1"/>
      <c r="AG116" s="1"/>
      <c r="AH116" s="1"/>
      <c r="AI116" s="1"/>
      <c r="AJ116" s="1"/>
      <c r="AK116" s="1"/>
    </row>
    <row r="117" spans="1:37" ht="15.75" customHeight="1" x14ac:dyDescent="0.25">
      <c r="A117" s="1"/>
      <c r="B117" s="1"/>
      <c r="C117" s="1"/>
      <c r="D117" s="1"/>
      <c r="E117" s="1" t="s">
        <v>255</v>
      </c>
      <c r="F117" s="33" t="s">
        <v>28</v>
      </c>
      <c r="G117" s="33"/>
      <c r="H117" s="33"/>
      <c r="I117" s="39">
        <f t="shared" ref="I117:V117" si="25">I46* I53</f>
        <v>0</v>
      </c>
      <c r="J117" s="39">
        <f t="shared" si="25"/>
        <v>0</v>
      </c>
      <c r="K117" s="39">
        <f t="shared" si="25"/>
        <v>0</v>
      </c>
      <c r="L117" s="39">
        <f t="shared" si="25"/>
        <v>0</v>
      </c>
      <c r="M117" s="39">
        <f t="shared" si="25"/>
        <v>0</v>
      </c>
      <c r="N117" s="39">
        <f t="shared" si="25"/>
        <v>0</v>
      </c>
      <c r="O117" s="39">
        <f t="shared" si="25"/>
        <v>0</v>
      </c>
      <c r="P117" s="39">
        <f t="shared" ca="1" si="25"/>
        <v>0</v>
      </c>
      <c r="Q117" s="39">
        <f t="shared" ca="1" si="25"/>
        <v>0</v>
      </c>
      <c r="R117" s="39">
        <f t="shared" ca="1" si="25"/>
        <v>0</v>
      </c>
      <c r="S117" s="39">
        <f t="shared" ca="1" si="25"/>
        <v>0</v>
      </c>
      <c r="T117" s="39">
        <f t="shared" ca="1" si="25"/>
        <v>0</v>
      </c>
      <c r="U117" s="39">
        <f t="shared" ca="1" si="25"/>
        <v>0</v>
      </c>
      <c r="V117" s="39">
        <f t="shared" ca="1" si="25"/>
        <v>0</v>
      </c>
      <c r="W117" s="39">
        <f ca="1">W46 * W53</f>
        <v>0</v>
      </c>
      <c r="X117" s="39">
        <f ca="1">X46 * X53</f>
        <v>0</v>
      </c>
      <c r="Y117" s="39">
        <f ca="1">Y46 * Y53</f>
        <v>846.09507324497997</v>
      </c>
      <c r="Z117" s="1"/>
      <c r="AA117" s="1"/>
      <c r="AB117" s="1"/>
      <c r="AC117" s="1"/>
      <c r="AD117" s="1"/>
      <c r="AE117" s="1"/>
      <c r="AF117" s="1"/>
      <c r="AG117" s="1"/>
      <c r="AH117" s="1"/>
      <c r="AI117" s="1"/>
      <c r="AJ117" s="1"/>
      <c r="AK117" s="1"/>
    </row>
    <row r="118" spans="1:37" ht="15.75" customHeight="1" x14ac:dyDescent="0.25">
      <c r="A118" s="1"/>
      <c r="B118" s="1"/>
      <c r="C118" s="1"/>
      <c r="D118" s="1"/>
      <c r="E118" s="1"/>
      <c r="F118" s="33"/>
      <c r="G118" s="33"/>
      <c r="H118" s="33"/>
      <c r="I118" s="45"/>
      <c r="J118" s="45"/>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row>
    <row r="119" spans="1:37" ht="15.75" customHeight="1" x14ac:dyDescent="0.25">
      <c r="A119" s="1"/>
      <c r="B119" s="1"/>
      <c r="C119" s="1"/>
      <c r="D119" s="18"/>
      <c r="E119" s="1" t="s">
        <v>256</v>
      </c>
      <c r="F119" s="33" t="s">
        <v>28</v>
      </c>
      <c r="G119" s="33"/>
      <c r="H119" s="80">
        <f ca="1">SUM( J116:Y117 )</f>
        <v>1639.9901847341264</v>
      </c>
      <c r="I119" s="80"/>
      <c r="J119" s="45"/>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row>
    <row r="120" spans="1:37" ht="15.75" customHeight="1" x14ac:dyDescent="0.25">
      <c r="A120" s="1"/>
      <c r="B120" s="1"/>
      <c r="C120" s="1"/>
      <c r="D120" s="18" t="s">
        <v>91</v>
      </c>
      <c r="E120" s="1" t="s">
        <v>92</v>
      </c>
      <c r="F120" s="33" t="s">
        <v>28</v>
      </c>
      <c r="G120" s="33"/>
      <c r="H120" s="179">
        <v>0</v>
      </c>
      <c r="I120" s="49"/>
      <c r="J120" s="45" t="s">
        <v>834</v>
      </c>
      <c r="K120" s="487">
        <f>P67</f>
        <v>140.1141302143227</v>
      </c>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row>
    <row r="121" spans="1:37" ht="15.75" customHeight="1" x14ac:dyDescent="0.25">
      <c r="A121" s="1"/>
      <c r="B121" s="1"/>
      <c r="C121" s="1"/>
      <c r="D121" s="18" t="s">
        <v>93</v>
      </c>
      <c r="E121" s="1" t="s">
        <v>94</v>
      </c>
      <c r="F121" s="33" t="s">
        <v>28</v>
      </c>
      <c r="G121" s="33"/>
      <c r="H121" s="39">
        <f>'&gt;&gt; Inputs'!$G36</f>
        <v>-670.38299999999992</v>
      </c>
      <c r="I121" s="52"/>
      <c r="J121" s="45" t="s">
        <v>835</v>
      </c>
      <c r="K121" s="1">
        <f>'&gt;&gt; Dash'!H48</f>
        <v>0.02</v>
      </c>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row>
    <row r="122" spans="1:37" ht="15.75" customHeight="1" x14ac:dyDescent="0.25">
      <c r="A122" s="1"/>
      <c r="B122" s="1"/>
      <c r="C122" s="1"/>
      <c r="D122" s="33" t="s">
        <v>95</v>
      </c>
      <c r="E122" s="13" t="s">
        <v>96</v>
      </c>
      <c r="F122" s="43" t="s">
        <v>28</v>
      </c>
      <c r="G122" s="43"/>
      <c r="H122" s="38">
        <f ca="1">H119 + H120 + H121</f>
        <v>969.60718473412646</v>
      </c>
      <c r="I122" s="39"/>
      <c r="J122" s="45" t="s">
        <v>9</v>
      </c>
      <c r="K122" s="1">
        <f>'&gt;&gt; Dash'!Z50</f>
        <v>0.15090000000000001</v>
      </c>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row>
    <row r="123" spans="1:37" ht="15.75" customHeight="1" x14ac:dyDescent="0.25">
      <c r="A123" s="1"/>
      <c r="B123" s="1"/>
      <c r="C123" s="1"/>
      <c r="D123" s="1"/>
      <c r="E123" s="1"/>
      <c r="F123" s="1"/>
      <c r="G123" s="1"/>
      <c r="H123" s="1"/>
      <c r="I123" s="1"/>
      <c r="J123" s="45"/>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row>
    <row r="124" spans="1:37" ht="15.75" customHeight="1" x14ac:dyDescent="0.25">
      <c r="A124" s="1"/>
      <c r="B124" s="1"/>
      <c r="C124" s="1"/>
      <c r="D124" s="1"/>
      <c r="E124" s="1" t="s">
        <v>97</v>
      </c>
      <c r="F124" s="14" t="s">
        <v>98</v>
      </c>
      <c r="G124" s="14"/>
      <c r="H124" s="39">
        <f>H82</f>
        <v>760.20520899999997</v>
      </c>
      <c r="I124" s="52"/>
      <c r="J124" s="45"/>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row>
    <row r="125" spans="1:37" ht="15.75" customHeight="1" x14ac:dyDescent="0.25">
      <c r="A125" s="1"/>
      <c r="B125" s="1"/>
      <c r="C125" s="1"/>
      <c r="D125" s="1"/>
      <c r="E125" s="1" t="s">
        <v>257</v>
      </c>
      <c r="F125" s="14" t="s">
        <v>100</v>
      </c>
      <c r="G125" s="14"/>
      <c r="H125" s="470">
        <f ca="1">H122 / H124</f>
        <v>1.2754545394520265</v>
      </c>
      <c r="I125" s="84"/>
      <c r="J125" s="45" t="s">
        <v>836</v>
      </c>
      <c r="K125" s="1">
        <f>K120/(K122-K121)</f>
        <v>1070.3906051514339</v>
      </c>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row>
    <row r="126" spans="1:37" ht="15.75" customHeight="1" x14ac:dyDescent="0.25">
      <c r="A126" s="1"/>
      <c r="B126" s="1"/>
      <c r="C126" s="1"/>
      <c r="D126" s="1"/>
      <c r="E126" s="1" t="s">
        <v>258</v>
      </c>
      <c r="F126" s="14" t="s">
        <v>100</v>
      </c>
      <c r="G126" s="14"/>
      <c r="H126" s="84">
        <f ca="1">H83</f>
        <v>1.3279873121617736</v>
      </c>
      <c r="I126" s="84"/>
      <c r="J126" s="45"/>
      <c r="K126" s="1">
        <f>K125/H124</f>
        <v>1.4080285066179201</v>
      </c>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row>
    <row r="127" spans="1:37" ht="15.75" customHeight="1" x14ac:dyDescent="0.25">
      <c r="A127" s="1"/>
      <c r="B127" s="1"/>
      <c r="C127" s="1"/>
      <c r="D127" s="1"/>
      <c r="E127" s="1" t="s">
        <v>259</v>
      </c>
      <c r="F127" s="14" t="s">
        <v>100</v>
      </c>
      <c r="G127" s="14"/>
      <c r="H127" s="41">
        <f ca="1">H125 / H126 - 1</f>
        <v>-3.9558188718107012E-2</v>
      </c>
      <c r="I127" s="41"/>
      <c r="J127" s="45"/>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row>
    <row r="128" spans="1:37" ht="15.75" customHeight="1" x14ac:dyDescent="0.25">
      <c r="A128" s="1"/>
      <c r="B128" s="1"/>
      <c r="C128" s="1"/>
      <c r="D128" s="1"/>
      <c r="E128" s="2"/>
      <c r="F128" s="82"/>
      <c r="G128" s="82"/>
      <c r="H128" s="82"/>
      <c r="I128" s="83"/>
      <c r="J128" s="45"/>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row>
    <row r="129" spans="1:37" ht="15.75" customHeight="1" x14ac:dyDescent="0.25">
      <c r="A129" s="1"/>
      <c r="B129" s="1"/>
      <c r="C129" s="1"/>
      <c r="D129" s="13"/>
      <c r="E129" s="13"/>
      <c r="F129" s="43"/>
      <c r="G129" s="43"/>
      <c r="H129" s="43"/>
      <c r="I129" s="145"/>
      <c r="J129" s="145"/>
      <c r="K129" s="13"/>
      <c r="L129" s="13"/>
      <c r="M129" s="13"/>
      <c r="N129" s="13"/>
      <c r="O129" s="13"/>
      <c r="P129" s="13"/>
      <c r="Q129" s="13"/>
      <c r="R129" s="13"/>
      <c r="S129" s="13"/>
      <c r="T129" s="13"/>
      <c r="U129" s="13"/>
      <c r="V129" s="13"/>
      <c r="W129" s="13"/>
      <c r="X129" s="13"/>
      <c r="Y129" s="13"/>
      <c r="Z129" s="1"/>
      <c r="AA129" s="1"/>
      <c r="AB129" s="1"/>
      <c r="AC129" s="1"/>
      <c r="AD129" s="1"/>
      <c r="AE129" s="1"/>
      <c r="AF129" s="1"/>
      <c r="AG129" s="1"/>
      <c r="AH129" s="1"/>
      <c r="AI129" s="1"/>
      <c r="AJ129" s="1"/>
      <c r="AK129" s="1"/>
    </row>
    <row r="130" spans="1:37" ht="15.75" customHeight="1" x14ac:dyDescent="0.25">
      <c r="A130" s="1"/>
      <c r="B130" s="1"/>
      <c r="C130" s="1"/>
      <c r="D130" s="1"/>
      <c r="E130" s="1"/>
      <c r="F130" s="33"/>
      <c r="G130" s="33"/>
      <c r="H130" s="33"/>
      <c r="I130" s="45"/>
      <c r="J130" s="45"/>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row>
    <row r="131" spans="1:37" ht="15.75" customHeight="1" x14ac:dyDescent="0.25">
      <c r="A131" s="1"/>
      <c r="B131" s="1"/>
      <c r="C131" s="1"/>
      <c r="D131" s="104"/>
      <c r="E131" s="4" t="s">
        <v>260</v>
      </c>
      <c r="F131" s="103"/>
      <c r="G131" s="103"/>
      <c r="H131" s="103"/>
      <c r="I131" s="176"/>
      <c r="J131" s="176"/>
      <c r="K131" s="176"/>
      <c r="L131" s="176"/>
      <c r="M131" s="176"/>
      <c r="N131" s="176"/>
      <c r="O131" s="176"/>
      <c r="P131" s="176"/>
      <c r="Q131" s="176"/>
      <c r="R131" s="176"/>
      <c r="S131" s="176"/>
      <c r="T131" s="176"/>
      <c r="U131" s="176"/>
      <c r="V131" s="176"/>
      <c r="W131" s="176"/>
      <c r="X131" s="176"/>
      <c r="Y131" s="176"/>
      <c r="Z131" s="1"/>
      <c r="AA131" s="1"/>
      <c r="AB131" s="1"/>
      <c r="AC131" s="1"/>
      <c r="AD131" s="1"/>
      <c r="AE131" s="1"/>
      <c r="AF131" s="1"/>
      <c r="AG131" s="1"/>
      <c r="AH131" s="1"/>
      <c r="AI131" s="1"/>
      <c r="AJ131" s="1"/>
      <c r="AK131" s="1"/>
    </row>
    <row r="132" spans="1:37" ht="15.75" customHeight="1" x14ac:dyDescent="0.25">
      <c r="A132" s="1"/>
      <c r="B132" s="1"/>
      <c r="C132" s="1"/>
      <c r="D132" s="6"/>
      <c r="E132" s="6" t="s">
        <v>261</v>
      </c>
      <c r="F132" s="177"/>
      <c r="G132" s="177"/>
      <c r="H132" s="177"/>
      <c r="I132" s="178"/>
      <c r="J132" s="178"/>
      <c r="K132" s="6"/>
      <c r="L132" s="6"/>
      <c r="M132" s="6"/>
      <c r="N132" s="6"/>
      <c r="O132" s="6"/>
      <c r="P132" s="6"/>
      <c r="Q132" s="6"/>
      <c r="R132" s="6"/>
      <c r="S132" s="6"/>
      <c r="T132" s="6"/>
      <c r="U132" s="6"/>
      <c r="V132" s="6"/>
      <c r="W132" s="6"/>
      <c r="X132" s="6"/>
      <c r="Y132" s="6"/>
      <c r="Z132" s="1"/>
      <c r="AA132" s="1"/>
      <c r="AB132" s="1"/>
      <c r="AC132" s="1"/>
      <c r="AD132" s="1"/>
      <c r="AE132" s="1"/>
      <c r="AF132" s="1"/>
      <c r="AG132" s="1"/>
      <c r="AH132" s="1"/>
      <c r="AI132" s="1"/>
      <c r="AJ132" s="1"/>
      <c r="AK132" s="1"/>
    </row>
    <row r="133" spans="1:37" ht="15.75" customHeight="1" x14ac:dyDescent="0.25">
      <c r="A133" s="1"/>
      <c r="B133" s="1"/>
      <c r="C133" s="1"/>
      <c r="D133" s="13"/>
      <c r="E133" s="13"/>
      <c r="F133" s="43"/>
      <c r="G133" s="43"/>
      <c r="H133" s="43"/>
      <c r="I133" s="145"/>
      <c r="J133" s="145"/>
      <c r="K133" s="13"/>
      <c r="L133" s="13"/>
      <c r="M133" s="13"/>
      <c r="N133" s="13"/>
      <c r="O133" s="471" t="s">
        <v>831</v>
      </c>
      <c r="P133" s="471"/>
      <c r="Q133" s="471"/>
      <c r="R133" s="13"/>
      <c r="S133" s="13"/>
      <c r="T133" s="13"/>
      <c r="U133" s="13"/>
      <c r="V133" s="13"/>
      <c r="W133" s="13"/>
      <c r="X133" s="13"/>
      <c r="Y133" s="13"/>
      <c r="Z133" s="1"/>
      <c r="AA133" s="1"/>
      <c r="AB133" s="1"/>
      <c r="AC133" s="1"/>
      <c r="AD133" s="1"/>
      <c r="AE133" s="1"/>
      <c r="AF133" s="1"/>
      <c r="AG133" s="1"/>
      <c r="AH133" s="1"/>
      <c r="AI133" s="1"/>
      <c r="AJ133" s="1"/>
      <c r="AK133" s="1"/>
    </row>
    <row r="134" spans="1:37" ht="15.75" customHeight="1" x14ac:dyDescent="0.25">
      <c r="A134" s="1"/>
      <c r="B134" s="1"/>
      <c r="C134" s="1"/>
      <c r="D134" s="1"/>
      <c r="E134" s="1"/>
      <c r="F134" s="33"/>
      <c r="G134" s="33"/>
      <c r="H134" s="33"/>
      <c r="I134" s="45"/>
      <c r="J134" s="45"/>
      <c r="K134" s="1"/>
      <c r="L134" s="1"/>
      <c r="M134" s="1"/>
      <c r="N134" s="1"/>
      <c r="O134" s="180" t="s">
        <v>262</v>
      </c>
      <c r="P134" s="180" t="s">
        <v>263</v>
      </c>
      <c r="Q134" s="180" t="s">
        <v>264</v>
      </c>
      <c r="R134" s="1"/>
      <c r="S134" s="1"/>
      <c r="T134" s="1"/>
      <c r="U134" s="1"/>
      <c r="V134" s="1"/>
      <c r="W134" s="1"/>
      <c r="X134" s="1"/>
      <c r="Y134" s="1"/>
      <c r="Z134" s="1"/>
      <c r="AA134" s="1"/>
      <c r="AB134" s="1"/>
      <c r="AC134" s="1"/>
      <c r="AD134" s="1"/>
      <c r="AE134" s="1"/>
      <c r="AF134" s="1"/>
      <c r="AG134" s="1"/>
      <c r="AH134" s="1"/>
      <c r="AI134" s="1"/>
      <c r="AJ134" s="1"/>
      <c r="AK134" s="1"/>
    </row>
    <row r="135" spans="1:37" ht="15.75" customHeight="1" x14ac:dyDescent="0.25">
      <c r="A135" s="1"/>
      <c r="B135" s="1"/>
      <c r="C135" s="1"/>
      <c r="D135" s="1"/>
      <c r="E135" s="1" t="s">
        <v>265</v>
      </c>
      <c r="F135" s="33"/>
      <c r="G135" s="33"/>
      <c r="H135" s="33"/>
      <c r="I135" s="39"/>
      <c r="J135" s="39"/>
      <c r="K135" s="39"/>
      <c r="L135" s="39"/>
      <c r="M135" s="39"/>
      <c r="N135" s="39"/>
      <c r="O135" s="39">
        <f>SUM('&gt;&gt; SKC segments'!P38,'&gt;&gt; SKC segments'!P42)</f>
        <v>175.28174071683176</v>
      </c>
      <c r="P135" s="39">
        <v>8</v>
      </c>
      <c r="Q135" s="39">
        <f t="shared" ref="Q135:Q138" si="26">O135 * P135</f>
        <v>1402.2539257346541</v>
      </c>
      <c r="R135" s="39"/>
      <c r="S135" s="39"/>
      <c r="T135" s="39"/>
      <c r="U135" s="39"/>
      <c r="V135" s="39"/>
      <c r="W135" s="39"/>
      <c r="X135" s="39"/>
      <c r="Y135" s="39"/>
      <c r="Z135" s="1"/>
      <c r="AA135" s="1"/>
      <c r="AB135" s="1"/>
      <c r="AC135" s="1"/>
      <c r="AD135" s="1"/>
      <c r="AE135" s="1"/>
      <c r="AF135" s="1"/>
      <c r="AG135" s="1"/>
      <c r="AH135" s="1"/>
      <c r="AI135" s="1"/>
      <c r="AJ135" s="1"/>
      <c r="AK135" s="1"/>
    </row>
    <row r="136" spans="1:37" ht="15.75" customHeight="1" x14ac:dyDescent="0.25">
      <c r="A136" s="1"/>
      <c r="B136" s="1"/>
      <c r="C136" s="1"/>
      <c r="D136" s="1"/>
      <c r="E136" s="1" t="s">
        <v>266</v>
      </c>
      <c r="F136" s="33"/>
      <c r="G136" s="33"/>
      <c r="H136" s="33"/>
      <c r="I136" s="39"/>
      <c r="J136" s="39"/>
      <c r="K136" s="39"/>
      <c r="L136" s="39"/>
      <c r="M136" s="39"/>
      <c r="N136" s="39"/>
      <c r="O136" s="39">
        <f>'&gt;&gt; SKC segments'!P40</f>
        <v>34.186382287301697</v>
      </c>
      <c r="P136" s="39">
        <v>8</v>
      </c>
      <c r="Q136" s="39">
        <f t="shared" si="26"/>
        <v>273.49105829841358</v>
      </c>
      <c r="R136" s="39"/>
      <c r="S136" s="39"/>
      <c r="T136" s="39"/>
      <c r="U136" s="39"/>
      <c r="V136" s="39"/>
      <c r="W136" s="39"/>
      <c r="X136" s="39"/>
      <c r="Y136" s="39"/>
      <c r="Z136" s="1"/>
      <c r="AA136" s="1"/>
      <c r="AB136" s="1"/>
      <c r="AC136" s="1"/>
      <c r="AD136" s="1"/>
      <c r="AE136" s="1"/>
      <c r="AF136" s="1"/>
      <c r="AG136" s="1"/>
      <c r="AH136" s="1"/>
      <c r="AI136" s="1"/>
      <c r="AJ136" s="1"/>
      <c r="AK136" s="1"/>
    </row>
    <row r="137" spans="1:37" ht="15.75" customHeight="1" x14ac:dyDescent="0.25">
      <c r="A137" s="1"/>
      <c r="B137" s="1"/>
      <c r="C137" s="1"/>
      <c r="D137" s="1"/>
      <c r="E137" s="1" t="s">
        <v>267</v>
      </c>
      <c r="F137" s="33"/>
      <c r="G137" s="33"/>
      <c r="H137" s="33"/>
      <c r="I137" s="45"/>
      <c r="J137" s="45"/>
      <c r="K137" s="1"/>
      <c r="L137" s="1"/>
      <c r="M137" s="1"/>
      <c r="N137" s="1"/>
      <c r="O137" s="39">
        <f>'&gt;&gt; SKC segments'!P39</f>
        <v>35.663654955266303</v>
      </c>
      <c r="P137" s="39">
        <v>6</v>
      </c>
      <c r="Q137" s="39">
        <f t="shared" si="26"/>
        <v>213.9819297315978</v>
      </c>
      <c r="R137" s="1"/>
      <c r="S137" s="1"/>
      <c r="T137" s="1"/>
      <c r="U137" s="1"/>
      <c r="V137" s="1"/>
      <c r="W137" s="1"/>
      <c r="X137" s="1"/>
      <c r="Y137" s="1"/>
      <c r="Z137" s="1"/>
      <c r="AA137" s="1"/>
      <c r="AB137" s="1"/>
      <c r="AC137" s="1"/>
      <c r="AD137" s="1"/>
      <c r="AE137" s="1"/>
      <c r="AF137" s="1"/>
      <c r="AG137" s="1"/>
      <c r="AH137" s="1"/>
      <c r="AI137" s="1"/>
      <c r="AJ137" s="1"/>
      <c r="AK137" s="1"/>
    </row>
    <row r="138" spans="1:37" ht="15.75" customHeight="1" x14ac:dyDescent="0.25">
      <c r="A138" s="1"/>
      <c r="B138" s="1"/>
      <c r="C138" s="1"/>
      <c r="D138" s="18"/>
      <c r="E138" s="1" t="s">
        <v>268</v>
      </c>
      <c r="F138" s="33"/>
      <c r="G138" s="33"/>
      <c r="H138" s="80"/>
      <c r="I138" s="80"/>
      <c r="J138" s="45"/>
      <c r="K138" s="1"/>
      <c r="L138" s="1"/>
      <c r="M138" s="1"/>
      <c r="N138" s="1"/>
      <c r="O138" s="39">
        <f>'&gt;&gt; SKC segments'!P41</f>
        <v>7.4407453847010556</v>
      </c>
      <c r="P138" s="39">
        <v>6</v>
      </c>
      <c r="Q138" s="39">
        <f t="shared" si="26"/>
        <v>44.644472308206332</v>
      </c>
      <c r="R138" s="1"/>
      <c r="S138" s="1"/>
      <c r="T138" s="1"/>
      <c r="U138" s="1"/>
      <c r="V138" s="1"/>
      <c r="W138" s="1"/>
      <c r="X138" s="1"/>
      <c r="Y138" s="1"/>
      <c r="Z138" s="1"/>
      <c r="AA138" s="1"/>
      <c r="AB138" s="1"/>
      <c r="AC138" s="1"/>
      <c r="AD138" s="1"/>
      <c r="AE138" s="1"/>
      <c r="AF138" s="1"/>
      <c r="AG138" s="1"/>
      <c r="AH138" s="1"/>
      <c r="AI138" s="1"/>
      <c r="AJ138" s="1"/>
      <c r="AK138" s="1"/>
    </row>
    <row r="139" spans="1:37" ht="15.75" customHeight="1" x14ac:dyDescent="0.25">
      <c r="A139" s="1"/>
      <c r="B139" s="1"/>
      <c r="C139" s="1"/>
      <c r="D139" s="18"/>
      <c r="E139" s="1" t="s">
        <v>269</v>
      </c>
      <c r="F139" s="33"/>
      <c r="G139" s="33"/>
      <c r="H139" s="49"/>
      <c r="I139" s="49"/>
      <c r="J139" s="45"/>
      <c r="K139" s="1"/>
      <c r="L139" s="1"/>
      <c r="M139" s="1"/>
      <c r="N139" s="1"/>
      <c r="O139" s="181">
        <f>SUM(O135:O138)</f>
        <v>252.57252334410083</v>
      </c>
      <c r="P139" s="181"/>
      <c r="Q139" s="181">
        <f>SUM(Q135:Q138)</f>
        <v>1934.3713860728719</v>
      </c>
      <c r="R139" s="1"/>
      <c r="S139" s="1"/>
      <c r="T139" s="1"/>
      <c r="U139" s="1"/>
      <c r="V139" s="1"/>
      <c r="W139" s="1"/>
      <c r="X139" s="1"/>
      <c r="Y139" s="1"/>
      <c r="Z139" s="1"/>
      <c r="AA139" s="1"/>
      <c r="AB139" s="1"/>
      <c r="AC139" s="1"/>
      <c r="AD139" s="1"/>
      <c r="AE139" s="1"/>
      <c r="AF139" s="1"/>
      <c r="AG139" s="1"/>
      <c r="AH139" s="1"/>
      <c r="AI139" s="1"/>
      <c r="AJ139" s="1"/>
      <c r="AK139" s="1"/>
    </row>
    <row r="140" spans="1:37" ht="15.75" customHeight="1" x14ac:dyDescent="0.25">
      <c r="A140" s="1"/>
      <c r="B140" s="1"/>
      <c r="C140" s="1"/>
      <c r="D140" s="18"/>
      <c r="E140" s="1" t="s">
        <v>270</v>
      </c>
      <c r="F140" s="33"/>
      <c r="G140" s="33"/>
      <c r="H140" s="39"/>
      <c r="I140" s="52"/>
      <c r="J140" s="45"/>
      <c r="K140" s="1"/>
      <c r="L140" s="1"/>
      <c r="M140" s="1"/>
      <c r="N140" s="1"/>
      <c r="O140" s="1"/>
      <c r="P140" s="1"/>
      <c r="Q140" s="39">
        <f>'&gt;&gt; Fin Stmts'!O68+'&gt;&gt; Fin Stmts'!O58+'&gt;&gt; Fin Stmts'!O66+'&gt;&gt; Fin Stmts'!O60</f>
        <v>-730.92899999999997</v>
      </c>
      <c r="R140" s="1"/>
      <c r="S140" s="1"/>
      <c r="T140" s="1"/>
      <c r="U140" s="1"/>
      <c r="V140" s="1"/>
      <c r="W140" s="1"/>
      <c r="X140" s="1"/>
      <c r="Y140" s="1"/>
      <c r="Z140" s="1"/>
      <c r="AA140" s="1"/>
      <c r="AB140" s="1"/>
      <c r="AC140" s="1"/>
      <c r="AD140" s="1"/>
      <c r="AE140" s="1"/>
      <c r="AF140" s="1"/>
      <c r="AG140" s="1"/>
      <c r="AH140" s="1"/>
      <c r="AI140" s="1"/>
      <c r="AJ140" s="1"/>
      <c r="AK140" s="1"/>
    </row>
    <row r="141" spans="1:37" ht="15.75" customHeight="1" x14ac:dyDescent="0.25">
      <c r="A141" s="1"/>
      <c r="B141" s="1"/>
      <c r="C141" s="1"/>
      <c r="D141" s="33"/>
      <c r="E141" s="1" t="s">
        <v>271</v>
      </c>
      <c r="F141" s="33"/>
      <c r="G141" s="33"/>
      <c r="H141" s="39"/>
      <c r="I141" s="39"/>
      <c r="J141" s="45"/>
      <c r="K141" s="1"/>
      <c r="L141" s="1"/>
      <c r="M141" s="1"/>
      <c r="N141" s="1"/>
      <c r="O141" s="1"/>
      <c r="P141" s="1"/>
      <c r="Q141" s="39">
        <f>SUM(Q139:Q140)</f>
        <v>1203.4423860728721</v>
      </c>
      <c r="R141" s="1"/>
      <c r="S141" s="1"/>
      <c r="T141" s="2"/>
      <c r="U141" s="1"/>
      <c r="V141" s="1"/>
      <c r="W141" s="1"/>
      <c r="X141" s="1"/>
      <c r="Y141" s="1"/>
      <c r="Z141" s="1"/>
      <c r="AA141" s="1"/>
      <c r="AB141" s="1"/>
      <c r="AC141" s="1"/>
      <c r="AD141" s="1"/>
      <c r="AE141" s="1"/>
      <c r="AF141" s="1"/>
      <c r="AG141" s="1"/>
      <c r="AH141" s="1"/>
      <c r="AI141" s="1"/>
      <c r="AJ141" s="1"/>
      <c r="AK141" s="1"/>
    </row>
    <row r="142" spans="1:37" ht="15.75" customHeight="1" x14ac:dyDescent="0.25">
      <c r="A142" s="1"/>
      <c r="B142" s="1"/>
      <c r="C142" s="1"/>
      <c r="D142" s="1"/>
      <c r="E142" s="1" t="s">
        <v>272</v>
      </c>
      <c r="F142" s="1"/>
      <c r="G142" s="1"/>
      <c r="H142" s="1"/>
      <c r="I142" s="1"/>
      <c r="J142" s="45"/>
      <c r="K142" s="1"/>
      <c r="L142" s="1"/>
      <c r="M142" s="1"/>
      <c r="N142" s="1"/>
      <c r="O142" s="1"/>
      <c r="P142" s="1"/>
      <c r="Q142" s="39">
        <f>'&gt;&gt; Inputs'!G74</f>
        <v>760.20520899999997</v>
      </c>
      <c r="R142" s="1"/>
      <c r="S142" s="1"/>
      <c r="T142" s="1"/>
      <c r="U142" s="1"/>
      <c r="V142" s="1"/>
      <c r="W142" s="1"/>
      <c r="X142" s="1"/>
      <c r="Y142" s="1"/>
      <c r="Z142" s="1"/>
      <c r="AA142" s="1"/>
      <c r="AB142" s="1"/>
      <c r="AC142" s="1"/>
      <c r="AD142" s="1"/>
      <c r="AE142" s="1"/>
      <c r="AF142" s="1"/>
      <c r="AG142" s="1"/>
      <c r="AH142" s="1"/>
      <c r="AI142" s="1"/>
      <c r="AJ142" s="1"/>
      <c r="AK142" s="1"/>
    </row>
    <row r="143" spans="1:37" ht="15.75" customHeight="1" x14ac:dyDescent="0.25">
      <c r="A143" s="1"/>
      <c r="B143" s="1"/>
      <c r="C143" s="1"/>
      <c r="D143" s="1"/>
      <c r="E143" s="2" t="s">
        <v>273</v>
      </c>
      <c r="F143" s="82"/>
      <c r="G143" s="82"/>
      <c r="H143" s="182"/>
      <c r="I143" s="170"/>
      <c r="J143" s="183"/>
      <c r="K143" s="2"/>
      <c r="L143" s="2"/>
      <c r="M143" s="2"/>
      <c r="N143" s="2"/>
      <c r="O143" s="2"/>
      <c r="P143" s="2"/>
      <c r="Q143" s="184">
        <f>Q141 / Q142</f>
        <v>1.5830493817003983</v>
      </c>
      <c r="R143" s="1"/>
      <c r="S143" s="1"/>
      <c r="T143" s="1"/>
      <c r="U143" s="1"/>
      <c r="V143" s="1"/>
      <c r="W143" s="1"/>
      <c r="X143" s="1"/>
      <c r="Y143" s="1"/>
      <c r="Z143" s="1"/>
      <c r="AA143" s="1"/>
      <c r="AB143" s="1"/>
      <c r="AC143" s="1"/>
      <c r="AD143" s="1"/>
      <c r="AE143" s="1"/>
      <c r="AF143" s="1"/>
      <c r="AG143" s="1"/>
      <c r="AH143" s="1"/>
      <c r="AI143" s="1"/>
      <c r="AJ143" s="1"/>
      <c r="AK143" s="1"/>
    </row>
    <row r="144" spans="1:37" ht="15.75" customHeight="1" x14ac:dyDescent="0.25">
      <c r="A144" s="1"/>
      <c r="B144" s="1"/>
      <c r="C144" s="1"/>
      <c r="D144" s="1"/>
      <c r="E144" s="1" t="s">
        <v>976</v>
      </c>
      <c r="F144" s="14"/>
      <c r="G144" s="14"/>
      <c r="H144" s="84"/>
      <c r="I144" s="84"/>
      <c r="J144" s="45"/>
      <c r="K144" s="1"/>
      <c r="L144" s="1"/>
      <c r="M144" s="1"/>
      <c r="N144" s="1"/>
      <c r="O144" s="1"/>
      <c r="P144" s="1"/>
      <c r="Q144" s="173">
        <f>Q143 * 0.85</f>
        <v>1.3455919744453386</v>
      </c>
      <c r="R144" s="1"/>
      <c r="S144" s="1"/>
      <c r="T144" s="1"/>
      <c r="U144" s="1"/>
      <c r="V144" s="1"/>
      <c r="W144" s="1"/>
      <c r="X144" s="1"/>
      <c r="Y144" s="1"/>
      <c r="Z144" s="1"/>
      <c r="AA144" s="1"/>
      <c r="AB144" s="1"/>
      <c r="AC144" s="1"/>
      <c r="AD144" s="1"/>
      <c r="AE144" s="1"/>
      <c r="AF144" s="1"/>
      <c r="AG144" s="1"/>
      <c r="AH144" s="1"/>
      <c r="AI144" s="1"/>
      <c r="AJ144" s="1"/>
      <c r="AK144" s="1"/>
    </row>
    <row r="145" spans="1:37" ht="15.75" customHeight="1" x14ac:dyDescent="0.25">
      <c r="A145" s="1"/>
      <c r="B145" s="1"/>
      <c r="C145" s="1"/>
      <c r="D145" s="1"/>
      <c r="E145" s="1"/>
      <c r="F145" s="14"/>
      <c r="G145" s="14"/>
      <c r="H145" s="84"/>
      <c r="I145" s="84"/>
      <c r="J145" s="45"/>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row>
    <row r="146" spans="1:37" ht="15.75" customHeight="1" x14ac:dyDescent="0.25">
      <c r="A146" s="1"/>
      <c r="B146" s="1"/>
      <c r="C146" s="1"/>
      <c r="D146" s="1"/>
      <c r="E146" s="1"/>
      <c r="F146" s="14"/>
      <c r="G146" s="14"/>
      <c r="H146" s="41"/>
      <c r="I146" s="41"/>
      <c r="J146" s="45"/>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row>
    <row r="147" spans="1:37" ht="15.75" customHeight="1" x14ac:dyDescent="0.25"/>
    <row r="148" spans="1:37" ht="11.25" customHeight="1" x14ac:dyDescent="0.25">
      <c r="A148" s="185"/>
      <c r="B148" s="186" t="s">
        <v>274</v>
      </c>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x14ac:dyDescent="0.25"/>
    <row r="150" spans="1:37" ht="7.5" customHeight="1" x14ac:dyDescent="0.25"/>
    <row r="151" spans="1:37" ht="15.75" customHeight="1" x14ac:dyDescent="0.25"/>
    <row r="152" spans="1:37" ht="15.75" customHeight="1" x14ac:dyDescent="0.25"/>
    <row r="153" spans="1:37" ht="6.75" hidden="1" customHeight="1" x14ac:dyDescent="0.25"/>
    <row r="154" spans="1:37" ht="6.75" hidden="1" customHeight="1" x14ac:dyDescent="0.25"/>
    <row r="155" spans="1:37" ht="15.75" customHeight="1" x14ac:dyDescent="0.25"/>
    <row r="156" spans="1:37" ht="15.75" customHeight="1" x14ac:dyDescent="0.25"/>
    <row r="157" spans="1:37" ht="15.75" customHeight="1" x14ac:dyDescent="0.25"/>
    <row r="158" spans="1:37" ht="15.75" customHeight="1" x14ac:dyDescent="0.25"/>
    <row r="159" spans="1:37" ht="15.75" customHeight="1" x14ac:dyDescent="0.25"/>
    <row r="160" spans="1:37"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7.5" hidden="1" customHeight="1" x14ac:dyDescent="0.25"/>
    <row r="168" ht="15.75" customHeight="1" x14ac:dyDescent="0.25"/>
    <row r="169" ht="15.75" customHeight="1" x14ac:dyDescent="0.25"/>
    <row r="170" ht="6" hidden="1"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2.75" hidden="1"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9" hidden="1" customHeight="1" x14ac:dyDescent="0.25"/>
    <row r="186" ht="15.75" customHeight="1" x14ac:dyDescent="0.25"/>
    <row r="187" ht="11.25" hidden="1" customHeight="1" x14ac:dyDescent="0.25"/>
    <row r="188" ht="11.25" hidden="1" customHeight="1" x14ac:dyDescent="0.25"/>
    <row r="189" ht="11.25" hidden="1" customHeight="1" x14ac:dyDescent="0.25"/>
    <row r="190" ht="11.25" hidden="1" customHeight="1" x14ac:dyDescent="0.25"/>
    <row r="191" ht="6.75" hidden="1" customHeight="1" x14ac:dyDescent="0.25"/>
    <row r="192" ht="12.75" hidden="1" customHeight="1" x14ac:dyDescent="0.25"/>
    <row r="193" ht="6.75" hidden="1" customHeight="1" x14ac:dyDescent="0.25"/>
    <row r="194" ht="12.75" hidden="1" customHeight="1" x14ac:dyDescent="0.25"/>
    <row r="195" ht="12.75" hidden="1" customHeight="1" x14ac:dyDescent="0.25"/>
    <row r="196" ht="12.75" hidden="1" customHeight="1" x14ac:dyDescent="0.25"/>
    <row r="197" ht="12.75" hidden="1" customHeight="1" x14ac:dyDescent="0.25"/>
    <row r="198" ht="12.75" hidden="1" customHeight="1" x14ac:dyDescent="0.25"/>
    <row r="199" ht="15.75" customHeight="1" x14ac:dyDescent="0.25"/>
    <row r="200" ht="4.5" hidden="1"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5.25" hidden="1" customHeight="1" x14ac:dyDescent="0.25"/>
    <row r="207" ht="10.5" hidden="1" customHeight="1" x14ac:dyDescent="0.25"/>
    <row r="208" ht="15.75" customHeight="1" x14ac:dyDescent="0.25"/>
    <row r="209" ht="15.75" customHeight="1" x14ac:dyDescent="0.25"/>
    <row r="210" ht="15.75" customHeight="1" x14ac:dyDescent="0.25"/>
    <row r="211" ht="6.75" hidden="1" customHeight="1" x14ac:dyDescent="0.25"/>
    <row r="212" ht="15.75" customHeight="1" x14ac:dyDescent="0.25"/>
    <row r="213" ht="6.75" hidden="1" customHeight="1" x14ac:dyDescent="0.25"/>
    <row r="214" ht="12" hidden="1" customHeight="1" x14ac:dyDescent="0.25"/>
    <row r="215" ht="12" hidden="1" customHeight="1" x14ac:dyDescent="0.25"/>
    <row r="216" ht="12" hidden="1" customHeight="1" x14ac:dyDescent="0.25"/>
    <row r="217" ht="12" hidden="1" customHeight="1" x14ac:dyDescent="0.25"/>
    <row r="218" ht="15.75" customHeight="1" x14ac:dyDescent="0.25"/>
    <row r="219" ht="8.25" hidden="1" customHeight="1" x14ac:dyDescent="0.25"/>
    <row r="220" ht="15.75" customHeight="1" x14ac:dyDescent="0.25"/>
    <row r="221" ht="15.75" customHeight="1" x14ac:dyDescent="0.25"/>
    <row r="222" ht="15.75" customHeight="1" x14ac:dyDescent="0.25"/>
    <row r="223" ht="7.5" hidden="1" customHeight="1" x14ac:dyDescent="0.25"/>
    <row r="224" ht="15.75" customHeight="1" x14ac:dyDescent="0.25"/>
    <row r="225" ht="15.75" customHeight="1" x14ac:dyDescent="0.25"/>
    <row r="226" ht="15.75" customHeight="1" x14ac:dyDescent="0.25"/>
    <row r="227" ht="6.75" hidden="1"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7.5" hidden="1" customHeight="1" x14ac:dyDescent="0.25"/>
    <row r="241" ht="10.5" hidden="1" customHeight="1" x14ac:dyDescent="0.25"/>
    <row r="242" ht="11.25" hidden="1"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sheetData>
  <mergeCells count="3">
    <mergeCell ref="H2:N2"/>
    <mergeCell ref="E73:H73"/>
    <mergeCell ref="E100:H100"/>
  </mergeCell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A3F34-A7CE-45A0-BACD-3670E9C9FE36}">
  <sheetPr>
    <tabColor rgb="FF8496B0"/>
  </sheetPr>
  <dimension ref="A1:AG995"/>
  <sheetViews>
    <sheetView showGridLines="0" workbookViewId="0">
      <selection activeCell="I14" sqref="I14"/>
    </sheetView>
  </sheetViews>
  <sheetFormatPr defaultColWidth="14.42578125" defaultRowHeight="15" customHeight="1" outlineLevelRow="1" outlineLevelCol="1" x14ac:dyDescent="0.25"/>
  <cols>
    <col min="1" max="2" width="2.42578125" customWidth="1"/>
    <col min="3" max="3" width="1.28515625" customWidth="1"/>
    <col min="4" max="4" width="3.28515625" customWidth="1"/>
    <col min="5" max="5" width="38" customWidth="1"/>
    <col min="6" max="7" width="9.140625" customWidth="1"/>
    <col min="8" max="8" width="10" customWidth="1"/>
    <col min="9" max="9" width="9.7109375" customWidth="1"/>
    <col min="10" max="10" width="9.85546875" customWidth="1"/>
    <col min="11" max="15" width="9.7109375" customWidth="1"/>
    <col min="16" max="16" width="15.140625" bestFit="1" customWidth="1"/>
    <col min="17" max="19" width="9.140625" hidden="1" customWidth="1" outlineLevel="1"/>
    <col min="20" max="20" width="10.140625" customWidth="1" collapsed="1"/>
    <col min="21" max="21" width="3.42578125" customWidth="1"/>
    <col min="22" max="22" width="23.7109375" customWidth="1"/>
    <col min="23" max="24" width="9.140625" customWidth="1"/>
    <col min="25" max="25" width="10.7109375" customWidth="1"/>
    <col min="26" max="27" width="9.140625" customWidth="1"/>
    <col min="28" max="28" width="12.28515625" customWidth="1"/>
    <col min="29" max="29" width="17.42578125" customWidth="1"/>
    <col min="30" max="30" width="17.28515625" customWidth="1"/>
    <col min="31" max="31" width="15.7109375" customWidth="1"/>
    <col min="32" max="33" width="9.140625" customWidth="1"/>
  </cols>
  <sheetData>
    <row r="1" spans="1:33" ht="12.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2.75" customHeight="1" x14ac:dyDescent="0.25">
      <c r="A2" s="1"/>
      <c r="B2" s="1"/>
      <c r="C2" s="3"/>
      <c r="D2" s="4" t="s">
        <v>88</v>
      </c>
      <c r="E2" s="4"/>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ht="12.75" customHeight="1" x14ac:dyDescent="0.25">
      <c r="A3" s="1"/>
      <c r="B3" s="1"/>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row>
    <row r="4" spans="1:33" ht="12.75" customHeight="1" x14ac:dyDescent="0.25">
      <c r="A4" s="1"/>
      <c r="B4" s="1"/>
      <c r="C4" s="13"/>
      <c r="D4" s="13"/>
      <c r="E4" s="13"/>
      <c r="F4" s="13"/>
      <c r="G4" s="13"/>
      <c r="H4" s="13"/>
      <c r="I4" s="13"/>
      <c r="J4" s="13"/>
      <c r="K4" s="13"/>
      <c r="L4" s="425"/>
      <c r="M4" s="425"/>
      <c r="N4" s="425"/>
      <c r="O4" s="425"/>
      <c r="P4" s="13"/>
      <c r="Q4" s="13"/>
      <c r="R4" s="13"/>
      <c r="S4" s="13"/>
      <c r="T4" s="13"/>
      <c r="U4" s="13"/>
      <c r="V4" s="13"/>
      <c r="W4" s="13"/>
      <c r="X4" s="13"/>
      <c r="Y4" s="13"/>
      <c r="Z4" s="13"/>
      <c r="AA4" s="13"/>
      <c r="AB4" s="13"/>
      <c r="AC4" s="13"/>
      <c r="AD4" s="13"/>
      <c r="AE4" s="13"/>
      <c r="AF4" s="13"/>
      <c r="AG4" s="13"/>
    </row>
    <row r="5" spans="1:33" ht="12.75" customHeight="1" x14ac:dyDescent="0.25">
      <c r="A5" s="1"/>
      <c r="B5" s="1"/>
      <c r="C5" s="4"/>
      <c r="D5" s="4" t="s">
        <v>765</v>
      </c>
      <c r="E5" s="4"/>
      <c r="F5" s="4"/>
      <c r="G5" s="4"/>
      <c r="H5" s="4"/>
      <c r="I5" s="1"/>
      <c r="J5" s="1"/>
      <c r="K5" s="1"/>
      <c r="L5" s="1"/>
      <c r="M5" s="1"/>
      <c r="N5" s="1"/>
      <c r="O5" s="1"/>
      <c r="P5" s="1"/>
      <c r="Q5" s="1"/>
      <c r="R5" s="1"/>
      <c r="S5" s="1"/>
      <c r="T5" s="1"/>
      <c r="U5" s="1"/>
      <c r="V5" s="1"/>
      <c r="W5" s="1"/>
      <c r="X5" s="1"/>
      <c r="Y5" s="1"/>
      <c r="Z5" s="1"/>
      <c r="AA5" s="1"/>
      <c r="AB5" s="1"/>
      <c r="AC5" s="1"/>
      <c r="AD5" s="1"/>
      <c r="AE5" s="1"/>
      <c r="AF5" s="1"/>
      <c r="AG5" s="1"/>
    </row>
    <row r="6" spans="1:33" ht="7.5" customHeight="1" x14ac:dyDescent="0.25">
      <c r="A6" s="1"/>
      <c r="B6" s="1"/>
      <c r="C6" s="78"/>
      <c r="D6" s="78"/>
      <c r="E6" s="78"/>
      <c r="F6" s="78"/>
      <c r="G6" s="78"/>
      <c r="H6" s="78"/>
      <c r="I6" s="1"/>
      <c r="J6" s="1"/>
      <c r="K6" s="1"/>
      <c r="L6" s="1"/>
      <c r="M6" s="1"/>
      <c r="N6" s="1"/>
      <c r="O6" s="1"/>
      <c r="P6" s="1"/>
      <c r="Q6" s="1"/>
      <c r="R6" s="1"/>
      <c r="S6" s="1"/>
      <c r="T6" s="1"/>
      <c r="U6" s="1"/>
      <c r="V6" s="1"/>
      <c r="W6" s="1"/>
      <c r="X6" s="1"/>
      <c r="Y6" s="1"/>
      <c r="Z6" s="1"/>
      <c r="AA6" s="1"/>
      <c r="AB6" s="1"/>
      <c r="AC6" s="1"/>
      <c r="AD6" s="1"/>
      <c r="AE6" s="1"/>
      <c r="AF6" s="1"/>
      <c r="AG6" s="1"/>
    </row>
    <row r="7" spans="1:33" ht="7.5" customHeight="1" x14ac:dyDescent="0.25">
      <c r="A7" s="1"/>
      <c r="B7" s="1"/>
      <c r="C7" s="13"/>
      <c r="D7" s="79"/>
      <c r="E7" s="79"/>
      <c r="F7" s="79"/>
      <c r="G7" s="79"/>
      <c r="H7" s="79"/>
      <c r="I7" s="1"/>
      <c r="J7" s="1"/>
      <c r="K7" s="1"/>
      <c r="L7" s="1"/>
      <c r="M7" s="1"/>
      <c r="N7" s="1"/>
      <c r="O7" s="1"/>
      <c r="P7" s="1"/>
      <c r="Q7" s="1"/>
      <c r="R7" s="1"/>
      <c r="S7" s="1"/>
      <c r="T7" s="1"/>
      <c r="U7" s="1"/>
      <c r="V7" s="1"/>
      <c r="W7" s="1"/>
      <c r="X7" s="1"/>
      <c r="Y7" s="1"/>
      <c r="Z7" s="1"/>
      <c r="AA7" s="1"/>
      <c r="AB7" s="1"/>
      <c r="AC7" s="1"/>
      <c r="AD7" s="1"/>
      <c r="AE7" s="1"/>
      <c r="AF7" s="1"/>
      <c r="AG7" s="1"/>
    </row>
    <row r="8" spans="1:33" ht="12.75" customHeight="1" x14ac:dyDescent="0.25">
      <c r="A8" s="1"/>
      <c r="B8" s="1"/>
      <c r="E8" s="1" t="s">
        <v>9</v>
      </c>
      <c r="F8" s="33" t="s">
        <v>8</v>
      </c>
      <c r="G8" s="14"/>
      <c r="H8" s="415">
        <f>'&gt;&gt; Dash'!Z50</f>
        <v>0.15090000000000001</v>
      </c>
      <c r="I8" s="1"/>
      <c r="J8" s="1"/>
      <c r="K8" s="1"/>
      <c r="L8" s="1"/>
      <c r="M8" s="1"/>
      <c r="N8" s="1"/>
      <c r="O8" s="1"/>
      <c r="P8" s="1"/>
      <c r="Q8" s="1"/>
      <c r="R8" s="1"/>
      <c r="S8" s="1"/>
      <c r="T8" s="1"/>
      <c r="U8" s="1"/>
      <c r="V8" s="1"/>
      <c r="W8" s="1"/>
      <c r="X8" s="1"/>
      <c r="Y8" s="1"/>
      <c r="Z8" s="1"/>
      <c r="AA8" s="1"/>
      <c r="AB8" s="1"/>
      <c r="AC8" s="1"/>
      <c r="AD8" s="1"/>
      <c r="AE8" s="1"/>
      <c r="AF8" s="1"/>
      <c r="AG8" s="1"/>
    </row>
    <row r="9" spans="1:33" ht="12.75" customHeight="1" x14ac:dyDescent="0.25">
      <c r="A9" s="1"/>
      <c r="B9" s="1"/>
      <c r="E9" s="1" t="s">
        <v>49</v>
      </c>
      <c r="F9" s="33" t="s">
        <v>8</v>
      </c>
      <c r="G9" s="14"/>
      <c r="H9" s="415">
        <f>'&gt;&gt; Dash'!H48</f>
        <v>0.02</v>
      </c>
      <c r="I9" s="1"/>
      <c r="J9" s="1"/>
      <c r="K9" s="1"/>
      <c r="L9" s="1"/>
      <c r="M9" s="1"/>
      <c r="N9" s="1"/>
      <c r="O9" s="1"/>
      <c r="P9" s="1"/>
      <c r="Q9" s="1"/>
      <c r="R9" s="1"/>
      <c r="S9" s="1"/>
      <c r="T9" s="1"/>
      <c r="U9" s="1"/>
      <c r="V9" s="1"/>
      <c r="W9" s="1"/>
      <c r="X9" s="1"/>
      <c r="Y9" s="1"/>
      <c r="Z9" s="1"/>
      <c r="AA9" s="1"/>
      <c r="AB9" s="1"/>
      <c r="AC9" s="1"/>
      <c r="AD9" s="1"/>
      <c r="AE9" s="1"/>
      <c r="AF9" s="1"/>
      <c r="AG9" s="1"/>
    </row>
    <row r="10" spans="1:33" ht="12.75" customHeight="1" x14ac:dyDescent="0.25">
      <c r="A10" s="1"/>
      <c r="B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ht="12.75" customHeight="1" x14ac:dyDescent="0.25">
      <c r="A11" s="1"/>
      <c r="B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ht="12.75" customHeight="1" x14ac:dyDescent="0.25">
      <c r="A12" s="1"/>
      <c r="B12" s="1"/>
      <c r="E12" s="424"/>
      <c r="F12" s="421"/>
      <c r="G12" s="421"/>
      <c r="H12" s="421"/>
      <c r="I12" s="421"/>
      <c r="J12" s="421"/>
      <c r="K12" s="421"/>
      <c r="L12" s="421"/>
      <c r="M12" s="421"/>
      <c r="N12" s="421"/>
      <c r="O12" s="421"/>
      <c r="P12" s="605"/>
      <c r="Q12" s="605"/>
      <c r="R12" s="605"/>
      <c r="S12" s="605"/>
      <c r="AA12" s="1"/>
      <c r="AB12" s="1"/>
      <c r="AC12" s="1"/>
      <c r="AD12" s="1"/>
      <c r="AE12" s="1"/>
      <c r="AF12" s="1"/>
      <c r="AG12" s="1"/>
    </row>
    <row r="13" spans="1:33" ht="12.75" customHeight="1" x14ac:dyDescent="0.25">
      <c r="A13" s="1"/>
      <c r="B13" s="1"/>
      <c r="E13" s="422"/>
      <c r="F13" s="429" t="s">
        <v>770</v>
      </c>
      <c r="G13" s="429" t="s">
        <v>771</v>
      </c>
      <c r="H13" s="429" t="s">
        <v>772</v>
      </c>
      <c r="I13" s="429" t="s">
        <v>773</v>
      </c>
      <c r="J13" s="429" t="s">
        <v>774</v>
      </c>
      <c r="K13" s="430" t="s">
        <v>775</v>
      </c>
      <c r="L13" s="430" t="s">
        <v>776</v>
      </c>
      <c r="M13" s="430" t="s">
        <v>777</v>
      </c>
      <c r="N13" s="430" t="s">
        <v>779</v>
      </c>
      <c r="O13" s="430" t="s">
        <v>778</v>
      </c>
      <c r="P13" s="431" t="s">
        <v>766</v>
      </c>
      <c r="Q13" s="423"/>
      <c r="R13" s="423"/>
      <c r="S13" s="423"/>
      <c r="T13" s="428"/>
      <c r="AA13" s="1"/>
      <c r="AB13" s="1"/>
      <c r="AC13" s="1"/>
      <c r="AD13" s="1"/>
      <c r="AE13" s="1"/>
      <c r="AF13" s="1"/>
      <c r="AG13" s="1"/>
    </row>
    <row r="14" spans="1:33" ht="12.75" customHeight="1" x14ac:dyDescent="0.25">
      <c r="A14" s="1"/>
      <c r="B14" s="1"/>
      <c r="E14" s="416" t="s">
        <v>767</v>
      </c>
      <c r="F14" s="417">
        <f>'&gt;&gt; SKC segments'!P117</f>
        <v>0</v>
      </c>
      <c r="G14" s="417">
        <f>'&gt;&gt; SKC segments'!Q117</f>
        <v>0.19331370759657746</v>
      </c>
      <c r="H14" s="417">
        <f>'&gt;&gt; SKC segments'!R117</f>
        <v>0.18752937831352415</v>
      </c>
      <c r="I14" s="417">
        <f>'&gt;&gt; SKC segments'!S117</f>
        <v>0.1888909341573374</v>
      </c>
      <c r="J14" s="417">
        <f>'&gt;&gt; SKC segments'!T117</f>
        <v>0.19051028372207957</v>
      </c>
      <c r="K14" s="417">
        <f>'&gt;&gt; SKC segments'!U117</f>
        <v>0.1925314152144211</v>
      </c>
      <c r="L14" s="417">
        <f>'&gt;&gt; SKC segments'!V117</f>
        <v>0.19494485696843405</v>
      </c>
      <c r="M14" s="417">
        <f>'&gt;&gt; SKC segments'!W117</f>
        <v>0.19747790470561938</v>
      </c>
      <c r="N14" s="417">
        <f>'&gt;&gt; SKC segments'!X117</f>
        <v>0.19982457983740981</v>
      </c>
      <c r="O14" s="417">
        <f>'&gt;&gt; SKC segments'!Y117</f>
        <v>0.20236517627072786</v>
      </c>
      <c r="P14" s="426">
        <f>(O14*(1+H9))/(H8-H9)</f>
        <v>1.5768715034082688</v>
      </c>
      <c r="Q14" s="417"/>
      <c r="R14" s="417"/>
      <c r="S14" s="417"/>
      <c r="T14" s="427"/>
      <c r="AA14" s="1"/>
      <c r="AB14" s="1"/>
      <c r="AC14" s="1"/>
      <c r="AD14" s="1"/>
      <c r="AE14" s="1"/>
      <c r="AF14" s="1"/>
      <c r="AG14" s="1"/>
    </row>
    <row r="15" spans="1:33" ht="12.75" customHeight="1" x14ac:dyDescent="0.25">
      <c r="A15" s="1"/>
      <c r="B15" s="1"/>
      <c r="E15" s="418" t="s">
        <v>768</v>
      </c>
      <c r="F15" s="419"/>
      <c r="G15" s="419"/>
      <c r="H15" s="419">
        <f t="shared" ref="H15" si="0">(H14/G14)-1</f>
        <v>-2.9921982020667204E-2</v>
      </c>
      <c r="I15" s="419">
        <f t="shared" ref="I15" si="1">(I14/H14)-1</f>
        <v>7.2604935613709287E-3</v>
      </c>
      <c r="J15" s="419">
        <f t="shared" ref="J15" si="2">(J14/I14)-1</f>
        <v>8.5729342806537545E-3</v>
      </c>
      <c r="K15" s="419">
        <f t="shared" ref="K15" si="3">(K14/J14)-1</f>
        <v>1.0609041427338317E-2</v>
      </c>
      <c r="L15" s="419">
        <f t="shared" ref="L15" si="4">(L14/K14)-1</f>
        <v>1.2535314049009205E-2</v>
      </c>
      <c r="M15" s="419">
        <f t="shared" ref="M15" si="5">(M14/L14)-1</f>
        <v>1.2993662805864448E-2</v>
      </c>
      <c r="N15" s="419">
        <f t="shared" ref="N15" si="6">(N14/M14)-1</f>
        <v>1.1883228836606419E-2</v>
      </c>
      <c r="O15" s="419">
        <f t="shared" ref="O15" si="7">(O14/N14)-1</f>
        <v>1.2714133743632727E-2</v>
      </c>
      <c r="P15" s="419"/>
      <c r="Q15" s="419"/>
      <c r="R15" s="419"/>
      <c r="S15" s="419"/>
      <c r="T15" s="419"/>
      <c r="AA15" s="1"/>
      <c r="AB15" s="1"/>
      <c r="AC15" s="1"/>
      <c r="AD15" s="1"/>
      <c r="AE15" s="1"/>
      <c r="AF15" s="1"/>
      <c r="AG15" s="1"/>
    </row>
    <row r="16" spans="1:33" ht="12.75" customHeight="1" x14ac:dyDescent="0.25">
      <c r="A16" s="1"/>
      <c r="B16" s="1"/>
      <c r="E16" s="416" t="s">
        <v>769</v>
      </c>
      <c r="F16" s="420">
        <f>F14/(1+$H$8)^1</f>
        <v>0</v>
      </c>
      <c r="G16" s="420">
        <f>G14/(1+$H$8)^2</f>
        <v>0.14594441168198283</v>
      </c>
      <c r="H16" s="420">
        <f>H14/(1+$H$8)^3</f>
        <v>0.12301456739909435</v>
      </c>
      <c r="I16" s="420">
        <f>I14/(1+$H$8)^4</f>
        <v>0.1076615812613175</v>
      </c>
      <c r="J16" s="420">
        <f>J14/(1+$H$8)^5</f>
        <v>9.4347516658286598E-2</v>
      </c>
      <c r="K16" s="420">
        <f>K14/(1+$H$8)^6</f>
        <v>8.2846861909011096E-2</v>
      </c>
      <c r="L16" s="420">
        <f>L14/(1+$H$8)^7</f>
        <v>7.2886761092202143E-2</v>
      </c>
      <c r="M16" s="420">
        <f>M14/(1+$H$8)^8</f>
        <v>6.4153121112907996E-2</v>
      </c>
      <c r="N16" s="420">
        <f>N14/(1+$H$8)^9</f>
        <v>5.640409013091946E-2</v>
      </c>
      <c r="O16" s="420">
        <f>O14/(1+$H$8)^10</f>
        <v>4.963178319274645E-2</v>
      </c>
      <c r="P16" s="420">
        <f>P14/(1+$H$8)^10</f>
        <v>0.38674116773568656</v>
      </c>
      <c r="Q16" s="420"/>
      <c r="R16" s="420"/>
      <c r="S16" s="420"/>
      <c r="T16" s="420"/>
      <c r="AA16" s="1"/>
      <c r="AB16" s="1"/>
      <c r="AC16" s="1"/>
      <c r="AD16" s="1"/>
      <c r="AE16" s="1"/>
      <c r="AF16" s="1"/>
      <c r="AG16" s="1"/>
    </row>
    <row r="17" spans="1:33" ht="12.75" customHeight="1" x14ac:dyDescent="0.25">
      <c r="A17" s="1"/>
      <c r="B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ht="12.75" customHeight="1" x14ac:dyDescent="0.25">
      <c r="A18" s="1"/>
      <c r="B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ht="12.75" customHeight="1" x14ac:dyDescent="0.25">
      <c r="A19" s="1"/>
      <c r="B19" s="1"/>
      <c r="E19" s="1" t="s">
        <v>97</v>
      </c>
      <c r="F19" s="33" t="s">
        <v>98</v>
      </c>
      <c r="G19" s="33"/>
      <c r="H19" s="39">
        <f>INDEX( '&gt;&gt; Valuation'!$H$77:$H$95, MATCH( '&gt;&gt; Dash'!E13, '&gt;&gt; Valuation'!$E$77:$E$95, 0 ) )</f>
        <v>760.20520899999997</v>
      </c>
      <c r="I19" s="1"/>
      <c r="J19" s="1"/>
      <c r="K19" s="1"/>
      <c r="L19" s="1"/>
      <c r="M19" s="1"/>
      <c r="N19" s="1"/>
      <c r="O19" s="1"/>
      <c r="P19" s="1"/>
      <c r="Q19" s="1"/>
      <c r="R19" s="1"/>
      <c r="S19" s="1"/>
      <c r="T19" s="1"/>
      <c r="U19" s="1"/>
      <c r="V19" s="1"/>
      <c r="W19" s="1"/>
      <c r="X19" s="1"/>
      <c r="Y19" s="1"/>
      <c r="Z19" s="1"/>
      <c r="AA19" s="1"/>
      <c r="AB19" s="1"/>
      <c r="AC19" s="1"/>
      <c r="AD19" s="1"/>
      <c r="AE19" s="1"/>
      <c r="AF19" s="1"/>
      <c r="AG19" s="1"/>
    </row>
    <row r="20" spans="1:33" ht="12.75" customHeight="1" x14ac:dyDescent="0.25">
      <c r="A20" s="1"/>
      <c r="B20" s="1"/>
      <c r="E20" s="2" t="s">
        <v>780</v>
      </c>
      <c r="F20" s="33" t="s">
        <v>100</v>
      </c>
      <c r="G20" s="82"/>
      <c r="H20" s="83">
        <f>SUM(F16:P16)</f>
        <v>1.1836318621741548</v>
      </c>
      <c r="I20" s="1"/>
      <c r="J20" s="1"/>
      <c r="K20" s="1"/>
      <c r="L20" s="1"/>
      <c r="M20" s="1"/>
      <c r="N20" s="1"/>
      <c r="O20" s="1"/>
      <c r="P20" s="1"/>
      <c r="Q20" s="1"/>
      <c r="R20" s="1"/>
      <c r="S20" s="1"/>
      <c r="T20" s="1"/>
      <c r="U20" s="1"/>
      <c r="V20" s="1"/>
      <c r="W20" s="1"/>
      <c r="X20" s="1"/>
      <c r="Y20" s="1"/>
      <c r="Z20" s="1"/>
      <c r="AA20" s="1"/>
      <c r="AB20" s="1"/>
      <c r="AC20" s="1"/>
      <c r="AD20" s="1"/>
      <c r="AE20" s="1"/>
      <c r="AF20" s="1"/>
      <c r="AG20" s="1"/>
    </row>
    <row r="21" spans="1:33" ht="12.75" customHeight="1" x14ac:dyDescent="0.25">
      <c r="A21" s="1"/>
      <c r="B21" s="1"/>
      <c r="E21" s="1" t="s">
        <v>103</v>
      </c>
      <c r="F21" s="33" t="s">
        <v>100</v>
      </c>
      <c r="G21" s="82"/>
      <c r="H21" s="85">
        <f>'&gt;&gt; Inputs'!G21</f>
        <v>1.34</v>
      </c>
      <c r="I21" s="1"/>
      <c r="J21" s="1"/>
      <c r="K21" s="1"/>
      <c r="L21" s="1"/>
      <c r="M21" s="1"/>
      <c r="N21" s="1"/>
      <c r="O21" s="1"/>
      <c r="P21" s="1"/>
      <c r="Q21" s="1"/>
      <c r="R21" s="1"/>
      <c r="S21" s="1"/>
      <c r="T21" s="1"/>
      <c r="U21" s="1"/>
      <c r="V21" s="1"/>
      <c r="W21" s="1"/>
      <c r="X21" s="1"/>
      <c r="Y21" s="1"/>
      <c r="Z21" s="1"/>
      <c r="AA21" s="1"/>
      <c r="AB21" s="1"/>
      <c r="AC21" s="1"/>
      <c r="AD21" s="1"/>
      <c r="AE21" s="1"/>
      <c r="AF21" s="1"/>
      <c r="AG21" s="1"/>
    </row>
    <row r="22" spans="1:33" ht="12.75" customHeight="1" x14ac:dyDescent="0.25">
      <c r="A22" s="1"/>
      <c r="B22" s="1"/>
      <c r="E22" s="1" t="s">
        <v>104</v>
      </c>
      <c r="F22" s="33" t="s">
        <v>8</v>
      </c>
      <c r="G22" s="82"/>
      <c r="H22" s="86">
        <f>H20/H21-1</f>
        <v>-0.1166926401685412</v>
      </c>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5">
      <c r="A23" s="1"/>
      <c r="B23" s="1"/>
      <c r="I23" s="1"/>
      <c r="J23" s="1"/>
      <c r="K23" s="1"/>
      <c r="L23" s="1"/>
      <c r="M23" s="1"/>
      <c r="N23" s="1"/>
      <c r="O23" s="1"/>
      <c r="P23" s="1"/>
      <c r="Q23" s="1"/>
      <c r="R23" s="1"/>
      <c r="S23" s="1"/>
      <c r="T23" s="1"/>
      <c r="U23" s="1"/>
      <c r="V23" s="1"/>
      <c r="W23" s="1"/>
      <c r="X23" s="1"/>
      <c r="Y23" s="1"/>
      <c r="Z23" s="1"/>
      <c r="AA23" s="1"/>
      <c r="AB23" s="1"/>
      <c r="AC23" s="1"/>
      <c r="AD23" s="1"/>
      <c r="AE23" s="1"/>
      <c r="AF23" s="1"/>
      <c r="AG23" s="1"/>
    </row>
    <row r="24" spans="1:33" ht="12.75" customHeight="1" x14ac:dyDescent="0.25">
      <c r="A24" s="1"/>
      <c r="B24" s="1"/>
      <c r="I24" s="1"/>
      <c r="J24" s="1"/>
      <c r="K24" s="1"/>
      <c r="L24" s="1"/>
      <c r="M24" s="1"/>
      <c r="N24" s="1"/>
      <c r="O24" s="1"/>
      <c r="P24" s="1"/>
      <c r="Q24" s="1"/>
      <c r="R24" s="1"/>
      <c r="S24" s="1"/>
      <c r="T24" s="1"/>
      <c r="U24" s="1"/>
      <c r="V24" s="1"/>
      <c r="W24" s="1"/>
      <c r="X24" s="1"/>
      <c r="Y24" s="1"/>
      <c r="Z24" s="1"/>
      <c r="AA24" s="1"/>
      <c r="AB24" s="1"/>
      <c r="AC24" s="1"/>
      <c r="AD24" s="1"/>
      <c r="AE24" s="1"/>
      <c r="AF24" s="1"/>
      <c r="AG24" s="1"/>
    </row>
    <row r="25" spans="1:33" ht="12.75" customHeight="1" x14ac:dyDescent="0.25">
      <c r="A25" s="1"/>
      <c r="B25" s="1"/>
      <c r="E25" s="472" t="s">
        <v>832</v>
      </c>
      <c r="I25" s="1"/>
      <c r="J25" s="1"/>
      <c r="K25" s="1"/>
      <c r="L25" s="1"/>
      <c r="M25" s="1"/>
      <c r="N25" s="1"/>
      <c r="O25" s="1"/>
      <c r="P25" s="1"/>
      <c r="Q25" s="1"/>
      <c r="R25" s="1"/>
      <c r="S25" s="1"/>
      <c r="T25" s="1"/>
      <c r="U25" s="1"/>
      <c r="V25" s="1"/>
      <c r="W25" s="1"/>
      <c r="X25" s="1"/>
      <c r="Y25" s="1"/>
      <c r="Z25" s="1"/>
      <c r="AA25" s="1"/>
      <c r="AB25" s="1"/>
      <c r="AC25" s="1"/>
      <c r="AD25" s="1"/>
      <c r="AE25" s="1"/>
      <c r="AF25" s="1"/>
      <c r="AG25" s="1"/>
    </row>
    <row r="26" spans="1:33" ht="12.75" customHeight="1" x14ac:dyDescent="0.25">
      <c r="A26" s="1"/>
      <c r="B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1:33" ht="12.75" customHeight="1" x14ac:dyDescent="0.25">
      <c r="A27" s="1"/>
      <c r="B27" s="1"/>
      <c r="I27" s="1"/>
      <c r="J27" s="1"/>
      <c r="K27" s="1"/>
      <c r="L27" s="1"/>
      <c r="M27" s="1"/>
      <c r="N27" s="1"/>
      <c r="O27" s="1"/>
      <c r="P27" s="1"/>
      <c r="Q27" s="1"/>
      <c r="R27" s="1"/>
      <c r="S27" s="1"/>
      <c r="T27" s="1"/>
      <c r="U27" s="1"/>
      <c r="V27" s="1"/>
      <c r="W27" s="1"/>
      <c r="X27" s="1"/>
      <c r="Y27" s="1"/>
      <c r="Z27" s="1"/>
      <c r="AA27" s="1"/>
      <c r="AB27" s="1"/>
      <c r="AC27" s="1"/>
      <c r="AD27" s="1"/>
      <c r="AE27" s="1"/>
      <c r="AF27" s="1"/>
      <c r="AG27" s="1"/>
    </row>
    <row r="28" spans="1:33" ht="12" customHeight="1" x14ac:dyDescent="0.25">
      <c r="A28" s="1"/>
      <c r="B28" s="1"/>
    </row>
    <row r="29" spans="1:33" ht="12.75" hidden="1" customHeight="1" outlineLevel="1" x14ac:dyDescent="0.25">
      <c r="A29" s="1"/>
      <c r="B29" s="1"/>
    </row>
    <row r="30" spans="1:33" ht="12.75" customHeight="1" collapsed="1" x14ac:dyDescent="0.25">
      <c r="A30" s="1"/>
      <c r="B30" s="1"/>
    </row>
    <row r="31" spans="1:33" ht="12.75" customHeight="1" x14ac:dyDescent="0.25">
      <c r="A31" s="1"/>
      <c r="B31" s="1"/>
    </row>
    <row r="32" spans="1:33" ht="12.75" customHeight="1" x14ac:dyDescent="0.25">
      <c r="A32" s="1"/>
      <c r="B32" s="1"/>
    </row>
    <row r="33" spans="1:2" ht="12.75" customHeight="1" x14ac:dyDescent="0.25">
      <c r="A33" s="1"/>
      <c r="B33" s="1"/>
    </row>
    <row r="34" spans="1:2" ht="12.75" customHeight="1" x14ac:dyDescent="0.25">
      <c r="A34" s="1"/>
      <c r="B34" s="1"/>
    </row>
    <row r="35" spans="1:2" ht="7.5" customHeight="1" x14ac:dyDescent="0.25">
      <c r="A35" s="1"/>
      <c r="B35" s="1"/>
    </row>
    <row r="36" spans="1:2" ht="10.5" customHeight="1" x14ac:dyDescent="0.25">
      <c r="A36" s="1"/>
      <c r="B36" s="1"/>
    </row>
    <row r="37" spans="1:2" ht="11.25" customHeight="1" x14ac:dyDescent="0.25">
      <c r="A37" s="1"/>
      <c r="B37" s="1"/>
    </row>
    <row r="38" spans="1:2" ht="12.75" customHeight="1" x14ac:dyDescent="0.25">
      <c r="A38" s="1"/>
      <c r="B38" s="1"/>
    </row>
    <row r="39" spans="1:2" ht="12.75" customHeight="1" x14ac:dyDescent="0.25">
      <c r="A39" s="1"/>
      <c r="B39" s="1"/>
    </row>
    <row r="40" spans="1:2" ht="12.75" customHeight="1" x14ac:dyDescent="0.25">
      <c r="A40" s="1"/>
      <c r="B40" s="1"/>
    </row>
    <row r="41" spans="1:2" ht="12.75" customHeight="1" x14ac:dyDescent="0.25">
      <c r="A41" s="1"/>
      <c r="B41" s="1"/>
    </row>
    <row r="42" spans="1:2" ht="12.75" customHeight="1" x14ac:dyDescent="0.25">
      <c r="A42" s="1"/>
      <c r="B42" s="1"/>
    </row>
    <row r="43" spans="1:2" ht="12.75" customHeight="1" x14ac:dyDescent="0.25">
      <c r="A43" s="1"/>
      <c r="B43" s="1"/>
    </row>
    <row r="44" spans="1:2" ht="12.75" customHeight="1" x14ac:dyDescent="0.25">
      <c r="A44" s="1"/>
      <c r="B44" s="1"/>
    </row>
    <row r="45" spans="1:2" ht="12.75" customHeight="1" x14ac:dyDescent="0.25">
      <c r="A45" s="1"/>
      <c r="B45" s="1"/>
    </row>
    <row r="46" spans="1:2" ht="12.75" customHeight="1" x14ac:dyDescent="0.25">
      <c r="A46" s="1"/>
      <c r="B46" s="1"/>
    </row>
    <row r="47" spans="1:2" ht="12.75" customHeight="1" x14ac:dyDescent="0.25">
      <c r="A47" s="1"/>
      <c r="B47" s="1"/>
    </row>
    <row r="48" spans="1:2" ht="12.75" customHeight="1" x14ac:dyDescent="0.25">
      <c r="A48" s="1"/>
      <c r="B48" s="1"/>
    </row>
    <row r="49" spans="1:2" ht="12.75" customHeight="1" x14ac:dyDescent="0.25">
      <c r="A49" s="1"/>
      <c r="B49" s="1"/>
    </row>
    <row r="50" spans="1:2" ht="12.75" customHeight="1" x14ac:dyDescent="0.25">
      <c r="A50" s="1"/>
      <c r="B50" s="1"/>
    </row>
    <row r="51" spans="1:2" ht="12.75" customHeight="1" x14ac:dyDescent="0.25">
      <c r="A51" s="1"/>
      <c r="B51" s="1"/>
    </row>
    <row r="52" spans="1:2" ht="12.75" customHeight="1" x14ac:dyDescent="0.25">
      <c r="A52" s="1"/>
      <c r="B52" s="1"/>
    </row>
    <row r="53" spans="1:2" ht="12.75" customHeight="1" x14ac:dyDescent="0.25">
      <c r="A53" s="1"/>
      <c r="B53" s="1"/>
    </row>
    <row r="54" spans="1:2" ht="12.75" customHeight="1" x14ac:dyDescent="0.25">
      <c r="A54" s="1"/>
      <c r="B54" s="1"/>
    </row>
    <row r="55" spans="1:2" ht="12.75" customHeight="1" x14ac:dyDescent="0.25">
      <c r="A55" s="1"/>
      <c r="B55" s="1"/>
    </row>
    <row r="56" spans="1:2" ht="12.75" customHeight="1" x14ac:dyDescent="0.25">
      <c r="A56" s="1"/>
      <c r="B56" s="1"/>
    </row>
    <row r="57" spans="1:2" ht="12.75" customHeight="1" x14ac:dyDescent="0.25">
      <c r="A57" s="1"/>
      <c r="B57" s="1"/>
    </row>
    <row r="58" spans="1:2" ht="12.75" customHeight="1" x14ac:dyDescent="0.25">
      <c r="A58" s="1"/>
      <c r="B58" s="1"/>
    </row>
    <row r="59" spans="1:2" ht="12.75" customHeight="1" x14ac:dyDescent="0.25">
      <c r="A59" s="1"/>
      <c r="B59" s="1"/>
    </row>
    <row r="60" spans="1:2" ht="12.75" customHeight="1" x14ac:dyDescent="0.25">
      <c r="A60" s="1"/>
      <c r="B60" s="1"/>
    </row>
    <row r="61" spans="1:2" ht="12.75" customHeight="1" x14ac:dyDescent="0.25">
      <c r="A61" s="1"/>
      <c r="B61" s="1"/>
    </row>
    <row r="62" spans="1:2" ht="12.75" customHeight="1" x14ac:dyDescent="0.25">
      <c r="A62" s="1"/>
      <c r="B62" s="1"/>
    </row>
    <row r="63" spans="1:2" ht="12.75" customHeight="1" x14ac:dyDescent="0.25">
      <c r="A63" s="1"/>
      <c r="B63" s="1"/>
    </row>
    <row r="64" spans="1:2" ht="12.75" customHeight="1" x14ac:dyDescent="0.25">
      <c r="A64" s="1"/>
      <c r="B64" s="1"/>
    </row>
    <row r="65" spans="1:2" ht="12.75" customHeight="1" x14ac:dyDescent="0.25">
      <c r="A65" s="1"/>
      <c r="B65" s="1"/>
    </row>
    <row r="66" spans="1:2" ht="6" customHeight="1" x14ac:dyDescent="0.25">
      <c r="A66" s="1"/>
      <c r="B66" s="1"/>
    </row>
    <row r="67" spans="1:2" ht="12.75" customHeight="1" x14ac:dyDescent="0.25">
      <c r="A67" s="1"/>
      <c r="B67" s="1"/>
    </row>
    <row r="68" spans="1:2" ht="12.75" customHeight="1" x14ac:dyDescent="0.25">
      <c r="A68" s="1"/>
      <c r="B68" s="1"/>
    </row>
    <row r="69" spans="1:2" ht="12.75" customHeight="1" x14ac:dyDescent="0.25">
      <c r="A69" s="1"/>
      <c r="B69" s="1"/>
    </row>
    <row r="70" spans="1:2" ht="12.75" customHeight="1" x14ac:dyDescent="0.25">
      <c r="A70" s="1"/>
      <c r="B70" s="1"/>
    </row>
    <row r="71" spans="1:2" ht="12.75" customHeight="1" x14ac:dyDescent="0.25">
      <c r="A71" s="1"/>
      <c r="B71" s="1"/>
    </row>
    <row r="72" spans="1:2" ht="12.75" customHeight="1" x14ac:dyDescent="0.25">
      <c r="A72" s="1"/>
      <c r="B72" s="1"/>
    </row>
    <row r="73" spans="1:2" ht="12.75" customHeight="1" x14ac:dyDescent="0.25">
      <c r="A73" s="1"/>
      <c r="B73" s="1"/>
    </row>
    <row r="74" spans="1:2" ht="12.75" customHeight="1" x14ac:dyDescent="0.25">
      <c r="A74" s="1"/>
      <c r="B74" s="1"/>
    </row>
    <row r="75" spans="1:2" ht="12.75" customHeight="1" x14ac:dyDescent="0.25">
      <c r="A75" s="1"/>
      <c r="B75" s="1"/>
    </row>
    <row r="76" spans="1:2" ht="12.75" customHeight="1" x14ac:dyDescent="0.25">
      <c r="A76" s="1"/>
      <c r="B76" s="1"/>
    </row>
    <row r="77" spans="1:2" ht="12.75" customHeight="1" x14ac:dyDescent="0.25">
      <c r="A77" s="1"/>
      <c r="B77" s="1"/>
    </row>
    <row r="78" spans="1:2" ht="12.75" customHeight="1" x14ac:dyDescent="0.25">
      <c r="A78" s="1"/>
      <c r="B78" s="1"/>
    </row>
    <row r="79" spans="1:2" ht="12.75" customHeight="1" x14ac:dyDescent="0.25">
      <c r="A79" s="1"/>
      <c r="B79" s="1"/>
    </row>
    <row r="80" spans="1:2" ht="12.75" customHeight="1" x14ac:dyDescent="0.25">
      <c r="A80" s="1"/>
      <c r="B80" s="1"/>
    </row>
    <row r="81" spans="1:2" ht="12.75" customHeight="1" x14ac:dyDescent="0.25">
      <c r="A81" s="1"/>
      <c r="B81" s="1"/>
    </row>
    <row r="82" spans="1:2" ht="12.75" customHeight="1" x14ac:dyDescent="0.25">
      <c r="A82" s="1"/>
      <c r="B82" s="1"/>
    </row>
    <row r="83" spans="1:2" ht="12.75" customHeight="1" x14ac:dyDescent="0.25">
      <c r="A83" s="1"/>
      <c r="B83" s="1"/>
    </row>
    <row r="84" spans="1:2" ht="12.75" customHeight="1" x14ac:dyDescent="0.25">
      <c r="A84" s="1"/>
      <c r="B84" s="1"/>
    </row>
    <row r="85" spans="1:2" ht="12.75" customHeight="1" x14ac:dyDescent="0.25">
      <c r="A85" s="1"/>
      <c r="B85" s="1"/>
    </row>
    <row r="86" spans="1:2" ht="12.75" customHeight="1" x14ac:dyDescent="0.25">
      <c r="A86" s="1"/>
      <c r="B86" s="1"/>
    </row>
    <row r="87" spans="1:2" ht="12.75" customHeight="1" x14ac:dyDescent="0.25">
      <c r="A87" s="1"/>
      <c r="B87" s="1"/>
    </row>
    <row r="88" spans="1:2" ht="12.75" customHeight="1" x14ac:dyDescent="0.25">
      <c r="A88" s="1"/>
      <c r="B88" s="1"/>
    </row>
    <row r="89" spans="1:2" ht="12.75" customHeight="1" x14ac:dyDescent="0.25">
      <c r="A89" s="1"/>
      <c r="B89" s="1"/>
    </row>
    <row r="90" spans="1:2" ht="12.75" customHeight="1" x14ac:dyDescent="0.25">
      <c r="A90" s="1"/>
      <c r="B90" s="1"/>
    </row>
    <row r="91" spans="1:2" ht="12.75" customHeight="1" x14ac:dyDescent="0.25">
      <c r="A91" s="1"/>
      <c r="B91" s="1"/>
    </row>
    <row r="92" spans="1:2" ht="12.75" customHeight="1" x14ac:dyDescent="0.25">
      <c r="A92" s="1"/>
      <c r="B92" s="1"/>
    </row>
    <row r="93" spans="1:2" ht="12.75" customHeight="1" x14ac:dyDescent="0.25">
      <c r="A93" s="1"/>
      <c r="B93" s="1"/>
    </row>
    <row r="94" spans="1:2" ht="12.75" customHeight="1" x14ac:dyDescent="0.25">
      <c r="A94" s="1"/>
      <c r="B94" s="1"/>
    </row>
    <row r="95" spans="1:2" ht="12.75" customHeight="1" x14ac:dyDescent="0.25">
      <c r="A95" s="1"/>
      <c r="B95" s="1"/>
    </row>
    <row r="96" spans="1:2" ht="12.75" customHeight="1" x14ac:dyDescent="0.25">
      <c r="A96" s="1"/>
      <c r="B96" s="1"/>
    </row>
    <row r="97" spans="1:2" ht="12.75" customHeight="1" x14ac:dyDescent="0.25">
      <c r="A97" s="1"/>
      <c r="B97" s="1"/>
    </row>
    <row r="98" spans="1:2" ht="12.75" customHeight="1" x14ac:dyDescent="0.25">
      <c r="A98" s="1"/>
      <c r="B98" s="1"/>
    </row>
    <row r="99" spans="1:2" ht="12.75" customHeight="1" x14ac:dyDescent="0.25">
      <c r="A99" s="1"/>
      <c r="B99" s="1"/>
    </row>
    <row r="100" spans="1:2" ht="12.75" customHeight="1" x14ac:dyDescent="0.25">
      <c r="A100" s="1"/>
      <c r="B100" s="1"/>
    </row>
    <row r="101" spans="1:2" ht="12.75" customHeight="1" x14ac:dyDescent="0.25">
      <c r="A101" s="1"/>
      <c r="B101" s="1"/>
    </row>
    <row r="102" spans="1:2" ht="11.25" customHeight="1" x14ac:dyDescent="0.25">
      <c r="A102" s="1"/>
      <c r="B102" s="1"/>
    </row>
    <row r="103" spans="1:2" ht="12.75" customHeight="1" x14ac:dyDescent="0.25">
      <c r="A103" s="1"/>
      <c r="B103" s="1"/>
    </row>
    <row r="104" spans="1:2" ht="12.75" customHeight="1" x14ac:dyDescent="0.25">
      <c r="A104" s="1"/>
      <c r="B104" s="1"/>
    </row>
    <row r="105" spans="1:2" ht="12.75" customHeight="1" x14ac:dyDescent="0.25">
      <c r="A105" s="1"/>
      <c r="B105" s="1"/>
    </row>
    <row r="106" spans="1:2" ht="9" customHeight="1" x14ac:dyDescent="0.25">
      <c r="A106" s="1"/>
      <c r="B106" s="1"/>
    </row>
    <row r="107" spans="1:2" ht="12.75" customHeight="1" x14ac:dyDescent="0.25">
      <c r="A107" s="1"/>
      <c r="B107" s="1"/>
    </row>
    <row r="108" spans="1:2" ht="12.75" customHeight="1" x14ac:dyDescent="0.25">
      <c r="A108" s="1"/>
      <c r="B108" s="1"/>
    </row>
    <row r="109" spans="1:2" ht="12.75" customHeight="1" x14ac:dyDescent="0.25">
      <c r="A109" s="1"/>
      <c r="B109" s="1"/>
    </row>
    <row r="110" spans="1:2" ht="12.75" customHeight="1" x14ac:dyDescent="0.25">
      <c r="A110" s="1"/>
      <c r="B110" s="1"/>
    </row>
    <row r="111" spans="1:2" ht="12.75" customHeight="1" x14ac:dyDescent="0.25">
      <c r="A111" s="1"/>
      <c r="B111" s="1"/>
    </row>
    <row r="112" spans="1:2" ht="12.75" customHeight="1" x14ac:dyDescent="0.25">
      <c r="A112" s="1"/>
      <c r="B112" s="1"/>
    </row>
    <row r="113" spans="1:2" ht="12.75" customHeight="1" x14ac:dyDescent="0.25">
      <c r="A113" s="1"/>
      <c r="B113" s="1"/>
    </row>
    <row r="114" spans="1:2" ht="12.75" customHeight="1" x14ac:dyDescent="0.25">
      <c r="A114" s="1"/>
      <c r="B114" s="1"/>
    </row>
    <row r="115" spans="1:2" ht="12.75" customHeight="1" x14ac:dyDescent="0.25">
      <c r="A115" s="1"/>
      <c r="B115" s="1"/>
    </row>
    <row r="116" spans="1:2" ht="12.75" customHeight="1" x14ac:dyDescent="0.25">
      <c r="A116" s="1"/>
      <c r="B116" s="1"/>
    </row>
    <row r="117" spans="1:2" ht="12.75" customHeight="1" x14ac:dyDescent="0.25">
      <c r="A117" s="1"/>
      <c r="B117" s="1"/>
    </row>
    <row r="118" spans="1:2" ht="12.75" customHeight="1" x14ac:dyDescent="0.25">
      <c r="A118" s="1"/>
      <c r="B118" s="1"/>
    </row>
    <row r="119" spans="1:2" ht="12.75" customHeight="1" x14ac:dyDescent="0.25">
      <c r="A119" s="1"/>
      <c r="B119" s="1"/>
    </row>
    <row r="120" spans="1:2" ht="12.75" customHeight="1" x14ac:dyDescent="0.25">
      <c r="A120" s="1"/>
      <c r="B120" s="1"/>
    </row>
    <row r="121" spans="1:2" ht="12.75" customHeight="1" x14ac:dyDescent="0.25">
      <c r="A121" s="1"/>
      <c r="B121" s="1"/>
    </row>
    <row r="122" spans="1:2" ht="12.75" customHeight="1" x14ac:dyDescent="0.25">
      <c r="A122" s="1"/>
      <c r="B122" s="1"/>
    </row>
    <row r="123" spans="1:2" ht="12.75" customHeight="1" x14ac:dyDescent="0.25">
      <c r="A123" s="1"/>
      <c r="B123" s="1"/>
    </row>
    <row r="124" spans="1:2" ht="12.75" customHeight="1" x14ac:dyDescent="0.25">
      <c r="A124" s="1"/>
      <c r="B124" s="1"/>
    </row>
    <row r="125" spans="1:2" ht="12.75" customHeight="1" x14ac:dyDescent="0.25">
      <c r="A125" s="1"/>
      <c r="B125" s="1"/>
    </row>
    <row r="126" spans="1:2" ht="12.75" customHeight="1" x14ac:dyDescent="0.25">
      <c r="A126" s="1"/>
      <c r="B126" s="1"/>
    </row>
    <row r="127" spans="1:2" ht="12.75" customHeight="1" x14ac:dyDescent="0.25">
      <c r="A127" s="1"/>
      <c r="B127" s="1"/>
    </row>
    <row r="128" spans="1:2" ht="12.75" customHeight="1" x14ac:dyDescent="0.25">
      <c r="A128" s="1"/>
      <c r="B128" s="1"/>
    </row>
    <row r="129" spans="1:2" ht="12.75" customHeight="1" x14ac:dyDescent="0.25">
      <c r="A129" s="1"/>
      <c r="B129" s="1"/>
    </row>
    <row r="130" spans="1:2" ht="12.75" customHeight="1" x14ac:dyDescent="0.25">
      <c r="A130" s="1"/>
      <c r="B130" s="1"/>
    </row>
    <row r="131" spans="1:2" ht="12.75" customHeight="1" x14ac:dyDescent="0.25">
      <c r="A131" s="1"/>
      <c r="B131" s="1"/>
    </row>
    <row r="132" spans="1:2" ht="12.75" customHeight="1" x14ac:dyDescent="0.25">
      <c r="A132" s="1"/>
      <c r="B132" s="1"/>
    </row>
    <row r="133" spans="1:2" ht="12.75" customHeight="1" x14ac:dyDescent="0.25">
      <c r="A133" s="1"/>
      <c r="B133" s="1"/>
    </row>
    <row r="134" spans="1:2" ht="12.75" customHeight="1" x14ac:dyDescent="0.25">
      <c r="A134" s="1"/>
      <c r="B134" s="1"/>
    </row>
    <row r="135" spans="1:2" ht="12.75" customHeight="1" x14ac:dyDescent="0.25">
      <c r="A135" s="1"/>
      <c r="B135" s="1"/>
    </row>
    <row r="136" spans="1:2" ht="12.75" customHeight="1" x14ac:dyDescent="0.25">
      <c r="A136" s="1"/>
      <c r="B136" s="1"/>
    </row>
    <row r="137" spans="1:2" ht="12.75" customHeight="1" x14ac:dyDescent="0.25">
      <c r="A137" s="1"/>
      <c r="B137" s="1"/>
    </row>
    <row r="138" spans="1:2" ht="12.75" customHeight="1" x14ac:dyDescent="0.25">
      <c r="A138" s="1"/>
      <c r="B138" s="1"/>
    </row>
    <row r="139" spans="1:2" ht="12.75" customHeight="1" x14ac:dyDescent="0.25">
      <c r="A139" s="1"/>
      <c r="B139" s="1"/>
    </row>
    <row r="140" spans="1:2" ht="12.75" customHeight="1" x14ac:dyDescent="0.25">
      <c r="A140" s="1"/>
      <c r="B140" s="1"/>
    </row>
    <row r="141" spans="1:2" ht="12.75" customHeight="1" x14ac:dyDescent="0.25">
      <c r="A141" s="1"/>
      <c r="B141" s="1"/>
    </row>
    <row r="142" spans="1:2" ht="12.75" customHeight="1" x14ac:dyDescent="0.25">
      <c r="A142" s="1"/>
      <c r="B142" s="1"/>
    </row>
    <row r="143" spans="1:2" ht="12.75" customHeight="1" x14ac:dyDescent="0.25">
      <c r="A143" s="1"/>
      <c r="B143" s="1"/>
    </row>
    <row r="144" spans="1:2" ht="12.75" customHeight="1" x14ac:dyDescent="0.25">
      <c r="A144" s="1"/>
      <c r="B144" s="1"/>
    </row>
    <row r="145" spans="1:2" ht="12.75" customHeight="1" x14ac:dyDescent="0.25">
      <c r="A145" s="1"/>
      <c r="B145" s="1"/>
    </row>
    <row r="146" spans="1:2" ht="12.75" customHeight="1" x14ac:dyDescent="0.25">
      <c r="A146" s="1"/>
      <c r="B146" s="1"/>
    </row>
    <row r="147" spans="1:2" ht="12.75" customHeight="1" x14ac:dyDescent="0.25">
      <c r="A147" s="1"/>
      <c r="B147" s="1"/>
    </row>
    <row r="148" spans="1:2" ht="12.75" customHeight="1" x14ac:dyDescent="0.25">
      <c r="A148" s="1"/>
      <c r="B148" s="1"/>
    </row>
    <row r="149" spans="1:2" ht="12.75" customHeight="1" x14ac:dyDescent="0.25">
      <c r="A149" s="1"/>
      <c r="B149" s="1"/>
    </row>
    <row r="150" spans="1:2" ht="12.75" customHeight="1" x14ac:dyDescent="0.25">
      <c r="A150" s="1"/>
      <c r="B150" s="1"/>
    </row>
    <row r="151" spans="1:2" ht="12.75" customHeight="1" x14ac:dyDescent="0.25">
      <c r="A151" s="1"/>
      <c r="B151" s="1"/>
    </row>
    <row r="152" spans="1:2" ht="12.75" customHeight="1" x14ac:dyDescent="0.25">
      <c r="A152" s="1"/>
      <c r="B152" s="1"/>
    </row>
    <row r="153" spans="1:2" ht="12.75" customHeight="1" x14ac:dyDescent="0.25">
      <c r="A153" s="1"/>
      <c r="B153" s="1"/>
    </row>
    <row r="154" spans="1:2" ht="12.75" customHeight="1" x14ac:dyDescent="0.25">
      <c r="A154" s="1"/>
      <c r="B154" s="1"/>
    </row>
    <row r="155" spans="1:2" ht="12.75" customHeight="1" x14ac:dyDescent="0.25">
      <c r="A155" s="1"/>
      <c r="B155" s="1"/>
    </row>
    <row r="156" spans="1:2" ht="12.75" customHeight="1" x14ac:dyDescent="0.25">
      <c r="A156" s="1"/>
      <c r="B156" s="1"/>
    </row>
    <row r="157" spans="1:2" ht="12.75" customHeight="1" x14ac:dyDescent="0.25">
      <c r="A157" s="1"/>
      <c r="B157" s="1"/>
    </row>
    <row r="158" spans="1:2" ht="12.75" customHeight="1" x14ac:dyDescent="0.25">
      <c r="A158" s="1"/>
      <c r="B158" s="1"/>
    </row>
    <row r="159" spans="1:2" ht="12.75" customHeight="1" x14ac:dyDescent="0.25">
      <c r="A159" s="1"/>
      <c r="B159" s="1"/>
    </row>
    <row r="160" spans="1:2" ht="12.75" customHeight="1" x14ac:dyDescent="0.25">
      <c r="A160" s="1"/>
      <c r="B160" s="1"/>
    </row>
    <row r="161" spans="1:2" ht="12.75" customHeight="1" x14ac:dyDescent="0.25">
      <c r="A161" s="1"/>
      <c r="B161" s="1"/>
    </row>
    <row r="162" spans="1:2" ht="12.75" customHeight="1" x14ac:dyDescent="0.25">
      <c r="A162" s="1"/>
      <c r="B162" s="1"/>
    </row>
    <row r="163" spans="1:2" ht="12.75" customHeight="1" x14ac:dyDescent="0.25">
      <c r="A163" s="1"/>
      <c r="B163" s="1"/>
    </row>
    <row r="164" spans="1:2" ht="12.75" customHeight="1" x14ac:dyDescent="0.25">
      <c r="A164" s="1"/>
      <c r="B164" s="1"/>
    </row>
    <row r="165" spans="1:2" ht="12.75" customHeight="1" x14ac:dyDescent="0.25">
      <c r="A165" s="1"/>
      <c r="B165" s="1"/>
    </row>
    <row r="166" spans="1:2" ht="12.75" customHeight="1" x14ac:dyDescent="0.25">
      <c r="A166" s="1"/>
      <c r="B166" s="1"/>
    </row>
    <row r="167" spans="1:2" ht="12.75" customHeight="1" x14ac:dyDescent="0.25">
      <c r="A167" s="1"/>
      <c r="B167" s="1"/>
    </row>
    <row r="168" spans="1:2" ht="12.75" customHeight="1" x14ac:dyDescent="0.25">
      <c r="A168" s="1"/>
      <c r="B168" s="1"/>
    </row>
    <row r="169" spans="1:2" ht="12.75" customHeight="1" x14ac:dyDescent="0.25">
      <c r="A169" s="1"/>
      <c r="B169" s="1"/>
    </row>
    <row r="170" spans="1:2" ht="12.75" customHeight="1" x14ac:dyDescent="0.25">
      <c r="A170" s="1"/>
      <c r="B170" s="1"/>
    </row>
    <row r="171" spans="1:2" ht="12.75" customHeight="1" x14ac:dyDescent="0.25">
      <c r="A171" s="1"/>
      <c r="B171" s="1"/>
    </row>
    <row r="172" spans="1:2" ht="12.75" customHeight="1" x14ac:dyDescent="0.25">
      <c r="A172" s="1"/>
      <c r="B172" s="1"/>
    </row>
    <row r="173" spans="1:2" ht="12.75" customHeight="1" x14ac:dyDescent="0.25">
      <c r="A173" s="1"/>
      <c r="B173" s="1"/>
    </row>
    <row r="174" spans="1:2" ht="12.75" customHeight="1" x14ac:dyDescent="0.25">
      <c r="A174" s="1"/>
      <c r="B174" s="1"/>
    </row>
    <row r="175" spans="1:2" ht="12.75" customHeight="1" x14ac:dyDescent="0.25">
      <c r="A175" s="1"/>
      <c r="B175" s="1"/>
    </row>
    <row r="176" spans="1:2" ht="12.75" customHeight="1" x14ac:dyDescent="0.25">
      <c r="A176" s="1"/>
      <c r="B176" s="1"/>
    </row>
    <row r="177" spans="1:2" ht="12.75" customHeight="1" x14ac:dyDescent="0.25">
      <c r="A177" s="1"/>
      <c r="B177" s="1"/>
    </row>
    <row r="178" spans="1:2" ht="12.75" customHeight="1" x14ac:dyDescent="0.25">
      <c r="A178" s="1"/>
      <c r="B178" s="1"/>
    </row>
    <row r="179" spans="1:2" ht="12.75" customHeight="1" x14ac:dyDescent="0.25">
      <c r="A179" s="1"/>
      <c r="B179" s="1"/>
    </row>
    <row r="180" spans="1:2" ht="12.75" customHeight="1" x14ac:dyDescent="0.25">
      <c r="A180" s="1"/>
      <c r="B180" s="1"/>
    </row>
    <row r="181" spans="1:2" ht="12.75" customHeight="1" x14ac:dyDescent="0.25">
      <c r="A181" s="1"/>
      <c r="B181" s="1"/>
    </row>
    <row r="182" spans="1:2" ht="12.75" customHeight="1" x14ac:dyDescent="0.25">
      <c r="A182" s="1"/>
      <c r="B182" s="1"/>
    </row>
    <row r="183" spans="1:2" ht="12.75" customHeight="1" x14ac:dyDescent="0.25">
      <c r="A183" s="1"/>
      <c r="B183" s="1"/>
    </row>
    <row r="184" spans="1:2" ht="12.75" customHeight="1" x14ac:dyDescent="0.25">
      <c r="A184" s="1"/>
      <c r="B184" s="1"/>
    </row>
    <row r="185" spans="1:2" ht="12.75" customHeight="1" x14ac:dyDescent="0.25">
      <c r="A185" s="1"/>
      <c r="B185" s="1"/>
    </row>
    <row r="186" spans="1:2" ht="12.75" customHeight="1" x14ac:dyDescent="0.25">
      <c r="A186" s="1"/>
      <c r="B186" s="1"/>
    </row>
    <row r="187" spans="1:2" ht="12.75" customHeight="1" x14ac:dyDescent="0.25">
      <c r="A187" s="1"/>
      <c r="B187" s="1"/>
    </row>
    <row r="188" spans="1:2" ht="12.75" customHeight="1" x14ac:dyDescent="0.25">
      <c r="A188" s="1"/>
      <c r="B188" s="1"/>
    </row>
    <row r="189" spans="1:2" ht="12.75" customHeight="1" x14ac:dyDescent="0.25">
      <c r="A189" s="1"/>
      <c r="B189" s="1"/>
    </row>
    <row r="190" spans="1:2" ht="12.75" customHeight="1" x14ac:dyDescent="0.25">
      <c r="A190" s="1"/>
      <c r="B190" s="1"/>
    </row>
    <row r="191" spans="1:2" ht="12.75" customHeight="1" x14ac:dyDescent="0.25">
      <c r="A191" s="1"/>
      <c r="B191" s="1"/>
    </row>
    <row r="192" spans="1:2" ht="12.75" customHeight="1" x14ac:dyDescent="0.25">
      <c r="A192" s="1"/>
      <c r="B192" s="1"/>
    </row>
    <row r="193" spans="1:2" ht="12.75" customHeight="1" x14ac:dyDescent="0.25">
      <c r="A193" s="1"/>
      <c r="B193" s="1"/>
    </row>
    <row r="194" spans="1:2" ht="12.75" customHeight="1" x14ac:dyDescent="0.25">
      <c r="A194" s="1"/>
      <c r="B194" s="1"/>
    </row>
    <row r="195" spans="1:2" ht="12.75" customHeight="1" x14ac:dyDescent="0.25">
      <c r="A195" s="1"/>
      <c r="B195" s="1"/>
    </row>
    <row r="196" spans="1:2" ht="12.75" customHeight="1" x14ac:dyDescent="0.25">
      <c r="A196" s="1"/>
      <c r="B196" s="1"/>
    </row>
    <row r="197" spans="1:2" ht="12.75" customHeight="1" x14ac:dyDescent="0.25">
      <c r="A197" s="1"/>
      <c r="B197" s="1"/>
    </row>
    <row r="198" spans="1:2" ht="12.75" customHeight="1" x14ac:dyDescent="0.25">
      <c r="A198" s="1"/>
      <c r="B198" s="1"/>
    </row>
    <row r="199" spans="1:2" ht="12.75" customHeight="1" x14ac:dyDescent="0.25">
      <c r="A199" s="1"/>
      <c r="B199" s="1"/>
    </row>
    <row r="200" spans="1:2" ht="12.75" customHeight="1" x14ac:dyDescent="0.25">
      <c r="A200" s="1"/>
      <c r="B200" s="1"/>
    </row>
    <row r="201" spans="1:2" ht="12.75" customHeight="1" x14ac:dyDescent="0.25">
      <c r="A201" s="1"/>
      <c r="B201" s="1"/>
    </row>
    <row r="202" spans="1:2" ht="12.75" customHeight="1" x14ac:dyDescent="0.25">
      <c r="A202" s="1"/>
      <c r="B202" s="1"/>
    </row>
    <row r="203" spans="1:2" ht="12.75" customHeight="1" x14ac:dyDescent="0.25">
      <c r="A203" s="1"/>
      <c r="B203" s="1"/>
    </row>
    <row r="204" spans="1:2" ht="12.75" customHeight="1" x14ac:dyDescent="0.25">
      <c r="A204" s="1"/>
      <c r="B204" s="1"/>
    </row>
    <row r="205" spans="1:2" ht="12.75" customHeight="1" x14ac:dyDescent="0.25">
      <c r="A205" s="1"/>
      <c r="B205" s="1"/>
    </row>
    <row r="206" spans="1:2" ht="12.75" customHeight="1" x14ac:dyDescent="0.25">
      <c r="A206" s="1"/>
      <c r="B206" s="1"/>
    </row>
    <row r="207" spans="1:2" ht="12.75" customHeight="1" x14ac:dyDescent="0.25">
      <c r="A207" s="1"/>
      <c r="B207" s="1"/>
    </row>
    <row r="208" spans="1:2" ht="12.75" customHeight="1" x14ac:dyDescent="0.25">
      <c r="A208" s="1"/>
      <c r="B208" s="1"/>
    </row>
    <row r="209" spans="1:2" ht="12.75" customHeight="1" x14ac:dyDescent="0.25">
      <c r="A209" s="1"/>
      <c r="B209" s="1"/>
    </row>
    <row r="210" spans="1:2" ht="12.75" customHeight="1" x14ac:dyDescent="0.25">
      <c r="A210" s="1"/>
      <c r="B210" s="1"/>
    </row>
    <row r="211" spans="1:2" ht="12.75" customHeight="1" x14ac:dyDescent="0.25">
      <c r="A211" s="1"/>
      <c r="B211" s="1"/>
    </row>
    <row r="212" spans="1:2" ht="12.75" customHeight="1" x14ac:dyDescent="0.25">
      <c r="A212" s="1"/>
      <c r="B212" s="1"/>
    </row>
    <row r="213" spans="1:2" ht="12.75" customHeight="1" x14ac:dyDescent="0.25">
      <c r="A213" s="1"/>
      <c r="B213" s="1"/>
    </row>
    <row r="214" spans="1:2" ht="12.75" customHeight="1" x14ac:dyDescent="0.25">
      <c r="A214" s="1"/>
      <c r="B214" s="1"/>
    </row>
    <row r="215" spans="1:2" ht="12.75" customHeight="1" x14ac:dyDescent="0.25">
      <c r="A215" s="1"/>
      <c r="B215" s="1"/>
    </row>
    <row r="216" spans="1:2" ht="12.75" customHeight="1" x14ac:dyDescent="0.25">
      <c r="A216" s="1"/>
      <c r="B216" s="1"/>
    </row>
    <row r="217" spans="1:2" ht="12.75" customHeight="1" x14ac:dyDescent="0.25">
      <c r="A217" s="1"/>
      <c r="B217" s="1"/>
    </row>
    <row r="218" spans="1:2" ht="12.75" customHeight="1" x14ac:dyDescent="0.25">
      <c r="A218" s="1"/>
      <c r="B218" s="1"/>
    </row>
    <row r="219" spans="1:2" ht="12.75" customHeight="1" x14ac:dyDescent="0.25">
      <c r="A219" s="1"/>
      <c r="B219" s="1"/>
    </row>
    <row r="220" spans="1:2" ht="12.75" customHeight="1" x14ac:dyDescent="0.25">
      <c r="A220" s="1"/>
      <c r="B220" s="1"/>
    </row>
    <row r="221" spans="1:2" ht="12.75" customHeight="1" x14ac:dyDescent="0.25">
      <c r="A221" s="1"/>
      <c r="B221" s="1"/>
    </row>
    <row r="222" spans="1:2" ht="12.75" customHeight="1" x14ac:dyDescent="0.25">
      <c r="A222" s="1"/>
      <c r="B222" s="1"/>
    </row>
    <row r="223" spans="1:2" ht="12.75" customHeight="1" x14ac:dyDescent="0.25">
      <c r="A223" s="1"/>
      <c r="B223" s="1"/>
    </row>
    <row r="224" spans="1:2" ht="12.75" customHeight="1" x14ac:dyDescent="0.25">
      <c r="A224" s="1"/>
      <c r="B224" s="1"/>
    </row>
    <row r="225" spans="1:2" ht="12.75" customHeight="1" x14ac:dyDescent="0.25">
      <c r="A225" s="1"/>
      <c r="B225" s="1"/>
    </row>
    <row r="226" spans="1:2" ht="12.75" customHeight="1" x14ac:dyDescent="0.25">
      <c r="A226" s="1"/>
      <c r="B226" s="1"/>
    </row>
    <row r="227" spans="1:2" ht="12.75" customHeight="1" x14ac:dyDescent="0.25">
      <c r="A227" s="1"/>
      <c r="B227" s="1"/>
    </row>
    <row r="228" spans="1:2" ht="12.75" customHeight="1" x14ac:dyDescent="0.25">
      <c r="A228" s="1"/>
      <c r="B228" s="1"/>
    </row>
    <row r="229" spans="1:2" ht="12.75" customHeight="1" x14ac:dyDescent="0.25">
      <c r="A229" s="1"/>
      <c r="B229" s="1"/>
    </row>
    <row r="230" spans="1:2" ht="12.75" customHeight="1" x14ac:dyDescent="0.25">
      <c r="A230" s="1"/>
      <c r="B230" s="1"/>
    </row>
    <row r="231" spans="1:2" ht="12.75" customHeight="1" x14ac:dyDescent="0.25">
      <c r="A231" s="1"/>
      <c r="B231" s="1"/>
    </row>
    <row r="232" spans="1:2" ht="12.75" customHeight="1" x14ac:dyDescent="0.25">
      <c r="A232" s="1"/>
      <c r="B232" s="1"/>
    </row>
    <row r="233" spans="1:2" ht="12.75" customHeight="1" x14ac:dyDescent="0.25">
      <c r="A233" s="1"/>
      <c r="B233" s="1"/>
    </row>
    <row r="234" spans="1:2" ht="12.75" customHeight="1" x14ac:dyDescent="0.25">
      <c r="A234" s="1"/>
      <c r="B234" s="1"/>
    </row>
    <row r="235" spans="1:2" ht="12.75" customHeight="1" x14ac:dyDescent="0.25">
      <c r="A235" s="1"/>
      <c r="B235" s="1"/>
    </row>
    <row r="236" spans="1:2" ht="12.75" customHeight="1" x14ac:dyDescent="0.25">
      <c r="A236" s="1"/>
      <c r="B236" s="1"/>
    </row>
    <row r="237" spans="1:2" ht="12.75" customHeight="1" x14ac:dyDescent="0.25">
      <c r="A237" s="1"/>
      <c r="B237" s="1"/>
    </row>
    <row r="238" spans="1:2" ht="12.75" customHeight="1" x14ac:dyDescent="0.25">
      <c r="A238" s="1"/>
      <c r="B238" s="1"/>
    </row>
    <row r="239" spans="1:2" ht="12.75" customHeight="1" x14ac:dyDescent="0.25">
      <c r="A239" s="1"/>
      <c r="B239" s="1"/>
    </row>
    <row r="240" spans="1:2" ht="12.75" customHeight="1" x14ac:dyDescent="0.25">
      <c r="A240" s="1"/>
      <c r="B240" s="1"/>
    </row>
    <row r="241" spans="1:2" ht="12.75" customHeight="1" x14ac:dyDescent="0.25">
      <c r="A241" s="1"/>
      <c r="B241" s="1"/>
    </row>
    <row r="242" spans="1:2" ht="12.75" customHeight="1" x14ac:dyDescent="0.25">
      <c r="A242" s="1"/>
      <c r="B242" s="1"/>
    </row>
    <row r="243" spans="1:2" ht="12.75" customHeight="1" x14ac:dyDescent="0.25">
      <c r="A243" s="1"/>
      <c r="B243" s="1"/>
    </row>
    <row r="244" spans="1:2" ht="12.75" customHeight="1" x14ac:dyDescent="0.25">
      <c r="A244" s="1"/>
      <c r="B244" s="1"/>
    </row>
    <row r="245" spans="1:2" ht="12.75" customHeight="1" x14ac:dyDescent="0.25">
      <c r="A245" s="1"/>
      <c r="B245" s="1"/>
    </row>
    <row r="246" spans="1:2" ht="12.75" customHeight="1" x14ac:dyDescent="0.25">
      <c r="A246" s="1"/>
      <c r="B246" s="1"/>
    </row>
    <row r="247" spans="1:2" ht="12.75" customHeight="1" x14ac:dyDescent="0.25">
      <c r="A247" s="1"/>
      <c r="B247" s="1"/>
    </row>
    <row r="248" spans="1:2" ht="12.75" customHeight="1" x14ac:dyDescent="0.25">
      <c r="A248" s="1"/>
      <c r="B248" s="1"/>
    </row>
    <row r="249" spans="1:2" ht="12.75" customHeight="1" x14ac:dyDescent="0.25">
      <c r="A249" s="1"/>
      <c r="B249" s="1"/>
    </row>
    <row r="250" spans="1:2" ht="12.75" customHeight="1" x14ac:dyDescent="0.25">
      <c r="A250" s="1"/>
      <c r="B250" s="1"/>
    </row>
    <row r="251" spans="1:2" ht="12.75" customHeight="1" x14ac:dyDescent="0.25">
      <c r="A251" s="1"/>
      <c r="B251" s="1"/>
    </row>
    <row r="252" spans="1:2" ht="12.75" customHeight="1" x14ac:dyDescent="0.25">
      <c r="A252" s="1"/>
      <c r="B252" s="1"/>
    </row>
    <row r="253" spans="1:2" ht="12.75" customHeight="1" x14ac:dyDescent="0.25">
      <c r="A253" s="1"/>
      <c r="B253" s="1"/>
    </row>
    <row r="254" spans="1:2" ht="12.75" customHeight="1" x14ac:dyDescent="0.25">
      <c r="A254" s="1"/>
      <c r="B254" s="1"/>
    </row>
    <row r="255" spans="1:2" ht="12.75" customHeight="1" x14ac:dyDescent="0.25">
      <c r="A255" s="1"/>
      <c r="B255" s="1"/>
    </row>
    <row r="256" spans="1:2" ht="12.75" customHeight="1" x14ac:dyDescent="0.25">
      <c r="A256" s="1"/>
      <c r="B256" s="1"/>
    </row>
    <row r="257" spans="1:2" ht="12.75" customHeight="1" x14ac:dyDescent="0.25">
      <c r="A257" s="1"/>
      <c r="B257" s="1"/>
    </row>
    <row r="258" spans="1:2" ht="12.75" customHeight="1" x14ac:dyDescent="0.25">
      <c r="A258" s="1"/>
      <c r="B258" s="1"/>
    </row>
    <row r="259" spans="1:2" ht="12.75" customHeight="1" x14ac:dyDescent="0.25">
      <c r="A259" s="1"/>
      <c r="B259" s="1"/>
    </row>
    <row r="260" spans="1:2" ht="12.75" customHeight="1" x14ac:dyDescent="0.25">
      <c r="A260" s="1"/>
      <c r="B260" s="1"/>
    </row>
    <row r="261" spans="1:2" ht="12.75" customHeight="1" x14ac:dyDescent="0.25">
      <c r="A261" s="1"/>
      <c r="B261" s="1"/>
    </row>
    <row r="262" spans="1:2" ht="12.75" customHeight="1" x14ac:dyDescent="0.25">
      <c r="A262" s="1"/>
      <c r="B262" s="1"/>
    </row>
    <row r="263" spans="1:2" ht="12.75" customHeight="1" x14ac:dyDescent="0.25">
      <c r="A263" s="1"/>
      <c r="B263" s="1"/>
    </row>
    <row r="264" spans="1:2" ht="12.75" customHeight="1" x14ac:dyDescent="0.25">
      <c r="A264" s="1"/>
      <c r="B264" s="1"/>
    </row>
    <row r="265" spans="1:2" ht="12.75" customHeight="1" x14ac:dyDescent="0.25">
      <c r="A265" s="1"/>
      <c r="B265" s="1"/>
    </row>
    <row r="266" spans="1:2" ht="12.75" customHeight="1" x14ac:dyDescent="0.25">
      <c r="A266" s="1"/>
      <c r="B266" s="1"/>
    </row>
    <row r="267" spans="1:2" ht="12.75" customHeight="1" x14ac:dyDescent="0.25">
      <c r="A267" s="1"/>
      <c r="B267" s="1"/>
    </row>
    <row r="268" spans="1:2" ht="12.75" customHeight="1" x14ac:dyDescent="0.25">
      <c r="A268" s="1"/>
      <c r="B268" s="1"/>
    </row>
    <row r="269" spans="1:2" ht="12.75" customHeight="1" x14ac:dyDescent="0.25">
      <c r="A269" s="1"/>
      <c r="B269" s="1"/>
    </row>
    <row r="270" spans="1:2" ht="12.75" customHeight="1" x14ac:dyDescent="0.25">
      <c r="A270" s="1"/>
      <c r="B270" s="1"/>
    </row>
    <row r="271" spans="1:2" ht="12.75" customHeight="1" x14ac:dyDescent="0.25">
      <c r="A271" s="1"/>
      <c r="B271" s="1"/>
    </row>
    <row r="272" spans="1:2" ht="12.75" customHeight="1" x14ac:dyDescent="0.25">
      <c r="A272" s="1"/>
      <c r="B272" s="1"/>
    </row>
    <row r="273" spans="1:2" ht="12.75" customHeight="1" x14ac:dyDescent="0.25">
      <c r="A273" s="1"/>
      <c r="B273" s="1"/>
    </row>
    <row r="274" spans="1:2" ht="12.75" customHeight="1" x14ac:dyDescent="0.25">
      <c r="A274" s="1"/>
      <c r="B274" s="1"/>
    </row>
    <row r="275" spans="1:2" ht="12.75" customHeight="1" x14ac:dyDescent="0.25">
      <c r="A275" s="1"/>
      <c r="B275" s="1"/>
    </row>
    <row r="276" spans="1:2" ht="12.75" customHeight="1" x14ac:dyDescent="0.25">
      <c r="A276" s="1"/>
      <c r="B276" s="1"/>
    </row>
    <row r="277" spans="1:2" ht="12.75" customHeight="1" x14ac:dyDescent="0.25">
      <c r="A277" s="1"/>
      <c r="B277" s="1"/>
    </row>
    <row r="278" spans="1:2" ht="12.75" customHeight="1" x14ac:dyDescent="0.25">
      <c r="A278" s="1"/>
      <c r="B278" s="1"/>
    </row>
    <row r="279" spans="1:2" ht="12.75" customHeight="1" x14ac:dyDescent="0.25">
      <c r="A279" s="1"/>
      <c r="B279" s="1"/>
    </row>
    <row r="280" spans="1:2" ht="12.75" customHeight="1" x14ac:dyDescent="0.25">
      <c r="A280" s="1"/>
      <c r="B280" s="1"/>
    </row>
    <row r="281" spans="1:2" ht="12.75" customHeight="1" x14ac:dyDescent="0.25">
      <c r="A281" s="1"/>
      <c r="B281" s="1"/>
    </row>
    <row r="282" spans="1:2" ht="12.75" customHeight="1" x14ac:dyDescent="0.25">
      <c r="A282" s="1"/>
      <c r="B282" s="1"/>
    </row>
    <row r="283" spans="1:2" ht="12.75" customHeight="1" x14ac:dyDescent="0.25">
      <c r="A283" s="1"/>
      <c r="B283" s="1"/>
    </row>
    <row r="284" spans="1:2" ht="12.75" customHeight="1" x14ac:dyDescent="0.25">
      <c r="A284" s="1"/>
      <c r="B284" s="1"/>
    </row>
    <row r="285" spans="1:2" ht="12.75" customHeight="1" x14ac:dyDescent="0.25">
      <c r="A285" s="1"/>
      <c r="B285" s="1"/>
    </row>
    <row r="286" spans="1:2" ht="12.75" customHeight="1" x14ac:dyDescent="0.25">
      <c r="A286" s="1"/>
      <c r="B286" s="1"/>
    </row>
    <row r="287" spans="1:2" ht="12.75" customHeight="1" x14ac:dyDescent="0.25">
      <c r="A287" s="1"/>
      <c r="B287" s="1"/>
    </row>
    <row r="288" spans="1:2" ht="12.75" customHeight="1" x14ac:dyDescent="0.25">
      <c r="A288" s="1"/>
      <c r="B288" s="1"/>
    </row>
    <row r="289" spans="1:2" ht="12.75" customHeight="1" x14ac:dyDescent="0.25">
      <c r="A289" s="1"/>
      <c r="B289" s="1"/>
    </row>
    <row r="290" spans="1:2" ht="12.75" customHeight="1" x14ac:dyDescent="0.25">
      <c r="A290" s="1"/>
      <c r="B290" s="1"/>
    </row>
    <row r="291" spans="1:2" ht="12.75" customHeight="1" x14ac:dyDescent="0.25">
      <c r="A291" s="1"/>
      <c r="B291" s="1"/>
    </row>
    <row r="292" spans="1:2" ht="12.75" customHeight="1" x14ac:dyDescent="0.25">
      <c r="A292" s="1"/>
      <c r="B292" s="1"/>
    </row>
    <row r="293" spans="1:2" ht="12.75" customHeight="1" x14ac:dyDescent="0.25">
      <c r="A293" s="1"/>
      <c r="B293" s="1"/>
    </row>
    <row r="294" spans="1:2" ht="12.75" customHeight="1" x14ac:dyDescent="0.25">
      <c r="A294" s="1"/>
      <c r="B294" s="1"/>
    </row>
    <row r="295" spans="1:2" ht="12.75" customHeight="1" x14ac:dyDescent="0.25">
      <c r="A295" s="1"/>
      <c r="B295" s="1"/>
    </row>
    <row r="296" spans="1:2" ht="12.75" customHeight="1" x14ac:dyDescent="0.25">
      <c r="A296" s="1"/>
      <c r="B296" s="1"/>
    </row>
    <row r="297" spans="1:2" ht="12.75" customHeight="1" x14ac:dyDescent="0.25">
      <c r="A297" s="1"/>
      <c r="B297" s="1"/>
    </row>
    <row r="298" spans="1:2" ht="12.75" customHeight="1" x14ac:dyDescent="0.25">
      <c r="A298" s="1"/>
      <c r="B298" s="1"/>
    </row>
    <row r="299" spans="1:2" ht="12.75" customHeight="1" x14ac:dyDescent="0.25">
      <c r="A299" s="1"/>
      <c r="B299" s="1"/>
    </row>
    <row r="300" spans="1:2" ht="12.75" customHeight="1" x14ac:dyDescent="0.25">
      <c r="A300" s="1"/>
      <c r="B300" s="1"/>
    </row>
    <row r="301" spans="1:2" ht="12.75" customHeight="1" x14ac:dyDescent="0.25">
      <c r="A301" s="1"/>
      <c r="B301" s="1"/>
    </row>
    <row r="302" spans="1:2" ht="12.75" customHeight="1" x14ac:dyDescent="0.25">
      <c r="A302" s="1"/>
      <c r="B302" s="1"/>
    </row>
    <row r="303" spans="1:2" ht="12.75" customHeight="1" x14ac:dyDescent="0.25">
      <c r="A303" s="1"/>
      <c r="B303" s="1"/>
    </row>
    <row r="304" spans="1:2" ht="12.75" customHeight="1" x14ac:dyDescent="0.25">
      <c r="A304" s="1"/>
      <c r="B304" s="1"/>
    </row>
    <row r="305" spans="1:2" ht="12.75" customHeight="1" x14ac:dyDescent="0.25">
      <c r="A305" s="1"/>
      <c r="B305" s="1"/>
    </row>
    <row r="306" spans="1:2" ht="12.75" customHeight="1" x14ac:dyDescent="0.25">
      <c r="A306" s="1"/>
      <c r="B306" s="1"/>
    </row>
    <row r="307" spans="1:2" ht="12.75" customHeight="1" x14ac:dyDescent="0.25">
      <c r="A307" s="1"/>
      <c r="B307" s="1"/>
    </row>
    <row r="308" spans="1:2" ht="12.75" customHeight="1" x14ac:dyDescent="0.25">
      <c r="A308" s="1"/>
      <c r="B308" s="1"/>
    </row>
    <row r="309" spans="1:2" ht="12.75" customHeight="1" x14ac:dyDescent="0.25">
      <c r="A309" s="1"/>
      <c r="B309" s="1"/>
    </row>
    <row r="310" spans="1:2" ht="12.75" customHeight="1" x14ac:dyDescent="0.25">
      <c r="A310" s="1"/>
      <c r="B310" s="1"/>
    </row>
    <row r="311" spans="1:2" ht="12.75" customHeight="1" x14ac:dyDescent="0.25">
      <c r="A311" s="1"/>
      <c r="B311" s="1"/>
    </row>
    <row r="312" spans="1:2" ht="12.75" customHeight="1" x14ac:dyDescent="0.25">
      <c r="A312" s="1"/>
      <c r="B312" s="1"/>
    </row>
    <row r="313" spans="1:2" ht="12.75" customHeight="1" x14ac:dyDescent="0.25">
      <c r="A313" s="1"/>
      <c r="B313" s="1"/>
    </row>
    <row r="314" spans="1:2" ht="12.75" customHeight="1" x14ac:dyDescent="0.25">
      <c r="A314" s="1"/>
      <c r="B314" s="1"/>
    </row>
    <row r="315" spans="1:2" ht="12.75" customHeight="1" x14ac:dyDescent="0.25">
      <c r="A315" s="1"/>
      <c r="B315" s="1"/>
    </row>
    <row r="316" spans="1:2" ht="12.75" customHeight="1" x14ac:dyDescent="0.25">
      <c r="A316" s="1"/>
      <c r="B316" s="1"/>
    </row>
    <row r="317" spans="1:2" ht="12.75" customHeight="1" x14ac:dyDescent="0.25">
      <c r="A317" s="1"/>
      <c r="B317" s="1"/>
    </row>
    <row r="318" spans="1:2" ht="12.75" customHeight="1" x14ac:dyDescent="0.25">
      <c r="A318" s="1"/>
      <c r="B318" s="1"/>
    </row>
    <row r="319" spans="1:2" ht="12.75" customHeight="1" x14ac:dyDescent="0.25">
      <c r="A319" s="1"/>
      <c r="B319" s="1"/>
    </row>
    <row r="320" spans="1:2" ht="12.75" customHeight="1" x14ac:dyDescent="0.25">
      <c r="A320" s="1"/>
      <c r="B320" s="1"/>
    </row>
    <row r="321" spans="1:2" ht="12.75" customHeight="1" x14ac:dyDescent="0.25">
      <c r="A321" s="1"/>
      <c r="B321" s="1"/>
    </row>
    <row r="322" spans="1:2" ht="12.75" customHeight="1" x14ac:dyDescent="0.25">
      <c r="A322" s="1"/>
      <c r="B322" s="1"/>
    </row>
    <row r="323" spans="1:2" ht="12.75" customHeight="1" x14ac:dyDescent="0.25">
      <c r="A323" s="1"/>
      <c r="B323" s="1"/>
    </row>
    <row r="324" spans="1:2" ht="12.75" customHeight="1" x14ac:dyDescent="0.25">
      <c r="A324" s="1"/>
      <c r="B324" s="1"/>
    </row>
    <row r="325" spans="1:2" ht="12.75" customHeight="1" x14ac:dyDescent="0.25">
      <c r="A325" s="1"/>
      <c r="B325" s="1"/>
    </row>
    <row r="326" spans="1:2" ht="12.75" customHeight="1" x14ac:dyDescent="0.25">
      <c r="A326" s="1"/>
      <c r="B326" s="1"/>
    </row>
    <row r="327" spans="1:2" ht="12.75" customHeight="1" x14ac:dyDescent="0.25">
      <c r="A327" s="1"/>
      <c r="B327" s="1"/>
    </row>
    <row r="328" spans="1:2" ht="12.75" customHeight="1" x14ac:dyDescent="0.25">
      <c r="A328" s="1"/>
      <c r="B328" s="1"/>
    </row>
    <row r="329" spans="1:2" ht="12.75" customHeight="1" x14ac:dyDescent="0.25">
      <c r="A329" s="1"/>
      <c r="B329" s="1"/>
    </row>
    <row r="330" spans="1:2" ht="12.75" customHeight="1" x14ac:dyDescent="0.25">
      <c r="A330" s="1"/>
      <c r="B330" s="1"/>
    </row>
    <row r="331" spans="1:2" ht="12.75" customHeight="1" x14ac:dyDescent="0.25">
      <c r="A331" s="1"/>
      <c r="B331" s="1"/>
    </row>
    <row r="332" spans="1:2" ht="12.75" customHeight="1" x14ac:dyDescent="0.25">
      <c r="A332" s="1"/>
      <c r="B332" s="1"/>
    </row>
    <row r="333" spans="1:2" ht="12.75" customHeight="1" x14ac:dyDescent="0.25">
      <c r="A333" s="1"/>
      <c r="B333" s="1"/>
    </row>
    <row r="334" spans="1:2" ht="12.75" customHeight="1" x14ac:dyDescent="0.25">
      <c r="A334" s="1"/>
      <c r="B334" s="1"/>
    </row>
    <row r="335" spans="1:2" ht="12.75" customHeight="1" x14ac:dyDescent="0.25">
      <c r="A335" s="1"/>
      <c r="B335" s="1"/>
    </row>
    <row r="336" spans="1:2" ht="12.75" customHeight="1" x14ac:dyDescent="0.25">
      <c r="A336" s="1"/>
      <c r="B336" s="1"/>
    </row>
    <row r="337" spans="1:2" ht="12.75" customHeight="1" x14ac:dyDescent="0.25">
      <c r="A337" s="1"/>
      <c r="B337" s="1"/>
    </row>
    <row r="338" spans="1:2" ht="12.75" customHeight="1" x14ac:dyDescent="0.25">
      <c r="A338" s="1"/>
      <c r="B338" s="1"/>
    </row>
    <row r="339" spans="1:2" ht="12.75" customHeight="1" x14ac:dyDescent="0.25">
      <c r="A339" s="1"/>
      <c r="B339" s="1"/>
    </row>
    <row r="340" spans="1:2" ht="12.75" customHeight="1" x14ac:dyDescent="0.25">
      <c r="A340" s="1"/>
      <c r="B340" s="1"/>
    </row>
    <row r="341" spans="1:2" ht="12.75" customHeight="1" x14ac:dyDescent="0.25">
      <c r="A341" s="1"/>
      <c r="B341" s="1"/>
    </row>
    <row r="342" spans="1:2" ht="12.75" customHeight="1" x14ac:dyDescent="0.25">
      <c r="A342" s="1"/>
      <c r="B342" s="1"/>
    </row>
    <row r="343" spans="1:2" ht="12.75" customHeight="1" x14ac:dyDescent="0.25">
      <c r="A343" s="1"/>
      <c r="B343" s="1"/>
    </row>
    <row r="344" spans="1:2" ht="12.75" customHeight="1" x14ac:dyDescent="0.25">
      <c r="A344" s="1"/>
      <c r="B344" s="1"/>
    </row>
    <row r="345" spans="1:2" ht="12.75" customHeight="1" x14ac:dyDescent="0.25">
      <c r="A345" s="1"/>
      <c r="B345" s="1"/>
    </row>
    <row r="346" spans="1:2" ht="12.75" customHeight="1" x14ac:dyDescent="0.25">
      <c r="A346" s="1"/>
      <c r="B346" s="1"/>
    </row>
    <row r="347" spans="1:2" ht="12.75" customHeight="1" x14ac:dyDescent="0.25">
      <c r="A347" s="1"/>
      <c r="B347" s="1"/>
    </row>
    <row r="348" spans="1:2" ht="12.75" customHeight="1" x14ac:dyDescent="0.25">
      <c r="A348" s="1"/>
      <c r="B348" s="1"/>
    </row>
    <row r="349" spans="1:2" ht="12.75" customHeight="1" x14ac:dyDescent="0.25">
      <c r="A349" s="1"/>
      <c r="B349" s="1"/>
    </row>
    <row r="350" spans="1:2" ht="12.75" customHeight="1" x14ac:dyDescent="0.25">
      <c r="A350" s="1"/>
      <c r="B350" s="1"/>
    </row>
    <row r="351" spans="1:2" ht="12.75" customHeight="1" x14ac:dyDescent="0.25">
      <c r="A351" s="1"/>
      <c r="B351" s="1"/>
    </row>
    <row r="352" spans="1:2" ht="12.75" customHeight="1" x14ac:dyDescent="0.25">
      <c r="A352" s="1"/>
      <c r="B352" s="1"/>
    </row>
    <row r="353" spans="1:2" ht="12.75" customHeight="1" x14ac:dyDescent="0.25">
      <c r="A353" s="1"/>
      <c r="B353" s="1"/>
    </row>
    <row r="354" spans="1:2" ht="12.75" customHeight="1" x14ac:dyDescent="0.25">
      <c r="A354" s="1"/>
      <c r="B354" s="1"/>
    </row>
    <row r="355" spans="1:2" ht="12.75" customHeight="1" x14ac:dyDescent="0.25">
      <c r="A355" s="1"/>
      <c r="B355" s="1"/>
    </row>
    <row r="356" spans="1:2" ht="12.75" customHeight="1" x14ac:dyDescent="0.25">
      <c r="A356" s="1"/>
      <c r="B356" s="1"/>
    </row>
    <row r="357" spans="1:2" ht="12.75" customHeight="1" x14ac:dyDescent="0.25">
      <c r="A357" s="1"/>
      <c r="B357" s="1"/>
    </row>
    <row r="358" spans="1:2" ht="12.75" customHeight="1" x14ac:dyDescent="0.25">
      <c r="A358" s="1"/>
      <c r="B358" s="1"/>
    </row>
    <row r="359" spans="1:2" ht="12.75" customHeight="1" x14ac:dyDescent="0.25">
      <c r="A359" s="1"/>
      <c r="B359" s="1"/>
    </row>
    <row r="360" spans="1:2" ht="12.75" customHeight="1" x14ac:dyDescent="0.25">
      <c r="A360" s="1"/>
      <c r="B360" s="1"/>
    </row>
    <row r="361" spans="1:2" ht="12.75" customHeight="1" x14ac:dyDescent="0.25">
      <c r="A361" s="1"/>
      <c r="B361" s="1"/>
    </row>
    <row r="362" spans="1:2" ht="12.75" customHeight="1" x14ac:dyDescent="0.25">
      <c r="A362" s="1"/>
      <c r="B362" s="1"/>
    </row>
    <row r="363" spans="1:2" ht="12.75" customHeight="1" x14ac:dyDescent="0.25">
      <c r="A363" s="1"/>
      <c r="B363" s="1"/>
    </row>
    <row r="364" spans="1:2" ht="12.75" customHeight="1" x14ac:dyDescent="0.25">
      <c r="A364" s="1"/>
      <c r="B364" s="1"/>
    </row>
    <row r="365" spans="1:2" ht="12.75" customHeight="1" x14ac:dyDescent="0.25">
      <c r="A365" s="1"/>
      <c r="B365" s="1"/>
    </row>
    <row r="366" spans="1:2" ht="12.75" customHeight="1" x14ac:dyDescent="0.25">
      <c r="A366" s="1"/>
      <c r="B366" s="1"/>
    </row>
    <row r="367" spans="1:2" ht="12.75" customHeight="1" x14ac:dyDescent="0.25">
      <c r="A367" s="1"/>
      <c r="B367" s="1"/>
    </row>
    <row r="368" spans="1:2" ht="12.75" customHeight="1" x14ac:dyDescent="0.25">
      <c r="A368" s="1"/>
      <c r="B368" s="1"/>
    </row>
    <row r="369" spans="1:2" ht="12.75" customHeight="1" x14ac:dyDescent="0.25">
      <c r="A369" s="1"/>
      <c r="B369" s="1"/>
    </row>
    <row r="370" spans="1:2" ht="12.75" customHeight="1" x14ac:dyDescent="0.25">
      <c r="A370" s="1"/>
      <c r="B370" s="1"/>
    </row>
    <row r="371" spans="1:2" ht="12.75" customHeight="1" x14ac:dyDescent="0.25">
      <c r="A371" s="1"/>
      <c r="B371" s="1"/>
    </row>
    <row r="372" spans="1:2" ht="12.75" customHeight="1" x14ac:dyDescent="0.25">
      <c r="A372" s="1"/>
      <c r="B372" s="1"/>
    </row>
    <row r="373" spans="1:2" ht="12.75" customHeight="1" x14ac:dyDescent="0.25">
      <c r="A373" s="1"/>
      <c r="B373" s="1"/>
    </row>
    <row r="374" spans="1:2" ht="12.75" customHeight="1" x14ac:dyDescent="0.25">
      <c r="A374" s="1"/>
      <c r="B374" s="1"/>
    </row>
    <row r="375" spans="1:2" ht="12.75" customHeight="1" x14ac:dyDescent="0.25">
      <c r="A375" s="1"/>
      <c r="B375" s="1"/>
    </row>
    <row r="376" spans="1:2" ht="12.75" customHeight="1" x14ac:dyDescent="0.25">
      <c r="A376" s="1"/>
      <c r="B376" s="1"/>
    </row>
    <row r="377" spans="1:2" ht="12.75" customHeight="1" x14ac:dyDescent="0.25">
      <c r="A377" s="1"/>
      <c r="B377" s="1"/>
    </row>
    <row r="378" spans="1:2" ht="12.75" customHeight="1" x14ac:dyDescent="0.25">
      <c r="A378" s="1"/>
      <c r="B378" s="1"/>
    </row>
    <row r="379" spans="1:2" ht="12.75" customHeight="1" x14ac:dyDescent="0.25">
      <c r="A379" s="1"/>
      <c r="B379" s="1"/>
    </row>
    <row r="380" spans="1:2" ht="12.75" customHeight="1" x14ac:dyDescent="0.25">
      <c r="A380" s="1"/>
      <c r="B380" s="1"/>
    </row>
    <row r="381" spans="1:2" ht="12.75" customHeight="1" x14ac:dyDescent="0.25">
      <c r="A381" s="1"/>
      <c r="B381" s="1"/>
    </row>
    <row r="382" spans="1:2" ht="12.75" customHeight="1" x14ac:dyDescent="0.25">
      <c r="A382" s="1"/>
      <c r="B382" s="1"/>
    </row>
    <row r="383" spans="1:2" ht="12.75" customHeight="1" x14ac:dyDescent="0.25">
      <c r="A383" s="1"/>
      <c r="B383" s="1"/>
    </row>
    <row r="384" spans="1:2" ht="12.75" customHeight="1" x14ac:dyDescent="0.25">
      <c r="A384" s="1"/>
      <c r="B384" s="1"/>
    </row>
    <row r="385" spans="1:2" ht="12.75" customHeight="1" x14ac:dyDescent="0.25">
      <c r="A385" s="1"/>
      <c r="B385" s="1"/>
    </row>
    <row r="386" spans="1:2" ht="12.75" customHeight="1" x14ac:dyDescent="0.25">
      <c r="A386" s="1"/>
      <c r="B386" s="1"/>
    </row>
    <row r="387" spans="1:2" ht="12.75" customHeight="1" x14ac:dyDescent="0.25">
      <c r="A387" s="1"/>
      <c r="B387" s="1"/>
    </row>
    <row r="388" spans="1:2" ht="12.75" customHeight="1" x14ac:dyDescent="0.25">
      <c r="A388" s="1"/>
      <c r="B388" s="1"/>
    </row>
    <row r="389" spans="1:2" ht="12.75" customHeight="1" x14ac:dyDescent="0.25">
      <c r="A389" s="1"/>
      <c r="B389" s="1"/>
    </row>
    <row r="390" spans="1:2" ht="12.75" customHeight="1" x14ac:dyDescent="0.25">
      <c r="A390" s="1"/>
      <c r="B390" s="1"/>
    </row>
    <row r="391" spans="1:2" ht="12.75" customHeight="1" x14ac:dyDescent="0.25">
      <c r="A391" s="1"/>
      <c r="B391" s="1"/>
    </row>
    <row r="392" spans="1:2" ht="12.75" customHeight="1" x14ac:dyDescent="0.25">
      <c r="A392" s="1"/>
      <c r="B392" s="1"/>
    </row>
    <row r="393" spans="1:2" ht="12.75" customHeight="1" x14ac:dyDescent="0.25">
      <c r="A393" s="1"/>
      <c r="B393" s="1"/>
    </row>
    <row r="394" spans="1:2" ht="12.75" customHeight="1" x14ac:dyDescent="0.25">
      <c r="A394" s="1"/>
      <c r="B394" s="1"/>
    </row>
    <row r="395" spans="1:2" ht="12.75" customHeight="1" x14ac:dyDescent="0.25">
      <c r="A395" s="1"/>
      <c r="B395" s="1"/>
    </row>
    <row r="396" spans="1:2" ht="12.75" customHeight="1" x14ac:dyDescent="0.25">
      <c r="A396" s="1"/>
      <c r="B396" s="1"/>
    </row>
    <row r="397" spans="1:2" ht="12.75" customHeight="1" x14ac:dyDescent="0.25">
      <c r="A397" s="1"/>
      <c r="B397" s="1"/>
    </row>
    <row r="398" spans="1:2" ht="12.75" customHeight="1" x14ac:dyDescent="0.25">
      <c r="A398" s="1"/>
      <c r="B398" s="1"/>
    </row>
    <row r="399" spans="1:2" ht="12.75" customHeight="1" x14ac:dyDescent="0.25">
      <c r="A399" s="1"/>
      <c r="B399" s="1"/>
    </row>
    <row r="400" spans="1:2" ht="12.75" customHeight="1" x14ac:dyDescent="0.25">
      <c r="A400" s="1"/>
      <c r="B400" s="1"/>
    </row>
    <row r="401" spans="1:2" ht="12.75" customHeight="1" x14ac:dyDescent="0.25">
      <c r="A401" s="1"/>
      <c r="B401" s="1"/>
    </row>
    <row r="402" spans="1:2" ht="12.75" customHeight="1" x14ac:dyDescent="0.25">
      <c r="A402" s="1"/>
      <c r="B402" s="1"/>
    </row>
    <row r="403" spans="1:2" ht="12.75" customHeight="1" x14ac:dyDescent="0.25">
      <c r="A403" s="1"/>
      <c r="B403" s="1"/>
    </row>
    <row r="404" spans="1:2" ht="12.75" customHeight="1" x14ac:dyDescent="0.25">
      <c r="A404" s="1"/>
      <c r="B404" s="1"/>
    </row>
    <row r="405" spans="1:2" ht="12.75" customHeight="1" x14ac:dyDescent="0.25">
      <c r="A405" s="1"/>
      <c r="B405" s="1"/>
    </row>
    <row r="406" spans="1:2" ht="12.75" customHeight="1" x14ac:dyDescent="0.25">
      <c r="A406" s="1"/>
      <c r="B406" s="1"/>
    </row>
    <row r="407" spans="1:2" ht="12.75" customHeight="1" x14ac:dyDescent="0.25">
      <c r="A407" s="1"/>
      <c r="B407" s="1"/>
    </row>
    <row r="408" spans="1:2" ht="12.75" customHeight="1" x14ac:dyDescent="0.25">
      <c r="A408" s="1"/>
      <c r="B408" s="1"/>
    </row>
    <row r="409" spans="1:2" ht="12.75" customHeight="1" x14ac:dyDescent="0.25">
      <c r="A409" s="1"/>
      <c r="B409" s="1"/>
    </row>
    <row r="410" spans="1:2" ht="12.75" customHeight="1" x14ac:dyDescent="0.25">
      <c r="A410" s="1"/>
      <c r="B410" s="1"/>
    </row>
    <row r="411" spans="1:2" ht="12.75" customHeight="1" x14ac:dyDescent="0.25">
      <c r="A411" s="1"/>
      <c r="B411" s="1"/>
    </row>
    <row r="412" spans="1:2" ht="12.75" customHeight="1" x14ac:dyDescent="0.25">
      <c r="A412" s="1"/>
      <c r="B412" s="1"/>
    </row>
    <row r="413" spans="1:2" ht="12.75" customHeight="1" x14ac:dyDescent="0.25">
      <c r="A413" s="1"/>
      <c r="B413" s="1"/>
    </row>
    <row r="414" spans="1:2" ht="12.75" customHeight="1" x14ac:dyDescent="0.25">
      <c r="A414" s="1"/>
      <c r="B414" s="1"/>
    </row>
    <row r="415" spans="1:2" ht="12.75" customHeight="1" x14ac:dyDescent="0.25">
      <c r="A415" s="1"/>
      <c r="B415" s="1"/>
    </row>
    <row r="416" spans="1:2" ht="12.75" customHeight="1" x14ac:dyDescent="0.25">
      <c r="A416" s="1"/>
      <c r="B416" s="1"/>
    </row>
    <row r="417" spans="1:2" ht="12.75" customHeight="1" x14ac:dyDescent="0.25">
      <c r="A417" s="1"/>
      <c r="B417" s="1"/>
    </row>
    <row r="418" spans="1:2" ht="12.75" customHeight="1" x14ac:dyDescent="0.25">
      <c r="A418" s="1"/>
      <c r="B418" s="1"/>
    </row>
    <row r="419" spans="1:2" ht="12.75" customHeight="1" x14ac:dyDescent="0.25">
      <c r="A419" s="1"/>
      <c r="B419" s="1"/>
    </row>
    <row r="420" spans="1:2" ht="12.75" customHeight="1" x14ac:dyDescent="0.25">
      <c r="A420" s="1"/>
      <c r="B420" s="1"/>
    </row>
    <row r="421" spans="1:2" ht="12.75" customHeight="1" x14ac:dyDescent="0.25">
      <c r="A421" s="1"/>
      <c r="B421" s="1"/>
    </row>
    <row r="422" spans="1:2" ht="12.75" customHeight="1" x14ac:dyDescent="0.25">
      <c r="A422" s="1"/>
      <c r="B422" s="1"/>
    </row>
    <row r="423" spans="1:2" ht="12.75" customHeight="1" x14ac:dyDescent="0.25">
      <c r="A423" s="1"/>
      <c r="B423" s="1"/>
    </row>
    <row r="424" spans="1:2" ht="12.75" customHeight="1" x14ac:dyDescent="0.25">
      <c r="A424" s="1"/>
      <c r="B424" s="1"/>
    </row>
    <row r="425" spans="1:2" ht="12.75" customHeight="1" x14ac:dyDescent="0.25">
      <c r="A425" s="1"/>
      <c r="B425" s="1"/>
    </row>
    <row r="426" spans="1:2" ht="12.75" customHeight="1" x14ac:dyDescent="0.25">
      <c r="A426" s="1"/>
      <c r="B426" s="1"/>
    </row>
    <row r="427" spans="1:2" ht="12.75" customHeight="1" x14ac:dyDescent="0.25">
      <c r="A427" s="1"/>
      <c r="B427" s="1"/>
    </row>
    <row r="428" spans="1:2" ht="12.75" customHeight="1" x14ac:dyDescent="0.25">
      <c r="A428" s="1"/>
      <c r="B428" s="1"/>
    </row>
    <row r="429" spans="1:2" ht="12.75" customHeight="1" x14ac:dyDescent="0.25">
      <c r="A429" s="1"/>
      <c r="B429" s="1"/>
    </row>
    <row r="430" spans="1:2" ht="12.75" customHeight="1" x14ac:dyDescent="0.25">
      <c r="A430" s="1"/>
      <c r="B430" s="1"/>
    </row>
    <row r="431" spans="1:2" ht="12.75" customHeight="1" x14ac:dyDescent="0.25">
      <c r="A431" s="1"/>
      <c r="B431" s="1"/>
    </row>
    <row r="432" spans="1:2" ht="12.75" customHeight="1" x14ac:dyDescent="0.25">
      <c r="A432" s="1"/>
      <c r="B432" s="1"/>
    </row>
    <row r="433" spans="1:2" ht="12.75" customHeight="1" x14ac:dyDescent="0.25">
      <c r="A433" s="1"/>
      <c r="B433" s="1"/>
    </row>
    <row r="434" spans="1:2" ht="12.75" customHeight="1" x14ac:dyDescent="0.25">
      <c r="A434" s="1"/>
      <c r="B434" s="1"/>
    </row>
    <row r="435" spans="1:2" ht="12.75" customHeight="1" x14ac:dyDescent="0.25">
      <c r="A435" s="1"/>
      <c r="B435" s="1"/>
    </row>
    <row r="436" spans="1:2" ht="12.75" customHeight="1" x14ac:dyDescent="0.25">
      <c r="A436" s="1"/>
      <c r="B436" s="1"/>
    </row>
    <row r="437" spans="1:2" ht="12.75" customHeight="1" x14ac:dyDescent="0.25">
      <c r="A437" s="1"/>
      <c r="B437" s="1"/>
    </row>
    <row r="438" spans="1:2" ht="12.75" customHeight="1" x14ac:dyDescent="0.25">
      <c r="A438" s="1"/>
      <c r="B438" s="1"/>
    </row>
    <row r="439" spans="1:2" ht="12.75" customHeight="1" x14ac:dyDescent="0.25">
      <c r="A439" s="1"/>
      <c r="B439" s="1"/>
    </row>
    <row r="440" spans="1:2" ht="12.75" customHeight="1" x14ac:dyDescent="0.25">
      <c r="A440" s="1"/>
      <c r="B440" s="1"/>
    </row>
    <row r="441" spans="1:2" ht="12.75" customHeight="1" x14ac:dyDescent="0.25">
      <c r="A441" s="1"/>
      <c r="B441" s="1"/>
    </row>
    <row r="442" spans="1:2" ht="12.75" customHeight="1" x14ac:dyDescent="0.25">
      <c r="A442" s="1"/>
      <c r="B442" s="1"/>
    </row>
    <row r="443" spans="1:2" ht="12.75" customHeight="1" x14ac:dyDescent="0.25">
      <c r="A443" s="1"/>
      <c r="B443" s="1"/>
    </row>
    <row r="444" spans="1:2" ht="12.75" customHeight="1" x14ac:dyDescent="0.25">
      <c r="A444" s="1"/>
      <c r="B444" s="1"/>
    </row>
    <row r="445" spans="1:2" ht="12.75" customHeight="1" x14ac:dyDescent="0.25">
      <c r="A445" s="1"/>
      <c r="B445" s="1"/>
    </row>
    <row r="446" spans="1:2" ht="12.75" customHeight="1" x14ac:dyDescent="0.25">
      <c r="A446" s="1"/>
      <c r="B446" s="1"/>
    </row>
    <row r="447" spans="1:2" ht="12.75" customHeight="1" x14ac:dyDescent="0.25">
      <c r="A447" s="1"/>
      <c r="B447" s="1"/>
    </row>
    <row r="448" spans="1:2" ht="12.75" customHeight="1" x14ac:dyDescent="0.25">
      <c r="A448" s="1"/>
      <c r="B448" s="1"/>
    </row>
    <row r="449" spans="1:2" ht="12.75" customHeight="1" x14ac:dyDescent="0.25">
      <c r="A449" s="1"/>
      <c r="B449" s="1"/>
    </row>
    <row r="450" spans="1:2" ht="12.75" customHeight="1" x14ac:dyDescent="0.25">
      <c r="A450" s="1"/>
      <c r="B450" s="1"/>
    </row>
    <row r="451" spans="1:2" ht="12.75" customHeight="1" x14ac:dyDescent="0.25">
      <c r="A451" s="1"/>
      <c r="B451" s="1"/>
    </row>
    <row r="452" spans="1:2" ht="12.75" customHeight="1" x14ac:dyDescent="0.25">
      <c r="A452" s="1"/>
      <c r="B452" s="1"/>
    </row>
    <row r="453" spans="1:2" ht="12.75" customHeight="1" x14ac:dyDescent="0.25">
      <c r="A453" s="1"/>
      <c r="B453" s="1"/>
    </row>
    <row r="454" spans="1:2" ht="12.75" customHeight="1" x14ac:dyDescent="0.25">
      <c r="A454" s="1"/>
      <c r="B454" s="1"/>
    </row>
    <row r="455" spans="1:2" ht="12.75" customHeight="1" x14ac:dyDescent="0.25">
      <c r="A455" s="1"/>
      <c r="B455" s="1"/>
    </row>
    <row r="456" spans="1:2" ht="12.75" customHeight="1" x14ac:dyDescent="0.25">
      <c r="A456" s="1"/>
      <c r="B456" s="1"/>
    </row>
    <row r="457" spans="1:2" ht="12.75" customHeight="1" x14ac:dyDescent="0.25">
      <c r="A457" s="1"/>
      <c r="B457" s="1"/>
    </row>
    <row r="458" spans="1:2" ht="12.75" customHeight="1" x14ac:dyDescent="0.25">
      <c r="A458" s="1"/>
      <c r="B458" s="1"/>
    </row>
    <row r="459" spans="1:2" ht="12.75" customHeight="1" x14ac:dyDescent="0.25">
      <c r="A459" s="1"/>
      <c r="B459" s="1"/>
    </row>
    <row r="460" spans="1:2" ht="12.75" customHeight="1" x14ac:dyDescent="0.25">
      <c r="A460" s="1"/>
      <c r="B460" s="1"/>
    </row>
    <row r="461" spans="1:2" ht="12.75" customHeight="1" x14ac:dyDescent="0.25">
      <c r="A461" s="1"/>
      <c r="B461" s="1"/>
    </row>
    <row r="462" spans="1:2" ht="12.75" customHeight="1" x14ac:dyDescent="0.25">
      <c r="A462" s="1"/>
      <c r="B462" s="1"/>
    </row>
    <row r="463" spans="1:2" ht="12.75" customHeight="1" x14ac:dyDescent="0.25">
      <c r="A463" s="1"/>
      <c r="B463" s="1"/>
    </row>
    <row r="464" spans="1:2" ht="12.75" customHeight="1" x14ac:dyDescent="0.25">
      <c r="A464" s="1"/>
      <c r="B464" s="1"/>
    </row>
    <row r="465" spans="1:2" ht="12.75" customHeight="1" x14ac:dyDescent="0.25">
      <c r="A465" s="1"/>
      <c r="B465" s="1"/>
    </row>
    <row r="466" spans="1:2" ht="12.75" customHeight="1" x14ac:dyDescent="0.25">
      <c r="A466" s="1"/>
      <c r="B466" s="1"/>
    </row>
    <row r="467" spans="1:2" ht="12.75" customHeight="1" x14ac:dyDescent="0.25">
      <c r="A467" s="1"/>
      <c r="B467" s="1"/>
    </row>
    <row r="468" spans="1:2" ht="12.75" customHeight="1" x14ac:dyDescent="0.25">
      <c r="A468" s="1"/>
      <c r="B468" s="1"/>
    </row>
    <row r="469" spans="1:2" ht="12.75" customHeight="1" x14ac:dyDescent="0.25">
      <c r="A469" s="1"/>
      <c r="B469" s="1"/>
    </row>
    <row r="470" spans="1:2" ht="12.75" customHeight="1" x14ac:dyDescent="0.25">
      <c r="A470" s="1"/>
      <c r="B470" s="1"/>
    </row>
    <row r="471" spans="1:2" ht="12.75" customHeight="1" x14ac:dyDescent="0.25">
      <c r="A471" s="1"/>
      <c r="B471" s="1"/>
    </row>
    <row r="472" spans="1:2" ht="12.75" customHeight="1" x14ac:dyDescent="0.25">
      <c r="A472" s="1"/>
      <c r="B472" s="1"/>
    </row>
    <row r="473" spans="1:2" ht="12.75" customHeight="1" x14ac:dyDescent="0.25">
      <c r="A473" s="1"/>
      <c r="B473" s="1"/>
    </row>
    <row r="474" spans="1:2" ht="12.75" customHeight="1" x14ac:dyDescent="0.25">
      <c r="A474" s="1"/>
      <c r="B474" s="1"/>
    </row>
    <row r="475" spans="1:2" ht="12.75" customHeight="1" x14ac:dyDescent="0.25">
      <c r="A475" s="1"/>
      <c r="B475" s="1"/>
    </row>
    <row r="476" spans="1:2" ht="12.75" customHeight="1" x14ac:dyDescent="0.25">
      <c r="A476" s="1"/>
      <c r="B476" s="1"/>
    </row>
    <row r="477" spans="1:2" ht="12.75" customHeight="1" x14ac:dyDescent="0.25">
      <c r="A477" s="1"/>
      <c r="B477" s="1"/>
    </row>
    <row r="478" spans="1:2" ht="12.75" customHeight="1" x14ac:dyDescent="0.25">
      <c r="A478" s="1"/>
      <c r="B478" s="1"/>
    </row>
    <row r="479" spans="1:2" ht="12.75" customHeight="1" x14ac:dyDescent="0.25">
      <c r="A479" s="1"/>
      <c r="B479" s="1"/>
    </row>
    <row r="480" spans="1:2" ht="12.75" customHeight="1" x14ac:dyDescent="0.25">
      <c r="A480" s="1"/>
      <c r="B480" s="1"/>
    </row>
    <row r="481" spans="1:2" ht="12.75" customHeight="1" x14ac:dyDescent="0.25">
      <c r="A481" s="1"/>
      <c r="B481" s="1"/>
    </row>
    <row r="482" spans="1:2" ht="12.75" customHeight="1" x14ac:dyDescent="0.25">
      <c r="A482" s="1"/>
      <c r="B482" s="1"/>
    </row>
    <row r="483" spans="1:2" ht="12.75" customHeight="1" x14ac:dyDescent="0.25">
      <c r="A483" s="1"/>
      <c r="B483" s="1"/>
    </row>
    <row r="484" spans="1:2" ht="12.75" customHeight="1" x14ac:dyDescent="0.25">
      <c r="A484" s="1"/>
      <c r="B484" s="1"/>
    </row>
    <row r="485" spans="1:2" ht="12.75" customHeight="1" x14ac:dyDescent="0.25">
      <c r="A485" s="1"/>
      <c r="B485" s="1"/>
    </row>
    <row r="486" spans="1:2" ht="12.75" customHeight="1" x14ac:dyDescent="0.25">
      <c r="A486" s="1"/>
      <c r="B486" s="1"/>
    </row>
    <row r="487" spans="1:2" ht="12.75" customHeight="1" x14ac:dyDescent="0.25">
      <c r="A487" s="1"/>
      <c r="B487" s="1"/>
    </row>
    <row r="488" spans="1:2" ht="12.75" customHeight="1" x14ac:dyDescent="0.25">
      <c r="A488" s="1"/>
      <c r="B488" s="1"/>
    </row>
    <row r="489" spans="1:2" ht="12.75" customHeight="1" x14ac:dyDescent="0.25">
      <c r="A489" s="1"/>
      <c r="B489" s="1"/>
    </row>
    <row r="490" spans="1:2" ht="12.75" customHeight="1" x14ac:dyDescent="0.25">
      <c r="A490" s="1"/>
      <c r="B490" s="1"/>
    </row>
    <row r="491" spans="1:2" ht="12.75" customHeight="1" x14ac:dyDescent="0.25">
      <c r="A491" s="1"/>
      <c r="B491" s="1"/>
    </row>
    <row r="492" spans="1:2" ht="12.75" customHeight="1" x14ac:dyDescent="0.25">
      <c r="A492" s="1"/>
      <c r="B492" s="1"/>
    </row>
    <row r="493" spans="1:2" ht="12.75" customHeight="1" x14ac:dyDescent="0.25">
      <c r="A493" s="1"/>
      <c r="B493" s="1"/>
    </row>
    <row r="494" spans="1:2" ht="12.75" customHeight="1" x14ac:dyDescent="0.25">
      <c r="A494" s="1"/>
      <c r="B494" s="1"/>
    </row>
    <row r="495" spans="1:2" ht="12.75" customHeight="1" x14ac:dyDescent="0.25">
      <c r="A495" s="1"/>
      <c r="B495" s="1"/>
    </row>
    <row r="496" spans="1:2" ht="12.75" customHeight="1" x14ac:dyDescent="0.25">
      <c r="A496" s="1"/>
      <c r="B496" s="1"/>
    </row>
    <row r="497" spans="1:2" ht="12.75" customHeight="1" x14ac:dyDescent="0.25">
      <c r="A497" s="1"/>
      <c r="B497" s="1"/>
    </row>
    <row r="498" spans="1:2" ht="12.75" customHeight="1" x14ac:dyDescent="0.25">
      <c r="A498" s="1"/>
      <c r="B498" s="1"/>
    </row>
    <row r="499" spans="1:2" ht="12.75" customHeight="1" x14ac:dyDescent="0.25">
      <c r="A499" s="1"/>
      <c r="B499" s="1"/>
    </row>
    <row r="500" spans="1:2" ht="12.75" customHeight="1" x14ac:dyDescent="0.25">
      <c r="A500" s="1"/>
      <c r="B500" s="1"/>
    </row>
    <row r="501" spans="1:2" ht="12.75" customHeight="1" x14ac:dyDescent="0.25">
      <c r="A501" s="1"/>
      <c r="B501" s="1"/>
    </row>
    <row r="502" spans="1:2" ht="12.75" customHeight="1" x14ac:dyDescent="0.25">
      <c r="A502" s="1"/>
      <c r="B502" s="1"/>
    </row>
    <row r="503" spans="1:2" ht="12.75" customHeight="1" x14ac:dyDescent="0.25">
      <c r="A503" s="1"/>
      <c r="B503" s="1"/>
    </row>
    <row r="504" spans="1:2" ht="12.75" customHeight="1" x14ac:dyDescent="0.25">
      <c r="A504" s="1"/>
      <c r="B504" s="1"/>
    </row>
    <row r="505" spans="1:2" ht="12.75" customHeight="1" x14ac:dyDescent="0.25">
      <c r="A505" s="1"/>
      <c r="B505" s="1"/>
    </row>
    <row r="506" spans="1:2" ht="12.75" customHeight="1" x14ac:dyDescent="0.25">
      <c r="A506" s="1"/>
      <c r="B506" s="1"/>
    </row>
    <row r="507" spans="1:2" ht="12.75" customHeight="1" x14ac:dyDescent="0.25">
      <c r="A507" s="1"/>
      <c r="B507" s="1"/>
    </row>
    <row r="508" spans="1:2" ht="12.75" customHeight="1" x14ac:dyDescent="0.25">
      <c r="A508" s="1"/>
      <c r="B508" s="1"/>
    </row>
    <row r="509" spans="1:2" ht="12.75" customHeight="1" x14ac:dyDescent="0.25">
      <c r="A509" s="1"/>
      <c r="B509" s="1"/>
    </row>
    <row r="510" spans="1:2" ht="12.75" customHeight="1" x14ac:dyDescent="0.25">
      <c r="A510" s="1"/>
      <c r="B510" s="1"/>
    </row>
    <row r="511" spans="1:2" ht="12.75" customHeight="1" x14ac:dyDescent="0.25">
      <c r="A511" s="1"/>
      <c r="B511" s="1"/>
    </row>
    <row r="512" spans="1:2" ht="12.75" customHeight="1" x14ac:dyDescent="0.25">
      <c r="A512" s="1"/>
      <c r="B512" s="1"/>
    </row>
    <row r="513" spans="1:2" ht="12.75" customHeight="1" x14ac:dyDescent="0.25">
      <c r="A513" s="1"/>
      <c r="B513" s="1"/>
    </row>
    <row r="514" spans="1:2" ht="12.75" customHeight="1" x14ac:dyDescent="0.25">
      <c r="A514" s="1"/>
      <c r="B514" s="1"/>
    </row>
    <row r="515" spans="1:2" ht="12.75" customHeight="1" x14ac:dyDescent="0.25">
      <c r="A515" s="1"/>
      <c r="B515" s="1"/>
    </row>
    <row r="516" spans="1:2" ht="12.75" customHeight="1" x14ac:dyDescent="0.25">
      <c r="A516" s="1"/>
      <c r="B516" s="1"/>
    </row>
    <row r="517" spans="1:2" ht="12.75" customHeight="1" x14ac:dyDescent="0.25">
      <c r="A517" s="1"/>
      <c r="B517" s="1"/>
    </row>
    <row r="518" spans="1:2" ht="12.75" customHeight="1" x14ac:dyDescent="0.25">
      <c r="A518" s="1"/>
      <c r="B518" s="1"/>
    </row>
    <row r="519" spans="1:2" ht="12.75" customHeight="1" x14ac:dyDescent="0.25">
      <c r="A519" s="1"/>
      <c r="B519" s="1"/>
    </row>
    <row r="520" spans="1:2" ht="12.75" customHeight="1" x14ac:dyDescent="0.25">
      <c r="A520" s="1"/>
      <c r="B520" s="1"/>
    </row>
    <row r="521" spans="1:2" ht="12.75" customHeight="1" x14ac:dyDescent="0.25">
      <c r="A521" s="1"/>
      <c r="B521" s="1"/>
    </row>
    <row r="522" spans="1:2" ht="12.75" customHeight="1" x14ac:dyDescent="0.25">
      <c r="A522" s="1"/>
      <c r="B522" s="1"/>
    </row>
    <row r="523" spans="1:2" ht="12.75" customHeight="1" x14ac:dyDescent="0.25">
      <c r="A523" s="1"/>
      <c r="B523" s="1"/>
    </row>
    <row r="524" spans="1:2" ht="12.75" customHeight="1" x14ac:dyDescent="0.25">
      <c r="A524" s="1"/>
      <c r="B524" s="1"/>
    </row>
    <row r="525" spans="1:2" ht="12.75" customHeight="1" x14ac:dyDescent="0.25">
      <c r="A525" s="1"/>
      <c r="B525" s="1"/>
    </row>
    <row r="526" spans="1:2" ht="12.75" customHeight="1" x14ac:dyDescent="0.25">
      <c r="A526" s="1"/>
      <c r="B526" s="1"/>
    </row>
    <row r="527" spans="1:2" ht="12.75" customHeight="1" x14ac:dyDescent="0.25">
      <c r="A527" s="1"/>
      <c r="B527" s="1"/>
    </row>
    <row r="528" spans="1:2" ht="12.75" customHeight="1" x14ac:dyDescent="0.25">
      <c r="A528" s="1"/>
      <c r="B528" s="1"/>
    </row>
    <row r="529" spans="1:2" ht="12.75" customHeight="1" x14ac:dyDescent="0.25">
      <c r="A529" s="1"/>
      <c r="B529" s="1"/>
    </row>
    <row r="530" spans="1:2" ht="12.75" customHeight="1" x14ac:dyDescent="0.25">
      <c r="A530" s="1"/>
      <c r="B530" s="1"/>
    </row>
    <row r="531" spans="1:2" ht="12.75" customHeight="1" x14ac:dyDescent="0.25">
      <c r="A531" s="1"/>
      <c r="B531" s="1"/>
    </row>
    <row r="532" spans="1:2" ht="12.75" customHeight="1" x14ac:dyDescent="0.25">
      <c r="A532" s="1"/>
      <c r="B532" s="1"/>
    </row>
    <row r="533" spans="1:2" ht="12.75" customHeight="1" x14ac:dyDescent="0.25">
      <c r="A533" s="1"/>
      <c r="B533" s="1"/>
    </row>
    <row r="534" spans="1:2" ht="12.75" customHeight="1" x14ac:dyDescent="0.25">
      <c r="A534" s="1"/>
      <c r="B534" s="1"/>
    </row>
    <row r="535" spans="1:2" ht="12.75" customHeight="1" x14ac:dyDescent="0.25">
      <c r="A535" s="1"/>
      <c r="B535" s="1"/>
    </row>
    <row r="536" spans="1:2" ht="12.75" customHeight="1" x14ac:dyDescent="0.25">
      <c r="A536" s="1"/>
      <c r="B536" s="1"/>
    </row>
    <row r="537" spans="1:2" ht="12.75" customHeight="1" x14ac:dyDescent="0.25">
      <c r="A537" s="1"/>
      <c r="B537" s="1"/>
    </row>
    <row r="538" spans="1:2" ht="12.75" customHeight="1" x14ac:dyDescent="0.25">
      <c r="A538" s="1"/>
      <c r="B538" s="1"/>
    </row>
    <row r="539" spans="1:2" ht="12.75" customHeight="1" x14ac:dyDescent="0.25">
      <c r="A539" s="1"/>
      <c r="B539" s="1"/>
    </row>
    <row r="540" spans="1:2" ht="12.75" customHeight="1" x14ac:dyDescent="0.25">
      <c r="A540" s="1"/>
      <c r="B540" s="1"/>
    </row>
    <row r="541" spans="1:2" ht="12.75" customHeight="1" x14ac:dyDescent="0.25">
      <c r="A541" s="1"/>
      <c r="B541" s="1"/>
    </row>
    <row r="542" spans="1:2" ht="12.75" customHeight="1" x14ac:dyDescent="0.25">
      <c r="A542" s="1"/>
      <c r="B542" s="1"/>
    </row>
    <row r="543" spans="1:2" ht="12.75" customHeight="1" x14ac:dyDescent="0.25">
      <c r="A543" s="1"/>
      <c r="B543" s="1"/>
    </row>
    <row r="544" spans="1:2" ht="12.75" customHeight="1" x14ac:dyDescent="0.25">
      <c r="A544" s="1"/>
      <c r="B544" s="1"/>
    </row>
    <row r="545" spans="1:2" ht="12.75" customHeight="1" x14ac:dyDescent="0.25">
      <c r="A545" s="1"/>
      <c r="B545" s="1"/>
    </row>
    <row r="546" spans="1:2" ht="12.75" customHeight="1" x14ac:dyDescent="0.25">
      <c r="A546" s="1"/>
      <c r="B546" s="1"/>
    </row>
    <row r="547" spans="1:2" ht="12.75" customHeight="1" x14ac:dyDescent="0.25">
      <c r="A547" s="1"/>
      <c r="B547" s="1"/>
    </row>
    <row r="548" spans="1:2" ht="12.75" customHeight="1" x14ac:dyDescent="0.25">
      <c r="A548" s="1"/>
      <c r="B548" s="1"/>
    </row>
    <row r="549" spans="1:2" ht="12.75" customHeight="1" x14ac:dyDescent="0.25">
      <c r="A549" s="1"/>
      <c r="B549" s="1"/>
    </row>
    <row r="550" spans="1:2" ht="12.75" customHeight="1" x14ac:dyDescent="0.25">
      <c r="A550" s="1"/>
      <c r="B550" s="1"/>
    </row>
    <row r="551" spans="1:2" ht="12.75" customHeight="1" x14ac:dyDescent="0.25">
      <c r="A551" s="1"/>
      <c r="B551" s="1"/>
    </row>
    <row r="552" spans="1:2" ht="12.75" customHeight="1" x14ac:dyDescent="0.25">
      <c r="A552" s="1"/>
      <c r="B552" s="1"/>
    </row>
    <row r="553" spans="1:2" ht="12.75" customHeight="1" x14ac:dyDescent="0.25">
      <c r="A553" s="1"/>
      <c r="B553" s="1"/>
    </row>
    <row r="554" spans="1:2" ht="12.75" customHeight="1" x14ac:dyDescent="0.25">
      <c r="A554" s="1"/>
      <c r="B554" s="1"/>
    </row>
    <row r="555" spans="1:2" ht="12.75" customHeight="1" x14ac:dyDescent="0.25">
      <c r="A555" s="1"/>
      <c r="B555" s="1"/>
    </row>
    <row r="556" spans="1:2" ht="12.75" customHeight="1" x14ac:dyDescent="0.25">
      <c r="A556" s="1"/>
      <c r="B556" s="1"/>
    </row>
    <row r="557" spans="1:2" ht="12.75" customHeight="1" x14ac:dyDescent="0.25">
      <c r="A557" s="1"/>
      <c r="B557" s="1"/>
    </row>
    <row r="558" spans="1:2" ht="12.75" customHeight="1" x14ac:dyDescent="0.25">
      <c r="A558" s="1"/>
      <c r="B558" s="1"/>
    </row>
    <row r="559" spans="1:2" ht="12.75" customHeight="1" x14ac:dyDescent="0.25">
      <c r="A559" s="1"/>
      <c r="B559" s="1"/>
    </row>
    <row r="560" spans="1:2" ht="12.75" customHeight="1" x14ac:dyDescent="0.25">
      <c r="A560" s="1"/>
      <c r="B560" s="1"/>
    </row>
    <row r="561" spans="1:2" ht="12.75" customHeight="1" x14ac:dyDescent="0.25">
      <c r="A561" s="1"/>
      <c r="B561" s="1"/>
    </row>
    <row r="562" spans="1:2" ht="12.75" customHeight="1" x14ac:dyDescent="0.25">
      <c r="A562" s="1"/>
      <c r="B562" s="1"/>
    </row>
    <row r="563" spans="1:2" ht="12.75" customHeight="1" x14ac:dyDescent="0.25">
      <c r="A563" s="1"/>
      <c r="B563" s="1"/>
    </row>
    <row r="564" spans="1:2" ht="12.75" customHeight="1" x14ac:dyDescent="0.25">
      <c r="A564" s="1"/>
      <c r="B564" s="1"/>
    </row>
    <row r="565" spans="1:2" ht="12.75" customHeight="1" x14ac:dyDescent="0.25">
      <c r="A565" s="1"/>
      <c r="B565" s="1"/>
    </row>
    <row r="566" spans="1:2" ht="12.75" customHeight="1" x14ac:dyDescent="0.25">
      <c r="A566" s="1"/>
      <c r="B566" s="1"/>
    </row>
    <row r="567" spans="1:2" ht="12.75" customHeight="1" x14ac:dyDescent="0.25">
      <c r="A567" s="1"/>
      <c r="B567" s="1"/>
    </row>
    <row r="568" spans="1:2" ht="12.75" customHeight="1" x14ac:dyDescent="0.25">
      <c r="A568" s="1"/>
      <c r="B568" s="1"/>
    </row>
    <row r="569" spans="1:2" ht="12.75" customHeight="1" x14ac:dyDescent="0.25">
      <c r="A569" s="1"/>
      <c r="B569" s="1"/>
    </row>
    <row r="570" spans="1:2" ht="12.75" customHeight="1" x14ac:dyDescent="0.25">
      <c r="A570" s="1"/>
      <c r="B570" s="1"/>
    </row>
    <row r="571" spans="1:2" ht="12.75" customHeight="1" x14ac:dyDescent="0.25">
      <c r="A571" s="1"/>
      <c r="B571" s="1"/>
    </row>
    <row r="572" spans="1:2" ht="12.75" customHeight="1" x14ac:dyDescent="0.25">
      <c r="A572" s="1"/>
      <c r="B572" s="1"/>
    </row>
    <row r="573" spans="1:2" ht="12.75" customHeight="1" x14ac:dyDescent="0.25">
      <c r="A573" s="1"/>
      <c r="B573" s="1"/>
    </row>
    <row r="574" spans="1:2" ht="12.75" customHeight="1" x14ac:dyDescent="0.25">
      <c r="A574" s="1"/>
      <c r="B574" s="1"/>
    </row>
    <row r="575" spans="1:2" ht="12.75" customHeight="1" x14ac:dyDescent="0.25">
      <c r="A575" s="1"/>
      <c r="B575" s="1"/>
    </row>
    <row r="576" spans="1:2" ht="12.75" customHeight="1" x14ac:dyDescent="0.25">
      <c r="A576" s="1"/>
      <c r="B576" s="1"/>
    </row>
    <row r="577" spans="1:2" ht="12.75" customHeight="1" x14ac:dyDescent="0.25">
      <c r="A577" s="1"/>
      <c r="B577" s="1"/>
    </row>
    <row r="578" spans="1:2" ht="12.75" customHeight="1" x14ac:dyDescent="0.25">
      <c r="A578" s="1"/>
      <c r="B578" s="1"/>
    </row>
    <row r="579" spans="1:2" ht="12.75" customHeight="1" x14ac:dyDescent="0.25">
      <c r="A579" s="1"/>
      <c r="B579" s="1"/>
    </row>
    <row r="580" spans="1:2" ht="12.75" customHeight="1" x14ac:dyDescent="0.25">
      <c r="A580" s="1"/>
      <c r="B580" s="1"/>
    </row>
    <row r="581" spans="1:2" ht="12.75" customHeight="1" x14ac:dyDescent="0.25">
      <c r="A581" s="1"/>
      <c r="B581" s="1"/>
    </row>
    <row r="582" spans="1:2" ht="12.75" customHeight="1" x14ac:dyDescent="0.25">
      <c r="A582" s="1"/>
      <c r="B582" s="1"/>
    </row>
    <row r="583" spans="1:2" ht="12.75" customHeight="1" x14ac:dyDescent="0.25">
      <c r="A583" s="1"/>
      <c r="B583" s="1"/>
    </row>
    <row r="584" spans="1:2" ht="12.75" customHeight="1" x14ac:dyDescent="0.25">
      <c r="A584" s="1"/>
      <c r="B584" s="1"/>
    </row>
    <row r="585" spans="1:2" ht="12.75" customHeight="1" x14ac:dyDescent="0.25">
      <c r="A585" s="1"/>
      <c r="B585" s="1"/>
    </row>
    <row r="586" spans="1:2" ht="12.75" customHeight="1" x14ac:dyDescent="0.25">
      <c r="A586" s="1"/>
      <c r="B586" s="1"/>
    </row>
    <row r="587" spans="1:2" ht="12.75" customHeight="1" x14ac:dyDescent="0.25">
      <c r="A587" s="1"/>
      <c r="B587" s="1"/>
    </row>
    <row r="588" spans="1:2" ht="12.75" customHeight="1" x14ac:dyDescent="0.25">
      <c r="A588" s="1"/>
      <c r="B588" s="1"/>
    </row>
    <row r="589" spans="1:2" ht="12.75" customHeight="1" x14ac:dyDescent="0.25">
      <c r="A589" s="1"/>
      <c r="B589" s="1"/>
    </row>
    <row r="590" spans="1:2" ht="12.75" customHeight="1" x14ac:dyDescent="0.25">
      <c r="A590" s="1"/>
      <c r="B590" s="1"/>
    </row>
    <row r="591" spans="1:2" ht="12.75" customHeight="1" x14ac:dyDescent="0.25">
      <c r="A591" s="1"/>
      <c r="B591" s="1"/>
    </row>
    <row r="592" spans="1:2" ht="12.75" customHeight="1" x14ac:dyDescent="0.25">
      <c r="A592" s="1"/>
      <c r="B592" s="1"/>
    </row>
    <row r="593" spans="1:2" ht="12.75" customHeight="1" x14ac:dyDescent="0.25">
      <c r="A593" s="1"/>
      <c r="B593" s="1"/>
    </row>
    <row r="594" spans="1:2" ht="12.75" customHeight="1" x14ac:dyDescent="0.25">
      <c r="A594" s="1"/>
      <c r="B594" s="1"/>
    </row>
    <row r="595" spans="1:2" ht="12.75" customHeight="1" x14ac:dyDescent="0.25">
      <c r="A595" s="1"/>
      <c r="B595" s="1"/>
    </row>
    <row r="596" spans="1:2" ht="12.75" customHeight="1" x14ac:dyDescent="0.25">
      <c r="A596" s="1"/>
      <c r="B596" s="1"/>
    </row>
    <row r="597" spans="1:2" ht="12.75" customHeight="1" x14ac:dyDescent="0.25">
      <c r="A597" s="1"/>
      <c r="B597" s="1"/>
    </row>
    <row r="598" spans="1:2" ht="12.75" customHeight="1" x14ac:dyDescent="0.25">
      <c r="A598" s="1"/>
      <c r="B598" s="1"/>
    </row>
    <row r="599" spans="1:2" ht="12.75" customHeight="1" x14ac:dyDescent="0.25">
      <c r="A599" s="1"/>
      <c r="B599" s="1"/>
    </row>
    <row r="600" spans="1:2" ht="12.75" customHeight="1" x14ac:dyDescent="0.25">
      <c r="A600" s="1"/>
      <c r="B600" s="1"/>
    </row>
    <row r="601" spans="1:2" ht="12.75" customHeight="1" x14ac:dyDescent="0.25">
      <c r="A601" s="1"/>
      <c r="B601" s="1"/>
    </row>
    <row r="602" spans="1:2" ht="12.75" customHeight="1" x14ac:dyDescent="0.25">
      <c r="A602" s="1"/>
      <c r="B602" s="1"/>
    </row>
    <row r="603" spans="1:2" ht="12.75" customHeight="1" x14ac:dyDescent="0.25">
      <c r="A603" s="1"/>
      <c r="B603" s="1"/>
    </row>
    <row r="604" spans="1:2" ht="12.75" customHeight="1" x14ac:dyDescent="0.25">
      <c r="A604" s="1"/>
      <c r="B604" s="1"/>
    </row>
    <row r="605" spans="1:2" ht="12.75" customHeight="1" x14ac:dyDescent="0.25">
      <c r="A605" s="1"/>
      <c r="B605" s="1"/>
    </row>
    <row r="606" spans="1:2" ht="12.75" customHeight="1" x14ac:dyDescent="0.25">
      <c r="A606" s="1"/>
      <c r="B606" s="1"/>
    </row>
    <row r="607" spans="1:2" ht="12.75" customHeight="1" x14ac:dyDescent="0.25">
      <c r="A607" s="1"/>
      <c r="B607" s="1"/>
    </row>
    <row r="608" spans="1:2" ht="12.75" customHeight="1" x14ac:dyDescent="0.25">
      <c r="A608" s="1"/>
      <c r="B608" s="1"/>
    </row>
    <row r="609" spans="1:2" ht="12.75" customHeight="1" x14ac:dyDescent="0.25">
      <c r="A609" s="1"/>
      <c r="B609" s="1"/>
    </row>
    <row r="610" spans="1:2" ht="12.75" customHeight="1" x14ac:dyDescent="0.25">
      <c r="A610" s="1"/>
      <c r="B610" s="1"/>
    </row>
    <row r="611" spans="1:2" ht="12.75" customHeight="1" x14ac:dyDescent="0.25">
      <c r="A611" s="1"/>
      <c r="B611" s="1"/>
    </row>
    <row r="612" spans="1:2" ht="12.75" customHeight="1" x14ac:dyDescent="0.25">
      <c r="A612" s="1"/>
      <c r="B612" s="1"/>
    </row>
    <row r="613" spans="1:2" ht="12.75" customHeight="1" x14ac:dyDescent="0.25">
      <c r="A613" s="1"/>
      <c r="B613" s="1"/>
    </row>
    <row r="614" spans="1:2" ht="12.75" customHeight="1" x14ac:dyDescent="0.25">
      <c r="A614" s="1"/>
      <c r="B614" s="1"/>
    </row>
    <row r="615" spans="1:2" ht="12.75" customHeight="1" x14ac:dyDescent="0.25">
      <c r="A615" s="1"/>
      <c r="B615" s="1"/>
    </row>
    <row r="616" spans="1:2" ht="12.75" customHeight="1" x14ac:dyDescent="0.25">
      <c r="A616" s="1"/>
      <c r="B616" s="1"/>
    </row>
    <row r="617" spans="1:2" ht="12.75" customHeight="1" x14ac:dyDescent="0.25">
      <c r="A617" s="1"/>
      <c r="B617" s="1"/>
    </row>
    <row r="618" spans="1:2" ht="12.75" customHeight="1" x14ac:dyDescent="0.25">
      <c r="A618" s="1"/>
      <c r="B618" s="1"/>
    </row>
    <row r="619" spans="1:2" ht="12.75" customHeight="1" x14ac:dyDescent="0.25">
      <c r="A619" s="1"/>
      <c r="B619" s="1"/>
    </row>
    <row r="620" spans="1:2" ht="12.75" customHeight="1" x14ac:dyDescent="0.25">
      <c r="A620" s="1"/>
      <c r="B620" s="1"/>
    </row>
    <row r="621" spans="1:2" ht="12.75" customHeight="1" x14ac:dyDescent="0.25">
      <c r="A621" s="1"/>
      <c r="B621" s="1"/>
    </row>
    <row r="622" spans="1:2" ht="12.75" customHeight="1" x14ac:dyDescent="0.25">
      <c r="A622" s="1"/>
      <c r="B622" s="1"/>
    </row>
    <row r="623" spans="1:2" ht="12.75" customHeight="1" x14ac:dyDescent="0.25">
      <c r="A623" s="1"/>
      <c r="B623" s="1"/>
    </row>
    <row r="624" spans="1:2" ht="12.75" customHeight="1" x14ac:dyDescent="0.25">
      <c r="A624" s="1"/>
      <c r="B624" s="1"/>
    </row>
    <row r="625" spans="1:2" ht="12.75" customHeight="1" x14ac:dyDescent="0.25">
      <c r="A625" s="1"/>
      <c r="B625" s="1"/>
    </row>
    <row r="626" spans="1:2" ht="12.75" customHeight="1" x14ac:dyDescent="0.25">
      <c r="A626" s="1"/>
      <c r="B626" s="1"/>
    </row>
    <row r="627" spans="1:2" ht="12.75" customHeight="1" x14ac:dyDescent="0.25">
      <c r="A627" s="1"/>
      <c r="B627" s="1"/>
    </row>
    <row r="628" spans="1:2" ht="12.75" customHeight="1" x14ac:dyDescent="0.25">
      <c r="A628" s="1"/>
      <c r="B628" s="1"/>
    </row>
    <row r="629" spans="1:2" ht="12.75" customHeight="1" x14ac:dyDescent="0.25">
      <c r="A629" s="1"/>
      <c r="B629" s="1"/>
    </row>
    <row r="630" spans="1:2" ht="12.75" customHeight="1" x14ac:dyDescent="0.25">
      <c r="A630" s="1"/>
      <c r="B630" s="1"/>
    </row>
    <row r="631" spans="1:2" ht="12.75" customHeight="1" x14ac:dyDescent="0.25">
      <c r="A631" s="1"/>
      <c r="B631" s="1"/>
    </row>
    <row r="632" spans="1:2" ht="12.75" customHeight="1" x14ac:dyDescent="0.25">
      <c r="A632" s="1"/>
      <c r="B632" s="1"/>
    </row>
    <row r="633" spans="1:2" ht="12.75" customHeight="1" x14ac:dyDescent="0.25">
      <c r="A633" s="1"/>
      <c r="B633" s="1"/>
    </row>
    <row r="634" spans="1:2" ht="12.75" customHeight="1" x14ac:dyDescent="0.25">
      <c r="A634" s="1"/>
      <c r="B634" s="1"/>
    </row>
    <row r="635" spans="1:2" ht="12.75" customHeight="1" x14ac:dyDescent="0.25">
      <c r="A635" s="1"/>
      <c r="B635" s="1"/>
    </row>
    <row r="636" spans="1:2" ht="12.75" customHeight="1" x14ac:dyDescent="0.25">
      <c r="A636" s="1"/>
      <c r="B636" s="1"/>
    </row>
    <row r="637" spans="1:2" ht="12.75" customHeight="1" x14ac:dyDescent="0.25">
      <c r="A637" s="1"/>
      <c r="B637" s="1"/>
    </row>
    <row r="638" spans="1:2" ht="12.75" customHeight="1" x14ac:dyDescent="0.25">
      <c r="A638" s="1"/>
      <c r="B638" s="1"/>
    </row>
    <row r="639" spans="1:2" ht="12.75" customHeight="1" x14ac:dyDescent="0.25">
      <c r="A639" s="1"/>
      <c r="B639" s="1"/>
    </row>
    <row r="640" spans="1:2" ht="12.75" customHeight="1" x14ac:dyDescent="0.25">
      <c r="A640" s="1"/>
      <c r="B640" s="1"/>
    </row>
    <row r="641" spans="1:2" ht="12.75" customHeight="1" x14ac:dyDescent="0.25">
      <c r="A641" s="1"/>
      <c r="B641" s="1"/>
    </row>
    <row r="642" spans="1:2" ht="12.75" customHeight="1" x14ac:dyDescent="0.25">
      <c r="A642" s="1"/>
      <c r="B642" s="1"/>
    </row>
    <row r="643" spans="1:2" ht="12.75" customHeight="1" x14ac:dyDescent="0.25">
      <c r="A643" s="1"/>
      <c r="B643" s="1"/>
    </row>
    <row r="644" spans="1:2" ht="12.75" customHeight="1" x14ac:dyDescent="0.25">
      <c r="A644" s="1"/>
      <c r="B644" s="1"/>
    </row>
    <row r="645" spans="1:2" ht="12.75" customHeight="1" x14ac:dyDescent="0.25">
      <c r="A645" s="1"/>
      <c r="B645" s="1"/>
    </row>
    <row r="646" spans="1:2" ht="12.75" customHeight="1" x14ac:dyDescent="0.25">
      <c r="A646" s="1"/>
      <c r="B646" s="1"/>
    </row>
    <row r="647" spans="1:2" ht="12.75" customHeight="1" x14ac:dyDescent="0.25">
      <c r="A647" s="1"/>
      <c r="B647" s="1"/>
    </row>
    <row r="648" spans="1:2" ht="12.75" customHeight="1" x14ac:dyDescent="0.25">
      <c r="A648" s="1"/>
      <c r="B648" s="1"/>
    </row>
    <row r="649" spans="1:2" ht="12.75" customHeight="1" x14ac:dyDescent="0.25">
      <c r="A649" s="1"/>
      <c r="B649" s="1"/>
    </row>
    <row r="650" spans="1:2" ht="12.75" customHeight="1" x14ac:dyDescent="0.25">
      <c r="A650" s="1"/>
      <c r="B650" s="1"/>
    </row>
    <row r="651" spans="1:2" ht="12.75" customHeight="1" x14ac:dyDescent="0.25">
      <c r="A651" s="1"/>
      <c r="B651" s="1"/>
    </row>
    <row r="652" spans="1:2" ht="12.75" customHeight="1" x14ac:dyDescent="0.25">
      <c r="A652" s="1"/>
      <c r="B652" s="1"/>
    </row>
    <row r="653" spans="1:2" ht="12.75" customHeight="1" x14ac:dyDescent="0.25">
      <c r="A653" s="1"/>
      <c r="B653" s="1"/>
    </row>
    <row r="654" spans="1:2" ht="12.75" customHeight="1" x14ac:dyDescent="0.25">
      <c r="A654" s="1"/>
      <c r="B654" s="1"/>
    </row>
    <row r="655" spans="1:2" ht="12.75" customHeight="1" x14ac:dyDescent="0.25">
      <c r="A655" s="1"/>
      <c r="B655" s="1"/>
    </row>
    <row r="656" spans="1:2" ht="12.75" customHeight="1" x14ac:dyDescent="0.25">
      <c r="A656" s="1"/>
      <c r="B656" s="1"/>
    </row>
    <row r="657" spans="1:2" ht="12.75" customHeight="1" x14ac:dyDescent="0.25">
      <c r="A657" s="1"/>
      <c r="B657" s="1"/>
    </row>
    <row r="658" spans="1:2" ht="12.75" customHeight="1" x14ac:dyDescent="0.25">
      <c r="A658" s="1"/>
      <c r="B658" s="1"/>
    </row>
    <row r="659" spans="1:2" ht="12.75" customHeight="1" x14ac:dyDescent="0.25">
      <c r="A659" s="1"/>
      <c r="B659" s="1"/>
    </row>
    <row r="660" spans="1:2" ht="12.75" customHeight="1" x14ac:dyDescent="0.25">
      <c r="A660" s="1"/>
      <c r="B660" s="1"/>
    </row>
    <row r="661" spans="1:2" ht="12.75" customHeight="1" x14ac:dyDescent="0.25">
      <c r="A661" s="1"/>
      <c r="B661" s="1"/>
    </row>
    <row r="662" spans="1:2" ht="12.75" customHeight="1" x14ac:dyDescent="0.25">
      <c r="A662" s="1"/>
      <c r="B662" s="1"/>
    </row>
    <row r="663" spans="1:2" ht="12.75" customHeight="1" x14ac:dyDescent="0.25">
      <c r="A663" s="1"/>
      <c r="B663" s="1"/>
    </row>
    <row r="664" spans="1:2" ht="12.75" customHeight="1" x14ac:dyDescent="0.25">
      <c r="A664" s="1"/>
      <c r="B664" s="1"/>
    </row>
    <row r="665" spans="1:2" ht="12.75" customHeight="1" x14ac:dyDescent="0.25">
      <c r="A665" s="1"/>
      <c r="B665" s="1"/>
    </row>
    <row r="666" spans="1:2" ht="12.75" customHeight="1" x14ac:dyDescent="0.25">
      <c r="A666" s="1"/>
      <c r="B666" s="1"/>
    </row>
    <row r="667" spans="1:2" ht="12.75" customHeight="1" x14ac:dyDescent="0.25">
      <c r="A667" s="1"/>
      <c r="B667" s="1"/>
    </row>
    <row r="668" spans="1:2" ht="12.75" customHeight="1" x14ac:dyDescent="0.25">
      <c r="A668" s="1"/>
      <c r="B668" s="1"/>
    </row>
    <row r="669" spans="1:2" ht="12.75" customHeight="1" x14ac:dyDescent="0.25">
      <c r="A669" s="1"/>
      <c r="B669" s="1"/>
    </row>
    <row r="670" spans="1:2" ht="12.75" customHeight="1" x14ac:dyDescent="0.25">
      <c r="A670" s="1"/>
      <c r="B670" s="1"/>
    </row>
    <row r="671" spans="1:2" ht="12.75" customHeight="1" x14ac:dyDescent="0.25">
      <c r="A671" s="1"/>
      <c r="B671" s="1"/>
    </row>
    <row r="672" spans="1:2" ht="12.75" customHeight="1" x14ac:dyDescent="0.25">
      <c r="A672" s="1"/>
      <c r="B672" s="1"/>
    </row>
    <row r="673" spans="1:2" ht="12.75" customHeight="1" x14ac:dyDescent="0.25">
      <c r="A673" s="1"/>
      <c r="B673" s="1"/>
    </row>
    <row r="674" spans="1:2" ht="12.75" customHeight="1" x14ac:dyDescent="0.25">
      <c r="A674" s="1"/>
      <c r="B674" s="1"/>
    </row>
    <row r="675" spans="1:2" ht="12.75" customHeight="1" x14ac:dyDescent="0.25">
      <c r="A675" s="1"/>
      <c r="B675" s="1"/>
    </row>
    <row r="676" spans="1:2" ht="12.75" customHeight="1" x14ac:dyDescent="0.25">
      <c r="A676" s="1"/>
      <c r="B676" s="1"/>
    </row>
    <row r="677" spans="1:2" ht="12.75" customHeight="1" x14ac:dyDescent="0.25">
      <c r="A677" s="1"/>
      <c r="B677" s="1"/>
    </row>
    <row r="678" spans="1:2" ht="12.75" customHeight="1" x14ac:dyDescent="0.25">
      <c r="A678" s="1"/>
      <c r="B678" s="1"/>
    </row>
    <row r="679" spans="1:2" ht="12.75" customHeight="1" x14ac:dyDescent="0.25">
      <c r="A679" s="1"/>
      <c r="B679" s="1"/>
    </row>
    <row r="680" spans="1:2" ht="12.75" customHeight="1" x14ac:dyDescent="0.25">
      <c r="A680" s="1"/>
      <c r="B680" s="1"/>
    </row>
    <row r="681" spans="1:2" ht="12.75" customHeight="1" x14ac:dyDescent="0.25">
      <c r="A681" s="1"/>
      <c r="B681" s="1"/>
    </row>
    <row r="682" spans="1:2" ht="12.75" customHeight="1" x14ac:dyDescent="0.25">
      <c r="A682" s="1"/>
      <c r="B682" s="1"/>
    </row>
    <row r="683" spans="1:2" ht="12.75" customHeight="1" x14ac:dyDescent="0.25">
      <c r="A683" s="1"/>
      <c r="B683" s="1"/>
    </row>
    <row r="684" spans="1:2" ht="12.75" customHeight="1" x14ac:dyDescent="0.25">
      <c r="A684" s="1"/>
      <c r="B684" s="1"/>
    </row>
    <row r="685" spans="1:2" ht="12.75" customHeight="1" x14ac:dyDescent="0.25">
      <c r="A685" s="1"/>
      <c r="B685" s="1"/>
    </row>
    <row r="686" spans="1:2" ht="12.75" customHeight="1" x14ac:dyDescent="0.25">
      <c r="A686" s="1"/>
      <c r="B686" s="1"/>
    </row>
    <row r="687" spans="1:2" ht="12.75" customHeight="1" x14ac:dyDescent="0.25">
      <c r="A687" s="1"/>
      <c r="B687" s="1"/>
    </row>
    <row r="688" spans="1:2" ht="12.75" customHeight="1" x14ac:dyDescent="0.25">
      <c r="A688" s="1"/>
      <c r="B688" s="1"/>
    </row>
    <row r="689" spans="1:2" ht="12.75" customHeight="1" x14ac:dyDescent="0.25">
      <c r="A689" s="1"/>
      <c r="B689" s="1"/>
    </row>
    <row r="690" spans="1:2" ht="12.75" customHeight="1" x14ac:dyDescent="0.25">
      <c r="A690" s="1"/>
      <c r="B690" s="1"/>
    </row>
    <row r="691" spans="1:2" ht="12.75" customHeight="1" x14ac:dyDescent="0.25">
      <c r="A691" s="1"/>
      <c r="B691" s="1"/>
    </row>
    <row r="692" spans="1:2" ht="12.75" customHeight="1" x14ac:dyDescent="0.25">
      <c r="A692" s="1"/>
      <c r="B692" s="1"/>
    </row>
    <row r="693" spans="1:2" ht="12.75" customHeight="1" x14ac:dyDescent="0.25">
      <c r="A693" s="1"/>
      <c r="B693" s="1"/>
    </row>
    <row r="694" spans="1:2" ht="12.75" customHeight="1" x14ac:dyDescent="0.25">
      <c r="A694" s="1"/>
      <c r="B694" s="1"/>
    </row>
    <row r="695" spans="1:2" ht="12.75" customHeight="1" x14ac:dyDescent="0.25">
      <c r="A695" s="1"/>
      <c r="B695" s="1"/>
    </row>
    <row r="696" spans="1:2" ht="12.75" customHeight="1" x14ac:dyDescent="0.25">
      <c r="A696" s="1"/>
      <c r="B696" s="1"/>
    </row>
    <row r="697" spans="1:2" ht="12.75" customHeight="1" x14ac:dyDescent="0.25">
      <c r="A697" s="1"/>
      <c r="B697" s="1"/>
    </row>
    <row r="698" spans="1:2" ht="12.75" customHeight="1" x14ac:dyDescent="0.25">
      <c r="A698" s="1"/>
      <c r="B698" s="1"/>
    </row>
    <row r="699" spans="1:2" ht="12.75" customHeight="1" x14ac:dyDescent="0.25">
      <c r="A699" s="1"/>
      <c r="B699" s="1"/>
    </row>
    <row r="700" spans="1:2" ht="12.75" customHeight="1" x14ac:dyDescent="0.25">
      <c r="A700" s="1"/>
      <c r="B700" s="1"/>
    </row>
    <row r="701" spans="1:2" ht="12.75" customHeight="1" x14ac:dyDescent="0.25">
      <c r="A701" s="1"/>
      <c r="B701" s="1"/>
    </row>
    <row r="702" spans="1:2" ht="12.75" customHeight="1" x14ac:dyDescent="0.25">
      <c r="A702" s="1"/>
      <c r="B702" s="1"/>
    </row>
    <row r="703" spans="1:2" ht="12.75" customHeight="1" x14ac:dyDescent="0.25">
      <c r="A703" s="1"/>
      <c r="B703" s="1"/>
    </row>
    <row r="704" spans="1:2" ht="12.75" customHeight="1" x14ac:dyDescent="0.25">
      <c r="A704" s="1"/>
      <c r="B704" s="1"/>
    </row>
    <row r="705" spans="1:2" ht="12.75" customHeight="1" x14ac:dyDescent="0.25">
      <c r="A705" s="1"/>
      <c r="B705" s="1"/>
    </row>
    <row r="706" spans="1:2" ht="12.75" customHeight="1" x14ac:dyDescent="0.25">
      <c r="A706" s="1"/>
      <c r="B706" s="1"/>
    </row>
    <row r="707" spans="1:2" ht="12.75" customHeight="1" x14ac:dyDescent="0.25">
      <c r="A707" s="1"/>
      <c r="B707" s="1"/>
    </row>
    <row r="708" spans="1:2" ht="12.75" customHeight="1" x14ac:dyDescent="0.25">
      <c r="A708" s="1"/>
      <c r="B708" s="1"/>
    </row>
    <row r="709" spans="1:2" ht="12.75" customHeight="1" x14ac:dyDescent="0.25">
      <c r="A709" s="1"/>
      <c r="B709" s="1"/>
    </row>
    <row r="710" spans="1:2" ht="12.75" customHeight="1" x14ac:dyDescent="0.25">
      <c r="A710" s="1"/>
      <c r="B710" s="1"/>
    </row>
    <row r="711" spans="1:2" ht="12.75" customHeight="1" x14ac:dyDescent="0.25">
      <c r="A711" s="1"/>
      <c r="B711" s="1"/>
    </row>
    <row r="712" spans="1:2" ht="12.75" customHeight="1" x14ac:dyDescent="0.25">
      <c r="A712" s="1"/>
      <c r="B712" s="1"/>
    </row>
    <row r="713" spans="1:2" ht="12.75" customHeight="1" x14ac:dyDescent="0.25">
      <c r="A713" s="1"/>
      <c r="B713" s="1"/>
    </row>
    <row r="714" spans="1:2" ht="12.75" customHeight="1" x14ac:dyDescent="0.25">
      <c r="A714" s="1"/>
      <c r="B714" s="1"/>
    </row>
    <row r="715" spans="1:2" ht="12.75" customHeight="1" x14ac:dyDescent="0.25">
      <c r="A715" s="1"/>
      <c r="B715" s="1"/>
    </row>
    <row r="716" spans="1:2" ht="12.75" customHeight="1" x14ac:dyDescent="0.25">
      <c r="A716" s="1"/>
      <c r="B716" s="1"/>
    </row>
    <row r="717" spans="1:2" ht="12.75" customHeight="1" x14ac:dyDescent="0.25">
      <c r="A717" s="1"/>
      <c r="B717" s="1"/>
    </row>
    <row r="718" spans="1:2" ht="12.75" customHeight="1" x14ac:dyDescent="0.25">
      <c r="A718" s="1"/>
      <c r="B718" s="1"/>
    </row>
    <row r="719" spans="1:2" ht="12.75" customHeight="1" x14ac:dyDescent="0.25">
      <c r="A719" s="1"/>
      <c r="B719" s="1"/>
    </row>
    <row r="720" spans="1:2" ht="12.75" customHeight="1" x14ac:dyDescent="0.25">
      <c r="A720" s="1"/>
      <c r="B720" s="1"/>
    </row>
    <row r="721" spans="1:2" ht="12.75" customHeight="1" x14ac:dyDescent="0.25">
      <c r="A721" s="1"/>
      <c r="B721" s="1"/>
    </row>
    <row r="722" spans="1:2" ht="12.75" customHeight="1" x14ac:dyDescent="0.25">
      <c r="A722" s="1"/>
      <c r="B722" s="1"/>
    </row>
    <row r="723" spans="1:2" ht="12.75" customHeight="1" x14ac:dyDescent="0.25">
      <c r="A723" s="1"/>
      <c r="B723" s="1"/>
    </row>
    <row r="724" spans="1:2" ht="12.75" customHeight="1" x14ac:dyDescent="0.25">
      <c r="A724" s="1"/>
      <c r="B724" s="1"/>
    </row>
    <row r="725" spans="1:2" ht="12.75" customHeight="1" x14ac:dyDescent="0.25">
      <c r="A725" s="1"/>
      <c r="B725" s="1"/>
    </row>
    <row r="726" spans="1:2" ht="12.75" customHeight="1" x14ac:dyDescent="0.25">
      <c r="A726" s="1"/>
      <c r="B726" s="1"/>
    </row>
    <row r="727" spans="1:2" ht="12.75" customHeight="1" x14ac:dyDescent="0.25">
      <c r="A727" s="1"/>
      <c r="B727" s="1"/>
    </row>
    <row r="728" spans="1:2" ht="12.75" customHeight="1" x14ac:dyDescent="0.25">
      <c r="A728" s="1"/>
      <c r="B728" s="1"/>
    </row>
    <row r="729" spans="1:2" ht="12.75" customHeight="1" x14ac:dyDescent="0.25">
      <c r="A729" s="1"/>
      <c r="B729" s="1"/>
    </row>
    <row r="730" spans="1:2" ht="12.75" customHeight="1" x14ac:dyDescent="0.25">
      <c r="A730" s="1"/>
      <c r="B730" s="1"/>
    </row>
    <row r="731" spans="1:2" ht="12.75" customHeight="1" x14ac:dyDescent="0.25">
      <c r="A731" s="1"/>
      <c r="B731" s="1"/>
    </row>
    <row r="732" spans="1:2" ht="12.75" customHeight="1" x14ac:dyDescent="0.25">
      <c r="A732" s="1"/>
      <c r="B732" s="1"/>
    </row>
    <row r="733" spans="1:2" ht="12.75" customHeight="1" x14ac:dyDescent="0.25">
      <c r="A733" s="1"/>
      <c r="B733" s="1"/>
    </row>
    <row r="734" spans="1:2" ht="12.75" customHeight="1" x14ac:dyDescent="0.25">
      <c r="A734" s="1"/>
      <c r="B734" s="1"/>
    </row>
    <row r="735" spans="1:2" ht="12.75" customHeight="1" x14ac:dyDescent="0.25">
      <c r="A735" s="1"/>
      <c r="B735" s="1"/>
    </row>
    <row r="736" spans="1:2" ht="12.75" customHeight="1" x14ac:dyDescent="0.25">
      <c r="A736" s="1"/>
      <c r="B736" s="1"/>
    </row>
    <row r="737" spans="1:2" ht="12.75" customHeight="1" x14ac:dyDescent="0.25">
      <c r="A737" s="1"/>
      <c r="B737" s="1"/>
    </row>
    <row r="738" spans="1:2" ht="12.75" customHeight="1" x14ac:dyDescent="0.25">
      <c r="A738" s="1"/>
      <c r="B738" s="1"/>
    </row>
    <row r="739" spans="1:2" ht="12.75" customHeight="1" x14ac:dyDescent="0.25">
      <c r="A739" s="1"/>
      <c r="B739" s="1"/>
    </row>
    <row r="740" spans="1:2" ht="12.75" customHeight="1" x14ac:dyDescent="0.25">
      <c r="A740" s="1"/>
      <c r="B740" s="1"/>
    </row>
    <row r="741" spans="1:2" ht="12.75" customHeight="1" x14ac:dyDescent="0.25">
      <c r="A741" s="1"/>
      <c r="B741" s="1"/>
    </row>
    <row r="742" spans="1:2" ht="12.75" customHeight="1" x14ac:dyDescent="0.25">
      <c r="A742" s="1"/>
      <c r="B742" s="1"/>
    </row>
    <row r="743" spans="1:2" ht="12.75" customHeight="1" x14ac:dyDescent="0.25">
      <c r="A743" s="1"/>
      <c r="B743" s="1"/>
    </row>
    <row r="744" spans="1:2" ht="12.75" customHeight="1" x14ac:dyDescent="0.25">
      <c r="A744" s="1"/>
      <c r="B744" s="1"/>
    </row>
    <row r="745" spans="1:2" ht="12.75" customHeight="1" x14ac:dyDescent="0.25">
      <c r="A745" s="1"/>
      <c r="B745" s="1"/>
    </row>
    <row r="746" spans="1:2" ht="12.75" customHeight="1" x14ac:dyDescent="0.25">
      <c r="A746" s="1"/>
      <c r="B746" s="1"/>
    </row>
    <row r="747" spans="1:2" ht="12.75" customHeight="1" x14ac:dyDescent="0.25">
      <c r="A747" s="1"/>
      <c r="B747" s="1"/>
    </row>
    <row r="748" spans="1:2" ht="12.75" customHeight="1" x14ac:dyDescent="0.25">
      <c r="A748" s="1"/>
      <c r="B748" s="1"/>
    </row>
    <row r="749" spans="1:2" ht="12.75" customHeight="1" x14ac:dyDescent="0.25">
      <c r="A749" s="1"/>
      <c r="B749" s="1"/>
    </row>
    <row r="750" spans="1:2" ht="12.75" customHeight="1" x14ac:dyDescent="0.25">
      <c r="A750" s="1"/>
      <c r="B750" s="1"/>
    </row>
    <row r="751" spans="1:2" ht="12.75" customHeight="1" x14ac:dyDescent="0.25">
      <c r="A751" s="1"/>
      <c r="B751" s="1"/>
    </row>
    <row r="752" spans="1:2" ht="12.75" customHeight="1" x14ac:dyDescent="0.25">
      <c r="A752" s="1"/>
      <c r="B752" s="1"/>
    </row>
    <row r="753" spans="1:2" ht="12.75" customHeight="1" x14ac:dyDescent="0.25">
      <c r="A753" s="1"/>
      <c r="B753" s="1"/>
    </row>
    <row r="754" spans="1:2" ht="12.75" customHeight="1" x14ac:dyDescent="0.25">
      <c r="A754" s="1"/>
      <c r="B754" s="1"/>
    </row>
    <row r="755" spans="1:2" ht="12.75" customHeight="1" x14ac:dyDescent="0.25">
      <c r="A755" s="1"/>
      <c r="B755" s="1"/>
    </row>
    <row r="756" spans="1:2" ht="12.75" customHeight="1" x14ac:dyDescent="0.25">
      <c r="A756" s="1"/>
      <c r="B756" s="1"/>
    </row>
    <row r="757" spans="1:2" ht="12.75" customHeight="1" x14ac:dyDescent="0.25">
      <c r="A757" s="1"/>
      <c r="B757" s="1"/>
    </row>
    <row r="758" spans="1:2" ht="12.75" customHeight="1" x14ac:dyDescent="0.25">
      <c r="A758" s="1"/>
      <c r="B758" s="1"/>
    </row>
    <row r="759" spans="1:2" ht="12.75" customHeight="1" x14ac:dyDescent="0.25">
      <c r="A759" s="1"/>
      <c r="B759" s="1"/>
    </row>
    <row r="760" spans="1:2" ht="12.75" customHeight="1" x14ac:dyDescent="0.25">
      <c r="A760" s="1"/>
      <c r="B760" s="1"/>
    </row>
    <row r="761" spans="1:2" ht="12.75" customHeight="1" x14ac:dyDescent="0.25">
      <c r="A761" s="1"/>
      <c r="B761" s="1"/>
    </row>
    <row r="762" spans="1:2" ht="12.75" customHeight="1" x14ac:dyDescent="0.25">
      <c r="A762" s="1"/>
      <c r="B762" s="1"/>
    </row>
    <row r="763" spans="1:2" ht="12.75" customHeight="1" x14ac:dyDescent="0.25">
      <c r="A763" s="1"/>
      <c r="B763" s="1"/>
    </row>
    <row r="764" spans="1:2" ht="12.75" customHeight="1" x14ac:dyDescent="0.25">
      <c r="A764" s="1"/>
      <c r="B764" s="1"/>
    </row>
    <row r="765" spans="1:2" ht="12.75" customHeight="1" x14ac:dyDescent="0.25">
      <c r="A765" s="1"/>
      <c r="B765" s="1"/>
    </row>
    <row r="766" spans="1:2" ht="12.75" customHeight="1" x14ac:dyDescent="0.25">
      <c r="A766" s="1"/>
      <c r="B766" s="1"/>
    </row>
    <row r="767" spans="1:2" ht="12.75" customHeight="1" x14ac:dyDescent="0.25">
      <c r="A767" s="1"/>
      <c r="B767" s="1"/>
    </row>
    <row r="768" spans="1:2" ht="12.75" customHeight="1" x14ac:dyDescent="0.25">
      <c r="A768" s="1"/>
      <c r="B768" s="1"/>
    </row>
    <row r="769" spans="1:2" ht="12.75" customHeight="1" x14ac:dyDescent="0.25">
      <c r="A769" s="1"/>
      <c r="B769" s="1"/>
    </row>
    <row r="770" spans="1:2" ht="12.75" customHeight="1" x14ac:dyDescent="0.25">
      <c r="A770" s="1"/>
      <c r="B770" s="1"/>
    </row>
    <row r="771" spans="1:2" ht="12.75" customHeight="1" x14ac:dyDescent="0.25">
      <c r="A771" s="1"/>
      <c r="B771" s="1"/>
    </row>
    <row r="772" spans="1:2" ht="12.75" customHeight="1" x14ac:dyDescent="0.25">
      <c r="A772" s="1"/>
      <c r="B772" s="1"/>
    </row>
    <row r="773" spans="1:2" ht="12.75" customHeight="1" x14ac:dyDescent="0.25">
      <c r="A773" s="1"/>
      <c r="B773" s="1"/>
    </row>
    <row r="774" spans="1:2" ht="12.75" customHeight="1" x14ac:dyDescent="0.25">
      <c r="A774" s="1"/>
      <c r="B774" s="1"/>
    </row>
    <row r="775" spans="1:2" ht="12.75" customHeight="1" x14ac:dyDescent="0.25">
      <c r="A775" s="1"/>
      <c r="B775" s="1"/>
    </row>
    <row r="776" spans="1:2" ht="12.75" customHeight="1" x14ac:dyDescent="0.25">
      <c r="A776" s="1"/>
      <c r="B776" s="1"/>
    </row>
    <row r="777" spans="1:2" ht="12.75" customHeight="1" x14ac:dyDescent="0.25">
      <c r="A777" s="1"/>
      <c r="B777" s="1"/>
    </row>
    <row r="778" spans="1:2" ht="12.75" customHeight="1" x14ac:dyDescent="0.25">
      <c r="A778" s="1"/>
      <c r="B778" s="1"/>
    </row>
    <row r="779" spans="1:2" ht="12.75" customHeight="1" x14ac:dyDescent="0.25">
      <c r="A779" s="1"/>
      <c r="B779" s="1"/>
    </row>
    <row r="780" spans="1:2" ht="12.75" customHeight="1" x14ac:dyDescent="0.25">
      <c r="A780" s="1"/>
      <c r="B780" s="1"/>
    </row>
    <row r="781" spans="1:2" ht="12.75" customHeight="1" x14ac:dyDescent="0.25">
      <c r="A781" s="1"/>
      <c r="B781" s="1"/>
    </row>
    <row r="782" spans="1:2" ht="12.75" customHeight="1" x14ac:dyDescent="0.25">
      <c r="A782" s="1"/>
      <c r="B782" s="1"/>
    </row>
    <row r="783" spans="1:2" ht="12.75" customHeight="1" x14ac:dyDescent="0.25">
      <c r="A783" s="1"/>
      <c r="B783" s="1"/>
    </row>
    <row r="784" spans="1:2" ht="12.75" customHeight="1" x14ac:dyDescent="0.25">
      <c r="A784" s="1"/>
      <c r="B784" s="1"/>
    </row>
    <row r="785" spans="1:2" ht="12.75" customHeight="1" x14ac:dyDescent="0.25">
      <c r="A785" s="1"/>
      <c r="B785" s="1"/>
    </row>
    <row r="786" spans="1:2" ht="12.75" customHeight="1" x14ac:dyDescent="0.25">
      <c r="A786" s="1"/>
      <c r="B786" s="1"/>
    </row>
    <row r="787" spans="1:2" ht="12.75" customHeight="1" x14ac:dyDescent="0.25">
      <c r="A787" s="1"/>
      <c r="B787" s="1"/>
    </row>
    <row r="788" spans="1:2" ht="12.75" customHeight="1" x14ac:dyDescent="0.25">
      <c r="A788" s="1"/>
      <c r="B788" s="1"/>
    </row>
    <row r="789" spans="1:2" ht="12.75" customHeight="1" x14ac:dyDescent="0.25">
      <c r="A789" s="1"/>
      <c r="B789" s="1"/>
    </row>
    <row r="790" spans="1:2" ht="12.75" customHeight="1" x14ac:dyDescent="0.25">
      <c r="A790" s="1"/>
      <c r="B790" s="1"/>
    </row>
    <row r="791" spans="1:2" ht="12.75" customHeight="1" x14ac:dyDescent="0.25">
      <c r="A791" s="1"/>
      <c r="B791" s="1"/>
    </row>
    <row r="792" spans="1:2" ht="12.75" customHeight="1" x14ac:dyDescent="0.25">
      <c r="A792" s="1"/>
      <c r="B792" s="1"/>
    </row>
    <row r="793" spans="1:2" ht="12.75" customHeight="1" x14ac:dyDescent="0.25">
      <c r="A793" s="1"/>
      <c r="B793" s="1"/>
    </row>
    <row r="794" spans="1:2" ht="12.75" customHeight="1" x14ac:dyDescent="0.25">
      <c r="A794" s="1"/>
      <c r="B794" s="1"/>
    </row>
    <row r="795" spans="1:2" ht="12.75" customHeight="1" x14ac:dyDescent="0.25">
      <c r="A795" s="1"/>
      <c r="B795" s="1"/>
    </row>
    <row r="796" spans="1:2" ht="12.75" customHeight="1" x14ac:dyDescent="0.25">
      <c r="A796" s="1"/>
      <c r="B796" s="1"/>
    </row>
    <row r="797" spans="1:2" ht="12.75" customHeight="1" x14ac:dyDescent="0.25">
      <c r="A797" s="1"/>
      <c r="B797" s="1"/>
    </row>
    <row r="798" spans="1:2" ht="12.75" customHeight="1" x14ac:dyDescent="0.25">
      <c r="A798" s="1"/>
      <c r="B798" s="1"/>
    </row>
    <row r="799" spans="1:2" ht="12.75" customHeight="1" x14ac:dyDescent="0.25">
      <c r="A799" s="1"/>
      <c r="B799" s="1"/>
    </row>
    <row r="800" spans="1:2" ht="12.75" customHeight="1" x14ac:dyDescent="0.25">
      <c r="A800" s="1"/>
      <c r="B800" s="1"/>
    </row>
    <row r="801" spans="1:2" ht="12.75" customHeight="1" x14ac:dyDescent="0.25">
      <c r="A801" s="1"/>
      <c r="B801" s="1"/>
    </row>
    <row r="802" spans="1:2" ht="12.75" customHeight="1" x14ac:dyDescent="0.25">
      <c r="A802" s="1"/>
      <c r="B802" s="1"/>
    </row>
    <row r="803" spans="1:2" ht="12.75" customHeight="1" x14ac:dyDescent="0.25">
      <c r="A803" s="1"/>
      <c r="B803" s="1"/>
    </row>
    <row r="804" spans="1:2" ht="12.75" customHeight="1" x14ac:dyDescent="0.25">
      <c r="A804" s="1"/>
      <c r="B804" s="1"/>
    </row>
    <row r="805" spans="1:2" ht="12.75" customHeight="1" x14ac:dyDescent="0.25">
      <c r="A805" s="1"/>
      <c r="B805" s="1"/>
    </row>
    <row r="806" spans="1:2" ht="12.75" customHeight="1" x14ac:dyDescent="0.25">
      <c r="A806" s="1"/>
      <c r="B806" s="1"/>
    </row>
    <row r="807" spans="1:2" ht="12.75" customHeight="1" x14ac:dyDescent="0.25">
      <c r="A807" s="1"/>
      <c r="B807" s="1"/>
    </row>
    <row r="808" spans="1:2" ht="12.75" customHeight="1" x14ac:dyDescent="0.25">
      <c r="A808" s="1"/>
      <c r="B808" s="1"/>
    </row>
    <row r="809" spans="1:2" ht="12.75" customHeight="1" x14ac:dyDescent="0.25">
      <c r="A809" s="1"/>
      <c r="B809" s="1"/>
    </row>
    <row r="810" spans="1:2" ht="12.75" customHeight="1" x14ac:dyDescent="0.25">
      <c r="A810" s="1"/>
      <c r="B810" s="1"/>
    </row>
    <row r="811" spans="1:2" ht="12.75" customHeight="1" x14ac:dyDescent="0.25">
      <c r="A811" s="1"/>
      <c r="B811" s="1"/>
    </row>
    <row r="812" spans="1:2" ht="12.75" customHeight="1" x14ac:dyDescent="0.25">
      <c r="A812" s="1"/>
      <c r="B812" s="1"/>
    </row>
    <row r="813" spans="1:2" ht="12.75" customHeight="1" x14ac:dyDescent="0.25">
      <c r="A813" s="1"/>
      <c r="B813" s="1"/>
    </row>
    <row r="814" spans="1:2" ht="12.75" customHeight="1" x14ac:dyDescent="0.25">
      <c r="A814" s="1"/>
      <c r="B814" s="1"/>
    </row>
    <row r="815" spans="1:2" ht="12.75" customHeight="1" x14ac:dyDescent="0.25">
      <c r="A815" s="1"/>
      <c r="B815" s="1"/>
    </row>
    <row r="816" spans="1:2" ht="12.75" customHeight="1" x14ac:dyDescent="0.25">
      <c r="A816" s="1"/>
      <c r="B816" s="1"/>
    </row>
    <row r="817" spans="1:2" ht="12.75" customHeight="1" x14ac:dyDescent="0.25">
      <c r="A817" s="1"/>
      <c r="B817" s="1"/>
    </row>
    <row r="818" spans="1:2" ht="12.75" customHeight="1" x14ac:dyDescent="0.25">
      <c r="A818" s="1"/>
      <c r="B818" s="1"/>
    </row>
    <row r="819" spans="1:2" ht="12.75" customHeight="1" x14ac:dyDescent="0.25">
      <c r="A819" s="1"/>
      <c r="B819" s="1"/>
    </row>
    <row r="820" spans="1:2" ht="12.75" customHeight="1" x14ac:dyDescent="0.25">
      <c r="A820" s="1"/>
      <c r="B820" s="1"/>
    </row>
    <row r="821" spans="1:2" ht="12.75" customHeight="1" x14ac:dyDescent="0.25">
      <c r="A821" s="1"/>
      <c r="B821" s="1"/>
    </row>
    <row r="822" spans="1:2" ht="12.75" customHeight="1" x14ac:dyDescent="0.25">
      <c r="A822" s="1"/>
      <c r="B822" s="1"/>
    </row>
    <row r="823" spans="1:2" ht="12.75" customHeight="1" x14ac:dyDescent="0.25">
      <c r="A823" s="1"/>
      <c r="B823" s="1"/>
    </row>
    <row r="824" spans="1:2" ht="12.75" customHeight="1" x14ac:dyDescent="0.25">
      <c r="A824" s="1"/>
      <c r="B824" s="1"/>
    </row>
    <row r="825" spans="1:2" ht="12.75" customHeight="1" x14ac:dyDescent="0.25">
      <c r="A825" s="1"/>
      <c r="B825" s="1"/>
    </row>
    <row r="826" spans="1:2" ht="12.75" customHeight="1" x14ac:dyDescent="0.25">
      <c r="A826" s="1"/>
      <c r="B826" s="1"/>
    </row>
    <row r="827" spans="1:2" ht="12.75" customHeight="1" x14ac:dyDescent="0.25">
      <c r="A827" s="1"/>
      <c r="B827" s="1"/>
    </row>
    <row r="828" spans="1:2" ht="12.75" customHeight="1" x14ac:dyDescent="0.25">
      <c r="A828" s="1"/>
      <c r="B828" s="1"/>
    </row>
    <row r="829" spans="1:2" ht="12.75" customHeight="1" x14ac:dyDescent="0.25">
      <c r="A829" s="1"/>
      <c r="B829" s="1"/>
    </row>
    <row r="830" spans="1:2" ht="12.75" customHeight="1" x14ac:dyDescent="0.25">
      <c r="A830" s="1"/>
      <c r="B830" s="1"/>
    </row>
    <row r="831" spans="1:2" ht="12.75" customHeight="1" x14ac:dyDescent="0.25">
      <c r="A831" s="1"/>
      <c r="B831" s="1"/>
    </row>
    <row r="832" spans="1:2" ht="12.75" customHeight="1" x14ac:dyDescent="0.25">
      <c r="A832" s="1"/>
      <c r="B832" s="1"/>
    </row>
    <row r="833" spans="1:2" ht="12.75" customHeight="1" x14ac:dyDescent="0.25">
      <c r="A833" s="1"/>
      <c r="B833" s="1"/>
    </row>
    <row r="834" spans="1:2" ht="12.75" customHeight="1" x14ac:dyDescent="0.25">
      <c r="A834" s="1"/>
      <c r="B834" s="1"/>
    </row>
    <row r="835" spans="1:2" ht="12.75" customHeight="1" x14ac:dyDescent="0.25">
      <c r="A835" s="1"/>
      <c r="B835" s="1"/>
    </row>
    <row r="836" spans="1:2" ht="12.75" customHeight="1" x14ac:dyDescent="0.25">
      <c r="A836" s="1"/>
      <c r="B836" s="1"/>
    </row>
    <row r="837" spans="1:2" ht="12.75" customHeight="1" x14ac:dyDescent="0.25">
      <c r="A837" s="1"/>
      <c r="B837" s="1"/>
    </row>
    <row r="838" spans="1:2" ht="12.75" customHeight="1" x14ac:dyDescent="0.25">
      <c r="A838" s="1"/>
      <c r="B838" s="1"/>
    </row>
    <row r="839" spans="1:2" ht="12.75" customHeight="1" x14ac:dyDescent="0.25">
      <c r="A839" s="1"/>
      <c r="B839" s="1"/>
    </row>
    <row r="840" spans="1:2" ht="12.75" customHeight="1" x14ac:dyDescent="0.25">
      <c r="A840" s="1"/>
      <c r="B840" s="1"/>
    </row>
    <row r="841" spans="1:2" ht="12.75" customHeight="1" x14ac:dyDescent="0.25">
      <c r="A841" s="1"/>
      <c r="B841" s="1"/>
    </row>
    <row r="842" spans="1:2" ht="12.75" customHeight="1" x14ac:dyDescent="0.25">
      <c r="A842" s="1"/>
      <c r="B842" s="1"/>
    </row>
    <row r="843" spans="1:2" ht="12.75" customHeight="1" x14ac:dyDescent="0.25">
      <c r="A843" s="1"/>
      <c r="B843" s="1"/>
    </row>
    <row r="844" spans="1:2" ht="12.75" customHeight="1" x14ac:dyDescent="0.25">
      <c r="A844" s="1"/>
      <c r="B844" s="1"/>
    </row>
    <row r="845" spans="1:2" ht="12.75" customHeight="1" x14ac:dyDescent="0.25">
      <c r="A845" s="1"/>
      <c r="B845" s="1"/>
    </row>
    <row r="846" spans="1:2" ht="12.75" customHeight="1" x14ac:dyDescent="0.25">
      <c r="A846" s="1"/>
      <c r="B846" s="1"/>
    </row>
    <row r="847" spans="1:2" ht="12.75" customHeight="1" x14ac:dyDescent="0.25">
      <c r="A847" s="1"/>
      <c r="B847" s="1"/>
    </row>
    <row r="848" spans="1:2" ht="12.75" customHeight="1" x14ac:dyDescent="0.25">
      <c r="A848" s="1"/>
      <c r="B848" s="1"/>
    </row>
    <row r="849" spans="1:2" ht="12.75" customHeight="1" x14ac:dyDescent="0.25">
      <c r="A849" s="1"/>
      <c r="B849" s="1"/>
    </row>
    <row r="850" spans="1:2" ht="12.75" customHeight="1" x14ac:dyDescent="0.25">
      <c r="A850" s="1"/>
      <c r="B850" s="1"/>
    </row>
    <row r="851" spans="1:2" ht="12.75" customHeight="1" x14ac:dyDescent="0.25">
      <c r="A851" s="1"/>
      <c r="B851" s="1"/>
    </row>
    <row r="852" spans="1:2" ht="12.75" customHeight="1" x14ac:dyDescent="0.25">
      <c r="A852" s="1"/>
      <c r="B852" s="1"/>
    </row>
    <row r="853" spans="1:2" ht="12.75" customHeight="1" x14ac:dyDescent="0.25">
      <c r="A853" s="1"/>
      <c r="B853" s="1"/>
    </row>
    <row r="854" spans="1:2" ht="12.75" customHeight="1" x14ac:dyDescent="0.25">
      <c r="A854" s="1"/>
      <c r="B854" s="1"/>
    </row>
    <row r="855" spans="1:2" ht="12.75" customHeight="1" x14ac:dyDescent="0.25">
      <c r="A855" s="1"/>
      <c r="B855" s="1"/>
    </row>
    <row r="856" spans="1:2" ht="12.75" customHeight="1" x14ac:dyDescent="0.25">
      <c r="A856" s="1"/>
      <c r="B856" s="1"/>
    </row>
    <row r="857" spans="1:2" ht="12.75" customHeight="1" x14ac:dyDescent="0.25">
      <c r="A857" s="1"/>
      <c r="B857" s="1"/>
    </row>
    <row r="858" spans="1:2" ht="12.75" customHeight="1" x14ac:dyDescent="0.25">
      <c r="A858" s="1"/>
      <c r="B858" s="1"/>
    </row>
    <row r="859" spans="1:2" ht="12.75" customHeight="1" x14ac:dyDescent="0.25">
      <c r="A859" s="1"/>
      <c r="B859" s="1"/>
    </row>
    <row r="860" spans="1:2" ht="12.75" customHeight="1" x14ac:dyDescent="0.25">
      <c r="A860" s="1"/>
      <c r="B860" s="1"/>
    </row>
    <row r="861" spans="1:2" ht="12.75" customHeight="1" x14ac:dyDescent="0.25">
      <c r="A861" s="1"/>
      <c r="B861" s="1"/>
    </row>
    <row r="862" spans="1:2" ht="12.75" customHeight="1" x14ac:dyDescent="0.25">
      <c r="A862" s="1"/>
      <c r="B862" s="1"/>
    </row>
    <row r="863" spans="1:2" ht="12.75" customHeight="1" x14ac:dyDescent="0.25">
      <c r="A863" s="1"/>
      <c r="B863" s="1"/>
    </row>
    <row r="864" spans="1:2" ht="12.75" customHeight="1" x14ac:dyDescent="0.25">
      <c r="A864" s="1"/>
      <c r="B864" s="1"/>
    </row>
    <row r="865" spans="1:2" ht="12.75" customHeight="1" x14ac:dyDescent="0.25">
      <c r="A865" s="1"/>
      <c r="B865" s="1"/>
    </row>
    <row r="866" spans="1:2" ht="12.75" customHeight="1" x14ac:dyDescent="0.25">
      <c r="A866" s="1"/>
      <c r="B866" s="1"/>
    </row>
    <row r="867" spans="1:2" ht="12.75" customHeight="1" x14ac:dyDescent="0.25">
      <c r="A867" s="1"/>
      <c r="B867" s="1"/>
    </row>
    <row r="868" spans="1:2" ht="12.75" customHeight="1" x14ac:dyDescent="0.25">
      <c r="A868" s="1"/>
      <c r="B868" s="1"/>
    </row>
    <row r="869" spans="1:2" ht="12.75" customHeight="1" x14ac:dyDescent="0.25">
      <c r="A869" s="1"/>
      <c r="B869" s="1"/>
    </row>
    <row r="870" spans="1:2" ht="12.75" customHeight="1" x14ac:dyDescent="0.25">
      <c r="A870" s="1"/>
      <c r="B870" s="1"/>
    </row>
    <row r="871" spans="1:2" ht="12.75" customHeight="1" x14ac:dyDescent="0.25">
      <c r="A871" s="1"/>
      <c r="B871" s="1"/>
    </row>
    <row r="872" spans="1:2" ht="12.75" customHeight="1" x14ac:dyDescent="0.25">
      <c r="A872" s="1"/>
      <c r="B872" s="1"/>
    </row>
    <row r="873" spans="1:2" ht="12.75" customHeight="1" x14ac:dyDescent="0.25">
      <c r="A873" s="1"/>
      <c r="B873" s="1"/>
    </row>
    <row r="874" spans="1:2" ht="12.75" customHeight="1" x14ac:dyDescent="0.25">
      <c r="A874" s="1"/>
      <c r="B874" s="1"/>
    </row>
    <row r="875" spans="1:2" ht="12.75" customHeight="1" x14ac:dyDescent="0.25">
      <c r="A875" s="1"/>
      <c r="B875" s="1"/>
    </row>
    <row r="876" spans="1:2" ht="12.75" customHeight="1" x14ac:dyDescent="0.25">
      <c r="A876" s="1"/>
      <c r="B876" s="1"/>
    </row>
    <row r="877" spans="1:2" ht="12.75" customHeight="1" x14ac:dyDescent="0.25">
      <c r="A877" s="1"/>
      <c r="B877" s="1"/>
    </row>
    <row r="878" spans="1:2" ht="12.75" customHeight="1" x14ac:dyDescent="0.25">
      <c r="A878" s="1"/>
      <c r="B878" s="1"/>
    </row>
    <row r="879" spans="1:2" ht="12.75" customHeight="1" x14ac:dyDescent="0.25">
      <c r="A879" s="1"/>
      <c r="B879" s="1"/>
    </row>
    <row r="880" spans="1:2" ht="12.75" customHeight="1" x14ac:dyDescent="0.25">
      <c r="A880" s="1"/>
      <c r="B880" s="1"/>
    </row>
    <row r="881" spans="1:2" ht="12.75" customHeight="1" x14ac:dyDescent="0.25">
      <c r="A881" s="1"/>
      <c r="B881" s="1"/>
    </row>
    <row r="882" spans="1:2" ht="12.75" customHeight="1" x14ac:dyDescent="0.25">
      <c r="A882" s="1"/>
      <c r="B882" s="1"/>
    </row>
    <row r="883" spans="1:2" ht="12.75" customHeight="1" x14ac:dyDescent="0.25">
      <c r="A883" s="1"/>
      <c r="B883" s="1"/>
    </row>
    <row r="884" spans="1:2" ht="12.75" customHeight="1" x14ac:dyDescent="0.25">
      <c r="A884" s="1"/>
      <c r="B884" s="1"/>
    </row>
    <row r="885" spans="1:2" ht="12.75" customHeight="1" x14ac:dyDescent="0.25">
      <c r="A885" s="1"/>
      <c r="B885" s="1"/>
    </row>
    <row r="886" spans="1:2" ht="12.75" customHeight="1" x14ac:dyDescent="0.25">
      <c r="A886" s="1"/>
      <c r="B886" s="1"/>
    </row>
    <row r="887" spans="1:2" ht="12.75" customHeight="1" x14ac:dyDescent="0.25">
      <c r="A887" s="1"/>
      <c r="B887" s="1"/>
    </row>
    <row r="888" spans="1:2" ht="12.75" customHeight="1" x14ac:dyDescent="0.25">
      <c r="A888" s="1"/>
      <c r="B888" s="1"/>
    </row>
    <row r="889" spans="1:2" ht="12.75" customHeight="1" x14ac:dyDescent="0.25">
      <c r="A889" s="1"/>
      <c r="B889" s="1"/>
    </row>
    <row r="890" spans="1:2" ht="12.75" customHeight="1" x14ac:dyDescent="0.25">
      <c r="A890" s="1"/>
      <c r="B890" s="1"/>
    </row>
    <row r="891" spans="1:2" ht="12.75" customHeight="1" x14ac:dyDescent="0.25">
      <c r="A891" s="1"/>
      <c r="B891" s="1"/>
    </row>
    <row r="892" spans="1:2" ht="12.75" customHeight="1" x14ac:dyDescent="0.25">
      <c r="A892" s="1"/>
      <c r="B892" s="1"/>
    </row>
    <row r="893" spans="1:2" ht="12.75" customHeight="1" x14ac:dyDescent="0.25">
      <c r="A893" s="1"/>
      <c r="B893" s="1"/>
    </row>
    <row r="894" spans="1:2" ht="12.75" customHeight="1" x14ac:dyDescent="0.25">
      <c r="A894" s="1"/>
      <c r="B894" s="1"/>
    </row>
    <row r="895" spans="1:2" ht="12.75" customHeight="1" x14ac:dyDescent="0.25">
      <c r="A895" s="1"/>
      <c r="B895" s="1"/>
    </row>
    <row r="896" spans="1:2" ht="12.75" customHeight="1" x14ac:dyDescent="0.25">
      <c r="A896" s="1"/>
      <c r="B896" s="1"/>
    </row>
    <row r="897" spans="1:2" ht="12.75" customHeight="1" x14ac:dyDescent="0.25">
      <c r="A897" s="1"/>
      <c r="B897" s="1"/>
    </row>
    <row r="898" spans="1:2" ht="12.75" customHeight="1" x14ac:dyDescent="0.25">
      <c r="A898" s="1"/>
      <c r="B898" s="1"/>
    </row>
    <row r="899" spans="1:2" ht="12.75" customHeight="1" x14ac:dyDescent="0.25">
      <c r="A899" s="1"/>
      <c r="B899" s="1"/>
    </row>
    <row r="900" spans="1:2" ht="12.75" customHeight="1" x14ac:dyDescent="0.25">
      <c r="A900" s="1"/>
      <c r="B900" s="1"/>
    </row>
    <row r="901" spans="1:2" ht="12.75" customHeight="1" x14ac:dyDescent="0.25">
      <c r="A901" s="1"/>
      <c r="B901" s="1"/>
    </row>
    <row r="902" spans="1:2" ht="12.75" customHeight="1" x14ac:dyDescent="0.25">
      <c r="A902" s="1"/>
      <c r="B902" s="1"/>
    </row>
    <row r="903" spans="1:2" ht="12.75" customHeight="1" x14ac:dyDescent="0.25">
      <c r="A903" s="1"/>
      <c r="B903" s="1"/>
    </row>
    <row r="904" spans="1:2" ht="12.75" customHeight="1" x14ac:dyDescent="0.25">
      <c r="A904" s="1"/>
      <c r="B904" s="1"/>
    </row>
    <row r="905" spans="1:2" ht="12.75" customHeight="1" x14ac:dyDescent="0.25">
      <c r="A905" s="1"/>
      <c r="B905" s="1"/>
    </row>
    <row r="906" spans="1:2" ht="12.75" customHeight="1" x14ac:dyDescent="0.25">
      <c r="A906" s="1"/>
      <c r="B906" s="1"/>
    </row>
    <row r="907" spans="1:2" ht="12.75" customHeight="1" x14ac:dyDescent="0.25">
      <c r="A907" s="1"/>
      <c r="B907" s="1"/>
    </row>
    <row r="908" spans="1:2" ht="12.75" customHeight="1" x14ac:dyDescent="0.25">
      <c r="A908" s="1"/>
      <c r="B908" s="1"/>
    </row>
    <row r="909" spans="1:2" ht="12.75" customHeight="1" x14ac:dyDescent="0.25">
      <c r="A909" s="1"/>
      <c r="B909" s="1"/>
    </row>
    <row r="910" spans="1:2" ht="12.75" customHeight="1" x14ac:dyDescent="0.25">
      <c r="A910" s="1"/>
      <c r="B910" s="1"/>
    </row>
    <row r="911" spans="1:2" ht="12.75" customHeight="1" x14ac:dyDescent="0.25">
      <c r="A911" s="1"/>
      <c r="B911" s="1"/>
    </row>
    <row r="912" spans="1:2" ht="12.75" customHeight="1" x14ac:dyDescent="0.25">
      <c r="A912" s="1"/>
      <c r="B912" s="1"/>
    </row>
    <row r="913" spans="1:2" ht="12.75" customHeight="1" x14ac:dyDescent="0.25">
      <c r="A913" s="1"/>
      <c r="B913" s="1"/>
    </row>
    <row r="914" spans="1:2" ht="12.75" customHeight="1" x14ac:dyDescent="0.25">
      <c r="A914" s="1"/>
      <c r="B914" s="1"/>
    </row>
    <row r="915" spans="1:2" ht="12.75" customHeight="1" x14ac:dyDescent="0.25">
      <c r="A915" s="1"/>
      <c r="B915" s="1"/>
    </row>
    <row r="916" spans="1:2" ht="12.75" customHeight="1" x14ac:dyDescent="0.25">
      <c r="A916" s="1"/>
      <c r="B916" s="1"/>
    </row>
    <row r="917" spans="1:2" ht="12.75" customHeight="1" x14ac:dyDescent="0.25">
      <c r="A917" s="1"/>
      <c r="B917" s="1"/>
    </row>
    <row r="918" spans="1:2" ht="12.75" customHeight="1" x14ac:dyDescent="0.25">
      <c r="A918" s="1"/>
      <c r="B918" s="1"/>
    </row>
    <row r="919" spans="1:2" ht="12.75" customHeight="1" x14ac:dyDescent="0.25">
      <c r="A919" s="1"/>
      <c r="B919" s="1"/>
    </row>
    <row r="920" spans="1:2" ht="12.75" customHeight="1" x14ac:dyDescent="0.25">
      <c r="A920" s="1"/>
      <c r="B920" s="1"/>
    </row>
    <row r="921" spans="1:2" ht="12.75" customHeight="1" x14ac:dyDescent="0.25">
      <c r="A921" s="1"/>
      <c r="B921" s="1"/>
    </row>
    <row r="922" spans="1:2" ht="12.75" customHeight="1" x14ac:dyDescent="0.25">
      <c r="A922" s="1"/>
      <c r="B922" s="1"/>
    </row>
    <row r="923" spans="1:2" ht="12.75" customHeight="1" x14ac:dyDescent="0.25">
      <c r="A923" s="1"/>
      <c r="B923" s="1"/>
    </row>
    <row r="924" spans="1:2" ht="12.75" customHeight="1" x14ac:dyDescent="0.25">
      <c r="A924" s="1"/>
      <c r="B924" s="1"/>
    </row>
    <row r="925" spans="1:2" ht="12.75" customHeight="1" x14ac:dyDescent="0.25">
      <c r="A925" s="1"/>
      <c r="B925" s="1"/>
    </row>
    <row r="926" spans="1:2" ht="12.75" customHeight="1" x14ac:dyDescent="0.25">
      <c r="A926" s="1"/>
      <c r="B926" s="1"/>
    </row>
    <row r="927" spans="1:2" ht="12.75" customHeight="1" x14ac:dyDescent="0.25">
      <c r="A927" s="1"/>
      <c r="B927" s="1"/>
    </row>
    <row r="928" spans="1:2" ht="12.75" customHeight="1" x14ac:dyDescent="0.25">
      <c r="A928" s="1"/>
      <c r="B928" s="1"/>
    </row>
    <row r="929" spans="1:2" ht="12.75" customHeight="1" x14ac:dyDescent="0.25">
      <c r="A929" s="1"/>
      <c r="B929" s="1"/>
    </row>
    <row r="930" spans="1:2" ht="12.75" customHeight="1" x14ac:dyDescent="0.25">
      <c r="A930" s="1"/>
      <c r="B930" s="1"/>
    </row>
    <row r="931" spans="1:2" ht="12.75" customHeight="1" x14ac:dyDescent="0.25">
      <c r="A931" s="1"/>
      <c r="B931" s="1"/>
    </row>
    <row r="932" spans="1:2" ht="12.75" customHeight="1" x14ac:dyDescent="0.25">
      <c r="A932" s="1"/>
      <c r="B932" s="1"/>
    </row>
    <row r="933" spans="1:2" ht="12.75" customHeight="1" x14ac:dyDescent="0.25">
      <c r="A933" s="1"/>
      <c r="B933" s="1"/>
    </row>
    <row r="934" spans="1:2" ht="12.75" customHeight="1" x14ac:dyDescent="0.25">
      <c r="A934" s="1"/>
      <c r="B934" s="1"/>
    </row>
    <row r="935" spans="1:2" ht="12.75" customHeight="1" x14ac:dyDescent="0.25">
      <c r="A935" s="1"/>
      <c r="B935" s="1"/>
    </row>
    <row r="936" spans="1:2" ht="12.75" customHeight="1" x14ac:dyDescent="0.25">
      <c r="A936" s="1"/>
      <c r="B936" s="1"/>
    </row>
    <row r="937" spans="1:2" ht="12.75" customHeight="1" x14ac:dyDescent="0.25">
      <c r="A937" s="1"/>
      <c r="B937" s="1"/>
    </row>
    <row r="938" spans="1:2" ht="12.75" customHeight="1" x14ac:dyDescent="0.25">
      <c r="A938" s="1"/>
      <c r="B938" s="1"/>
    </row>
    <row r="939" spans="1:2" ht="12.75" customHeight="1" x14ac:dyDescent="0.25">
      <c r="A939" s="1"/>
      <c r="B939" s="1"/>
    </row>
    <row r="940" spans="1:2" ht="12.75" customHeight="1" x14ac:dyDescent="0.25">
      <c r="A940" s="1"/>
      <c r="B940" s="1"/>
    </row>
    <row r="941" spans="1:2" ht="12.75" customHeight="1" x14ac:dyDescent="0.25">
      <c r="A941" s="1"/>
      <c r="B941" s="1"/>
    </row>
    <row r="942" spans="1:2" ht="12.75" customHeight="1" x14ac:dyDescent="0.25">
      <c r="A942" s="1"/>
      <c r="B942" s="1"/>
    </row>
    <row r="943" spans="1:2" ht="12.75" customHeight="1" x14ac:dyDescent="0.25">
      <c r="A943" s="1"/>
      <c r="B943" s="1"/>
    </row>
    <row r="944" spans="1:2" ht="12.75" customHeight="1" x14ac:dyDescent="0.25">
      <c r="A944" s="1"/>
      <c r="B944" s="1"/>
    </row>
    <row r="945" spans="1:2" ht="12.75" customHeight="1" x14ac:dyDescent="0.25">
      <c r="A945" s="1"/>
      <c r="B945" s="1"/>
    </row>
    <row r="946" spans="1:2" ht="12.75" customHeight="1" x14ac:dyDescent="0.25">
      <c r="A946" s="1"/>
      <c r="B946" s="1"/>
    </row>
    <row r="947" spans="1:2" ht="12.75" customHeight="1" x14ac:dyDescent="0.25">
      <c r="A947" s="1"/>
      <c r="B947" s="1"/>
    </row>
    <row r="948" spans="1:2" ht="12.75" customHeight="1" x14ac:dyDescent="0.25">
      <c r="A948" s="1"/>
      <c r="B948" s="1"/>
    </row>
    <row r="949" spans="1:2" ht="12.75" customHeight="1" x14ac:dyDescent="0.25">
      <c r="A949" s="1"/>
      <c r="B949" s="1"/>
    </row>
    <row r="950" spans="1:2" ht="12.75" customHeight="1" x14ac:dyDescent="0.25">
      <c r="A950" s="1"/>
      <c r="B950" s="1"/>
    </row>
    <row r="951" spans="1:2" ht="12.75" customHeight="1" x14ac:dyDescent="0.25">
      <c r="A951" s="1"/>
      <c r="B951" s="1"/>
    </row>
    <row r="952" spans="1:2" ht="12.75" customHeight="1" x14ac:dyDescent="0.25">
      <c r="A952" s="1"/>
      <c r="B952" s="1"/>
    </row>
    <row r="953" spans="1:2" ht="12.75" customHeight="1" x14ac:dyDescent="0.25">
      <c r="A953" s="1"/>
      <c r="B953" s="1"/>
    </row>
    <row r="954" spans="1:2" ht="12.75" customHeight="1" x14ac:dyDescent="0.25">
      <c r="A954" s="1"/>
      <c r="B954" s="1"/>
    </row>
    <row r="955" spans="1:2" ht="12.75" customHeight="1" x14ac:dyDescent="0.25">
      <c r="A955" s="1"/>
      <c r="B955" s="1"/>
    </row>
    <row r="956" spans="1:2" ht="12.75" customHeight="1" x14ac:dyDescent="0.25">
      <c r="A956" s="1"/>
      <c r="B956" s="1"/>
    </row>
    <row r="957" spans="1:2" ht="12.75" customHeight="1" x14ac:dyDescent="0.25">
      <c r="A957" s="1"/>
      <c r="B957" s="1"/>
    </row>
    <row r="958" spans="1:2" ht="12.75" customHeight="1" x14ac:dyDescent="0.25">
      <c r="A958" s="1"/>
      <c r="B958" s="1"/>
    </row>
    <row r="959" spans="1:2" ht="12.75" customHeight="1" x14ac:dyDescent="0.25">
      <c r="A959" s="1"/>
      <c r="B959" s="1"/>
    </row>
    <row r="960" spans="1:2" ht="12.75" customHeight="1" x14ac:dyDescent="0.25">
      <c r="A960" s="1"/>
      <c r="B960" s="1"/>
    </row>
    <row r="961" spans="1:2" ht="12.75" customHeight="1" x14ac:dyDescent="0.25">
      <c r="A961" s="1"/>
      <c r="B961" s="1"/>
    </row>
    <row r="962" spans="1:2" ht="12.75" customHeight="1" x14ac:dyDescent="0.25">
      <c r="A962" s="1"/>
      <c r="B962" s="1"/>
    </row>
    <row r="963" spans="1:2" ht="12.75" customHeight="1" x14ac:dyDescent="0.25">
      <c r="A963" s="1"/>
      <c r="B963" s="1"/>
    </row>
    <row r="964" spans="1:2" ht="12.75" customHeight="1" x14ac:dyDescent="0.25">
      <c r="A964" s="1"/>
      <c r="B964" s="1"/>
    </row>
    <row r="965" spans="1:2" ht="12.75" customHeight="1" x14ac:dyDescent="0.25">
      <c r="A965" s="1"/>
      <c r="B965" s="1"/>
    </row>
    <row r="966" spans="1:2" ht="12.75" customHeight="1" x14ac:dyDescent="0.25">
      <c r="A966" s="1"/>
      <c r="B966" s="1"/>
    </row>
    <row r="967" spans="1:2" ht="12.75" customHeight="1" x14ac:dyDescent="0.25">
      <c r="A967" s="1"/>
      <c r="B967" s="1"/>
    </row>
    <row r="968" spans="1:2" ht="12.75" customHeight="1" x14ac:dyDescent="0.25">
      <c r="A968" s="1"/>
      <c r="B968" s="1"/>
    </row>
    <row r="969" spans="1:2" ht="12.75" customHeight="1" x14ac:dyDescent="0.25">
      <c r="A969" s="1"/>
      <c r="B969" s="1"/>
    </row>
    <row r="970" spans="1:2" ht="12.75" customHeight="1" x14ac:dyDescent="0.25">
      <c r="A970" s="1"/>
      <c r="B970" s="1"/>
    </row>
    <row r="971" spans="1:2" ht="12.75" customHeight="1" x14ac:dyDescent="0.25">
      <c r="A971" s="1"/>
      <c r="B971" s="1"/>
    </row>
    <row r="972" spans="1:2" ht="12.75" customHeight="1" x14ac:dyDescent="0.25">
      <c r="A972" s="1"/>
      <c r="B972" s="1"/>
    </row>
    <row r="973" spans="1:2" ht="12.75" customHeight="1" x14ac:dyDescent="0.25">
      <c r="A973" s="1"/>
      <c r="B973" s="1"/>
    </row>
    <row r="974" spans="1:2" ht="12.75" customHeight="1" x14ac:dyDescent="0.25">
      <c r="A974" s="1"/>
      <c r="B974" s="1"/>
    </row>
    <row r="975" spans="1:2" ht="12.75" customHeight="1" x14ac:dyDescent="0.25">
      <c r="A975" s="1"/>
      <c r="B975" s="1"/>
    </row>
    <row r="976" spans="1:2" ht="12.75" customHeight="1" x14ac:dyDescent="0.25">
      <c r="A976" s="1"/>
      <c r="B976" s="1"/>
    </row>
    <row r="977" spans="1:2" ht="12.75" customHeight="1" x14ac:dyDescent="0.25">
      <c r="A977" s="1"/>
      <c r="B977" s="1"/>
    </row>
    <row r="978" spans="1:2" ht="12.75" customHeight="1" x14ac:dyDescent="0.25">
      <c r="A978" s="1"/>
      <c r="B978" s="1"/>
    </row>
    <row r="979" spans="1:2" ht="12.75" customHeight="1" x14ac:dyDescent="0.25">
      <c r="A979" s="1"/>
      <c r="B979" s="1"/>
    </row>
    <row r="980" spans="1:2" ht="12.75" customHeight="1" x14ac:dyDescent="0.25">
      <c r="A980" s="1"/>
      <c r="B980" s="1"/>
    </row>
    <row r="981" spans="1:2" ht="12.75" customHeight="1" x14ac:dyDescent="0.25">
      <c r="A981" s="1"/>
      <c r="B981" s="1"/>
    </row>
    <row r="982" spans="1:2" ht="12.75" customHeight="1" x14ac:dyDescent="0.25">
      <c r="A982" s="1"/>
      <c r="B982" s="1"/>
    </row>
    <row r="983" spans="1:2" ht="12.75" customHeight="1" x14ac:dyDescent="0.25">
      <c r="A983" s="1"/>
      <c r="B983" s="1"/>
    </row>
    <row r="984" spans="1:2" ht="12.75" customHeight="1" x14ac:dyDescent="0.25">
      <c r="A984" s="1"/>
      <c r="B984" s="1"/>
    </row>
    <row r="985" spans="1:2" ht="12.75" customHeight="1" x14ac:dyDescent="0.25">
      <c r="A985" s="1"/>
      <c r="B985" s="1"/>
    </row>
    <row r="986" spans="1:2" ht="12.75" customHeight="1" x14ac:dyDescent="0.25">
      <c r="A986" s="1"/>
      <c r="B986" s="1"/>
    </row>
    <row r="987" spans="1:2" ht="12.75" customHeight="1" x14ac:dyDescent="0.25">
      <c r="A987" s="1"/>
      <c r="B987" s="1"/>
    </row>
    <row r="988" spans="1:2" ht="12.75" customHeight="1" x14ac:dyDescent="0.25">
      <c r="A988" s="1"/>
      <c r="B988" s="1"/>
    </row>
    <row r="989" spans="1:2" ht="12.75" customHeight="1" x14ac:dyDescent="0.25">
      <c r="A989" s="1"/>
      <c r="B989" s="1"/>
    </row>
    <row r="990" spans="1:2" ht="12.75" customHeight="1" x14ac:dyDescent="0.25">
      <c r="A990" s="1"/>
      <c r="B990" s="1"/>
    </row>
    <row r="991" spans="1:2" ht="12.75" customHeight="1" x14ac:dyDescent="0.25">
      <c r="A991" s="1"/>
      <c r="B991" s="1"/>
    </row>
    <row r="992" spans="1:2" ht="12.75" customHeight="1" x14ac:dyDescent="0.25">
      <c r="A992" s="1"/>
      <c r="B992" s="1"/>
    </row>
    <row r="993" spans="1:2" ht="12.75" customHeight="1" x14ac:dyDescent="0.25">
      <c r="A993" s="1"/>
      <c r="B993" s="1"/>
    </row>
    <row r="994" spans="1:2" ht="12.75" customHeight="1" x14ac:dyDescent="0.25">
      <c r="A994" s="1"/>
      <c r="B994" s="1"/>
    </row>
    <row r="995" spans="1:2" ht="12.75" customHeight="1" x14ac:dyDescent="0.25">
      <c r="A995" s="1"/>
      <c r="B995" s="1"/>
    </row>
  </sheetData>
  <mergeCells count="1">
    <mergeCell ref="P12:S12"/>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B252-5BB0-4444-A828-72C173EBB2F5}">
  <sheetPr>
    <tabColor rgb="FF8496B0"/>
  </sheetPr>
  <dimension ref="A1:AG1003"/>
  <sheetViews>
    <sheetView showGridLines="0" workbookViewId="0">
      <selection activeCell="H25" sqref="H25"/>
    </sheetView>
  </sheetViews>
  <sheetFormatPr defaultColWidth="14.42578125" defaultRowHeight="15" customHeight="1" outlineLevelRow="1" outlineLevelCol="1" x14ac:dyDescent="0.25"/>
  <cols>
    <col min="1" max="2" width="2.42578125" customWidth="1"/>
    <col min="3" max="3" width="1.28515625" customWidth="1"/>
    <col min="4" max="4" width="3.28515625" customWidth="1"/>
    <col min="5" max="5" width="38" customWidth="1"/>
    <col min="6" max="7" width="9.140625" customWidth="1"/>
    <col min="8" max="8" width="10" customWidth="1"/>
    <col min="9" max="9" width="9.7109375" customWidth="1"/>
    <col min="10" max="10" width="9.85546875" customWidth="1"/>
    <col min="11" max="15" width="9.7109375" customWidth="1"/>
    <col min="16" max="16" width="15.140625" bestFit="1" customWidth="1"/>
    <col min="17" max="19" width="9.140625" hidden="1" customWidth="1" outlineLevel="1"/>
    <col min="20" max="20" width="10.140625" customWidth="1" collapsed="1"/>
    <col min="21" max="21" width="3.42578125" customWidth="1"/>
    <col min="22" max="22" width="23.7109375" customWidth="1"/>
    <col min="23" max="24" width="9.140625" customWidth="1"/>
    <col min="25" max="25" width="10.7109375" customWidth="1"/>
    <col min="26" max="27" width="9.140625" customWidth="1"/>
    <col min="28" max="28" width="12.28515625" customWidth="1"/>
    <col min="29" max="29" width="17.42578125" customWidth="1"/>
    <col min="30" max="30" width="17.28515625" customWidth="1"/>
    <col min="31" max="31" width="15.7109375" customWidth="1"/>
    <col min="32" max="33" width="9.140625" customWidth="1"/>
  </cols>
  <sheetData>
    <row r="1" spans="1:33" ht="12.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2.75" customHeight="1" x14ac:dyDescent="0.25">
      <c r="A2" s="1"/>
      <c r="B2" s="1"/>
      <c r="C2" s="3"/>
      <c r="D2" s="4" t="s">
        <v>781</v>
      </c>
      <c r="E2" s="4"/>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ht="12.75" customHeight="1" x14ac:dyDescent="0.25">
      <c r="A3" s="1"/>
      <c r="B3" s="1"/>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row>
    <row r="4" spans="1:33" ht="12.75" customHeight="1" x14ac:dyDescent="0.25">
      <c r="A4" s="1"/>
      <c r="B4" s="1"/>
      <c r="C4" s="13"/>
      <c r="D4" s="13"/>
      <c r="E4" s="13"/>
      <c r="F4" s="13"/>
      <c r="G4" s="13"/>
      <c r="H4" s="13"/>
      <c r="I4" s="13"/>
      <c r="J4" s="13"/>
      <c r="K4" s="13"/>
      <c r="L4" s="425"/>
      <c r="M4" s="425"/>
      <c r="N4" s="425"/>
      <c r="O4" s="425"/>
      <c r="P4" s="13"/>
      <c r="Q4" s="13"/>
      <c r="R4" s="13"/>
      <c r="S4" s="13"/>
      <c r="T4" s="13"/>
      <c r="U4" s="13"/>
      <c r="V4" s="13"/>
      <c r="W4" s="13"/>
      <c r="X4" s="13"/>
      <c r="Y4" s="13"/>
      <c r="Z4" s="13"/>
      <c r="AA4" s="13"/>
      <c r="AB4" s="13"/>
      <c r="AC4" s="13"/>
      <c r="AD4" s="13"/>
      <c r="AE4" s="13"/>
      <c r="AF4" s="13"/>
      <c r="AG4" s="13"/>
    </row>
    <row r="5" spans="1:33" ht="12.75" customHeight="1" x14ac:dyDescent="0.25">
      <c r="A5" s="1"/>
      <c r="B5" s="1"/>
      <c r="C5" s="4"/>
      <c r="D5" s="4" t="s">
        <v>782</v>
      </c>
      <c r="E5" s="4"/>
      <c r="F5" s="4"/>
      <c r="G5" s="4"/>
      <c r="H5" s="4"/>
      <c r="I5" s="1"/>
      <c r="J5" s="1"/>
      <c r="K5" s="1"/>
      <c r="L5" s="1"/>
      <c r="M5" s="1"/>
      <c r="N5" s="1"/>
      <c r="O5" s="1"/>
      <c r="P5" s="1"/>
      <c r="Q5" s="1"/>
      <c r="R5" s="1"/>
      <c r="S5" s="1"/>
      <c r="T5" s="1"/>
      <c r="U5" s="1"/>
      <c r="V5" s="1"/>
      <c r="W5" s="1"/>
      <c r="X5" s="1"/>
      <c r="Y5" s="1"/>
      <c r="Z5" s="1"/>
      <c r="AA5" s="1"/>
      <c r="AB5" s="1"/>
      <c r="AC5" s="1"/>
      <c r="AD5" s="1"/>
      <c r="AE5" s="1"/>
      <c r="AF5" s="1"/>
      <c r="AG5" s="1"/>
    </row>
    <row r="6" spans="1:33" ht="7.5" customHeight="1" x14ac:dyDescent="0.25">
      <c r="A6" s="1"/>
      <c r="B6" s="1"/>
      <c r="C6" s="78"/>
      <c r="D6" s="78"/>
      <c r="E6" s="78"/>
      <c r="F6" s="78"/>
      <c r="G6" s="78"/>
      <c r="H6" s="78"/>
      <c r="I6" s="1"/>
      <c r="J6" s="1"/>
      <c r="K6" s="1"/>
      <c r="L6" s="1"/>
      <c r="M6" s="1"/>
      <c r="N6" s="1"/>
      <c r="O6" s="1"/>
      <c r="P6" s="1"/>
      <c r="Q6" s="1"/>
      <c r="R6" s="1"/>
      <c r="S6" s="1"/>
      <c r="T6" s="1"/>
      <c r="U6" s="1"/>
      <c r="V6" s="1"/>
      <c r="W6" s="1"/>
      <c r="X6" s="1"/>
      <c r="Y6" s="1"/>
      <c r="Z6" s="1"/>
      <c r="AA6" s="1"/>
      <c r="AB6" s="1"/>
      <c r="AC6" s="1"/>
      <c r="AD6" s="1"/>
      <c r="AE6" s="1"/>
      <c r="AF6" s="1"/>
      <c r="AG6" s="1"/>
    </row>
    <row r="7" spans="1:33" ht="7.5" customHeight="1" x14ac:dyDescent="0.25">
      <c r="A7" s="1"/>
      <c r="B7" s="1"/>
      <c r="C7" s="13"/>
      <c r="D7" s="79"/>
      <c r="E7" s="79"/>
      <c r="F7" s="79"/>
      <c r="G7" s="79"/>
      <c r="H7" s="79"/>
      <c r="I7" s="1"/>
      <c r="J7" s="1"/>
      <c r="K7" s="1"/>
      <c r="L7" s="1"/>
      <c r="M7" s="1"/>
      <c r="N7" s="1"/>
      <c r="O7" s="1"/>
      <c r="P7" s="1"/>
      <c r="Q7" s="1"/>
      <c r="R7" s="1"/>
      <c r="S7" s="1"/>
      <c r="T7" s="1"/>
      <c r="U7" s="1"/>
      <c r="V7" s="1"/>
      <c r="W7" s="1"/>
      <c r="X7" s="1"/>
      <c r="Y7" s="1"/>
      <c r="Z7" s="1"/>
      <c r="AA7" s="1"/>
      <c r="AB7" s="1"/>
      <c r="AC7" s="1"/>
      <c r="AD7" s="1"/>
      <c r="AE7" s="1"/>
      <c r="AF7" s="1"/>
      <c r="AG7" s="1"/>
    </row>
    <row r="8" spans="1:33" ht="12.75" customHeight="1" x14ac:dyDescent="0.25">
      <c r="A8" s="1"/>
      <c r="B8" s="1"/>
      <c r="E8" s="1" t="s">
        <v>791</v>
      </c>
      <c r="F8" s="33" t="s">
        <v>28</v>
      </c>
      <c r="G8" s="14"/>
      <c r="H8" s="436">
        <f>'&gt;&gt; Fin Stmts'!P54</f>
        <v>2952.1011325362815</v>
      </c>
      <c r="I8" s="1"/>
      <c r="J8" s="1"/>
      <c r="K8" s="1"/>
      <c r="L8" s="1"/>
      <c r="M8" s="1"/>
      <c r="N8" s="1"/>
      <c r="O8" s="1"/>
      <c r="P8" s="1"/>
      <c r="Q8" s="1"/>
      <c r="R8" s="1"/>
      <c r="S8" s="1"/>
      <c r="T8" s="1"/>
      <c r="U8" s="1"/>
      <c r="V8" s="1"/>
      <c r="W8" s="1"/>
      <c r="X8" s="1"/>
      <c r="Y8" s="1"/>
      <c r="Z8" s="1"/>
      <c r="AA8" s="1"/>
      <c r="AB8" s="1"/>
      <c r="AC8" s="1"/>
      <c r="AD8" s="1"/>
      <c r="AE8" s="1"/>
      <c r="AF8" s="1"/>
      <c r="AG8" s="1"/>
    </row>
    <row r="9" spans="1:33" ht="12.75" customHeight="1" x14ac:dyDescent="0.25">
      <c r="A9" s="1"/>
      <c r="B9" s="1"/>
      <c r="E9" s="1" t="s">
        <v>793</v>
      </c>
      <c r="F9" s="33" t="s">
        <v>28</v>
      </c>
      <c r="G9" s="14"/>
      <c r="H9" s="437">
        <f>'&gt;&gt; Fin Stmts'!P74</f>
        <v>-1528.4319508452622</v>
      </c>
      <c r="I9" s="1"/>
      <c r="J9" s="1"/>
      <c r="K9" s="1"/>
      <c r="L9" s="1"/>
      <c r="M9" s="1"/>
      <c r="N9" s="1"/>
      <c r="O9" s="1"/>
      <c r="P9" s="1"/>
      <c r="Q9" s="1"/>
      <c r="R9" s="1"/>
      <c r="S9" s="1"/>
      <c r="T9" s="1"/>
      <c r="U9" s="1"/>
      <c r="V9" s="1"/>
      <c r="W9" s="1"/>
      <c r="X9" s="1"/>
      <c r="Y9" s="1"/>
      <c r="Z9" s="1"/>
      <c r="AA9" s="1"/>
      <c r="AB9" s="1"/>
      <c r="AC9" s="1"/>
      <c r="AD9" s="1"/>
      <c r="AE9" s="1"/>
      <c r="AF9" s="1"/>
      <c r="AG9" s="1"/>
    </row>
    <row r="10" spans="1:33" ht="12.75" customHeight="1" x14ac:dyDescent="0.25">
      <c r="A10" s="1"/>
      <c r="B10" s="1"/>
      <c r="E10" s="1" t="s">
        <v>792</v>
      </c>
      <c r="F10" s="33" t="s">
        <v>28</v>
      </c>
      <c r="G10" s="14"/>
      <c r="H10" s="436">
        <f>SUM(H8:H9)</f>
        <v>1423.6691816910193</v>
      </c>
      <c r="I10" s="1"/>
      <c r="J10" s="1"/>
      <c r="K10" s="1"/>
      <c r="L10" s="1"/>
      <c r="M10" s="1"/>
      <c r="N10" s="1"/>
      <c r="O10" s="1"/>
      <c r="P10" s="1"/>
      <c r="Q10" s="1"/>
      <c r="R10" s="1"/>
      <c r="S10" s="1"/>
      <c r="T10" s="1"/>
      <c r="U10" s="1"/>
      <c r="V10" s="1"/>
      <c r="W10" s="1"/>
      <c r="X10" s="1"/>
      <c r="Y10" s="1"/>
      <c r="Z10" s="1"/>
      <c r="AA10" s="1"/>
      <c r="AB10" s="1"/>
      <c r="AC10" s="1"/>
      <c r="AD10" s="1"/>
      <c r="AE10" s="1"/>
      <c r="AF10" s="1"/>
      <c r="AG10" s="1"/>
    </row>
    <row r="11" spans="1:33" ht="12.75" customHeight="1" x14ac:dyDescent="0.25">
      <c r="A11" s="1"/>
      <c r="B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ht="12.75" customHeight="1" x14ac:dyDescent="0.25">
      <c r="A12" s="1"/>
      <c r="B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ht="12.75" customHeight="1" x14ac:dyDescent="0.25">
      <c r="A13" s="1"/>
      <c r="B13" s="1"/>
      <c r="E13" s="4" t="s">
        <v>783</v>
      </c>
      <c r="F13" s="421"/>
      <c r="G13" s="421"/>
      <c r="H13" s="421"/>
      <c r="I13" s="421"/>
      <c r="J13" s="421"/>
      <c r="K13" s="438" t="s">
        <v>770</v>
      </c>
      <c r="AA13" s="1"/>
      <c r="AB13" s="1"/>
      <c r="AC13" s="1"/>
      <c r="AD13" s="1"/>
      <c r="AE13" s="1"/>
      <c r="AF13" s="1"/>
      <c r="AG13" s="1"/>
    </row>
    <row r="14" spans="1:33" ht="12.75" customHeight="1" x14ac:dyDescent="0.25">
      <c r="A14" s="1"/>
      <c r="B14" s="1"/>
      <c r="E14" s="422"/>
      <c r="F14" s="429" t="s">
        <v>79</v>
      </c>
      <c r="G14" s="429" t="s">
        <v>80</v>
      </c>
      <c r="H14" s="429" t="s">
        <v>569</v>
      </c>
      <c r="I14" s="429" t="s">
        <v>784</v>
      </c>
      <c r="J14" s="429" t="s">
        <v>785</v>
      </c>
      <c r="K14" s="429" t="s">
        <v>790</v>
      </c>
      <c r="T14" s="428"/>
      <c r="AA14" s="1"/>
      <c r="AB14" s="1"/>
      <c r="AC14" s="1"/>
      <c r="AD14" s="1"/>
      <c r="AE14" s="1"/>
      <c r="AF14" s="1"/>
      <c r="AG14" s="1"/>
    </row>
    <row r="15" spans="1:33" ht="12.75" customHeight="1" x14ac:dyDescent="0.25">
      <c r="A15" s="1"/>
      <c r="B15" s="1"/>
      <c r="E15" s="313" t="s">
        <v>786</v>
      </c>
      <c r="F15" s="433">
        <v>1.55</v>
      </c>
      <c r="G15" s="433">
        <v>1.52</v>
      </c>
      <c r="H15" s="433">
        <v>1.1299999999999999</v>
      </c>
      <c r="I15" s="433">
        <v>0.92</v>
      </c>
      <c r="J15" s="433">
        <v>0.83</v>
      </c>
      <c r="K15" s="440">
        <f>J15*(1+$K$21)</f>
        <v>0.94100375003356063</v>
      </c>
      <c r="T15" s="427"/>
      <c r="AA15" s="1"/>
      <c r="AB15" s="1"/>
      <c r="AC15" s="1"/>
      <c r="AD15" s="1"/>
      <c r="AE15" s="1"/>
      <c r="AF15" s="1"/>
      <c r="AG15" s="1"/>
    </row>
    <row r="16" spans="1:33" ht="12.75" customHeight="1" x14ac:dyDescent="0.25">
      <c r="A16" s="1"/>
      <c r="B16" s="1"/>
      <c r="E16" s="313" t="s">
        <v>787</v>
      </c>
      <c r="F16" s="433">
        <v>0.47</v>
      </c>
      <c r="G16" s="433">
        <v>0.32</v>
      </c>
      <c r="H16" s="433">
        <v>0.54</v>
      </c>
      <c r="I16" s="433">
        <v>0.42</v>
      </c>
      <c r="J16" s="433">
        <v>0.83</v>
      </c>
      <c r="K16" s="440">
        <f>J16*(1+$K$21)</f>
        <v>0.94100375003356063</v>
      </c>
      <c r="T16" s="419"/>
      <c r="AA16" s="1"/>
      <c r="AB16" s="1"/>
      <c r="AC16" s="1"/>
      <c r="AD16" s="1"/>
      <c r="AE16" s="1"/>
      <c r="AF16" s="1"/>
      <c r="AG16" s="1"/>
    </row>
    <row r="17" spans="1:33" ht="12.75" customHeight="1" x14ac:dyDescent="0.25">
      <c r="A17" s="1"/>
      <c r="B17" s="1"/>
      <c r="E17" s="313" t="s">
        <v>788</v>
      </c>
      <c r="F17" s="433">
        <v>0.97</v>
      </c>
      <c r="G17" s="433">
        <v>0.98</v>
      </c>
      <c r="H17" s="433">
        <v>0.78</v>
      </c>
      <c r="I17" s="433">
        <v>0.57999999999999996</v>
      </c>
      <c r="J17" s="433">
        <v>0.51</v>
      </c>
      <c r="K17" s="440">
        <f>J17*(1+$K$21)</f>
        <v>0.57820712351459758</v>
      </c>
      <c r="T17" s="420"/>
      <c r="AA17" s="1"/>
      <c r="AB17" s="1"/>
      <c r="AC17" s="1"/>
      <c r="AD17" s="1"/>
      <c r="AE17" s="1"/>
      <c r="AF17" s="1"/>
      <c r="AG17" s="1"/>
    </row>
    <row r="18" spans="1:33" ht="13.5" customHeight="1" x14ac:dyDescent="0.25">
      <c r="A18" s="1"/>
      <c r="B18" s="1"/>
      <c r="E18" s="313" t="s">
        <v>789</v>
      </c>
      <c r="F18" s="433">
        <v>0.22</v>
      </c>
      <c r="G18" s="433">
        <v>0.28000000000000003</v>
      </c>
      <c r="H18" s="433">
        <v>0.92</v>
      </c>
      <c r="I18" s="433">
        <v>0.96</v>
      </c>
      <c r="J18" s="433">
        <v>0.71</v>
      </c>
      <c r="K18" s="440">
        <f>J18*(1+$K$21)</f>
        <v>0.80495501508894951</v>
      </c>
      <c r="L18" s="1"/>
      <c r="M18" s="1"/>
      <c r="N18" s="1"/>
      <c r="O18" s="1"/>
      <c r="P18" s="1"/>
      <c r="Q18" s="1"/>
      <c r="R18" s="1"/>
      <c r="S18" s="1"/>
      <c r="T18" s="1"/>
      <c r="U18" s="1"/>
      <c r="V18" s="1"/>
      <c r="W18" s="1"/>
      <c r="X18" s="1"/>
      <c r="Y18" s="1"/>
      <c r="Z18" s="1"/>
      <c r="AA18" s="1"/>
      <c r="AB18" s="1"/>
      <c r="AC18" s="1"/>
      <c r="AD18" s="1"/>
      <c r="AE18" s="1"/>
      <c r="AF18" s="1"/>
      <c r="AG18" s="1"/>
    </row>
    <row r="19" spans="1:33" ht="13.5" customHeight="1" x14ac:dyDescent="0.25">
      <c r="A19" s="1"/>
      <c r="B19" s="1"/>
      <c r="E19" s="434" t="s">
        <v>795</v>
      </c>
      <c r="F19" s="435">
        <f t="shared" ref="F19:K19" si="0">HARMEAN(F15:F18)</f>
        <v>0.47908763057759612</v>
      </c>
      <c r="G19" s="435">
        <f t="shared" si="0"/>
        <v>0.47762725450901805</v>
      </c>
      <c r="H19" s="435">
        <f t="shared" si="0"/>
        <v>0.7834204099596912</v>
      </c>
      <c r="I19" s="435">
        <f t="shared" si="0"/>
        <v>0.64167209477112486</v>
      </c>
      <c r="J19" s="435">
        <f t="shared" si="0"/>
        <v>0.69217641639797334</v>
      </c>
      <c r="K19" s="435">
        <f t="shared" si="0"/>
        <v>0.78474771507865571</v>
      </c>
      <c r="L19" s="1"/>
      <c r="M19" s="1"/>
      <c r="N19" s="1"/>
      <c r="O19" s="1"/>
      <c r="P19" s="1"/>
      <c r="Q19" s="1"/>
      <c r="R19" s="1"/>
      <c r="S19" s="1"/>
      <c r="T19" s="1"/>
      <c r="U19" s="1"/>
      <c r="V19" s="1"/>
      <c r="W19" s="1"/>
      <c r="X19" s="1"/>
      <c r="Y19" s="1"/>
      <c r="Z19" s="1"/>
      <c r="AA19" s="1"/>
      <c r="AB19" s="1"/>
      <c r="AC19" s="1"/>
      <c r="AD19" s="1"/>
      <c r="AE19" s="1"/>
      <c r="AF19" s="1"/>
      <c r="AG19" s="1"/>
    </row>
    <row r="20" spans="1:33" ht="13.5" customHeight="1" x14ac:dyDescent="0.25">
      <c r="A20" s="1"/>
      <c r="B20" s="1"/>
      <c r="E20" s="441" t="s">
        <v>625</v>
      </c>
      <c r="F20" s="439"/>
      <c r="G20" s="444">
        <f>G19/F19-1</f>
        <v>-3.0482441527814874E-3</v>
      </c>
      <c r="H20" s="444">
        <f>H19/G19-1</f>
        <v>0.64023389068326186</v>
      </c>
      <c r="I20" s="444">
        <f>I19/H19-1</f>
        <v>-0.18093518293180488</v>
      </c>
      <c r="J20" s="444">
        <f>J19/I19-1</f>
        <v>7.8707367888364521E-2</v>
      </c>
      <c r="K20" s="444">
        <f>K19/J19-1</f>
        <v>0.13373945787175967</v>
      </c>
      <c r="L20" s="1"/>
      <c r="M20" s="1"/>
      <c r="N20" s="1"/>
      <c r="O20" s="1"/>
      <c r="P20" s="1"/>
      <c r="Q20" s="1"/>
      <c r="R20" s="1"/>
      <c r="S20" s="1"/>
      <c r="T20" s="1"/>
      <c r="U20" s="1"/>
      <c r="V20" s="1"/>
      <c r="W20" s="1"/>
      <c r="X20" s="1"/>
      <c r="Y20" s="1"/>
      <c r="Z20" s="1"/>
      <c r="AA20" s="1"/>
      <c r="AB20" s="1"/>
      <c r="AC20" s="1"/>
      <c r="AD20" s="1"/>
      <c r="AE20" s="1"/>
      <c r="AF20" s="1"/>
      <c r="AG20" s="1"/>
    </row>
    <row r="21" spans="1:33" ht="13.5" customHeight="1" x14ac:dyDescent="0.25">
      <c r="A21" s="1"/>
      <c r="B21" s="1"/>
      <c r="E21" s="441" t="s">
        <v>796</v>
      </c>
      <c r="F21" s="439"/>
      <c r="G21" s="442"/>
      <c r="H21" s="442"/>
      <c r="I21" s="442"/>
      <c r="J21" s="442"/>
      <c r="K21" s="443">
        <f>AVERAGE(G20:J20)</f>
        <v>0.13373945787176</v>
      </c>
      <c r="L21" s="1"/>
      <c r="M21" s="1"/>
      <c r="N21" s="1"/>
      <c r="O21" s="1"/>
      <c r="P21" s="1"/>
      <c r="Q21" s="1"/>
      <c r="R21" s="1"/>
      <c r="S21" s="1"/>
      <c r="T21" s="1"/>
      <c r="U21" s="1"/>
      <c r="V21" s="1"/>
      <c r="W21" s="1"/>
      <c r="X21" s="1"/>
      <c r="Y21" s="1"/>
      <c r="Z21" s="1"/>
      <c r="AA21" s="1"/>
      <c r="AB21" s="1"/>
      <c r="AC21" s="1"/>
      <c r="AD21" s="1"/>
      <c r="AE21" s="1"/>
      <c r="AF21" s="1"/>
      <c r="AG21" s="1"/>
    </row>
    <row r="22" spans="1:33" ht="13.5" customHeight="1" x14ac:dyDescent="0.25">
      <c r="A22" s="1"/>
      <c r="B22" s="1"/>
      <c r="I22" s="1"/>
      <c r="J22" s="1"/>
      <c r="L22" s="1"/>
      <c r="M22" s="1"/>
      <c r="N22" s="1"/>
      <c r="O22" s="1"/>
      <c r="P22" s="1"/>
      <c r="Q22" s="1"/>
      <c r="R22" s="1"/>
      <c r="S22" s="1"/>
      <c r="T22" s="1"/>
      <c r="U22" s="1"/>
      <c r="V22" s="1"/>
      <c r="W22" s="1"/>
      <c r="X22" s="1"/>
      <c r="Y22" s="1"/>
      <c r="Z22" s="1"/>
      <c r="AA22" s="1"/>
      <c r="AB22" s="1"/>
      <c r="AC22" s="1"/>
      <c r="AD22" s="1"/>
      <c r="AE22" s="1"/>
      <c r="AF22" s="1"/>
      <c r="AG22" s="1"/>
    </row>
    <row r="23" spans="1:33" ht="13.5" customHeight="1" x14ac:dyDescent="0.25">
      <c r="A23" s="1"/>
      <c r="B23" s="1"/>
      <c r="E23" s="1" t="s">
        <v>97</v>
      </c>
      <c r="F23" s="33" t="s">
        <v>98</v>
      </c>
      <c r="G23" s="33"/>
      <c r="H23" s="39">
        <f>INDEX( '&gt;&gt; Valuation'!$H$77:$H$95, MATCH( '&gt;&gt; Dash'!E13, '&gt;&gt; Valuation'!$E$77:$E$95, 0 ) )</f>
        <v>760.20520899999997</v>
      </c>
      <c r="I23" s="1"/>
      <c r="J23" s="1"/>
      <c r="K23" s="1"/>
      <c r="L23" s="1"/>
      <c r="M23" s="1"/>
      <c r="N23" s="1"/>
      <c r="O23" s="1"/>
      <c r="P23" s="1"/>
      <c r="Q23" s="1"/>
      <c r="R23" s="1"/>
      <c r="S23" s="1"/>
      <c r="T23" s="1"/>
      <c r="U23" s="1"/>
      <c r="V23" s="1"/>
      <c r="W23" s="1"/>
      <c r="X23" s="1"/>
      <c r="Y23" s="1"/>
      <c r="Z23" s="1"/>
      <c r="AA23" s="1"/>
      <c r="AB23" s="1"/>
      <c r="AC23" s="1"/>
      <c r="AD23" s="1"/>
      <c r="AE23" s="1"/>
      <c r="AF23" s="1"/>
      <c r="AG23" s="1"/>
    </row>
    <row r="24" spans="1:33" ht="13.5" customHeight="1" x14ac:dyDescent="0.25">
      <c r="A24" s="1"/>
      <c r="B24" s="1"/>
      <c r="E24" s="1" t="s">
        <v>797</v>
      </c>
      <c r="F24" s="33" t="s">
        <v>100</v>
      </c>
      <c r="G24" s="82"/>
      <c r="H24" s="84">
        <f>H10/H23</f>
        <v>1.8727432604201208</v>
      </c>
      <c r="I24" s="1"/>
      <c r="J24" s="1"/>
      <c r="K24" s="1"/>
      <c r="L24" s="1"/>
      <c r="M24" s="1"/>
      <c r="N24" s="1"/>
      <c r="O24" s="1"/>
      <c r="P24" s="1"/>
      <c r="Q24" s="1"/>
      <c r="R24" s="1"/>
      <c r="S24" s="1"/>
      <c r="T24" s="1"/>
      <c r="U24" s="1"/>
      <c r="V24" s="1"/>
      <c r="W24" s="1"/>
      <c r="X24" s="1"/>
      <c r="Y24" s="1"/>
      <c r="Z24" s="1"/>
      <c r="AA24" s="1"/>
      <c r="AB24" s="1"/>
      <c r="AC24" s="1"/>
      <c r="AD24" s="1"/>
      <c r="AE24" s="1"/>
      <c r="AF24" s="1"/>
      <c r="AG24" s="1"/>
    </row>
    <row r="25" spans="1:33" ht="13.5" customHeight="1" x14ac:dyDescent="0.25">
      <c r="A25" s="1"/>
      <c r="B25" s="1"/>
      <c r="E25" s="2" t="s">
        <v>794</v>
      </c>
      <c r="F25" s="33" t="s">
        <v>100</v>
      </c>
      <c r="G25" s="82"/>
      <c r="H25" s="83">
        <f>H24*K19</f>
        <v>1.4696309945436417</v>
      </c>
      <c r="I25" s="1"/>
      <c r="J25" s="1"/>
      <c r="K25" s="1"/>
      <c r="L25" s="1"/>
      <c r="M25" s="1"/>
      <c r="N25" s="1"/>
      <c r="O25" s="1"/>
      <c r="P25" s="1"/>
      <c r="Q25" s="1"/>
      <c r="R25" s="1"/>
      <c r="S25" s="1"/>
      <c r="T25" s="1"/>
      <c r="U25" s="1"/>
      <c r="V25" s="1"/>
      <c r="W25" s="1"/>
      <c r="X25" s="1"/>
      <c r="Y25" s="1"/>
      <c r="Z25" s="1"/>
      <c r="AA25" s="1"/>
      <c r="AB25" s="1"/>
      <c r="AC25" s="1"/>
      <c r="AD25" s="1"/>
      <c r="AE25" s="1"/>
      <c r="AF25" s="1"/>
      <c r="AG25" s="1"/>
    </row>
    <row r="26" spans="1:33" ht="12.75" customHeight="1" x14ac:dyDescent="0.25">
      <c r="A26" s="1"/>
      <c r="B26" s="1"/>
      <c r="E26" s="1" t="s">
        <v>103</v>
      </c>
      <c r="F26" s="33" t="s">
        <v>100</v>
      </c>
      <c r="G26" s="82"/>
      <c r="H26" s="85">
        <f>'&gt;&gt; Inputs'!G21</f>
        <v>1.34</v>
      </c>
      <c r="I26" s="1"/>
      <c r="J26" s="1"/>
      <c r="K26" s="1"/>
      <c r="L26" s="1"/>
      <c r="M26" s="1"/>
      <c r="N26" s="1"/>
      <c r="O26" s="1"/>
      <c r="P26" s="1"/>
      <c r="Q26" s="1"/>
      <c r="R26" s="1"/>
      <c r="S26" s="1"/>
      <c r="T26" s="1"/>
      <c r="U26" s="1"/>
      <c r="V26" s="1"/>
      <c r="W26" s="1"/>
      <c r="X26" s="1"/>
      <c r="Y26" s="1"/>
      <c r="Z26" s="1"/>
      <c r="AA26" s="1"/>
      <c r="AB26" s="1"/>
      <c r="AC26" s="1"/>
      <c r="AD26" s="1"/>
      <c r="AE26" s="1"/>
      <c r="AF26" s="1"/>
      <c r="AG26" s="1"/>
    </row>
    <row r="27" spans="1:33" ht="12.75" customHeight="1" x14ac:dyDescent="0.25">
      <c r="A27" s="1"/>
      <c r="B27" s="1"/>
      <c r="E27" s="1" t="s">
        <v>104</v>
      </c>
      <c r="F27" s="33" t="s">
        <v>8</v>
      </c>
      <c r="G27" s="82"/>
      <c r="H27" s="86">
        <f>H25/H26-1</f>
        <v>9.6739548166896672E-2</v>
      </c>
      <c r="I27" s="1"/>
      <c r="J27" s="1"/>
      <c r="K27" s="1"/>
      <c r="L27" s="1"/>
      <c r="M27" s="1"/>
      <c r="N27" s="1"/>
      <c r="O27" s="1"/>
      <c r="P27" s="1"/>
      <c r="Q27" s="1"/>
      <c r="R27" s="1"/>
      <c r="S27" s="1"/>
      <c r="T27" s="1"/>
      <c r="U27" s="1"/>
      <c r="V27" s="1"/>
      <c r="W27" s="1"/>
      <c r="X27" s="1"/>
      <c r="Y27" s="1"/>
      <c r="Z27" s="1"/>
      <c r="AA27" s="1"/>
      <c r="AB27" s="1"/>
      <c r="AC27" s="1"/>
      <c r="AD27" s="1"/>
      <c r="AE27" s="1"/>
      <c r="AF27" s="1"/>
      <c r="AG27" s="1"/>
    </row>
    <row r="28" spans="1:33" ht="12.75" customHeight="1" x14ac:dyDescent="0.25">
      <c r="A28" s="1"/>
      <c r="B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1:33" ht="12.75" customHeight="1" x14ac:dyDescent="0.25">
      <c r="A29" s="1"/>
      <c r="B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1:33" ht="12.75" customHeight="1" x14ac:dyDescent="0.25">
      <c r="A30" s="1"/>
      <c r="B30" s="1"/>
      <c r="I30" s="1"/>
      <c r="J30" s="1"/>
      <c r="K30" s="1"/>
      <c r="L30" s="1"/>
      <c r="M30" s="1"/>
      <c r="N30" s="1"/>
      <c r="O30" s="1"/>
      <c r="P30" s="1"/>
      <c r="Q30" s="1"/>
      <c r="R30" s="1"/>
      <c r="S30" s="1"/>
      <c r="T30" s="1"/>
      <c r="U30" s="1"/>
      <c r="V30" s="1"/>
      <c r="W30" s="1"/>
      <c r="X30" s="1"/>
      <c r="Y30" s="1"/>
      <c r="Z30" s="1"/>
      <c r="AA30" s="1"/>
      <c r="AB30" s="1"/>
      <c r="AC30" s="1"/>
      <c r="AD30" s="1"/>
      <c r="AE30" s="1"/>
      <c r="AF30" s="1"/>
      <c r="AG30" s="1"/>
    </row>
    <row r="31" spans="1:33" x14ac:dyDescent="0.25">
      <c r="A31" s="1"/>
      <c r="B31" s="1"/>
      <c r="E31" s="606" t="s">
        <v>830</v>
      </c>
      <c r="F31" s="606"/>
      <c r="G31" s="606"/>
      <c r="H31" s="606"/>
      <c r="I31" s="606"/>
      <c r="J31" s="606"/>
      <c r="K31" s="606"/>
      <c r="L31" s="606"/>
      <c r="M31" s="606"/>
      <c r="N31" s="606"/>
      <c r="O31" s="606"/>
      <c r="P31" s="606"/>
      <c r="Q31" s="606"/>
      <c r="R31" s="606"/>
      <c r="S31" s="606"/>
      <c r="T31" s="606"/>
      <c r="U31" s="606"/>
      <c r="V31" s="606"/>
      <c r="W31" s="1"/>
      <c r="X31" s="1"/>
      <c r="Y31" s="1"/>
      <c r="Z31" s="1"/>
      <c r="AA31" s="1"/>
      <c r="AB31" s="1"/>
      <c r="AC31" s="1"/>
      <c r="AD31" s="1"/>
      <c r="AE31" s="1"/>
      <c r="AF31" s="1"/>
      <c r="AG31" s="1"/>
    </row>
    <row r="32" spans="1:33" ht="12.75" customHeight="1" x14ac:dyDescent="0.25">
      <c r="A32" s="1"/>
      <c r="B32" s="1"/>
      <c r="E32" s="606"/>
      <c r="F32" s="606"/>
      <c r="G32" s="606"/>
      <c r="H32" s="606"/>
      <c r="I32" s="606"/>
      <c r="J32" s="606"/>
      <c r="K32" s="606"/>
      <c r="L32" s="606"/>
      <c r="M32" s="606"/>
      <c r="N32" s="606"/>
      <c r="O32" s="606"/>
      <c r="P32" s="606"/>
      <c r="Q32" s="606"/>
      <c r="R32" s="606"/>
      <c r="S32" s="606"/>
      <c r="T32" s="606"/>
      <c r="U32" s="606"/>
      <c r="V32" s="606"/>
      <c r="W32" s="1"/>
      <c r="X32" s="1"/>
      <c r="Y32" s="1"/>
      <c r="Z32" s="1"/>
      <c r="AA32" s="1"/>
      <c r="AB32" s="1"/>
      <c r="AC32" s="1"/>
      <c r="AD32" s="1"/>
      <c r="AE32" s="1"/>
      <c r="AF32" s="1"/>
      <c r="AG32" s="1"/>
    </row>
    <row r="33" spans="1:33" ht="12.75" customHeight="1" x14ac:dyDescent="0.25">
      <c r="A33" s="1"/>
      <c r="B33" s="1"/>
      <c r="E33" s="606"/>
      <c r="F33" s="606"/>
      <c r="G33" s="606"/>
      <c r="H33" s="606"/>
      <c r="I33" s="606"/>
      <c r="J33" s="606"/>
      <c r="K33" s="606"/>
      <c r="L33" s="606"/>
      <c r="M33" s="606"/>
      <c r="N33" s="606"/>
      <c r="O33" s="606"/>
      <c r="P33" s="606"/>
      <c r="Q33" s="606"/>
      <c r="R33" s="606"/>
      <c r="S33" s="606"/>
      <c r="T33" s="606"/>
      <c r="U33" s="606"/>
      <c r="V33" s="606"/>
      <c r="W33" s="1"/>
      <c r="X33" s="1"/>
      <c r="Y33" s="1"/>
      <c r="Z33" s="1"/>
      <c r="AA33" s="1"/>
      <c r="AB33" s="1"/>
      <c r="AC33" s="1"/>
      <c r="AD33" s="1"/>
      <c r="AE33" s="1"/>
      <c r="AF33" s="1"/>
      <c r="AG33" s="1"/>
    </row>
    <row r="34" spans="1:33" ht="12.75" customHeight="1" x14ac:dyDescent="0.25">
      <c r="A34" s="1"/>
      <c r="B34" s="1"/>
      <c r="E34" s="606"/>
      <c r="F34" s="606"/>
      <c r="G34" s="606"/>
      <c r="H34" s="606"/>
      <c r="I34" s="606"/>
      <c r="J34" s="606"/>
      <c r="K34" s="606"/>
      <c r="L34" s="606"/>
      <c r="M34" s="606"/>
      <c r="N34" s="606"/>
      <c r="O34" s="606"/>
      <c r="P34" s="606"/>
      <c r="Q34" s="606"/>
      <c r="R34" s="606"/>
      <c r="S34" s="606"/>
      <c r="T34" s="606"/>
      <c r="U34" s="606"/>
      <c r="V34" s="606"/>
      <c r="W34" s="1"/>
      <c r="X34" s="1"/>
      <c r="Y34" s="1"/>
      <c r="Z34" s="1"/>
      <c r="AA34" s="1"/>
      <c r="AB34" s="1"/>
      <c r="AC34" s="1"/>
      <c r="AD34" s="1"/>
      <c r="AE34" s="1"/>
      <c r="AF34" s="1"/>
      <c r="AG34" s="1"/>
    </row>
    <row r="35" spans="1:33" ht="12.75" customHeight="1" x14ac:dyDescent="0.25">
      <c r="A35" s="1"/>
      <c r="B35" s="1"/>
      <c r="E35" s="606"/>
      <c r="F35" s="606"/>
      <c r="G35" s="606"/>
      <c r="H35" s="606"/>
      <c r="I35" s="606"/>
      <c r="J35" s="606"/>
      <c r="K35" s="606"/>
      <c r="L35" s="606"/>
      <c r="M35" s="606"/>
      <c r="N35" s="606"/>
      <c r="O35" s="606"/>
      <c r="P35" s="606"/>
      <c r="Q35" s="606"/>
      <c r="R35" s="606"/>
      <c r="S35" s="606"/>
      <c r="T35" s="606"/>
      <c r="U35" s="606"/>
      <c r="V35" s="606"/>
      <c r="W35" s="1"/>
      <c r="X35" s="1"/>
      <c r="Y35" s="1"/>
      <c r="Z35" s="1"/>
      <c r="AA35" s="1"/>
      <c r="AB35" s="1"/>
      <c r="AC35" s="1"/>
      <c r="AD35" s="1"/>
      <c r="AE35" s="1"/>
      <c r="AF35" s="1"/>
      <c r="AG35" s="1"/>
    </row>
    <row r="36" spans="1:33" ht="12" customHeight="1" x14ac:dyDescent="0.25">
      <c r="A36" s="1"/>
      <c r="B36" s="1"/>
      <c r="E36" s="606"/>
      <c r="F36" s="606"/>
      <c r="G36" s="606"/>
      <c r="H36" s="606"/>
      <c r="I36" s="606"/>
      <c r="J36" s="606"/>
      <c r="K36" s="606"/>
      <c r="L36" s="606"/>
      <c r="M36" s="606"/>
      <c r="N36" s="606"/>
      <c r="O36" s="606"/>
      <c r="P36" s="606"/>
      <c r="Q36" s="606"/>
      <c r="R36" s="606"/>
      <c r="S36" s="606"/>
      <c r="T36" s="606"/>
      <c r="U36" s="606"/>
      <c r="V36" s="606"/>
    </row>
    <row r="37" spans="1:33" ht="12.75" hidden="1" customHeight="1" outlineLevel="1" x14ac:dyDescent="0.25">
      <c r="A37" s="1"/>
      <c r="B37" s="1"/>
      <c r="E37" s="606"/>
      <c r="F37" s="606"/>
      <c r="G37" s="606"/>
      <c r="H37" s="606"/>
      <c r="I37" s="606"/>
      <c r="J37" s="606"/>
      <c r="K37" s="606"/>
      <c r="L37" s="606"/>
      <c r="M37" s="606"/>
      <c r="N37" s="606"/>
      <c r="O37" s="606"/>
      <c r="P37" s="606"/>
      <c r="Q37" s="606"/>
      <c r="R37" s="606"/>
      <c r="S37" s="606"/>
      <c r="T37" s="606"/>
      <c r="U37" s="606"/>
      <c r="V37" s="606"/>
    </row>
    <row r="38" spans="1:33" ht="12.75" customHeight="1" collapsed="1" x14ac:dyDescent="0.25">
      <c r="A38" s="1"/>
      <c r="B38" s="1"/>
      <c r="E38" s="606"/>
      <c r="F38" s="606"/>
      <c r="G38" s="606"/>
      <c r="H38" s="606"/>
      <c r="I38" s="606"/>
      <c r="J38" s="606"/>
      <c r="K38" s="606"/>
      <c r="L38" s="606"/>
      <c r="M38" s="606"/>
      <c r="N38" s="606"/>
      <c r="O38" s="606"/>
      <c r="P38" s="606"/>
      <c r="Q38" s="606"/>
      <c r="R38" s="606"/>
      <c r="S38" s="606"/>
      <c r="T38" s="606"/>
      <c r="U38" s="606"/>
      <c r="V38" s="606"/>
    </row>
    <row r="39" spans="1:33" ht="12.75" customHeight="1" x14ac:dyDescent="0.25">
      <c r="A39" s="1"/>
      <c r="B39" s="1"/>
      <c r="E39" s="606"/>
      <c r="F39" s="606"/>
      <c r="G39" s="606"/>
      <c r="H39" s="606"/>
      <c r="I39" s="606"/>
      <c r="J39" s="606"/>
      <c r="K39" s="606"/>
      <c r="L39" s="606"/>
      <c r="M39" s="606"/>
      <c r="N39" s="606"/>
      <c r="O39" s="606"/>
      <c r="P39" s="606"/>
      <c r="Q39" s="606"/>
      <c r="R39" s="606"/>
      <c r="S39" s="606"/>
      <c r="T39" s="606"/>
      <c r="U39" s="606"/>
      <c r="V39" s="606"/>
    </row>
    <row r="40" spans="1:33" ht="12.75" customHeight="1" x14ac:dyDescent="0.25">
      <c r="A40" s="1"/>
      <c r="B40" s="1"/>
      <c r="E40" s="606"/>
      <c r="F40" s="606"/>
      <c r="G40" s="606"/>
      <c r="H40" s="606"/>
      <c r="I40" s="606"/>
      <c r="J40" s="606"/>
      <c r="K40" s="606"/>
      <c r="L40" s="606"/>
      <c r="M40" s="606"/>
      <c r="N40" s="606"/>
      <c r="O40" s="606"/>
      <c r="P40" s="606"/>
      <c r="Q40" s="606"/>
      <c r="R40" s="606"/>
      <c r="S40" s="606"/>
      <c r="T40" s="606"/>
      <c r="U40" s="606"/>
      <c r="V40" s="606"/>
    </row>
    <row r="41" spans="1:33" ht="12.75" customHeight="1" x14ac:dyDescent="0.25">
      <c r="A41" s="1"/>
      <c r="B41" s="1"/>
      <c r="E41" s="606"/>
      <c r="F41" s="606"/>
      <c r="G41" s="606"/>
      <c r="H41" s="606"/>
      <c r="I41" s="606"/>
      <c r="J41" s="606"/>
      <c r="K41" s="606"/>
      <c r="L41" s="606"/>
      <c r="M41" s="606"/>
      <c r="N41" s="606"/>
      <c r="O41" s="606"/>
      <c r="P41" s="606"/>
      <c r="Q41" s="606"/>
      <c r="R41" s="606"/>
      <c r="S41" s="606"/>
      <c r="T41" s="606"/>
      <c r="U41" s="606"/>
      <c r="V41" s="606"/>
    </row>
    <row r="42" spans="1:33" ht="12.75" customHeight="1" x14ac:dyDescent="0.25">
      <c r="A42" s="1"/>
      <c r="B42" s="1"/>
    </row>
    <row r="43" spans="1:33" ht="7.5" customHeight="1" x14ac:dyDescent="0.25">
      <c r="A43" s="1"/>
      <c r="B43" s="1"/>
    </row>
    <row r="44" spans="1:33" ht="10.5" customHeight="1" x14ac:dyDescent="0.25">
      <c r="A44" s="1"/>
      <c r="B44" s="1"/>
    </row>
    <row r="45" spans="1:33" ht="11.25" customHeight="1" x14ac:dyDescent="0.25">
      <c r="A45" s="1"/>
      <c r="B45" s="1"/>
    </row>
    <row r="46" spans="1:33" ht="12.75" customHeight="1" x14ac:dyDescent="0.25">
      <c r="A46" s="1"/>
      <c r="B46" s="1"/>
    </row>
    <row r="47" spans="1:33" ht="12.75" customHeight="1" x14ac:dyDescent="0.25">
      <c r="A47" s="1"/>
      <c r="B47" s="1"/>
    </row>
    <row r="48" spans="1:33" ht="12.75" customHeight="1" x14ac:dyDescent="0.25">
      <c r="A48" s="1"/>
      <c r="B48" s="1"/>
    </row>
    <row r="49" spans="1:2" ht="12.75" customHeight="1" x14ac:dyDescent="0.25">
      <c r="A49" s="1"/>
      <c r="B49" s="1"/>
    </row>
    <row r="50" spans="1:2" ht="12.75" customHeight="1" x14ac:dyDescent="0.25">
      <c r="A50" s="1"/>
      <c r="B50" s="1"/>
    </row>
    <row r="51" spans="1:2" ht="12.75" customHeight="1" x14ac:dyDescent="0.25">
      <c r="A51" s="1"/>
      <c r="B51" s="1"/>
    </row>
    <row r="52" spans="1:2" ht="12.75" customHeight="1" x14ac:dyDescent="0.25">
      <c r="A52" s="1"/>
      <c r="B52" s="1"/>
    </row>
    <row r="53" spans="1:2" ht="12.75" customHeight="1" x14ac:dyDescent="0.25">
      <c r="A53" s="1"/>
      <c r="B53" s="1"/>
    </row>
    <row r="54" spans="1:2" ht="12.75" customHeight="1" x14ac:dyDescent="0.25">
      <c r="A54" s="1"/>
      <c r="B54" s="1"/>
    </row>
    <row r="55" spans="1:2" ht="12.75" customHeight="1" x14ac:dyDescent="0.25">
      <c r="A55" s="1"/>
      <c r="B55" s="1"/>
    </row>
    <row r="56" spans="1:2" ht="12.75" customHeight="1" x14ac:dyDescent="0.25">
      <c r="A56" s="1"/>
      <c r="B56" s="1"/>
    </row>
    <row r="57" spans="1:2" ht="12.75" customHeight="1" x14ac:dyDescent="0.25">
      <c r="A57" s="1"/>
      <c r="B57" s="1"/>
    </row>
    <row r="58" spans="1:2" ht="12.75" customHeight="1" x14ac:dyDescent="0.25">
      <c r="A58" s="1"/>
      <c r="B58" s="1"/>
    </row>
    <row r="59" spans="1:2" ht="12.75" customHeight="1" x14ac:dyDescent="0.25">
      <c r="A59" s="1"/>
      <c r="B59" s="1"/>
    </row>
    <row r="60" spans="1:2" ht="12.75" customHeight="1" x14ac:dyDescent="0.25">
      <c r="A60" s="1"/>
      <c r="B60" s="1"/>
    </row>
    <row r="61" spans="1:2" ht="12.75" customHeight="1" x14ac:dyDescent="0.25">
      <c r="A61" s="1"/>
      <c r="B61" s="1"/>
    </row>
    <row r="62" spans="1:2" ht="12.75" customHeight="1" x14ac:dyDescent="0.25">
      <c r="A62" s="1"/>
      <c r="B62" s="1"/>
    </row>
    <row r="63" spans="1:2" ht="12.75" customHeight="1" x14ac:dyDescent="0.25">
      <c r="A63" s="1"/>
      <c r="B63" s="1"/>
    </row>
    <row r="64" spans="1:2" ht="12.75" customHeight="1" x14ac:dyDescent="0.25">
      <c r="A64" s="1"/>
      <c r="B64" s="1"/>
    </row>
    <row r="65" spans="1:2" ht="12.75" customHeight="1" x14ac:dyDescent="0.25">
      <c r="A65" s="1"/>
      <c r="B65" s="1"/>
    </row>
    <row r="66" spans="1:2" ht="12.75" customHeight="1" x14ac:dyDescent="0.25">
      <c r="A66" s="1"/>
      <c r="B66" s="1"/>
    </row>
    <row r="67" spans="1:2" ht="12.75" customHeight="1" x14ac:dyDescent="0.25">
      <c r="A67" s="1"/>
      <c r="B67" s="1"/>
    </row>
    <row r="68" spans="1:2" ht="12.75" customHeight="1" x14ac:dyDescent="0.25">
      <c r="A68" s="1"/>
      <c r="B68" s="1"/>
    </row>
    <row r="69" spans="1:2" ht="12.75" customHeight="1" x14ac:dyDescent="0.25">
      <c r="A69" s="1"/>
      <c r="B69" s="1"/>
    </row>
    <row r="70" spans="1:2" ht="12.75" customHeight="1" x14ac:dyDescent="0.25">
      <c r="A70" s="1"/>
      <c r="B70" s="1"/>
    </row>
    <row r="71" spans="1:2" ht="12.75" customHeight="1" x14ac:dyDescent="0.25">
      <c r="A71" s="1"/>
      <c r="B71" s="1"/>
    </row>
    <row r="72" spans="1:2" ht="12.75" customHeight="1" x14ac:dyDescent="0.25">
      <c r="A72" s="1"/>
      <c r="B72" s="1"/>
    </row>
    <row r="73" spans="1:2" ht="12.75" customHeight="1" x14ac:dyDescent="0.25">
      <c r="A73" s="1"/>
      <c r="B73" s="1"/>
    </row>
    <row r="74" spans="1:2" ht="6" customHeight="1" x14ac:dyDescent="0.25">
      <c r="A74" s="1"/>
      <c r="B74" s="1"/>
    </row>
    <row r="75" spans="1:2" ht="12.75" customHeight="1" x14ac:dyDescent="0.25">
      <c r="A75" s="1"/>
      <c r="B75" s="1"/>
    </row>
    <row r="76" spans="1:2" ht="12.75" customHeight="1" x14ac:dyDescent="0.25">
      <c r="A76" s="1"/>
      <c r="B76" s="1"/>
    </row>
    <row r="77" spans="1:2" ht="12.75" customHeight="1" x14ac:dyDescent="0.25">
      <c r="A77" s="1"/>
      <c r="B77" s="1"/>
    </row>
    <row r="78" spans="1:2" ht="12.75" customHeight="1" x14ac:dyDescent="0.25">
      <c r="A78" s="1"/>
      <c r="B78" s="1"/>
    </row>
    <row r="79" spans="1:2" ht="12.75" customHeight="1" x14ac:dyDescent="0.25">
      <c r="A79" s="1"/>
      <c r="B79" s="1"/>
    </row>
    <row r="80" spans="1:2" ht="12.75" customHeight="1" x14ac:dyDescent="0.25">
      <c r="A80" s="1"/>
      <c r="B80" s="1"/>
    </row>
    <row r="81" spans="1:2" ht="12.75" customHeight="1" x14ac:dyDescent="0.25">
      <c r="A81" s="1"/>
      <c r="B81" s="1"/>
    </row>
    <row r="82" spans="1:2" ht="12.75" customHeight="1" x14ac:dyDescent="0.25">
      <c r="A82" s="1"/>
      <c r="B82" s="1"/>
    </row>
    <row r="83" spans="1:2" ht="12.75" customHeight="1" x14ac:dyDescent="0.25">
      <c r="A83" s="1"/>
      <c r="B83" s="1"/>
    </row>
    <row r="84" spans="1:2" ht="12.75" customHeight="1" x14ac:dyDescent="0.25">
      <c r="A84" s="1"/>
      <c r="B84" s="1"/>
    </row>
    <row r="85" spans="1:2" ht="12.75" customHeight="1" x14ac:dyDescent="0.25">
      <c r="A85" s="1"/>
      <c r="B85" s="1"/>
    </row>
    <row r="86" spans="1:2" ht="12.75" customHeight="1" x14ac:dyDescent="0.25">
      <c r="A86" s="1"/>
      <c r="B86" s="1"/>
    </row>
    <row r="87" spans="1:2" ht="12.75" customHeight="1" x14ac:dyDescent="0.25">
      <c r="A87" s="1"/>
      <c r="B87" s="1"/>
    </row>
    <row r="88" spans="1:2" ht="12.75" customHeight="1" x14ac:dyDescent="0.25">
      <c r="A88" s="1"/>
      <c r="B88" s="1"/>
    </row>
    <row r="89" spans="1:2" ht="12.75" customHeight="1" x14ac:dyDescent="0.25">
      <c r="A89" s="1"/>
      <c r="B89" s="1"/>
    </row>
    <row r="90" spans="1:2" ht="12.75" customHeight="1" x14ac:dyDescent="0.25">
      <c r="A90" s="1"/>
      <c r="B90" s="1"/>
    </row>
    <row r="91" spans="1:2" ht="12.75" customHeight="1" x14ac:dyDescent="0.25">
      <c r="A91" s="1"/>
      <c r="B91" s="1"/>
    </row>
    <row r="92" spans="1:2" ht="12.75" customHeight="1" x14ac:dyDescent="0.25">
      <c r="A92" s="1"/>
      <c r="B92" s="1"/>
    </row>
    <row r="93" spans="1:2" ht="12.75" customHeight="1" x14ac:dyDescent="0.25">
      <c r="A93" s="1"/>
      <c r="B93" s="1"/>
    </row>
    <row r="94" spans="1:2" ht="12.75" customHeight="1" x14ac:dyDescent="0.25">
      <c r="A94" s="1"/>
      <c r="B94" s="1"/>
    </row>
    <row r="95" spans="1:2" ht="12.75" customHeight="1" x14ac:dyDescent="0.25">
      <c r="A95" s="1"/>
      <c r="B95" s="1"/>
    </row>
    <row r="96" spans="1:2" ht="12.75" customHeight="1" x14ac:dyDescent="0.25">
      <c r="A96" s="1"/>
      <c r="B96" s="1"/>
    </row>
    <row r="97" spans="1:2" ht="12.75" customHeight="1" x14ac:dyDescent="0.25">
      <c r="A97" s="1"/>
      <c r="B97" s="1"/>
    </row>
    <row r="98" spans="1:2" ht="12.75" customHeight="1" x14ac:dyDescent="0.25">
      <c r="A98" s="1"/>
      <c r="B98" s="1"/>
    </row>
    <row r="99" spans="1:2" ht="12.75" customHeight="1" x14ac:dyDescent="0.25">
      <c r="A99" s="1"/>
      <c r="B99" s="1"/>
    </row>
    <row r="100" spans="1:2" ht="12.75" customHeight="1" x14ac:dyDescent="0.25">
      <c r="A100" s="1"/>
      <c r="B100" s="1"/>
    </row>
    <row r="101" spans="1:2" ht="12.75" customHeight="1" x14ac:dyDescent="0.25">
      <c r="A101" s="1"/>
      <c r="B101" s="1"/>
    </row>
    <row r="102" spans="1:2" ht="12.75" customHeight="1" x14ac:dyDescent="0.25">
      <c r="A102" s="1"/>
      <c r="B102" s="1"/>
    </row>
    <row r="103" spans="1:2" ht="12.75" customHeight="1" x14ac:dyDescent="0.25">
      <c r="A103" s="1"/>
      <c r="B103" s="1"/>
    </row>
    <row r="104" spans="1:2" ht="12.75" customHeight="1" x14ac:dyDescent="0.25">
      <c r="A104" s="1"/>
      <c r="B104" s="1"/>
    </row>
    <row r="105" spans="1:2" ht="12.75" customHeight="1" x14ac:dyDescent="0.25">
      <c r="A105" s="1"/>
      <c r="B105" s="1"/>
    </row>
    <row r="106" spans="1:2" ht="12.75" customHeight="1" x14ac:dyDescent="0.25">
      <c r="A106" s="1"/>
      <c r="B106" s="1"/>
    </row>
    <row r="107" spans="1:2" ht="12.75" customHeight="1" x14ac:dyDescent="0.25">
      <c r="A107" s="1"/>
      <c r="B107" s="1"/>
    </row>
    <row r="108" spans="1:2" ht="12.75" customHeight="1" x14ac:dyDescent="0.25">
      <c r="A108" s="1"/>
      <c r="B108" s="1"/>
    </row>
    <row r="109" spans="1:2" ht="12.75" customHeight="1" x14ac:dyDescent="0.25">
      <c r="A109" s="1"/>
      <c r="B109" s="1"/>
    </row>
    <row r="110" spans="1:2" ht="11.25" customHeight="1" x14ac:dyDescent="0.25">
      <c r="A110" s="1"/>
      <c r="B110" s="1"/>
    </row>
    <row r="111" spans="1:2" ht="12.75" customHeight="1" x14ac:dyDescent="0.25">
      <c r="A111" s="1"/>
      <c r="B111" s="1"/>
    </row>
    <row r="112" spans="1:2" ht="12.75" customHeight="1" x14ac:dyDescent="0.25">
      <c r="A112" s="1"/>
      <c r="B112" s="1"/>
    </row>
    <row r="113" spans="1:2" ht="12.75" customHeight="1" x14ac:dyDescent="0.25">
      <c r="A113" s="1"/>
      <c r="B113" s="1"/>
    </row>
    <row r="114" spans="1:2" ht="9" customHeight="1" x14ac:dyDescent="0.25">
      <c r="A114" s="1"/>
      <c r="B114" s="1"/>
    </row>
    <row r="115" spans="1:2" ht="12.75" customHeight="1" x14ac:dyDescent="0.25">
      <c r="A115" s="1"/>
      <c r="B115" s="1"/>
    </row>
    <row r="116" spans="1:2" ht="12.75" customHeight="1" x14ac:dyDescent="0.25">
      <c r="A116" s="1"/>
      <c r="B116" s="1"/>
    </row>
    <row r="117" spans="1:2" ht="12.75" customHeight="1" x14ac:dyDescent="0.25">
      <c r="A117" s="1"/>
      <c r="B117" s="1"/>
    </row>
    <row r="118" spans="1:2" ht="12.75" customHeight="1" x14ac:dyDescent="0.25">
      <c r="A118" s="1"/>
      <c r="B118" s="1"/>
    </row>
    <row r="119" spans="1:2" ht="12.75" customHeight="1" x14ac:dyDescent="0.25">
      <c r="A119" s="1"/>
      <c r="B119" s="1"/>
    </row>
    <row r="120" spans="1:2" ht="12.75" customHeight="1" x14ac:dyDescent="0.25">
      <c r="A120" s="1"/>
      <c r="B120" s="1"/>
    </row>
    <row r="121" spans="1:2" ht="12.75" customHeight="1" x14ac:dyDescent="0.25">
      <c r="A121" s="1"/>
      <c r="B121" s="1"/>
    </row>
    <row r="122" spans="1:2" ht="12.75" customHeight="1" x14ac:dyDescent="0.25">
      <c r="A122" s="1"/>
      <c r="B122" s="1"/>
    </row>
    <row r="123" spans="1:2" ht="12.75" customHeight="1" x14ac:dyDescent="0.25">
      <c r="A123" s="1"/>
      <c r="B123" s="1"/>
    </row>
    <row r="124" spans="1:2" ht="12.75" customHeight="1" x14ac:dyDescent="0.25">
      <c r="A124" s="1"/>
      <c r="B124" s="1"/>
    </row>
    <row r="125" spans="1:2" ht="12.75" customHeight="1" x14ac:dyDescent="0.25">
      <c r="A125" s="1"/>
      <c r="B125" s="1"/>
    </row>
    <row r="126" spans="1:2" ht="12.75" customHeight="1" x14ac:dyDescent="0.25">
      <c r="A126" s="1"/>
      <c r="B126" s="1"/>
    </row>
    <row r="127" spans="1:2" ht="12.75" customHeight="1" x14ac:dyDescent="0.25">
      <c r="A127" s="1"/>
      <c r="B127" s="1"/>
    </row>
    <row r="128" spans="1:2" ht="12.75" customHeight="1" x14ac:dyDescent="0.25">
      <c r="A128" s="1"/>
      <c r="B128" s="1"/>
    </row>
    <row r="129" spans="1:2" ht="12.75" customHeight="1" x14ac:dyDescent="0.25">
      <c r="A129" s="1"/>
      <c r="B129" s="1"/>
    </row>
    <row r="130" spans="1:2" ht="12.75" customHeight="1" x14ac:dyDescent="0.25">
      <c r="A130" s="1"/>
      <c r="B130" s="1"/>
    </row>
    <row r="131" spans="1:2" ht="12.75" customHeight="1" x14ac:dyDescent="0.25">
      <c r="A131" s="1"/>
      <c r="B131" s="1"/>
    </row>
    <row r="132" spans="1:2" ht="12.75" customHeight="1" x14ac:dyDescent="0.25">
      <c r="A132" s="1"/>
      <c r="B132" s="1"/>
    </row>
    <row r="133" spans="1:2" ht="12.75" customHeight="1" x14ac:dyDescent="0.25">
      <c r="A133" s="1"/>
      <c r="B133" s="1"/>
    </row>
    <row r="134" spans="1:2" ht="12.75" customHeight="1" x14ac:dyDescent="0.25">
      <c r="A134" s="1"/>
      <c r="B134" s="1"/>
    </row>
    <row r="135" spans="1:2" ht="12.75" customHeight="1" x14ac:dyDescent="0.25">
      <c r="A135" s="1"/>
      <c r="B135" s="1"/>
    </row>
    <row r="136" spans="1:2" ht="12.75" customHeight="1" x14ac:dyDescent="0.25">
      <c r="A136" s="1"/>
      <c r="B136" s="1"/>
    </row>
    <row r="137" spans="1:2" ht="12.75" customHeight="1" x14ac:dyDescent="0.25">
      <c r="A137" s="1"/>
      <c r="B137" s="1"/>
    </row>
    <row r="138" spans="1:2" ht="12.75" customHeight="1" x14ac:dyDescent="0.25">
      <c r="A138" s="1"/>
      <c r="B138" s="1"/>
    </row>
    <row r="139" spans="1:2" ht="12.75" customHeight="1" x14ac:dyDescent="0.25">
      <c r="A139" s="1"/>
      <c r="B139" s="1"/>
    </row>
    <row r="140" spans="1:2" ht="12.75" customHeight="1" x14ac:dyDescent="0.25">
      <c r="A140" s="1"/>
      <c r="B140" s="1"/>
    </row>
    <row r="141" spans="1:2" ht="12.75" customHeight="1" x14ac:dyDescent="0.25">
      <c r="A141" s="1"/>
      <c r="B141" s="1"/>
    </row>
    <row r="142" spans="1:2" ht="12.75" customHeight="1" x14ac:dyDescent="0.25">
      <c r="A142" s="1"/>
      <c r="B142" s="1"/>
    </row>
    <row r="143" spans="1:2" ht="12.75" customHeight="1" x14ac:dyDescent="0.25">
      <c r="A143" s="1"/>
      <c r="B143" s="1"/>
    </row>
    <row r="144" spans="1:2" ht="12.75" customHeight="1" x14ac:dyDescent="0.25">
      <c r="A144" s="1"/>
      <c r="B144" s="1"/>
    </row>
    <row r="145" spans="1:2" ht="12.75" customHeight="1" x14ac:dyDescent="0.25">
      <c r="A145" s="1"/>
      <c r="B145" s="1"/>
    </row>
    <row r="146" spans="1:2" ht="12.75" customHeight="1" x14ac:dyDescent="0.25">
      <c r="A146" s="1"/>
      <c r="B146" s="1"/>
    </row>
    <row r="147" spans="1:2" ht="12.75" customHeight="1" x14ac:dyDescent="0.25">
      <c r="A147" s="1"/>
      <c r="B147" s="1"/>
    </row>
    <row r="148" spans="1:2" ht="12.75" customHeight="1" x14ac:dyDescent="0.25">
      <c r="A148" s="1"/>
      <c r="B148" s="1"/>
    </row>
    <row r="149" spans="1:2" ht="12.75" customHeight="1" x14ac:dyDescent="0.25">
      <c r="A149" s="1"/>
      <c r="B149" s="1"/>
    </row>
    <row r="150" spans="1:2" ht="12.75" customHeight="1" x14ac:dyDescent="0.25">
      <c r="A150" s="1"/>
      <c r="B150" s="1"/>
    </row>
    <row r="151" spans="1:2" ht="12.75" customHeight="1" x14ac:dyDescent="0.25">
      <c r="A151" s="1"/>
      <c r="B151" s="1"/>
    </row>
    <row r="152" spans="1:2" ht="12.75" customHeight="1" x14ac:dyDescent="0.25">
      <c r="A152" s="1"/>
      <c r="B152" s="1"/>
    </row>
    <row r="153" spans="1:2" ht="12.75" customHeight="1" x14ac:dyDescent="0.25">
      <c r="A153" s="1"/>
      <c r="B153" s="1"/>
    </row>
    <row r="154" spans="1:2" ht="12.75" customHeight="1" x14ac:dyDescent="0.25">
      <c r="A154" s="1"/>
      <c r="B154" s="1"/>
    </row>
    <row r="155" spans="1:2" ht="12.75" customHeight="1" x14ac:dyDescent="0.25">
      <c r="A155" s="1"/>
      <c r="B155" s="1"/>
    </row>
    <row r="156" spans="1:2" ht="12.75" customHeight="1" x14ac:dyDescent="0.25">
      <c r="A156" s="1"/>
      <c r="B156" s="1"/>
    </row>
    <row r="157" spans="1:2" ht="12.75" customHeight="1" x14ac:dyDescent="0.25">
      <c r="A157" s="1"/>
      <c r="B157" s="1"/>
    </row>
    <row r="158" spans="1:2" ht="12.75" customHeight="1" x14ac:dyDescent="0.25">
      <c r="A158" s="1"/>
      <c r="B158" s="1"/>
    </row>
    <row r="159" spans="1:2" ht="12.75" customHeight="1" x14ac:dyDescent="0.25">
      <c r="A159" s="1"/>
      <c r="B159" s="1"/>
    </row>
    <row r="160" spans="1:2" ht="12.75" customHeight="1" x14ac:dyDescent="0.25">
      <c r="A160" s="1"/>
      <c r="B160" s="1"/>
    </row>
    <row r="161" spans="1:2" ht="12.75" customHeight="1" x14ac:dyDescent="0.25">
      <c r="A161" s="1"/>
      <c r="B161" s="1"/>
    </row>
    <row r="162" spans="1:2" ht="12.75" customHeight="1" x14ac:dyDescent="0.25">
      <c r="A162" s="1"/>
      <c r="B162" s="1"/>
    </row>
    <row r="163" spans="1:2" ht="12.75" customHeight="1" x14ac:dyDescent="0.25">
      <c r="A163" s="1"/>
      <c r="B163" s="1"/>
    </row>
    <row r="164" spans="1:2" ht="12.75" customHeight="1" x14ac:dyDescent="0.25">
      <c r="A164" s="1"/>
      <c r="B164" s="1"/>
    </row>
    <row r="165" spans="1:2" ht="12.75" customHeight="1" x14ac:dyDescent="0.25">
      <c r="A165" s="1"/>
      <c r="B165" s="1"/>
    </row>
    <row r="166" spans="1:2" ht="12.75" customHeight="1" x14ac:dyDescent="0.25">
      <c r="A166" s="1"/>
      <c r="B166" s="1"/>
    </row>
    <row r="167" spans="1:2" ht="12.75" customHeight="1" x14ac:dyDescent="0.25">
      <c r="A167" s="1"/>
      <c r="B167" s="1"/>
    </row>
    <row r="168" spans="1:2" ht="12.75" customHeight="1" x14ac:dyDescent="0.25">
      <c r="A168" s="1"/>
      <c r="B168" s="1"/>
    </row>
    <row r="169" spans="1:2" ht="12.75" customHeight="1" x14ac:dyDescent="0.25">
      <c r="A169" s="1"/>
      <c r="B169" s="1"/>
    </row>
    <row r="170" spans="1:2" ht="12.75" customHeight="1" x14ac:dyDescent="0.25">
      <c r="A170" s="1"/>
      <c r="B170" s="1"/>
    </row>
    <row r="171" spans="1:2" ht="12.75" customHeight="1" x14ac:dyDescent="0.25">
      <c r="A171" s="1"/>
      <c r="B171" s="1"/>
    </row>
    <row r="172" spans="1:2" ht="12.75" customHeight="1" x14ac:dyDescent="0.25">
      <c r="A172" s="1"/>
      <c r="B172" s="1"/>
    </row>
    <row r="173" spans="1:2" ht="12.75" customHeight="1" x14ac:dyDescent="0.25">
      <c r="A173" s="1"/>
      <c r="B173" s="1"/>
    </row>
    <row r="174" spans="1:2" ht="12.75" customHeight="1" x14ac:dyDescent="0.25">
      <c r="A174" s="1"/>
      <c r="B174" s="1"/>
    </row>
    <row r="175" spans="1:2" ht="12.75" customHeight="1" x14ac:dyDescent="0.25">
      <c r="A175" s="1"/>
      <c r="B175" s="1"/>
    </row>
    <row r="176" spans="1:2" ht="12.75" customHeight="1" x14ac:dyDescent="0.25">
      <c r="A176" s="1"/>
      <c r="B176" s="1"/>
    </row>
    <row r="177" spans="1:2" ht="12.75" customHeight="1" x14ac:dyDescent="0.25">
      <c r="A177" s="1"/>
      <c r="B177" s="1"/>
    </row>
    <row r="178" spans="1:2" ht="12.75" customHeight="1" x14ac:dyDescent="0.25">
      <c r="A178" s="1"/>
      <c r="B178" s="1"/>
    </row>
    <row r="179" spans="1:2" ht="12.75" customHeight="1" x14ac:dyDescent="0.25">
      <c r="A179" s="1"/>
      <c r="B179" s="1"/>
    </row>
    <row r="180" spans="1:2" ht="12.75" customHeight="1" x14ac:dyDescent="0.25">
      <c r="A180" s="1"/>
      <c r="B180" s="1"/>
    </row>
    <row r="181" spans="1:2" ht="12.75" customHeight="1" x14ac:dyDescent="0.25">
      <c r="A181" s="1"/>
      <c r="B181" s="1"/>
    </row>
    <row r="182" spans="1:2" ht="12.75" customHeight="1" x14ac:dyDescent="0.25">
      <c r="A182" s="1"/>
      <c r="B182" s="1"/>
    </row>
    <row r="183" spans="1:2" ht="12.75" customHeight="1" x14ac:dyDescent="0.25">
      <c r="A183" s="1"/>
      <c r="B183" s="1"/>
    </row>
    <row r="184" spans="1:2" ht="12.75" customHeight="1" x14ac:dyDescent="0.25">
      <c r="A184" s="1"/>
      <c r="B184" s="1"/>
    </row>
    <row r="185" spans="1:2" ht="12.75" customHeight="1" x14ac:dyDescent="0.25">
      <c r="A185" s="1"/>
      <c r="B185" s="1"/>
    </row>
    <row r="186" spans="1:2" ht="12.75" customHeight="1" x14ac:dyDescent="0.25">
      <c r="A186" s="1"/>
      <c r="B186" s="1"/>
    </row>
    <row r="187" spans="1:2" ht="12.75" customHeight="1" x14ac:dyDescent="0.25">
      <c r="A187" s="1"/>
      <c r="B187" s="1"/>
    </row>
    <row r="188" spans="1:2" ht="12.75" customHeight="1" x14ac:dyDescent="0.25">
      <c r="A188" s="1"/>
      <c r="B188" s="1"/>
    </row>
    <row r="189" spans="1:2" ht="12.75" customHeight="1" x14ac:dyDescent="0.25">
      <c r="A189" s="1"/>
      <c r="B189" s="1"/>
    </row>
    <row r="190" spans="1:2" ht="12.75" customHeight="1" x14ac:dyDescent="0.25">
      <c r="A190" s="1"/>
      <c r="B190" s="1"/>
    </row>
    <row r="191" spans="1:2" ht="12.75" customHeight="1" x14ac:dyDescent="0.25">
      <c r="A191" s="1"/>
      <c r="B191" s="1"/>
    </row>
    <row r="192" spans="1:2" ht="12.75" customHeight="1" x14ac:dyDescent="0.25">
      <c r="A192" s="1"/>
      <c r="B192" s="1"/>
    </row>
    <row r="193" spans="1:2" ht="12.75" customHeight="1" x14ac:dyDescent="0.25">
      <c r="A193" s="1"/>
      <c r="B193" s="1"/>
    </row>
    <row r="194" spans="1:2" ht="12.75" customHeight="1" x14ac:dyDescent="0.25">
      <c r="A194" s="1"/>
      <c r="B194" s="1"/>
    </row>
    <row r="195" spans="1:2" ht="12.75" customHeight="1" x14ac:dyDescent="0.25">
      <c r="A195" s="1"/>
      <c r="B195" s="1"/>
    </row>
    <row r="196" spans="1:2" ht="12.75" customHeight="1" x14ac:dyDescent="0.25">
      <c r="A196" s="1"/>
      <c r="B196" s="1"/>
    </row>
    <row r="197" spans="1:2" ht="12.75" customHeight="1" x14ac:dyDescent="0.25">
      <c r="A197" s="1"/>
      <c r="B197" s="1"/>
    </row>
    <row r="198" spans="1:2" ht="12.75" customHeight="1" x14ac:dyDescent="0.25">
      <c r="A198" s="1"/>
      <c r="B198" s="1"/>
    </row>
    <row r="199" spans="1:2" ht="12.75" customHeight="1" x14ac:dyDescent="0.25">
      <c r="A199" s="1"/>
      <c r="B199" s="1"/>
    </row>
    <row r="200" spans="1:2" ht="12.75" customHeight="1" x14ac:dyDescent="0.25">
      <c r="A200" s="1"/>
      <c r="B200" s="1"/>
    </row>
    <row r="201" spans="1:2" ht="12.75" customHeight="1" x14ac:dyDescent="0.25">
      <c r="A201" s="1"/>
      <c r="B201" s="1"/>
    </row>
    <row r="202" spans="1:2" ht="12.75" customHeight="1" x14ac:dyDescent="0.25">
      <c r="A202" s="1"/>
      <c r="B202" s="1"/>
    </row>
    <row r="203" spans="1:2" ht="12.75" customHeight="1" x14ac:dyDescent="0.25">
      <c r="A203" s="1"/>
      <c r="B203" s="1"/>
    </row>
    <row r="204" spans="1:2" ht="12.75" customHeight="1" x14ac:dyDescent="0.25">
      <c r="A204" s="1"/>
      <c r="B204" s="1"/>
    </row>
    <row r="205" spans="1:2" ht="12.75" customHeight="1" x14ac:dyDescent="0.25">
      <c r="A205" s="1"/>
      <c r="B205" s="1"/>
    </row>
    <row r="206" spans="1:2" ht="12.75" customHeight="1" x14ac:dyDescent="0.25">
      <c r="A206" s="1"/>
      <c r="B206" s="1"/>
    </row>
    <row r="207" spans="1:2" ht="12.75" customHeight="1" x14ac:dyDescent="0.25">
      <c r="A207" s="1"/>
      <c r="B207" s="1"/>
    </row>
    <row r="208" spans="1:2" ht="12.75" customHeight="1" x14ac:dyDescent="0.25">
      <c r="A208" s="1"/>
      <c r="B208" s="1"/>
    </row>
    <row r="209" spans="1:2" ht="12.75" customHeight="1" x14ac:dyDescent="0.25">
      <c r="A209" s="1"/>
      <c r="B209" s="1"/>
    </row>
    <row r="210" spans="1:2" ht="12.75" customHeight="1" x14ac:dyDescent="0.25">
      <c r="A210" s="1"/>
      <c r="B210" s="1"/>
    </row>
    <row r="211" spans="1:2" ht="12.75" customHeight="1" x14ac:dyDescent="0.25">
      <c r="A211" s="1"/>
      <c r="B211" s="1"/>
    </row>
    <row r="212" spans="1:2" ht="12.75" customHeight="1" x14ac:dyDescent="0.25">
      <c r="A212" s="1"/>
      <c r="B212" s="1"/>
    </row>
    <row r="213" spans="1:2" ht="12.75" customHeight="1" x14ac:dyDescent="0.25">
      <c r="A213" s="1"/>
      <c r="B213" s="1"/>
    </row>
    <row r="214" spans="1:2" ht="12.75" customHeight="1" x14ac:dyDescent="0.25">
      <c r="A214" s="1"/>
      <c r="B214" s="1"/>
    </row>
    <row r="215" spans="1:2" ht="12.75" customHeight="1" x14ac:dyDescent="0.25">
      <c r="A215" s="1"/>
      <c r="B215" s="1"/>
    </row>
    <row r="216" spans="1:2" ht="12.75" customHeight="1" x14ac:dyDescent="0.25">
      <c r="A216" s="1"/>
      <c r="B216" s="1"/>
    </row>
    <row r="217" spans="1:2" ht="12.75" customHeight="1" x14ac:dyDescent="0.25">
      <c r="A217" s="1"/>
      <c r="B217" s="1"/>
    </row>
    <row r="218" spans="1:2" ht="12.75" customHeight="1" x14ac:dyDescent="0.25">
      <c r="A218" s="1"/>
      <c r="B218" s="1"/>
    </row>
    <row r="219" spans="1:2" ht="12.75" customHeight="1" x14ac:dyDescent="0.25">
      <c r="A219" s="1"/>
      <c r="B219" s="1"/>
    </row>
    <row r="220" spans="1:2" ht="12.75" customHeight="1" x14ac:dyDescent="0.25">
      <c r="A220" s="1"/>
      <c r="B220" s="1"/>
    </row>
    <row r="221" spans="1:2" ht="12.75" customHeight="1" x14ac:dyDescent="0.25">
      <c r="A221" s="1"/>
      <c r="B221" s="1"/>
    </row>
    <row r="222" spans="1:2" ht="12.75" customHeight="1" x14ac:dyDescent="0.25">
      <c r="A222" s="1"/>
      <c r="B222" s="1"/>
    </row>
    <row r="223" spans="1:2" ht="12.75" customHeight="1" x14ac:dyDescent="0.25">
      <c r="A223" s="1"/>
      <c r="B223" s="1"/>
    </row>
    <row r="224" spans="1:2" ht="12.75" customHeight="1" x14ac:dyDescent="0.25">
      <c r="A224" s="1"/>
      <c r="B224" s="1"/>
    </row>
    <row r="225" spans="1:2" ht="12.75" customHeight="1" x14ac:dyDescent="0.25">
      <c r="A225" s="1"/>
      <c r="B225" s="1"/>
    </row>
    <row r="226" spans="1:2" ht="12.75" customHeight="1" x14ac:dyDescent="0.25">
      <c r="A226" s="1"/>
      <c r="B226" s="1"/>
    </row>
    <row r="227" spans="1:2" ht="12.75" customHeight="1" x14ac:dyDescent="0.25">
      <c r="A227" s="1"/>
      <c r="B227" s="1"/>
    </row>
    <row r="228" spans="1:2" ht="12.75" customHeight="1" x14ac:dyDescent="0.25">
      <c r="A228" s="1"/>
      <c r="B228" s="1"/>
    </row>
    <row r="229" spans="1:2" ht="12.75" customHeight="1" x14ac:dyDescent="0.25">
      <c r="A229" s="1"/>
      <c r="B229" s="1"/>
    </row>
    <row r="230" spans="1:2" ht="12.75" customHeight="1" x14ac:dyDescent="0.25">
      <c r="A230" s="1"/>
      <c r="B230" s="1"/>
    </row>
    <row r="231" spans="1:2" ht="12.75" customHeight="1" x14ac:dyDescent="0.25">
      <c r="A231" s="1"/>
      <c r="B231" s="1"/>
    </row>
    <row r="232" spans="1:2" ht="12.75" customHeight="1" x14ac:dyDescent="0.25">
      <c r="A232" s="1"/>
      <c r="B232" s="1"/>
    </row>
    <row r="233" spans="1:2" ht="12.75" customHeight="1" x14ac:dyDescent="0.25">
      <c r="A233" s="1"/>
      <c r="B233" s="1"/>
    </row>
    <row r="234" spans="1:2" ht="12.75" customHeight="1" x14ac:dyDescent="0.25">
      <c r="A234" s="1"/>
      <c r="B234" s="1"/>
    </row>
    <row r="235" spans="1:2" ht="12.75" customHeight="1" x14ac:dyDescent="0.25">
      <c r="A235" s="1"/>
      <c r="B235" s="1"/>
    </row>
    <row r="236" spans="1:2" ht="12.75" customHeight="1" x14ac:dyDescent="0.25">
      <c r="A236" s="1"/>
      <c r="B236" s="1"/>
    </row>
    <row r="237" spans="1:2" ht="12.75" customHeight="1" x14ac:dyDescent="0.25">
      <c r="A237" s="1"/>
      <c r="B237" s="1"/>
    </row>
    <row r="238" spans="1:2" ht="12.75" customHeight="1" x14ac:dyDescent="0.25">
      <c r="A238" s="1"/>
      <c r="B238" s="1"/>
    </row>
    <row r="239" spans="1:2" ht="12.75" customHeight="1" x14ac:dyDescent="0.25">
      <c r="A239" s="1"/>
      <c r="B239" s="1"/>
    </row>
    <row r="240" spans="1:2" ht="12.75" customHeight="1" x14ac:dyDescent="0.25">
      <c r="A240" s="1"/>
      <c r="B240" s="1"/>
    </row>
    <row r="241" spans="1:2" ht="12.75" customHeight="1" x14ac:dyDescent="0.25">
      <c r="A241" s="1"/>
      <c r="B241" s="1"/>
    </row>
    <row r="242" spans="1:2" ht="12.75" customHeight="1" x14ac:dyDescent="0.25">
      <c r="A242" s="1"/>
      <c r="B242" s="1"/>
    </row>
    <row r="243" spans="1:2" ht="12.75" customHeight="1" x14ac:dyDescent="0.25">
      <c r="A243" s="1"/>
      <c r="B243" s="1"/>
    </row>
    <row r="244" spans="1:2" ht="12.75" customHeight="1" x14ac:dyDescent="0.25">
      <c r="A244" s="1"/>
      <c r="B244" s="1"/>
    </row>
    <row r="245" spans="1:2" ht="12.75" customHeight="1" x14ac:dyDescent="0.25">
      <c r="A245" s="1"/>
      <c r="B245" s="1"/>
    </row>
    <row r="246" spans="1:2" ht="12.75" customHeight="1" x14ac:dyDescent="0.25">
      <c r="A246" s="1"/>
      <c r="B246" s="1"/>
    </row>
    <row r="247" spans="1:2" ht="12.75" customHeight="1" x14ac:dyDescent="0.25">
      <c r="A247" s="1"/>
      <c r="B247" s="1"/>
    </row>
    <row r="248" spans="1:2" ht="12.75" customHeight="1" x14ac:dyDescent="0.25">
      <c r="A248" s="1"/>
      <c r="B248" s="1"/>
    </row>
    <row r="249" spans="1:2" ht="12.75" customHeight="1" x14ac:dyDescent="0.25">
      <c r="A249" s="1"/>
      <c r="B249" s="1"/>
    </row>
    <row r="250" spans="1:2" ht="12.75" customHeight="1" x14ac:dyDescent="0.25">
      <c r="A250" s="1"/>
      <c r="B250" s="1"/>
    </row>
    <row r="251" spans="1:2" ht="12.75" customHeight="1" x14ac:dyDescent="0.25">
      <c r="A251" s="1"/>
      <c r="B251" s="1"/>
    </row>
    <row r="252" spans="1:2" ht="12.75" customHeight="1" x14ac:dyDescent="0.25">
      <c r="A252" s="1"/>
      <c r="B252" s="1"/>
    </row>
    <row r="253" spans="1:2" ht="12.75" customHeight="1" x14ac:dyDescent="0.25">
      <c r="A253" s="1"/>
      <c r="B253" s="1"/>
    </row>
    <row r="254" spans="1:2" ht="12.75" customHeight="1" x14ac:dyDescent="0.25">
      <c r="A254" s="1"/>
      <c r="B254" s="1"/>
    </row>
    <row r="255" spans="1:2" ht="12.75" customHeight="1" x14ac:dyDescent="0.25">
      <c r="A255" s="1"/>
      <c r="B255" s="1"/>
    </row>
    <row r="256" spans="1:2" ht="12.75" customHeight="1" x14ac:dyDescent="0.25">
      <c r="A256" s="1"/>
      <c r="B256" s="1"/>
    </row>
    <row r="257" spans="1:2" ht="12.75" customHeight="1" x14ac:dyDescent="0.25">
      <c r="A257" s="1"/>
      <c r="B257" s="1"/>
    </row>
    <row r="258" spans="1:2" ht="12.75" customHeight="1" x14ac:dyDescent="0.25">
      <c r="A258" s="1"/>
      <c r="B258" s="1"/>
    </row>
    <row r="259" spans="1:2" ht="12.75" customHeight="1" x14ac:dyDescent="0.25">
      <c r="A259" s="1"/>
      <c r="B259" s="1"/>
    </row>
    <row r="260" spans="1:2" ht="12.75" customHeight="1" x14ac:dyDescent="0.25">
      <c r="A260" s="1"/>
      <c r="B260" s="1"/>
    </row>
    <row r="261" spans="1:2" ht="12.75" customHeight="1" x14ac:dyDescent="0.25">
      <c r="A261" s="1"/>
      <c r="B261" s="1"/>
    </row>
    <row r="262" spans="1:2" ht="12.75" customHeight="1" x14ac:dyDescent="0.25">
      <c r="A262" s="1"/>
      <c r="B262" s="1"/>
    </row>
    <row r="263" spans="1:2" ht="12.75" customHeight="1" x14ac:dyDescent="0.25">
      <c r="A263" s="1"/>
      <c r="B263" s="1"/>
    </row>
    <row r="264" spans="1:2" ht="12.75" customHeight="1" x14ac:dyDescent="0.25">
      <c r="A264" s="1"/>
      <c r="B264" s="1"/>
    </row>
    <row r="265" spans="1:2" ht="12.75" customHeight="1" x14ac:dyDescent="0.25">
      <c r="A265" s="1"/>
      <c r="B265" s="1"/>
    </row>
    <row r="266" spans="1:2" ht="12.75" customHeight="1" x14ac:dyDescent="0.25">
      <c r="A266" s="1"/>
      <c r="B266" s="1"/>
    </row>
    <row r="267" spans="1:2" ht="12.75" customHeight="1" x14ac:dyDescent="0.25">
      <c r="A267" s="1"/>
      <c r="B267" s="1"/>
    </row>
    <row r="268" spans="1:2" ht="12.75" customHeight="1" x14ac:dyDescent="0.25">
      <c r="A268" s="1"/>
      <c r="B268" s="1"/>
    </row>
    <row r="269" spans="1:2" ht="12.75" customHeight="1" x14ac:dyDescent="0.25">
      <c r="A269" s="1"/>
      <c r="B269" s="1"/>
    </row>
    <row r="270" spans="1:2" ht="12.75" customHeight="1" x14ac:dyDescent="0.25">
      <c r="A270" s="1"/>
      <c r="B270" s="1"/>
    </row>
    <row r="271" spans="1:2" ht="12.75" customHeight="1" x14ac:dyDescent="0.25">
      <c r="A271" s="1"/>
      <c r="B271" s="1"/>
    </row>
    <row r="272" spans="1:2" ht="12.75" customHeight="1" x14ac:dyDescent="0.25">
      <c r="A272" s="1"/>
      <c r="B272" s="1"/>
    </row>
    <row r="273" spans="1:2" ht="12.75" customHeight="1" x14ac:dyDescent="0.25">
      <c r="A273" s="1"/>
      <c r="B273" s="1"/>
    </row>
    <row r="274" spans="1:2" ht="12.75" customHeight="1" x14ac:dyDescent="0.25">
      <c r="A274" s="1"/>
      <c r="B274" s="1"/>
    </row>
    <row r="275" spans="1:2" ht="12.75" customHeight="1" x14ac:dyDescent="0.25">
      <c r="A275" s="1"/>
      <c r="B275" s="1"/>
    </row>
    <row r="276" spans="1:2" ht="12.75" customHeight="1" x14ac:dyDescent="0.25">
      <c r="A276" s="1"/>
      <c r="B276" s="1"/>
    </row>
    <row r="277" spans="1:2" ht="12.75" customHeight="1" x14ac:dyDescent="0.25">
      <c r="A277" s="1"/>
      <c r="B277" s="1"/>
    </row>
    <row r="278" spans="1:2" ht="12.75" customHeight="1" x14ac:dyDescent="0.25">
      <c r="A278" s="1"/>
      <c r="B278" s="1"/>
    </row>
    <row r="279" spans="1:2" ht="12.75" customHeight="1" x14ac:dyDescent="0.25">
      <c r="A279" s="1"/>
      <c r="B279" s="1"/>
    </row>
    <row r="280" spans="1:2" ht="12.75" customHeight="1" x14ac:dyDescent="0.25">
      <c r="A280" s="1"/>
      <c r="B280" s="1"/>
    </row>
    <row r="281" spans="1:2" ht="12.75" customHeight="1" x14ac:dyDescent="0.25">
      <c r="A281" s="1"/>
      <c r="B281" s="1"/>
    </row>
    <row r="282" spans="1:2" ht="12.75" customHeight="1" x14ac:dyDescent="0.25">
      <c r="A282" s="1"/>
      <c r="B282" s="1"/>
    </row>
    <row r="283" spans="1:2" ht="12.75" customHeight="1" x14ac:dyDescent="0.25">
      <c r="A283" s="1"/>
      <c r="B283" s="1"/>
    </row>
    <row r="284" spans="1:2" ht="12.75" customHeight="1" x14ac:dyDescent="0.25">
      <c r="A284" s="1"/>
      <c r="B284" s="1"/>
    </row>
    <row r="285" spans="1:2" ht="12.75" customHeight="1" x14ac:dyDescent="0.25">
      <c r="A285" s="1"/>
      <c r="B285" s="1"/>
    </row>
    <row r="286" spans="1:2" ht="12.75" customHeight="1" x14ac:dyDescent="0.25">
      <c r="A286" s="1"/>
      <c r="B286" s="1"/>
    </row>
    <row r="287" spans="1:2" ht="12.75" customHeight="1" x14ac:dyDescent="0.25">
      <c r="A287" s="1"/>
      <c r="B287" s="1"/>
    </row>
    <row r="288" spans="1:2" ht="12.75" customHeight="1" x14ac:dyDescent="0.25">
      <c r="A288" s="1"/>
      <c r="B288" s="1"/>
    </row>
    <row r="289" spans="1:2" ht="12.75" customHeight="1" x14ac:dyDescent="0.25">
      <c r="A289" s="1"/>
      <c r="B289" s="1"/>
    </row>
    <row r="290" spans="1:2" ht="12.75" customHeight="1" x14ac:dyDescent="0.25">
      <c r="A290" s="1"/>
      <c r="B290" s="1"/>
    </row>
    <row r="291" spans="1:2" ht="12.75" customHeight="1" x14ac:dyDescent="0.25">
      <c r="A291" s="1"/>
      <c r="B291" s="1"/>
    </row>
    <row r="292" spans="1:2" ht="12.75" customHeight="1" x14ac:dyDescent="0.25">
      <c r="A292" s="1"/>
      <c r="B292" s="1"/>
    </row>
    <row r="293" spans="1:2" ht="12.75" customHeight="1" x14ac:dyDescent="0.25">
      <c r="A293" s="1"/>
      <c r="B293" s="1"/>
    </row>
    <row r="294" spans="1:2" ht="12.75" customHeight="1" x14ac:dyDescent="0.25">
      <c r="A294" s="1"/>
      <c r="B294" s="1"/>
    </row>
    <row r="295" spans="1:2" ht="12.75" customHeight="1" x14ac:dyDescent="0.25">
      <c r="A295" s="1"/>
      <c r="B295" s="1"/>
    </row>
    <row r="296" spans="1:2" ht="12.75" customHeight="1" x14ac:dyDescent="0.25">
      <c r="A296" s="1"/>
      <c r="B296" s="1"/>
    </row>
    <row r="297" spans="1:2" ht="12.75" customHeight="1" x14ac:dyDescent="0.25">
      <c r="A297" s="1"/>
      <c r="B297" s="1"/>
    </row>
    <row r="298" spans="1:2" ht="12.75" customHeight="1" x14ac:dyDescent="0.25">
      <c r="A298" s="1"/>
      <c r="B298" s="1"/>
    </row>
    <row r="299" spans="1:2" ht="12.75" customHeight="1" x14ac:dyDescent="0.25">
      <c r="A299" s="1"/>
      <c r="B299" s="1"/>
    </row>
    <row r="300" spans="1:2" ht="12.75" customHeight="1" x14ac:dyDescent="0.25">
      <c r="A300" s="1"/>
      <c r="B300" s="1"/>
    </row>
    <row r="301" spans="1:2" ht="12.75" customHeight="1" x14ac:dyDescent="0.25">
      <c r="A301" s="1"/>
      <c r="B301" s="1"/>
    </row>
    <row r="302" spans="1:2" ht="12.75" customHeight="1" x14ac:dyDescent="0.25">
      <c r="A302" s="1"/>
      <c r="B302" s="1"/>
    </row>
    <row r="303" spans="1:2" ht="12.75" customHeight="1" x14ac:dyDescent="0.25">
      <c r="A303" s="1"/>
      <c r="B303" s="1"/>
    </row>
    <row r="304" spans="1:2" ht="12.75" customHeight="1" x14ac:dyDescent="0.25">
      <c r="A304" s="1"/>
      <c r="B304" s="1"/>
    </row>
    <row r="305" spans="1:2" ht="12.75" customHeight="1" x14ac:dyDescent="0.25">
      <c r="A305" s="1"/>
      <c r="B305" s="1"/>
    </row>
    <row r="306" spans="1:2" ht="12.75" customHeight="1" x14ac:dyDescent="0.25">
      <c r="A306" s="1"/>
      <c r="B306" s="1"/>
    </row>
    <row r="307" spans="1:2" ht="12.75" customHeight="1" x14ac:dyDescent="0.25">
      <c r="A307" s="1"/>
      <c r="B307" s="1"/>
    </row>
    <row r="308" spans="1:2" ht="12.75" customHeight="1" x14ac:dyDescent="0.25">
      <c r="A308" s="1"/>
      <c r="B308" s="1"/>
    </row>
    <row r="309" spans="1:2" ht="12.75" customHeight="1" x14ac:dyDescent="0.25">
      <c r="A309" s="1"/>
      <c r="B309" s="1"/>
    </row>
    <row r="310" spans="1:2" ht="12.75" customHeight="1" x14ac:dyDescent="0.25">
      <c r="A310" s="1"/>
      <c r="B310" s="1"/>
    </row>
    <row r="311" spans="1:2" ht="12.75" customHeight="1" x14ac:dyDescent="0.25">
      <c r="A311" s="1"/>
      <c r="B311" s="1"/>
    </row>
    <row r="312" spans="1:2" ht="12.75" customHeight="1" x14ac:dyDescent="0.25">
      <c r="A312" s="1"/>
      <c r="B312" s="1"/>
    </row>
    <row r="313" spans="1:2" ht="12.75" customHeight="1" x14ac:dyDescent="0.25">
      <c r="A313" s="1"/>
      <c r="B313" s="1"/>
    </row>
    <row r="314" spans="1:2" ht="12.75" customHeight="1" x14ac:dyDescent="0.25">
      <c r="A314" s="1"/>
      <c r="B314" s="1"/>
    </row>
    <row r="315" spans="1:2" ht="12.75" customHeight="1" x14ac:dyDescent="0.25">
      <c r="A315" s="1"/>
      <c r="B315" s="1"/>
    </row>
    <row r="316" spans="1:2" ht="12.75" customHeight="1" x14ac:dyDescent="0.25">
      <c r="A316" s="1"/>
      <c r="B316" s="1"/>
    </row>
    <row r="317" spans="1:2" ht="12.75" customHeight="1" x14ac:dyDescent="0.25">
      <c r="A317" s="1"/>
      <c r="B317" s="1"/>
    </row>
    <row r="318" spans="1:2" ht="12.75" customHeight="1" x14ac:dyDescent="0.25">
      <c r="A318" s="1"/>
      <c r="B318" s="1"/>
    </row>
    <row r="319" spans="1:2" ht="12.75" customHeight="1" x14ac:dyDescent="0.25">
      <c r="A319" s="1"/>
      <c r="B319" s="1"/>
    </row>
    <row r="320" spans="1:2" ht="12.75" customHeight="1" x14ac:dyDescent="0.25">
      <c r="A320" s="1"/>
      <c r="B320" s="1"/>
    </row>
    <row r="321" spans="1:2" ht="12.75" customHeight="1" x14ac:dyDescent="0.25">
      <c r="A321" s="1"/>
      <c r="B321" s="1"/>
    </row>
    <row r="322" spans="1:2" ht="12.75" customHeight="1" x14ac:dyDescent="0.25">
      <c r="A322" s="1"/>
      <c r="B322" s="1"/>
    </row>
    <row r="323" spans="1:2" ht="12.75" customHeight="1" x14ac:dyDescent="0.25">
      <c r="A323" s="1"/>
      <c r="B323" s="1"/>
    </row>
    <row r="324" spans="1:2" ht="12.75" customHeight="1" x14ac:dyDescent="0.25">
      <c r="A324" s="1"/>
      <c r="B324" s="1"/>
    </row>
    <row r="325" spans="1:2" ht="12.75" customHeight="1" x14ac:dyDescent="0.25">
      <c r="A325" s="1"/>
      <c r="B325" s="1"/>
    </row>
    <row r="326" spans="1:2" ht="12.75" customHeight="1" x14ac:dyDescent="0.25">
      <c r="A326" s="1"/>
      <c r="B326" s="1"/>
    </row>
    <row r="327" spans="1:2" ht="12.75" customHeight="1" x14ac:dyDescent="0.25">
      <c r="A327" s="1"/>
      <c r="B327" s="1"/>
    </row>
    <row r="328" spans="1:2" ht="12.75" customHeight="1" x14ac:dyDescent="0.25">
      <c r="A328" s="1"/>
      <c r="B328" s="1"/>
    </row>
    <row r="329" spans="1:2" ht="12.75" customHeight="1" x14ac:dyDescent="0.25">
      <c r="A329" s="1"/>
      <c r="B329" s="1"/>
    </row>
    <row r="330" spans="1:2" ht="12.75" customHeight="1" x14ac:dyDescent="0.25">
      <c r="A330" s="1"/>
      <c r="B330" s="1"/>
    </row>
    <row r="331" spans="1:2" ht="12.75" customHeight="1" x14ac:dyDescent="0.25">
      <c r="A331" s="1"/>
      <c r="B331" s="1"/>
    </row>
    <row r="332" spans="1:2" ht="12.75" customHeight="1" x14ac:dyDescent="0.25">
      <c r="A332" s="1"/>
      <c r="B332" s="1"/>
    </row>
    <row r="333" spans="1:2" ht="12.75" customHeight="1" x14ac:dyDescent="0.25">
      <c r="A333" s="1"/>
      <c r="B333" s="1"/>
    </row>
    <row r="334" spans="1:2" ht="12.75" customHeight="1" x14ac:dyDescent="0.25">
      <c r="A334" s="1"/>
      <c r="B334" s="1"/>
    </row>
    <row r="335" spans="1:2" ht="12.75" customHeight="1" x14ac:dyDescent="0.25">
      <c r="A335" s="1"/>
      <c r="B335" s="1"/>
    </row>
    <row r="336" spans="1:2" ht="12.75" customHeight="1" x14ac:dyDescent="0.25">
      <c r="A336" s="1"/>
      <c r="B336" s="1"/>
    </row>
    <row r="337" spans="1:2" ht="12.75" customHeight="1" x14ac:dyDescent="0.25">
      <c r="A337" s="1"/>
      <c r="B337" s="1"/>
    </row>
    <row r="338" spans="1:2" ht="12.75" customHeight="1" x14ac:dyDescent="0.25">
      <c r="A338" s="1"/>
      <c r="B338" s="1"/>
    </row>
    <row r="339" spans="1:2" ht="12.75" customHeight="1" x14ac:dyDescent="0.25">
      <c r="A339" s="1"/>
      <c r="B339" s="1"/>
    </row>
    <row r="340" spans="1:2" ht="12.75" customHeight="1" x14ac:dyDescent="0.25">
      <c r="A340" s="1"/>
      <c r="B340" s="1"/>
    </row>
    <row r="341" spans="1:2" ht="12.75" customHeight="1" x14ac:dyDescent="0.25">
      <c r="A341" s="1"/>
      <c r="B341" s="1"/>
    </row>
    <row r="342" spans="1:2" ht="12.75" customHeight="1" x14ac:dyDescent="0.25">
      <c r="A342" s="1"/>
      <c r="B342" s="1"/>
    </row>
    <row r="343" spans="1:2" ht="12.75" customHeight="1" x14ac:dyDescent="0.25">
      <c r="A343" s="1"/>
      <c r="B343" s="1"/>
    </row>
    <row r="344" spans="1:2" ht="12.75" customHeight="1" x14ac:dyDescent="0.25">
      <c r="A344" s="1"/>
      <c r="B344" s="1"/>
    </row>
    <row r="345" spans="1:2" ht="12.75" customHeight="1" x14ac:dyDescent="0.25">
      <c r="A345" s="1"/>
      <c r="B345" s="1"/>
    </row>
    <row r="346" spans="1:2" ht="12.75" customHeight="1" x14ac:dyDescent="0.25">
      <c r="A346" s="1"/>
      <c r="B346" s="1"/>
    </row>
    <row r="347" spans="1:2" ht="12.75" customHeight="1" x14ac:dyDescent="0.25">
      <c r="A347" s="1"/>
      <c r="B347" s="1"/>
    </row>
    <row r="348" spans="1:2" ht="12.75" customHeight="1" x14ac:dyDescent="0.25">
      <c r="A348" s="1"/>
      <c r="B348" s="1"/>
    </row>
    <row r="349" spans="1:2" ht="12.75" customHeight="1" x14ac:dyDescent="0.25">
      <c r="A349" s="1"/>
      <c r="B349" s="1"/>
    </row>
    <row r="350" spans="1:2" ht="12.75" customHeight="1" x14ac:dyDescent="0.25">
      <c r="A350" s="1"/>
      <c r="B350" s="1"/>
    </row>
    <row r="351" spans="1:2" ht="12.75" customHeight="1" x14ac:dyDescent="0.25">
      <c r="A351" s="1"/>
      <c r="B351" s="1"/>
    </row>
    <row r="352" spans="1:2" ht="12.75" customHeight="1" x14ac:dyDescent="0.25">
      <c r="A352" s="1"/>
      <c r="B352" s="1"/>
    </row>
    <row r="353" spans="1:2" ht="12.75" customHeight="1" x14ac:dyDescent="0.25">
      <c r="A353" s="1"/>
      <c r="B353" s="1"/>
    </row>
    <row r="354" spans="1:2" ht="12.75" customHeight="1" x14ac:dyDescent="0.25">
      <c r="A354" s="1"/>
      <c r="B354" s="1"/>
    </row>
    <row r="355" spans="1:2" ht="12.75" customHeight="1" x14ac:dyDescent="0.25">
      <c r="A355" s="1"/>
      <c r="B355" s="1"/>
    </row>
    <row r="356" spans="1:2" ht="12.75" customHeight="1" x14ac:dyDescent="0.25">
      <c r="A356" s="1"/>
      <c r="B356" s="1"/>
    </row>
    <row r="357" spans="1:2" ht="12.75" customHeight="1" x14ac:dyDescent="0.25">
      <c r="A357" s="1"/>
      <c r="B357" s="1"/>
    </row>
    <row r="358" spans="1:2" ht="12.75" customHeight="1" x14ac:dyDescent="0.25">
      <c r="A358" s="1"/>
      <c r="B358" s="1"/>
    </row>
    <row r="359" spans="1:2" ht="12.75" customHeight="1" x14ac:dyDescent="0.25">
      <c r="A359" s="1"/>
      <c r="B359" s="1"/>
    </row>
    <row r="360" spans="1:2" ht="12.75" customHeight="1" x14ac:dyDescent="0.25">
      <c r="A360" s="1"/>
      <c r="B360" s="1"/>
    </row>
    <row r="361" spans="1:2" ht="12.75" customHeight="1" x14ac:dyDescent="0.25">
      <c r="A361" s="1"/>
      <c r="B361" s="1"/>
    </row>
    <row r="362" spans="1:2" ht="12.75" customHeight="1" x14ac:dyDescent="0.25">
      <c r="A362" s="1"/>
      <c r="B362" s="1"/>
    </row>
    <row r="363" spans="1:2" ht="12.75" customHeight="1" x14ac:dyDescent="0.25">
      <c r="A363" s="1"/>
      <c r="B363" s="1"/>
    </row>
    <row r="364" spans="1:2" ht="12.75" customHeight="1" x14ac:dyDescent="0.25">
      <c r="A364" s="1"/>
      <c r="B364" s="1"/>
    </row>
    <row r="365" spans="1:2" ht="12.75" customHeight="1" x14ac:dyDescent="0.25">
      <c r="A365" s="1"/>
      <c r="B365" s="1"/>
    </row>
    <row r="366" spans="1:2" ht="12.75" customHeight="1" x14ac:dyDescent="0.25">
      <c r="A366" s="1"/>
      <c r="B366" s="1"/>
    </row>
    <row r="367" spans="1:2" ht="12.75" customHeight="1" x14ac:dyDescent="0.25">
      <c r="A367" s="1"/>
      <c r="B367" s="1"/>
    </row>
    <row r="368" spans="1:2" ht="12.75" customHeight="1" x14ac:dyDescent="0.25">
      <c r="A368" s="1"/>
      <c r="B368" s="1"/>
    </row>
    <row r="369" spans="1:2" ht="12.75" customHeight="1" x14ac:dyDescent="0.25">
      <c r="A369" s="1"/>
      <c r="B369" s="1"/>
    </row>
    <row r="370" spans="1:2" ht="12.75" customHeight="1" x14ac:dyDescent="0.25">
      <c r="A370" s="1"/>
      <c r="B370" s="1"/>
    </row>
    <row r="371" spans="1:2" ht="12.75" customHeight="1" x14ac:dyDescent="0.25">
      <c r="A371" s="1"/>
      <c r="B371" s="1"/>
    </row>
    <row r="372" spans="1:2" ht="12.75" customHeight="1" x14ac:dyDescent="0.25">
      <c r="A372" s="1"/>
      <c r="B372" s="1"/>
    </row>
    <row r="373" spans="1:2" ht="12.75" customHeight="1" x14ac:dyDescent="0.25">
      <c r="A373" s="1"/>
      <c r="B373" s="1"/>
    </row>
    <row r="374" spans="1:2" ht="12.75" customHeight="1" x14ac:dyDescent="0.25">
      <c r="A374" s="1"/>
      <c r="B374" s="1"/>
    </row>
    <row r="375" spans="1:2" ht="12.75" customHeight="1" x14ac:dyDescent="0.25">
      <c r="A375" s="1"/>
      <c r="B375" s="1"/>
    </row>
    <row r="376" spans="1:2" ht="12.75" customHeight="1" x14ac:dyDescent="0.25">
      <c r="A376" s="1"/>
      <c r="B376" s="1"/>
    </row>
    <row r="377" spans="1:2" ht="12.75" customHeight="1" x14ac:dyDescent="0.25">
      <c r="A377" s="1"/>
      <c r="B377" s="1"/>
    </row>
    <row r="378" spans="1:2" ht="12.75" customHeight="1" x14ac:dyDescent="0.25">
      <c r="A378" s="1"/>
      <c r="B378" s="1"/>
    </row>
    <row r="379" spans="1:2" ht="12.75" customHeight="1" x14ac:dyDescent="0.25">
      <c r="A379" s="1"/>
      <c r="B379" s="1"/>
    </row>
    <row r="380" spans="1:2" ht="12.75" customHeight="1" x14ac:dyDescent="0.25">
      <c r="A380" s="1"/>
      <c r="B380" s="1"/>
    </row>
    <row r="381" spans="1:2" ht="12.75" customHeight="1" x14ac:dyDescent="0.25">
      <c r="A381" s="1"/>
      <c r="B381" s="1"/>
    </row>
    <row r="382" spans="1:2" ht="12.75" customHeight="1" x14ac:dyDescent="0.25">
      <c r="A382" s="1"/>
      <c r="B382" s="1"/>
    </row>
    <row r="383" spans="1:2" ht="12.75" customHeight="1" x14ac:dyDescent="0.25">
      <c r="A383" s="1"/>
      <c r="B383" s="1"/>
    </row>
    <row r="384" spans="1:2" ht="12.75" customHeight="1" x14ac:dyDescent="0.25">
      <c r="A384" s="1"/>
      <c r="B384" s="1"/>
    </row>
    <row r="385" spans="1:2" ht="12.75" customHeight="1" x14ac:dyDescent="0.25">
      <c r="A385" s="1"/>
      <c r="B385" s="1"/>
    </row>
    <row r="386" spans="1:2" ht="12.75" customHeight="1" x14ac:dyDescent="0.25">
      <c r="A386" s="1"/>
      <c r="B386" s="1"/>
    </row>
    <row r="387" spans="1:2" ht="12.75" customHeight="1" x14ac:dyDescent="0.25">
      <c r="A387" s="1"/>
      <c r="B387" s="1"/>
    </row>
    <row r="388" spans="1:2" ht="12.75" customHeight="1" x14ac:dyDescent="0.25">
      <c r="A388" s="1"/>
      <c r="B388" s="1"/>
    </row>
    <row r="389" spans="1:2" ht="12.75" customHeight="1" x14ac:dyDescent="0.25">
      <c r="A389" s="1"/>
      <c r="B389" s="1"/>
    </row>
    <row r="390" spans="1:2" ht="12.75" customHeight="1" x14ac:dyDescent="0.25">
      <c r="A390" s="1"/>
      <c r="B390" s="1"/>
    </row>
    <row r="391" spans="1:2" ht="12.75" customHeight="1" x14ac:dyDescent="0.25">
      <c r="A391" s="1"/>
      <c r="B391" s="1"/>
    </row>
    <row r="392" spans="1:2" ht="12.75" customHeight="1" x14ac:dyDescent="0.25">
      <c r="A392" s="1"/>
      <c r="B392" s="1"/>
    </row>
    <row r="393" spans="1:2" ht="12.75" customHeight="1" x14ac:dyDescent="0.25">
      <c r="A393" s="1"/>
      <c r="B393" s="1"/>
    </row>
    <row r="394" spans="1:2" ht="12.75" customHeight="1" x14ac:dyDescent="0.25">
      <c r="A394" s="1"/>
      <c r="B394" s="1"/>
    </row>
    <row r="395" spans="1:2" ht="12.75" customHeight="1" x14ac:dyDescent="0.25">
      <c r="A395" s="1"/>
      <c r="B395" s="1"/>
    </row>
    <row r="396" spans="1:2" ht="12.75" customHeight="1" x14ac:dyDescent="0.25">
      <c r="A396" s="1"/>
      <c r="B396" s="1"/>
    </row>
    <row r="397" spans="1:2" ht="12.75" customHeight="1" x14ac:dyDescent="0.25">
      <c r="A397" s="1"/>
      <c r="B397" s="1"/>
    </row>
    <row r="398" spans="1:2" ht="12.75" customHeight="1" x14ac:dyDescent="0.25">
      <c r="A398" s="1"/>
      <c r="B398" s="1"/>
    </row>
    <row r="399" spans="1:2" ht="12.75" customHeight="1" x14ac:dyDescent="0.25">
      <c r="A399" s="1"/>
      <c r="B399" s="1"/>
    </row>
    <row r="400" spans="1:2" ht="12.75" customHeight="1" x14ac:dyDescent="0.25">
      <c r="A400" s="1"/>
      <c r="B400" s="1"/>
    </row>
    <row r="401" spans="1:2" ht="12.75" customHeight="1" x14ac:dyDescent="0.25">
      <c r="A401" s="1"/>
      <c r="B401" s="1"/>
    </row>
    <row r="402" spans="1:2" ht="12.75" customHeight="1" x14ac:dyDescent="0.25">
      <c r="A402" s="1"/>
      <c r="B402" s="1"/>
    </row>
    <row r="403" spans="1:2" ht="12.75" customHeight="1" x14ac:dyDescent="0.25">
      <c r="A403" s="1"/>
      <c r="B403" s="1"/>
    </row>
    <row r="404" spans="1:2" ht="12.75" customHeight="1" x14ac:dyDescent="0.25">
      <c r="A404" s="1"/>
      <c r="B404" s="1"/>
    </row>
    <row r="405" spans="1:2" ht="12.75" customHeight="1" x14ac:dyDescent="0.25">
      <c r="A405" s="1"/>
      <c r="B405" s="1"/>
    </row>
    <row r="406" spans="1:2" ht="12.75" customHeight="1" x14ac:dyDescent="0.25">
      <c r="A406" s="1"/>
      <c r="B406" s="1"/>
    </row>
    <row r="407" spans="1:2" ht="12.75" customHeight="1" x14ac:dyDescent="0.25">
      <c r="A407" s="1"/>
      <c r="B407" s="1"/>
    </row>
    <row r="408" spans="1:2" ht="12.75" customHeight="1" x14ac:dyDescent="0.25">
      <c r="A408" s="1"/>
      <c r="B408" s="1"/>
    </row>
    <row r="409" spans="1:2" ht="12.75" customHeight="1" x14ac:dyDescent="0.25">
      <c r="A409" s="1"/>
      <c r="B409" s="1"/>
    </row>
    <row r="410" spans="1:2" ht="12.75" customHeight="1" x14ac:dyDescent="0.25">
      <c r="A410" s="1"/>
      <c r="B410" s="1"/>
    </row>
    <row r="411" spans="1:2" ht="12.75" customHeight="1" x14ac:dyDescent="0.25">
      <c r="A411" s="1"/>
      <c r="B411" s="1"/>
    </row>
    <row r="412" spans="1:2" ht="12.75" customHeight="1" x14ac:dyDescent="0.25">
      <c r="A412" s="1"/>
      <c r="B412" s="1"/>
    </row>
    <row r="413" spans="1:2" ht="12.75" customHeight="1" x14ac:dyDescent="0.25">
      <c r="A413" s="1"/>
      <c r="B413" s="1"/>
    </row>
    <row r="414" spans="1:2" ht="12.75" customHeight="1" x14ac:dyDescent="0.25">
      <c r="A414" s="1"/>
      <c r="B414" s="1"/>
    </row>
    <row r="415" spans="1:2" ht="12.75" customHeight="1" x14ac:dyDescent="0.25">
      <c r="A415" s="1"/>
      <c r="B415" s="1"/>
    </row>
    <row r="416" spans="1:2" ht="12.75" customHeight="1" x14ac:dyDescent="0.25">
      <c r="A416" s="1"/>
      <c r="B416" s="1"/>
    </row>
    <row r="417" spans="1:2" ht="12.75" customHeight="1" x14ac:dyDescent="0.25">
      <c r="A417" s="1"/>
      <c r="B417" s="1"/>
    </row>
    <row r="418" spans="1:2" ht="12.75" customHeight="1" x14ac:dyDescent="0.25">
      <c r="A418" s="1"/>
      <c r="B418" s="1"/>
    </row>
    <row r="419" spans="1:2" ht="12.75" customHeight="1" x14ac:dyDescent="0.25">
      <c r="A419" s="1"/>
      <c r="B419" s="1"/>
    </row>
    <row r="420" spans="1:2" ht="12.75" customHeight="1" x14ac:dyDescent="0.25">
      <c r="A420" s="1"/>
      <c r="B420" s="1"/>
    </row>
    <row r="421" spans="1:2" ht="12.75" customHeight="1" x14ac:dyDescent="0.25">
      <c r="A421" s="1"/>
      <c r="B421" s="1"/>
    </row>
    <row r="422" spans="1:2" ht="12.75" customHeight="1" x14ac:dyDescent="0.25">
      <c r="A422" s="1"/>
      <c r="B422" s="1"/>
    </row>
    <row r="423" spans="1:2" ht="12.75" customHeight="1" x14ac:dyDescent="0.25">
      <c r="A423" s="1"/>
      <c r="B423" s="1"/>
    </row>
    <row r="424" spans="1:2" ht="12.75" customHeight="1" x14ac:dyDescent="0.25">
      <c r="A424" s="1"/>
      <c r="B424" s="1"/>
    </row>
    <row r="425" spans="1:2" ht="12.75" customHeight="1" x14ac:dyDescent="0.25">
      <c r="A425" s="1"/>
      <c r="B425" s="1"/>
    </row>
    <row r="426" spans="1:2" ht="12.75" customHeight="1" x14ac:dyDescent="0.25">
      <c r="A426" s="1"/>
      <c r="B426" s="1"/>
    </row>
    <row r="427" spans="1:2" ht="12.75" customHeight="1" x14ac:dyDescent="0.25">
      <c r="A427" s="1"/>
      <c r="B427" s="1"/>
    </row>
    <row r="428" spans="1:2" ht="12.75" customHeight="1" x14ac:dyDescent="0.25">
      <c r="A428" s="1"/>
      <c r="B428" s="1"/>
    </row>
    <row r="429" spans="1:2" ht="12.75" customHeight="1" x14ac:dyDescent="0.25">
      <c r="A429" s="1"/>
      <c r="B429" s="1"/>
    </row>
    <row r="430" spans="1:2" ht="12.75" customHeight="1" x14ac:dyDescent="0.25">
      <c r="A430" s="1"/>
      <c r="B430" s="1"/>
    </row>
    <row r="431" spans="1:2" ht="12.75" customHeight="1" x14ac:dyDescent="0.25">
      <c r="A431" s="1"/>
      <c r="B431" s="1"/>
    </row>
    <row r="432" spans="1:2" ht="12.75" customHeight="1" x14ac:dyDescent="0.25">
      <c r="A432" s="1"/>
      <c r="B432" s="1"/>
    </row>
    <row r="433" spans="1:2" ht="12.75" customHeight="1" x14ac:dyDescent="0.25">
      <c r="A433" s="1"/>
      <c r="B433" s="1"/>
    </row>
    <row r="434" spans="1:2" ht="12.75" customHeight="1" x14ac:dyDescent="0.25">
      <c r="A434" s="1"/>
      <c r="B434" s="1"/>
    </row>
    <row r="435" spans="1:2" ht="12.75" customHeight="1" x14ac:dyDescent="0.25">
      <c r="A435" s="1"/>
      <c r="B435" s="1"/>
    </row>
    <row r="436" spans="1:2" ht="12.75" customHeight="1" x14ac:dyDescent="0.25">
      <c r="A436" s="1"/>
      <c r="B436" s="1"/>
    </row>
    <row r="437" spans="1:2" ht="12.75" customHeight="1" x14ac:dyDescent="0.25">
      <c r="A437" s="1"/>
      <c r="B437" s="1"/>
    </row>
    <row r="438" spans="1:2" ht="12.75" customHeight="1" x14ac:dyDescent="0.25">
      <c r="A438" s="1"/>
      <c r="B438" s="1"/>
    </row>
    <row r="439" spans="1:2" ht="12.75" customHeight="1" x14ac:dyDescent="0.25">
      <c r="A439" s="1"/>
      <c r="B439" s="1"/>
    </row>
    <row r="440" spans="1:2" ht="12.75" customHeight="1" x14ac:dyDescent="0.25">
      <c r="A440" s="1"/>
      <c r="B440" s="1"/>
    </row>
    <row r="441" spans="1:2" ht="12.75" customHeight="1" x14ac:dyDescent="0.25">
      <c r="A441" s="1"/>
      <c r="B441" s="1"/>
    </row>
    <row r="442" spans="1:2" ht="12.75" customHeight="1" x14ac:dyDescent="0.25">
      <c r="A442" s="1"/>
      <c r="B442" s="1"/>
    </row>
    <row r="443" spans="1:2" ht="12.75" customHeight="1" x14ac:dyDescent="0.25">
      <c r="A443" s="1"/>
      <c r="B443" s="1"/>
    </row>
    <row r="444" spans="1:2" ht="12.75" customHeight="1" x14ac:dyDescent="0.25">
      <c r="A444" s="1"/>
      <c r="B444" s="1"/>
    </row>
    <row r="445" spans="1:2" ht="12.75" customHeight="1" x14ac:dyDescent="0.25">
      <c r="A445" s="1"/>
      <c r="B445" s="1"/>
    </row>
    <row r="446" spans="1:2" ht="12.75" customHeight="1" x14ac:dyDescent="0.25">
      <c r="A446" s="1"/>
      <c r="B446" s="1"/>
    </row>
    <row r="447" spans="1:2" ht="12.75" customHeight="1" x14ac:dyDescent="0.25">
      <c r="A447" s="1"/>
      <c r="B447" s="1"/>
    </row>
    <row r="448" spans="1:2" ht="12.75" customHeight="1" x14ac:dyDescent="0.25">
      <c r="A448" s="1"/>
      <c r="B448" s="1"/>
    </row>
    <row r="449" spans="1:2" ht="12.75" customHeight="1" x14ac:dyDescent="0.25">
      <c r="A449" s="1"/>
      <c r="B449" s="1"/>
    </row>
    <row r="450" spans="1:2" ht="12.75" customHeight="1" x14ac:dyDescent="0.25">
      <c r="A450" s="1"/>
      <c r="B450" s="1"/>
    </row>
    <row r="451" spans="1:2" ht="12.75" customHeight="1" x14ac:dyDescent="0.25">
      <c r="A451" s="1"/>
      <c r="B451" s="1"/>
    </row>
    <row r="452" spans="1:2" ht="12.75" customHeight="1" x14ac:dyDescent="0.25">
      <c r="A452" s="1"/>
      <c r="B452" s="1"/>
    </row>
    <row r="453" spans="1:2" ht="12.75" customHeight="1" x14ac:dyDescent="0.25">
      <c r="A453" s="1"/>
      <c r="B453" s="1"/>
    </row>
    <row r="454" spans="1:2" ht="12.75" customHeight="1" x14ac:dyDescent="0.25">
      <c r="A454" s="1"/>
      <c r="B454" s="1"/>
    </row>
    <row r="455" spans="1:2" ht="12.75" customHeight="1" x14ac:dyDescent="0.25">
      <c r="A455" s="1"/>
      <c r="B455" s="1"/>
    </row>
    <row r="456" spans="1:2" ht="12.75" customHeight="1" x14ac:dyDescent="0.25">
      <c r="A456" s="1"/>
      <c r="B456" s="1"/>
    </row>
    <row r="457" spans="1:2" ht="12.75" customHeight="1" x14ac:dyDescent="0.25">
      <c r="A457" s="1"/>
      <c r="B457" s="1"/>
    </row>
    <row r="458" spans="1:2" ht="12.75" customHeight="1" x14ac:dyDescent="0.25">
      <c r="A458" s="1"/>
      <c r="B458" s="1"/>
    </row>
    <row r="459" spans="1:2" ht="12.75" customHeight="1" x14ac:dyDescent="0.25">
      <c r="A459" s="1"/>
      <c r="B459" s="1"/>
    </row>
    <row r="460" spans="1:2" ht="12.75" customHeight="1" x14ac:dyDescent="0.25">
      <c r="A460" s="1"/>
      <c r="B460" s="1"/>
    </row>
    <row r="461" spans="1:2" ht="12.75" customHeight="1" x14ac:dyDescent="0.25">
      <c r="A461" s="1"/>
      <c r="B461" s="1"/>
    </row>
    <row r="462" spans="1:2" ht="12.75" customHeight="1" x14ac:dyDescent="0.25">
      <c r="A462" s="1"/>
      <c r="B462" s="1"/>
    </row>
    <row r="463" spans="1:2" ht="12.75" customHeight="1" x14ac:dyDescent="0.25">
      <c r="A463" s="1"/>
      <c r="B463" s="1"/>
    </row>
    <row r="464" spans="1:2" ht="12.75" customHeight="1" x14ac:dyDescent="0.25">
      <c r="A464" s="1"/>
      <c r="B464" s="1"/>
    </row>
    <row r="465" spans="1:2" ht="12.75" customHeight="1" x14ac:dyDescent="0.25">
      <c r="A465" s="1"/>
      <c r="B465" s="1"/>
    </row>
    <row r="466" spans="1:2" ht="12.75" customHeight="1" x14ac:dyDescent="0.25">
      <c r="A466" s="1"/>
      <c r="B466" s="1"/>
    </row>
    <row r="467" spans="1:2" ht="12.75" customHeight="1" x14ac:dyDescent="0.25">
      <c r="A467" s="1"/>
      <c r="B467" s="1"/>
    </row>
    <row r="468" spans="1:2" ht="12.75" customHeight="1" x14ac:dyDescent="0.25">
      <c r="A468" s="1"/>
      <c r="B468" s="1"/>
    </row>
    <row r="469" spans="1:2" ht="12.75" customHeight="1" x14ac:dyDescent="0.25">
      <c r="A469" s="1"/>
      <c r="B469" s="1"/>
    </row>
    <row r="470" spans="1:2" ht="12.75" customHeight="1" x14ac:dyDescent="0.25">
      <c r="A470" s="1"/>
      <c r="B470" s="1"/>
    </row>
    <row r="471" spans="1:2" ht="12.75" customHeight="1" x14ac:dyDescent="0.25">
      <c r="A471" s="1"/>
      <c r="B471" s="1"/>
    </row>
    <row r="472" spans="1:2" ht="12.75" customHeight="1" x14ac:dyDescent="0.25">
      <c r="A472" s="1"/>
      <c r="B472" s="1"/>
    </row>
    <row r="473" spans="1:2" ht="12.75" customHeight="1" x14ac:dyDescent="0.25">
      <c r="A473" s="1"/>
      <c r="B473" s="1"/>
    </row>
    <row r="474" spans="1:2" ht="12.75" customHeight="1" x14ac:dyDescent="0.25">
      <c r="A474" s="1"/>
      <c r="B474" s="1"/>
    </row>
    <row r="475" spans="1:2" ht="12.75" customHeight="1" x14ac:dyDescent="0.25">
      <c r="A475" s="1"/>
      <c r="B475" s="1"/>
    </row>
    <row r="476" spans="1:2" ht="12.75" customHeight="1" x14ac:dyDescent="0.25">
      <c r="A476" s="1"/>
      <c r="B476" s="1"/>
    </row>
    <row r="477" spans="1:2" ht="12.75" customHeight="1" x14ac:dyDescent="0.25">
      <c r="A477" s="1"/>
      <c r="B477" s="1"/>
    </row>
    <row r="478" spans="1:2" ht="12.75" customHeight="1" x14ac:dyDescent="0.25">
      <c r="A478" s="1"/>
      <c r="B478" s="1"/>
    </row>
    <row r="479" spans="1:2" ht="12.75" customHeight="1" x14ac:dyDescent="0.25">
      <c r="A479" s="1"/>
      <c r="B479" s="1"/>
    </row>
    <row r="480" spans="1:2" ht="12.75" customHeight="1" x14ac:dyDescent="0.25">
      <c r="A480" s="1"/>
      <c r="B480" s="1"/>
    </row>
    <row r="481" spans="1:2" ht="12.75" customHeight="1" x14ac:dyDescent="0.25">
      <c r="A481" s="1"/>
      <c r="B481" s="1"/>
    </row>
    <row r="482" spans="1:2" ht="12.75" customHeight="1" x14ac:dyDescent="0.25">
      <c r="A482" s="1"/>
      <c r="B482" s="1"/>
    </row>
    <row r="483" spans="1:2" ht="12.75" customHeight="1" x14ac:dyDescent="0.25">
      <c r="A483" s="1"/>
      <c r="B483" s="1"/>
    </row>
    <row r="484" spans="1:2" ht="12.75" customHeight="1" x14ac:dyDescent="0.25">
      <c r="A484" s="1"/>
      <c r="B484" s="1"/>
    </row>
    <row r="485" spans="1:2" ht="12.75" customHeight="1" x14ac:dyDescent="0.25">
      <c r="A485" s="1"/>
      <c r="B485" s="1"/>
    </row>
    <row r="486" spans="1:2" ht="12.75" customHeight="1" x14ac:dyDescent="0.25">
      <c r="A486" s="1"/>
      <c r="B486" s="1"/>
    </row>
    <row r="487" spans="1:2" ht="12.75" customHeight="1" x14ac:dyDescent="0.25">
      <c r="A487" s="1"/>
      <c r="B487" s="1"/>
    </row>
    <row r="488" spans="1:2" ht="12.75" customHeight="1" x14ac:dyDescent="0.25">
      <c r="A488" s="1"/>
      <c r="B488" s="1"/>
    </row>
    <row r="489" spans="1:2" ht="12.75" customHeight="1" x14ac:dyDescent="0.25">
      <c r="A489" s="1"/>
      <c r="B489" s="1"/>
    </row>
    <row r="490" spans="1:2" ht="12.75" customHeight="1" x14ac:dyDescent="0.25">
      <c r="A490" s="1"/>
      <c r="B490" s="1"/>
    </row>
    <row r="491" spans="1:2" ht="12.75" customHeight="1" x14ac:dyDescent="0.25">
      <c r="A491" s="1"/>
      <c r="B491" s="1"/>
    </row>
    <row r="492" spans="1:2" ht="12.75" customHeight="1" x14ac:dyDescent="0.25">
      <c r="A492" s="1"/>
      <c r="B492" s="1"/>
    </row>
    <row r="493" spans="1:2" ht="12.75" customHeight="1" x14ac:dyDescent="0.25">
      <c r="A493" s="1"/>
      <c r="B493" s="1"/>
    </row>
    <row r="494" spans="1:2" ht="12.75" customHeight="1" x14ac:dyDescent="0.25">
      <c r="A494" s="1"/>
      <c r="B494" s="1"/>
    </row>
    <row r="495" spans="1:2" ht="12.75" customHeight="1" x14ac:dyDescent="0.25">
      <c r="A495" s="1"/>
      <c r="B495" s="1"/>
    </row>
    <row r="496" spans="1:2" ht="12.75" customHeight="1" x14ac:dyDescent="0.25">
      <c r="A496" s="1"/>
      <c r="B496" s="1"/>
    </row>
    <row r="497" spans="1:2" ht="12.75" customHeight="1" x14ac:dyDescent="0.25">
      <c r="A497" s="1"/>
      <c r="B497" s="1"/>
    </row>
    <row r="498" spans="1:2" ht="12.75" customHeight="1" x14ac:dyDescent="0.25">
      <c r="A498" s="1"/>
      <c r="B498" s="1"/>
    </row>
    <row r="499" spans="1:2" ht="12.75" customHeight="1" x14ac:dyDescent="0.25">
      <c r="A499" s="1"/>
      <c r="B499" s="1"/>
    </row>
    <row r="500" spans="1:2" ht="12.75" customHeight="1" x14ac:dyDescent="0.25">
      <c r="A500" s="1"/>
      <c r="B500" s="1"/>
    </row>
    <row r="501" spans="1:2" ht="12.75" customHeight="1" x14ac:dyDescent="0.25">
      <c r="A501" s="1"/>
      <c r="B501" s="1"/>
    </row>
    <row r="502" spans="1:2" ht="12.75" customHeight="1" x14ac:dyDescent="0.25">
      <c r="A502" s="1"/>
      <c r="B502" s="1"/>
    </row>
    <row r="503" spans="1:2" ht="12.75" customHeight="1" x14ac:dyDescent="0.25">
      <c r="A503" s="1"/>
      <c r="B503" s="1"/>
    </row>
    <row r="504" spans="1:2" ht="12.75" customHeight="1" x14ac:dyDescent="0.25">
      <c r="A504" s="1"/>
      <c r="B504" s="1"/>
    </row>
    <row r="505" spans="1:2" ht="12.75" customHeight="1" x14ac:dyDescent="0.25">
      <c r="A505" s="1"/>
      <c r="B505" s="1"/>
    </row>
    <row r="506" spans="1:2" ht="12.75" customHeight="1" x14ac:dyDescent="0.25">
      <c r="A506" s="1"/>
      <c r="B506" s="1"/>
    </row>
    <row r="507" spans="1:2" ht="12.75" customHeight="1" x14ac:dyDescent="0.25">
      <c r="A507" s="1"/>
      <c r="B507" s="1"/>
    </row>
    <row r="508" spans="1:2" ht="12.75" customHeight="1" x14ac:dyDescent="0.25">
      <c r="A508" s="1"/>
      <c r="B508" s="1"/>
    </row>
    <row r="509" spans="1:2" ht="12.75" customHeight="1" x14ac:dyDescent="0.25">
      <c r="A509" s="1"/>
      <c r="B509" s="1"/>
    </row>
    <row r="510" spans="1:2" ht="12.75" customHeight="1" x14ac:dyDescent="0.25">
      <c r="A510" s="1"/>
      <c r="B510" s="1"/>
    </row>
    <row r="511" spans="1:2" ht="12.75" customHeight="1" x14ac:dyDescent="0.25">
      <c r="A511" s="1"/>
      <c r="B511" s="1"/>
    </row>
    <row r="512" spans="1:2" ht="12.75" customHeight="1" x14ac:dyDescent="0.25">
      <c r="A512" s="1"/>
      <c r="B512" s="1"/>
    </row>
    <row r="513" spans="1:2" ht="12.75" customHeight="1" x14ac:dyDescent="0.25">
      <c r="A513" s="1"/>
      <c r="B513" s="1"/>
    </row>
    <row r="514" spans="1:2" ht="12.75" customHeight="1" x14ac:dyDescent="0.25">
      <c r="A514" s="1"/>
      <c r="B514" s="1"/>
    </row>
    <row r="515" spans="1:2" ht="12.75" customHeight="1" x14ac:dyDescent="0.25">
      <c r="A515" s="1"/>
      <c r="B515" s="1"/>
    </row>
    <row r="516" spans="1:2" ht="12.75" customHeight="1" x14ac:dyDescent="0.25">
      <c r="A516" s="1"/>
      <c r="B516" s="1"/>
    </row>
    <row r="517" spans="1:2" ht="12.75" customHeight="1" x14ac:dyDescent="0.25">
      <c r="A517" s="1"/>
      <c r="B517" s="1"/>
    </row>
    <row r="518" spans="1:2" ht="12.75" customHeight="1" x14ac:dyDescent="0.25">
      <c r="A518" s="1"/>
      <c r="B518" s="1"/>
    </row>
    <row r="519" spans="1:2" ht="12.75" customHeight="1" x14ac:dyDescent="0.25">
      <c r="A519" s="1"/>
      <c r="B519" s="1"/>
    </row>
    <row r="520" spans="1:2" ht="12.75" customHeight="1" x14ac:dyDescent="0.25">
      <c r="A520" s="1"/>
      <c r="B520" s="1"/>
    </row>
    <row r="521" spans="1:2" ht="12.75" customHeight="1" x14ac:dyDescent="0.25">
      <c r="A521" s="1"/>
      <c r="B521" s="1"/>
    </row>
    <row r="522" spans="1:2" ht="12.75" customHeight="1" x14ac:dyDescent="0.25">
      <c r="A522" s="1"/>
      <c r="B522" s="1"/>
    </row>
    <row r="523" spans="1:2" ht="12.75" customHeight="1" x14ac:dyDescent="0.25">
      <c r="A523" s="1"/>
      <c r="B523" s="1"/>
    </row>
    <row r="524" spans="1:2" ht="12.75" customHeight="1" x14ac:dyDescent="0.25">
      <c r="A524" s="1"/>
      <c r="B524" s="1"/>
    </row>
    <row r="525" spans="1:2" ht="12.75" customHeight="1" x14ac:dyDescent="0.25">
      <c r="A525" s="1"/>
      <c r="B525" s="1"/>
    </row>
    <row r="526" spans="1:2" ht="12.75" customHeight="1" x14ac:dyDescent="0.25">
      <c r="A526" s="1"/>
      <c r="B526" s="1"/>
    </row>
    <row r="527" spans="1:2" ht="12.75" customHeight="1" x14ac:dyDescent="0.25">
      <c r="A527" s="1"/>
      <c r="B527" s="1"/>
    </row>
    <row r="528" spans="1:2" ht="12.75" customHeight="1" x14ac:dyDescent="0.25">
      <c r="A528" s="1"/>
      <c r="B528" s="1"/>
    </row>
    <row r="529" spans="1:2" ht="12.75" customHeight="1" x14ac:dyDescent="0.25">
      <c r="A529" s="1"/>
      <c r="B529" s="1"/>
    </row>
    <row r="530" spans="1:2" ht="12.75" customHeight="1" x14ac:dyDescent="0.25">
      <c r="A530" s="1"/>
      <c r="B530" s="1"/>
    </row>
    <row r="531" spans="1:2" ht="12.75" customHeight="1" x14ac:dyDescent="0.25">
      <c r="A531" s="1"/>
      <c r="B531" s="1"/>
    </row>
    <row r="532" spans="1:2" ht="12.75" customHeight="1" x14ac:dyDescent="0.25">
      <c r="A532" s="1"/>
      <c r="B532" s="1"/>
    </row>
    <row r="533" spans="1:2" ht="12.75" customHeight="1" x14ac:dyDescent="0.25">
      <c r="A533" s="1"/>
      <c r="B533" s="1"/>
    </row>
    <row r="534" spans="1:2" ht="12.75" customHeight="1" x14ac:dyDescent="0.25">
      <c r="A534" s="1"/>
      <c r="B534" s="1"/>
    </row>
    <row r="535" spans="1:2" ht="12.75" customHeight="1" x14ac:dyDescent="0.25">
      <c r="A535" s="1"/>
      <c r="B535" s="1"/>
    </row>
    <row r="536" spans="1:2" ht="12.75" customHeight="1" x14ac:dyDescent="0.25">
      <c r="A536" s="1"/>
      <c r="B536" s="1"/>
    </row>
    <row r="537" spans="1:2" ht="12.75" customHeight="1" x14ac:dyDescent="0.25">
      <c r="A537" s="1"/>
      <c r="B537" s="1"/>
    </row>
    <row r="538" spans="1:2" ht="12.75" customHeight="1" x14ac:dyDescent="0.25">
      <c r="A538" s="1"/>
      <c r="B538" s="1"/>
    </row>
    <row r="539" spans="1:2" ht="12.75" customHeight="1" x14ac:dyDescent="0.25">
      <c r="A539" s="1"/>
      <c r="B539" s="1"/>
    </row>
    <row r="540" spans="1:2" ht="12.75" customHeight="1" x14ac:dyDescent="0.25">
      <c r="A540" s="1"/>
      <c r="B540" s="1"/>
    </row>
    <row r="541" spans="1:2" ht="12.75" customHeight="1" x14ac:dyDescent="0.25">
      <c r="A541" s="1"/>
      <c r="B541" s="1"/>
    </row>
    <row r="542" spans="1:2" ht="12.75" customHeight="1" x14ac:dyDescent="0.25">
      <c r="A542" s="1"/>
      <c r="B542" s="1"/>
    </row>
    <row r="543" spans="1:2" ht="12.75" customHeight="1" x14ac:dyDescent="0.25">
      <c r="A543" s="1"/>
      <c r="B543" s="1"/>
    </row>
    <row r="544" spans="1:2" ht="12.75" customHeight="1" x14ac:dyDescent="0.25">
      <c r="A544" s="1"/>
      <c r="B544" s="1"/>
    </row>
    <row r="545" spans="1:2" ht="12.75" customHeight="1" x14ac:dyDescent="0.25">
      <c r="A545" s="1"/>
      <c r="B545" s="1"/>
    </row>
    <row r="546" spans="1:2" ht="12.75" customHeight="1" x14ac:dyDescent="0.25">
      <c r="A546" s="1"/>
      <c r="B546" s="1"/>
    </row>
    <row r="547" spans="1:2" ht="12.75" customHeight="1" x14ac:dyDescent="0.25">
      <c r="A547" s="1"/>
      <c r="B547" s="1"/>
    </row>
    <row r="548" spans="1:2" ht="12.75" customHeight="1" x14ac:dyDescent="0.25">
      <c r="A548" s="1"/>
      <c r="B548" s="1"/>
    </row>
    <row r="549" spans="1:2" ht="12.75" customHeight="1" x14ac:dyDescent="0.25">
      <c r="A549" s="1"/>
      <c r="B549" s="1"/>
    </row>
    <row r="550" spans="1:2" ht="12.75" customHeight="1" x14ac:dyDescent="0.25">
      <c r="A550" s="1"/>
      <c r="B550" s="1"/>
    </row>
    <row r="551" spans="1:2" ht="12.75" customHeight="1" x14ac:dyDescent="0.25">
      <c r="A551" s="1"/>
      <c r="B551" s="1"/>
    </row>
    <row r="552" spans="1:2" ht="12.75" customHeight="1" x14ac:dyDescent="0.25">
      <c r="A552" s="1"/>
      <c r="B552" s="1"/>
    </row>
    <row r="553" spans="1:2" ht="12.75" customHeight="1" x14ac:dyDescent="0.25">
      <c r="A553" s="1"/>
      <c r="B553" s="1"/>
    </row>
    <row r="554" spans="1:2" ht="12.75" customHeight="1" x14ac:dyDescent="0.25">
      <c r="A554" s="1"/>
      <c r="B554" s="1"/>
    </row>
    <row r="555" spans="1:2" ht="12.75" customHeight="1" x14ac:dyDescent="0.25">
      <c r="A555" s="1"/>
      <c r="B555" s="1"/>
    </row>
    <row r="556" spans="1:2" ht="12.75" customHeight="1" x14ac:dyDescent="0.25">
      <c r="A556" s="1"/>
      <c r="B556" s="1"/>
    </row>
    <row r="557" spans="1:2" ht="12.75" customHeight="1" x14ac:dyDescent="0.25">
      <c r="A557" s="1"/>
      <c r="B557" s="1"/>
    </row>
    <row r="558" spans="1:2" ht="12.75" customHeight="1" x14ac:dyDescent="0.25">
      <c r="A558" s="1"/>
      <c r="B558" s="1"/>
    </row>
    <row r="559" spans="1:2" ht="12.75" customHeight="1" x14ac:dyDescent="0.25">
      <c r="A559" s="1"/>
      <c r="B559" s="1"/>
    </row>
    <row r="560" spans="1:2" ht="12.75" customHeight="1" x14ac:dyDescent="0.25">
      <c r="A560" s="1"/>
      <c r="B560" s="1"/>
    </row>
    <row r="561" spans="1:2" ht="12.75" customHeight="1" x14ac:dyDescent="0.25">
      <c r="A561" s="1"/>
      <c r="B561" s="1"/>
    </row>
    <row r="562" spans="1:2" ht="12.75" customHeight="1" x14ac:dyDescent="0.25">
      <c r="A562" s="1"/>
      <c r="B562" s="1"/>
    </row>
    <row r="563" spans="1:2" ht="12.75" customHeight="1" x14ac:dyDescent="0.25">
      <c r="A563" s="1"/>
      <c r="B563" s="1"/>
    </row>
    <row r="564" spans="1:2" ht="12.75" customHeight="1" x14ac:dyDescent="0.25">
      <c r="A564" s="1"/>
      <c r="B564" s="1"/>
    </row>
    <row r="565" spans="1:2" ht="12.75" customHeight="1" x14ac:dyDescent="0.25">
      <c r="A565" s="1"/>
      <c r="B565" s="1"/>
    </row>
    <row r="566" spans="1:2" ht="12.75" customHeight="1" x14ac:dyDescent="0.25">
      <c r="A566" s="1"/>
      <c r="B566" s="1"/>
    </row>
    <row r="567" spans="1:2" ht="12.75" customHeight="1" x14ac:dyDescent="0.25">
      <c r="A567" s="1"/>
      <c r="B567" s="1"/>
    </row>
    <row r="568" spans="1:2" ht="12.75" customHeight="1" x14ac:dyDescent="0.25">
      <c r="A568" s="1"/>
      <c r="B568" s="1"/>
    </row>
    <row r="569" spans="1:2" ht="12.75" customHeight="1" x14ac:dyDescent="0.25">
      <c r="A569" s="1"/>
      <c r="B569" s="1"/>
    </row>
    <row r="570" spans="1:2" ht="12.75" customHeight="1" x14ac:dyDescent="0.25">
      <c r="A570" s="1"/>
      <c r="B570" s="1"/>
    </row>
    <row r="571" spans="1:2" ht="12.75" customHeight="1" x14ac:dyDescent="0.25">
      <c r="A571" s="1"/>
      <c r="B571" s="1"/>
    </row>
    <row r="572" spans="1:2" ht="12.75" customHeight="1" x14ac:dyDescent="0.25">
      <c r="A572" s="1"/>
      <c r="B572" s="1"/>
    </row>
    <row r="573" spans="1:2" ht="12.75" customHeight="1" x14ac:dyDescent="0.25">
      <c r="A573" s="1"/>
      <c r="B573" s="1"/>
    </row>
    <row r="574" spans="1:2" ht="12.75" customHeight="1" x14ac:dyDescent="0.25">
      <c r="A574" s="1"/>
      <c r="B574" s="1"/>
    </row>
    <row r="575" spans="1:2" ht="12.75" customHeight="1" x14ac:dyDescent="0.25">
      <c r="A575" s="1"/>
      <c r="B575" s="1"/>
    </row>
    <row r="576" spans="1:2" ht="12.75" customHeight="1" x14ac:dyDescent="0.25">
      <c r="A576" s="1"/>
      <c r="B576" s="1"/>
    </row>
    <row r="577" spans="1:2" ht="12.75" customHeight="1" x14ac:dyDescent="0.25">
      <c r="A577" s="1"/>
      <c r="B577" s="1"/>
    </row>
    <row r="578" spans="1:2" ht="12.75" customHeight="1" x14ac:dyDescent="0.25">
      <c r="A578" s="1"/>
      <c r="B578" s="1"/>
    </row>
    <row r="579" spans="1:2" ht="12.75" customHeight="1" x14ac:dyDescent="0.25">
      <c r="A579" s="1"/>
      <c r="B579" s="1"/>
    </row>
    <row r="580" spans="1:2" ht="12.75" customHeight="1" x14ac:dyDescent="0.25">
      <c r="A580" s="1"/>
      <c r="B580" s="1"/>
    </row>
    <row r="581" spans="1:2" ht="12.75" customHeight="1" x14ac:dyDescent="0.25">
      <c r="A581" s="1"/>
      <c r="B581" s="1"/>
    </row>
    <row r="582" spans="1:2" ht="12.75" customHeight="1" x14ac:dyDescent="0.25">
      <c r="A582" s="1"/>
      <c r="B582" s="1"/>
    </row>
    <row r="583" spans="1:2" ht="12.75" customHeight="1" x14ac:dyDescent="0.25">
      <c r="A583" s="1"/>
      <c r="B583" s="1"/>
    </row>
    <row r="584" spans="1:2" ht="12.75" customHeight="1" x14ac:dyDescent="0.25">
      <c r="A584" s="1"/>
      <c r="B584" s="1"/>
    </row>
    <row r="585" spans="1:2" ht="12.75" customHeight="1" x14ac:dyDescent="0.25">
      <c r="A585" s="1"/>
      <c r="B585" s="1"/>
    </row>
    <row r="586" spans="1:2" ht="12.75" customHeight="1" x14ac:dyDescent="0.25">
      <c r="A586" s="1"/>
      <c r="B586" s="1"/>
    </row>
    <row r="587" spans="1:2" ht="12.75" customHeight="1" x14ac:dyDescent="0.25">
      <c r="A587" s="1"/>
      <c r="B587" s="1"/>
    </row>
    <row r="588" spans="1:2" ht="12.75" customHeight="1" x14ac:dyDescent="0.25">
      <c r="A588" s="1"/>
      <c r="B588" s="1"/>
    </row>
    <row r="589" spans="1:2" ht="12.75" customHeight="1" x14ac:dyDescent="0.25">
      <c r="A589" s="1"/>
      <c r="B589" s="1"/>
    </row>
    <row r="590" spans="1:2" ht="12.75" customHeight="1" x14ac:dyDescent="0.25">
      <c r="A590" s="1"/>
      <c r="B590" s="1"/>
    </row>
    <row r="591" spans="1:2" ht="12.75" customHeight="1" x14ac:dyDescent="0.25">
      <c r="A591" s="1"/>
      <c r="B591" s="1"/>
    </row>
    <row r="592" spans="1:2" ht="12.75" customHeight="1" x14ac:dyDescent="0.25">
      <c r="A592" s="1"/>
      <c r="B592" s="1"/>
    </row>
    <row r="593" spans="1:2" ht="12.75" customHeight="1" x14ac:dyDescent="0.25">
      <c r="A593" s="1"/>
      <c r="B593" s="1"/>
    </row>
    <row r="594" spans="1:2" ht="12.75" customHeight="1" x14ac:dyDescent="0.25">
      <c r="A594" s="1"/>
      <c r="B594" s="1"/>
    </row>
    <row r="595" spans="1:2" ht="12.75" customHeight="1" x14ac:dyDescent="0.25">
      <c r="A595" s="1"/>
      <c r="B595" s="1"/>
    </row>
    <row r="596" spans="1:2" ht="12.75" customHeight="1" x14ac:dyDescent="0.25">
      <c r="A596" s="1"/>
      <c r="B596" s="1"/>
    </row>
    <row r="597" spans="1:2" ht="12.75" customHeight="1" x14ac:dyDescent="0.25">
      <c r="A597" s="1"/>
      <c r="B597" s="1"/>
    </row>
    <row r="598" spans="1:2" ht="12.75" customHeight="1" x14ac:dyDescent="0.25">
      <c r="A598" s="1"/>
      <c r="B598" s="1"/>
    </row>
    <row r="599" spans="1:2" ht="12.75" customHeight="1" x14ac:dyDescent="0.25">
      <c r="A599" s="1"/>
      <c r="B599" s="1"/>
    </row>
    <row r="600" spans="1:2" ht="12.75" customHeight="1" x14ac:dyDescent="0.25">
      <c r="A600" s="1"/>
      <c r="B600" s="1"/>
    </row>
    <row r="601" spans="1:2" ht="12.75" customHeight="1" x14ac:dyDescent="0.25">
      <c r="A601" s="1"/>
      <c r="B601" s="1"/>
    </row>
    <row r="602" spans="1:2" ht="12.75" customHeight="1" x14ac:dyDescent="0.25">
      <c r="A602" s="1"/>
      <c r="B602" s="1"/>
    </row>
    <row r="603" spans="1:2" ht="12.75" customHeight="1" x14ac:dyDescent="0.25">
      <c r="A603" s="1"/>
      <c r="B603" s="1"/>
    </row>
    <row r="604" spans="1:2" ht="12.75" customHeight="1" x14ac:dyDescent="0.25">
      <c r="A604" s="1"/>
      <c r="B604" s="1"/>
    </row>
    <row r="605" spans="1:2" ht="12.75" customHeight="1" x14ac:dyDescent="0.25">
      <c r="A605" s="1"/>
      <c r="B605" s="1"/>
    </row>
    <row r="606" spans="1:2" ht="12.75" customHeight="1" x14ac:dyDescent="0.25">
      <c r="A606" s="1"/>
      <c r="B606" s="1"/>
    </row>
    <row r="607" spans="1:2" ht="12.75" customHeight="1" x14ac:dyDescent="0.25">
      <c r="A607" s="1"/>
      <c r="B607" s="1"/>
    </row>
    <row r="608" spans="1:2" ht="12.75" customHeight="1" x14ac:dyDescent="0.25">
      <c r="A608" s="1"/>
      <c r="B608" s="1"/>
    </row>
    <row r="609" spans="1:2" ht="12.75" customHeight="1" x14ac:dyDescent="0.25">
      <c r="A609" s="1"/>
      <c r="B609" s="1"/>
    </row>
    <row r="610" spans="1:2" ht="12.75" customHeight="1" x14ac:dyDescent="0.25">
      <c r="A610" s="1"/>
      <c r="B610" s="1"/>
    </row>
    <row r="611" spans="1:2" ht="12.75" customHeight="1" x14ac:dyDescent="0.25">
      <c r="A611" s="1"/>
      <c r="B611" s="1"/>
    </row>
    <row r="612" spans="1:2" ht="12.75" customHeight="1" x14ac:dyDescent="0.25">
      <c r="A612" s="1"/>
      <c r="B612" s="1"/>
    </row>
    <row r="613" spans="1:2" ht="12.75" customHeight="1" x14ac:dyDescent="0.25">
      <c r="A613" s="1"/>
      <c r="B613" s="1"/>
    </row>
    <row r="614" spans="1:2" ht="12.75" customHeight="1" x14ac:dyDescent="0.25">
      <c r="A614" s="1"/>
      <c r="B614" s="1"/>
    </row>
    <row r="615" spans="1:2" ht="12.75" customHeight="1" x14ac:dyDescent="0.25">
      <c r="A615" s="1"/>
      <c r="B615" s="1"/>
    </row>
    <row r="616" spans="1:2" ht="12.75" customHeight="1" x14ac:dyDescent="0.25">
      <c r="A616" s="1"/>
      <c r="B616" s="1"/>
    </row>
    <row r="617" spans="1:2" ht="12.75" customHeight="1" x14ac:dyDescent="0.25">
      <c r="A617" s="1"/>
      <c r="B617" s="1"/>
    </row>
    <row r="618" spans="1:2" ht="12.75" customHeight="1" x14ac:dyDescent="0.25">
      <c r="A618" s="1"/>
      <c r="B618" s="1"/>
    </row>
    <row r="619" spans="1:2" ht="12.75" customHeight="1" x14ac:dyDescent="0.25">
      <c r="A619" s="1"/>
      <c r="B619" s="1"/>
    </row>
    <row r="620" spans="1:2" ht="12.75" customHeight="1" x14ac:dyDescent="0.25">
      <c r="A620" s="1"/>
      <c r="B620" s="1"/>
    </row>
    <row r="621" spans="1:2" ht="12.75" customHeight="1" x14ac:dyDescent="0.25">
      <c r="A621" s="1"/>
      <c r="B621" s="1"/>
    </row>
    <row r="622" spans="1:2" ht="12.75" customHeight="1" x14ac:dyDescent="0.25">
      <c r="A622" s="1"/>
      <c r="B622" s="1"/>
    </row>
    <row r="623" spans="1:2" ht="12.75" customHeight="1" x14ac:dyDescent="0.25">
      <c r="A623" s="1"/>
      <c r="B623" s="1"/>
    </row>
    <row r="624" spans="1:2" ht="12.75" customHeight="1" x14ac:dyDescent="0.25">
      <c r="A624" s="1"/>
      <c r="B624" s="1"/>
    </row>
    <row r="625" spans="1:2" ht="12.75" customHeight="1" x14ac:dyDescent="0.25">
      <c r="A625" s="1"/>
      <c r="B625" s="1"/>
    </row>
    <row r="626" spans="1:2" ht="12.75" customHeight="1" x14ac:dyDescent="0.25">
      <c r="A626" s="1"/>
      <c r="B626" s="1"/>
    </row>
    <row r="627" spans="1:2" ht="12.75" customHeight="1" x14ac:dyDescent="0.25">
      <c r="A627" s="1"/>
      <c r="B627" s="1"/>
    </row>
    <row r="628" spans="1:2" ht="12.75" customHeight="1" x14ac:dyDescent="0.25">
      <c r="A628" s="1"/>
      <c r="B628" s="1"/>
    </row>
    <row r="629" spans="1:2" ht="12.75" customHeight="1" x14ac:dyDescent="0.25">
      <c r="A629" s="1"/>
      <c r="B629" s="1"/>
    </row>
    <row r="630" spans="1:2" ht="12.75" customHeight="1" x14ac:dyDescent="0.25">
      <c r="A630" s="1"/>
      <c r="B630" s="1"/>
    </row>
    <row r="631" spans="1:2" ht="12.75" customHeight="1" x14ac:dyDescent="0.25">
      <c r="A631" s="1"/>
      <c r="B631" s="1"/>
    </row>
    <row r="632" spans="1:2" ht="12.75" customHeight="1" x14ac:dyDescent="0.25">
      <c r="A632" s="1"/>
      <c r="B632" s="1"/>
    </row>
    <row r="633" spans="1:2" ht="12.75" customHeight="1" x14ac:dyDescent="0.25">
      <c r="A633" s="1"/>
      <c r="B633" s="1"/>
    </row>
    <row r="634" spans="1:2" ht="12.75" customHeight="1" x14ac:dyDescent="0.25">
      <c r="A634" s="1"/>
      <c r="B634" s="1"/>
    </row>
    <row r="635" spans="1:2" ht="12.75" customHeight="1" x14ac:dyDescent="0.25">
      <c r="A635" s="1"/>
      <c r="B635" s="1"/>
    </row>
    <row r="636" spans="1:2" ht="12.75" customHeight="1" x14ac:dyDescent="0.25">
      <c r="A636" s="1"/>
      <c r="B636" s="1"/>
    </row>
    <row r="637" spans="1:2" ht="12.75" customHeight="1" x14ac:dyDescent="0.25">
      <c r="A637" s="1"/>
      <c r="B637" s="1"/>
    </row>
    <row r="638" spans="1:2" ht="12.75" customHeight="1" x14ac:dyDescent="0.25">
      <c r="A638" s="1"/>
      <c r="B638" s="1"/>
    </row>
    <row r="639" spans="1:2" ht="12.75" customHeight="1" x14ac:dyDescent="0.25">
      <c r="A639" s="1"/>
      <c r="B639" s="1"/>
    </row>
    <row r="640" spans="1:2" ht="12.75" customHeight="1" x14ac:dyDescent="0.25">
      <c r="A640" s="1"/>
      <c r="B640" s="1"/>
    </row>
    <row r="641" spans="1:2" ht="12.75" customHeight="1" x14ac:dyDescent="0.25">
      <c r="A641" s="1"/>
      <c r="B641" s="1"/>
    </row>
    <row r="642" spans="1:2" ht="12.75" customHeight="1" x14ac:dyDescent="0.25">
      <c r="A642" s="1"/>
      <c r="B642" s="1"/>
    </row>
    <row r="643" spans="1:2" ht="12.75" customHeight="1" x14ac:dyDescent="0.25">
      <c r="A643" s="1"/>
      <c r="B643" s="1"/>
    </row>
    <row r="644" spans="1:2" ht="12.75" customHeight="1" x14ac:dyDescent="0.25">
      <c r="A644" s="1"/>
      <c r="B644" s="1"/>
    </row>
    <row r="645" spans="1:2" ht="12.75" customHeight="1" x14ac:dyDescent="0.25">
      <c r="A645" s="1"/>
      <c r="B645" s="1"/>
    </row>
    <row r="646" spans="1:2" ht="12.75" customHeight="1" x14ac:dyDescent="0.25">
      <c r="A646" s="1"/>
      <c r="B646" s="1"/>
    </row>
    <row r="647" spans="1:2" ht="12.75" customHeight="1" x14ac:dyDescent="0.25">
      <c r="A647" s="1"/>
      <c r="B647" s="1"/>
    </row>
    <row r="648" spans="1:2" ht="12.75" customHeight="1" x14ac:dyDescent="0.25">
      <c r="A648" s="1"/>
      <c r="B648" s="1"/>
    </row>
    <row r="649" spans="1:2" ht="12.75" customHeight="1" x14ac:dyDescent="0.25">
      <c r="A649" s="1"/>
      <c r="B649" s="1"/>
    </row>
    <row r="650" spans="1:2" ht="12.75" customHeight="1" x14ac:dyDescent="0.25">
      <c r="A650" s="1"/>
      <c r="B650" s="1"/>
    </row>
    <row r="651" spans="1:2" ht="12.75" customHeight="1" x14ac:dyDescent="0.25">
      <c r="A651" s="1"/>
      <c r="B651" s="1"/>
    </row>
    <row r="652" spans="1:2" ht="12.75" customHeight="1" x14ac:dyDescent="0.25">
      <c r="A652" s="1"/>
      <c r="B652" s="1"/>
    </row>
    <row r="653" spans="1:2" ht="12.75" customHeight="1" x14ac:dyDescent="0.25">
      <c r="A653" s="1"/>
      <c r="B653" s="1"/>
    </row>
    <row r="654" spans="1:2" ht="12.75" customHeight="1" x14ac:dyDescent="0.25">
      <c r="A654" s="1"/>
      <c r="B654" s="1"/>
    </row>
    <row r="655" spans="1:2" ht="12.75" customHeight="1" x14ac:dyDescent="0.25">
      <c r="A655" s="1"/>
      <c r="B655" s="1"/>
    </row>
    <row r="656" spans="1:2" ht="12.75" customHeight="1" x14ac:dyDescent="0.25">
      <c r="A656" s="1"/>
      <c r="B656" s="1"/>
    </row>
    <row r="657" spans="1:2" ht="12.75" customHeight="1" x14ac:dyDescent="0.25">
      <c r="A657" s="1"/>
      <c r="B657" s="1"/>
    </row>
    <row r="658" spans="1:2" ht="12.75" customHeight="1" x14ac:dyDescent="0.25">
      <c r="A658" s="1"/>
      <c r="B658" s="1"/>
    </row>
    <row r="659" spans="1:2" ht="12.75" customHeight="1" x14ac:dyDescent="0.25">
      <c r="A659" s="1"/>
      <c r="B659" s="1"/>
    </row>
    <row r="660" spans="1:2" ht="12.75" customHeight="1" x14ac:dyDescent="0.25">
      <c r="A660" s="1"/>
      <c r="B660" s="1"/>
    </row>
    <row r="661" spans="1:2" ht="12.75" customHeight="1" x14ac:dyDescent="0.25">
      <c r="A661" s="1"/>
      <c r="B661" s="1"/>
    </row>
    <row r="662" spans="1:2" ht="12.75" customHeight="1" x14ac:dyDescent="0.25">
      <c r="A662" s="1"/>
      <c r="B662" s="1"/>
    </row>
    <row r="663" spans="1:2" ht="12.75" customHeight="1" x14ac:dyDescent="0.25">
      <c r="A663" s="1"/>
      <c r="B663" s="1"/>
    </row>
    <row r="664" spans="1:2" ht="12.75" customHeight="1" x14ac:dyDescent="0.25">
      <c r="A664" s="1"/>
      <c r="B664" s="1"/>
    </row>
    <row r="665" spans="1:2" ht="12.75" customHeight="1" x14ac:dyDescent="0.25">
      <c r="A665" s="1"/>
      <c r="B665" s="1"/>
    </row>
    <row r="666" spans="1:2" ht="12.75" customHeight="1" x14ac:dyDescent="0.25">
      <c r="A666" s="1"/>
      <c r="B666" s="1"/>
    </row>
    <row r="667" spans="1:2" ht="12.75" customHeight="1" x14ac:dyDescent="0.25">
      <c r="A667" s="1"/>
      <c r="B667" s="1"/>
    </row>
    <row r="668" spans="1:2" ht="12.75" customHeight="1" x14ac:dyDescent="0.25">
      <c r="A668" s="1"/>
      <c r="B668" s="1"/>
    </row>
    <row r="669" spans="1:2" ht="12.75" customHeight="1" x14ac:dyDescent="0.25">
      <c r="A669" s="1"/>
      <c r="B669" s="1"/>
    </row>
    <row r="670" spans="1:2" ht="12.75" customHeight="1" x14ac:dyDescent="0.25">
      <c r="A670" s="1"/>
      <c r="B670" s="1"/>
    </row>
    <row r="671" spans="1:2" ht="12.75" customHeight="1" x14ac:dyDescent="0.25">
      <c r="A671" s="1"/>
      <c r="B671" s="1"/>
    </row>
    <row r="672" spans="1:2" ht="12.75" customHeight="1" x14ac:dyDescent="0.25">
      <c r="A672" s="1"/>
      <c r="B672" s="1"/>
    </row>
    <row r="673" spans="1:2" ht="12.75" customHeight="1" x14ac:dyDescent="0.25">
      <c r="A673" s="1"/>
      <c r="B673" s="1"/>
    </row>
    <row r="674" spans="1:2" ht="12.75" customHeight="1" x14ac:dyDescent="0.25">
      <c r="A674" s="1"/>
      <c r="B674" s="1"/>
    </row>
    <row r="675" spans="1:2" ht="12.75" customHeight="1" x14ac:dyDescent="0.25">
      <c r="A675" s="1"/>
      <c r="B675" s="1"/>
    </row>
    <row r="676" spans="1:2" ht="12.75" customHeight="1" x14ac:dyDescent="0.25">
      <c r="A676" s="1"/>
      <c r="B676" s="1"/>
    </row>
    <row r="677" spans="1:2" ht="12.75" customHeight="1" x14ac:dyDescent="0.25">
      <c r="A677" s="1"/>
      <c r="B677" s="1"/>
    </row>
    <row r="678" spans="1:2" ht="12.75" customHeight="1" x14ac:dyDescent="0.25">
      <c r="A678" s="1"/>
      <c r="B678" s="1"/>
    </row>
    <row r="679" spans="1:2" ht="12.75" customHeight="1" x14ac:dyDescent="0.25">
      <c r="A679" s="1"/>
      <c r="B679" s="1"/>
    </row>
    <row r="680" spans="1:2" ht="12.75" customHeight="1" x14ac:dyDescent="0.25">
      <c r="A680" s="1"/>
      <c r="B680" s="1"/>
    </row>
    <row r="681" spans="1:2" ht="12.75" customHeight="1" x14ac:dyDescent="0.25">
      <c r="A681" s="1"/>
      <c r="B681" s="1"/>
    </row>
    <row r="682" spans="1:2" ht="12.75" customHeight="1" x14ac:dyDescent="0.25">
      <c r="A682" s="1"/>
      <c r="B682" s="1"/>
    </row>
    <row r="683" spans="1:2" ht="12.75" customHeight="1" x14ac:dyDescent="0.25">
      <c r="A683" s="1"/>
      <c r="B683" s="1"/>
    </row>
    <row r="684" spans="1:2" ht="12.75" customHeight="1" x14ac:dyDescent="0.25">
      <c r="A684" s="1"/>
      <c r="B684" s="1"/>
    </row>
    <row r="685" spans="1:2" ht="12.75" customHeight="1" x14ac:dyDescent="0.25">
      <c r="A685" s="1"/>
      <c r="B685" s="1"/>
    </row>
    <row r="686" spans="1:2" ht="12.75" customHeight="1" x14ac:dyDescent="0.25">
      <c r="A686" s="1"/>
      <c r="B686" s="1"/>
    </row>
    <row r="687" spans="1:2" ht="12.75" customHeight="1" x14ac:dyDescent="0.25">
      <c r="A687" s="1"/>
      <c r="B687" s="1"/>
    </row>
    <row r="688" spans="1:2" ht="12.75" customHeight="1" x14ac:dyDescent="0.25">
      <c r="A688" s="1"/>
      <c r="B688" s="1"/>
    </row>
    <row r="689" spans="1:2" ht="12.75" customHeight="1" x14ac:dyDescent="0.25">
      <c r="A689" s="1"/>
      <c r="B689" s="1"/>
    </row>
    <row r="690" spans="1:2" ht="12.75" customHeight="1" x14ac:dyDescent="0.25">
      <c r="A690" s="1"/>
      <c r="B690" s="1"/>
    </row>
    <row r="691" spans="1:2" ht="12.75" customHeight="1" x14ac:dyDescent="0.25">
      <c r="A691" s="1"/>
      <c r="B691" s="1"/>
    </row>
    <row r="692" spans="1:2" ht="12.75" customHeight="1" x14ac:dyDescent="0.25">
      <c r="A692" s="1"/>
      <c r="B692" s="1"/>
    </row>
    <row r="693" spans="1:2" ht="12.75" customHeight="1" x14ac:dyDescent="0.25">
      <c r="A693" s="1"/>
      <c r="B693" s="1"/>
    </row>
    <row r="694" spans="1:2" ht="12.75" customHeight="1" x14ac:dyDescent="0.25">
      <c r="A694" s="1"/>
      <c r="B694" s="1"/>
    </row>
    <row r="695" spans="1:2" ht="12.75" customHeight="1" x14ac:dyDescent="0.25">
      <c r="A695" s="1"/>
      <c r="B695" s="1"/>
    </row>
    <row r="696" spans="1:2" ht="12.75" customHeight="1" x14ac:dyDescent="0.25">
      <c r="A696" s="1"/>
      <c r="B696" s="1"/>
    </row>
    <row r="697" spans="1:2" ht="12.75" customHeight="1" x14ac:dyDescent="0.25">
      <c r="A697" s="1"/>
      <c r="B697" s="1"/>
    </row>
    <row r="698" spans="1:2" ht="12.75" customHeight="1" x14ac:dyDescent="0.25">
      <c r="A698" s="1"/>
      <c r="B698" s="1"/>
    </row>
    <row r="699" spans="1:2" ht="12.75" customHeight="1" x14ac:dyDescent="0.25">
      <c r="A699" s="1"/>
      <c r="B699" s="1"/>
    </row>
    <row r="700" spans="1:2" ht="12.75" customHeight="1" x14ac:dyDescent="0.25">
      <c r="A700" s="1"/>
      <c r="B700" s="1"/>
    </row>
    <row r="701" spans="1:2" ht="12.75" customHeight="1" x14ac:dyDescent="0.25">
      <c r="A701" s="1"/>
      <c r="B701" s="1"/>
    </row>
    <row r="702" spans="1:2" ht="12.75" customHeight="1" x14ac:dyDescent="0.25">
      <c r="A702" s="1"/>
      <c r="B702" s="1"/>
    </row>
    <row r="703" spans="1:2" ht="12.75" customHeight="1" x14ac:dyDescent="0.25">
      <c r="A703" s="1"/>
      <c r="B703" s="1"/>
    </row>
    <row r="704" spans="1:2" ht="12.75" customHeight="1" x14ac:dyDescent="0.25">
      <c r="A704" s="1"/>
      <c r="B704" s="1"/>
    </row>
    <row r="705" spans="1:2" ht="12.75" customHeight="1" x14ac:dyDescent="0.25">
      <c r="A705" s="1"/>
      <c r="B705" s="1"/>
    </row>
    <row r="706" spans="1:2" ht="12.75" customHeight="1" x14ac:dyDescent="0.25">
      <c r="A706" s="1"/>
      <c r="B706" s="1"/>
    </row>
    <row r="707" spans="1:2" ht="12.75" customHeight="1" x14ac:dyDescent="0.25">
      <c r="A707" s="1"/>
      <c r="B707" s="1"/>
    </row>
    <row r="708" spans="1:2" ht="12.75" customHeight="1" x14ac:dyDescent="0.25">
      <c r="A708" s="1"/>
      <c r="B708" s="1"/>
    </row>
    <row r="709" spans="1:2" ht="12.75" customHeight="1" x14ac:dyDescent="0.25">
      <c r="A709" s="1"/>
      <c r="B709" s="1"/>
    </row>
    <row r="710" spans="1:2" ht="12.75" customHeight="1" x14ac:dyDescent="0.25">
      <c r="A710" s="1"/>
      <c r="B710" s="1"/>
    </row>
    <row r="711" spans="1:2" ht="12.75" customHeight="1" x14ac:dyDescent="0.25">
      <c r="A711" s="1"/>
      <c r="B711" s="1"/>
    </row>
    <row r="712" spans="1:2" ht="12.75" customHeight="1" x14ac:dyDescent="0.25">
      <c r="A712" s="1"/>
      <c r="B712" s="1"/>
    </row>
    <row r="713" spans="1:2" ht="12.75" customHeight="1" x14ac:dyDescent="0.25">
      <c r="A713" s="1"/>
      <c r="B713" s="1"/>
    </row>
    <row r="714" spans="1:2" ht="12.75" customHeight="1" x14ac:dyDescent="0.25">
      <c r="A714" s="1"/>
      <c r="B714" s="1"/>
    </row>
    <row r="715" spans="1:2" ht="12.75" customHeight="1" x14ac:dyDescent="0.25">
      <c r="A715" s="1"/>
      <c r="B715" s="1"/>
    </row>
    <row r="716" spans="1:2" ht="12.75" customHeight="1" x14ac:dyDescent="0.25">
      <c r="A716" s="1"/>
      <c r="B716" s="1"/>
    </row>
    <row r="717" spans="1:2" ht="12.75" customHeight="1" x14ac:dyDescent="0.25">
      <c r="A717" s="1"/>
      <c r="B717" s="1"/>
    </row>
    <row r="718" spans="1:2" ht="12.75" customHeight="1" x14ac:dyDescent="0.25">
      <c r="A718" s="1"/>
      <c r="B718" s="1"/>
    </row>
    <row r="719" spans="1:2" ht="12.75" customHeight="1" x14ac:dyDescent="0.25">
      <c r="A719" s="1"/>
      <c r="B719" s="1"/>
    </row>
    <row r="720" spans="1:2" ht="12.75" customHeight="1" x14ac:dyDescent="0.25">
      <c r="A720" s="1"/>
      <c r="B720" s="1"/>
    </row>
    <row r="721" spans="1:2" ht="12.75" customHeight="1" x14ac:dyDescent="0.25">
      <c r="A721" s="1"/>
      <c r="B721" s="1"/>
    </row>
    <row r="722" spans="1:2" ht="12.75" customHeight="1" x14ac:dyDescent="0.25">
      <c r="A722" s="1"/>
      <c r="B722" s="1"/>
    </row>
    <row r="723" spans="1:2" ht="12.75" customHeight="1" x14ac:dyDescent="0.25">
      <c r="A723" s="1"/>
      <c r="B723" s="1"/>
    </row>
    <row r="724" spans="1:2" ht="12.75" customHeight="1" x14ac:dyDescent="0.25">
      <c r="A724" s="1"/>
      <c r="B724" s="1"/>
    </row>
    <row r="725" spans="1:2" ht="12.75" customHeight="1" x14ac:dyDescent="0.25">
      <c r="A725" s="1"/>
      <c r="B725" s="1"/>
    </row>
    <row r="726" spans="1:2" ht="12.75" customHeight="1" x14ac:dyDescent="0.25">
      <c r="A726" s="1"/>
      <c r="B726" s="1"/>
    </row>
    <row r="727" spans="1:2" ht="12.75" customHeight="1" x14ac:dyDescent="0.25">
      <c r="A727" s="1"/>
      <c r="B727" s="1"/>
    </row>
    <row r="728" spans="1:2" ht="12.75" customHeight="1" x14ac:dyDescent="0.25">
      <c r="A728" s="1"/>
      <c r="B728" s="1"/>
    </row>
    <row r="729" spans="1:2" ht="12.75" customHeight="1" x14ac:dyDescent="0.25">
      <c r="A729" s="1"/>
      <c r="B729" s="1"/>
    </row>
    <row r="730" spans="1:2" ht="12.75" customHeight="1" x14ac:dyDescent="0.25">
      <c r="A730" s="1"/>
      <c r="B730" s="1"/>
    </row>
    <row r="731" spans="1:2" ht="12.75" customHeight="1" x14ac:dyDescent="0.25">
      <c r="A731" s="1"/>
      <c r="B731" s="1"/>
    </row>
    <row r="732" spans="1:2" ht="12.75" customHeight="1" x14ac:dyDescent="0.25">
      <c r="A732" s="1"/>
      <c r="B732" s="1"/>
    </row>
    <row r="733" spans="1:2" ht="12.75" customHeight="1" x14ac:dyDescent="0.25">
      <c r="A733" s="1"/>
      <c r="B733" s="1"/>
    </row>
    <row r="734" spans="1:2" ht="12.75" customHeight="1" x14ac:dyDescent="0.25">
      <c r="A734" s="1"/>
      <c r="B734" s="1"/>
    </row>
    <row r="735" spans="1:2" ht="12.75" customHeight="1" x14ac:dyDescent="0.25">
      <c r="A735" s="1"/>
      <c r="B735" s="1"/>
    </row>
    <row r="736" spans="1:2" ht="12.75" customHeight="1" x14ac:dyDescent="0.25">
      <c r="A736" s="1"/>
      <c r="B736" s="1"/>
    </row>
    <row r="737" spans="1:2" ht="12.75" customHeight="1" x14ac:dyDescent="0.25">
      <c r="A737" s="1"/>
      <c r="B737" s="1"/>
    </row>
    <row r="738" spans="1:2" ht="12.75" customHeight="1" x14ac:dyDescent="0.25">
      <c r="A738" s="1"/>
      <c r="B738" s="1"/>
    </row>
    <row r="739" spans="1:2" ht="12.75" customHeight="1" x14ac:dyDescent="0.25">
      <c r="A739" s="1"/>
      <c r="B739" s="1"/>
    </row>
    <row r="740" spans="1:2" ht="12.75" customHeight="1" x14ac:dyDescent="0.25">
      <c r="A740" s="1"/>
      <c r="B740" s="1"/>
    </row>
    <row r="741" spans="1:2" ht="12.75" customHeight="1" x14ac:dyDescent="0.25">
      <c r="A741" s="1"/>
      <c r="B741" s="1"/>
    </row>
    <row r="742" spans="1:2" ht="12.75" customHeight="1" x14ac:dyDescent="0.25">
      <c r="A742" s="1"/>
      <c r="B742" s="1"/>
    </row>
    <row r="743" spans="1:2" ht="12.75" customHeight="1" x14ac:dyDescent="0.25">
      <c r="A743" s="1"/>
      <c r="B743" s="1"/>
    </row>
    <row r="744" spans="1:2" ht="12.75" customHeight="1" x14ac:dyDescent="0.25">
      <c r="A744" s="1"/>
      <c r="B744" s="1"/>
    </row>
    <row r="745" spans="1:2" ht="12.75" customHeight="1" x14ac:dyDescent="0.25">
      <c r="A745" s="1"/>
      <c r="B745" s="1"/>
    </row>
    <row r="746" spans="1:2" ht="12.75" customHeight="1" x14ac:dyDescent="0.25">
      <c r="A746" s="1"/>
      <c r="B746" s="1"/>
    </row>
    <row r="747" spans="1:2" ht="12.75" customHeight="1" x14ac:dyDescent="0.25">
      <c r="A747" s="1"/>
      <c r="B747" s="1"/>
    </row>
    <row r="748" spans="1:2" ht="12.75" customHeight="1" x14ac:dyDescent="0.25">
      <c r="A748" s="1"/>
      <c r="B748" s="1"/>
    </row>
    <row r="749" spans="1:2" ht="12.75" customHeight="1" x14ac:dyDescent="0.25">
      <c r="A749" s="1"/>
      <c r="B749" s="1"/>
    </row>
    <row r="750" spans="1:2" ht="12.75" customHeight="1" x14ac:dyDescent="0.25">
      <c r="A750" s="1"/>
      <c r="B750" s="1"/>
    </row>
    <row r="751" spans="1:2" ht="12.75" customHeight="1" x14ac:dyDescent="0.25">
      <c r="A751" s="1"/>
      <c r="B751" s="1"/>
    </row>
    <row r="752" spans="1:2" ht="12.75" customHeight="1" x14ac:dyDescent="0.25">
      <c r="A752" s="1"/>
      <c r="B752" s="1"/>
    </row>
    <row r="753" spans="1:2" ht="12.75" customHeight="1" x14ac:dyDescent="0.25">
      <c r="A753" s="1"/>
      <c r="B753" s="1"/>
    </row>
    <row r="754" spans="1:2" ht="12.75" customHeight="1" x14ac:dyDescent="0.25">
      <c r="A754" s="1"/>
      <c r="B754" s="1"/>
    </row>
    <row r="755" spans="1:2" ht="12.75" customHeight="1" x14ac:dyDescent="0.25">
      <c r="A755" s="1"/>
      <c r="B755" s="1"/>
    </row>
    <row r="756" spans="1:2" ht="12.75" customHeight="1" x14ac:dyDescent="0.25">
      <c r="A756" s="1"/>
      <c r="B756" s="1"/>
    </row>
    <row r="757" spans="1:2" ht="12.75" customHeight="1" x14ac:dyDescent="0.25">
      <c r="A757" s="1"/>
      <c r="B757" s="1"/>
    </row>
    <row r="758" spans="1:2" ht="12.75" customHeight="1" x14ac:dyDescent="0.25">
      <c r="A758" s="1"/>
      <c r="B758" s="1"/>
    </row>
    <row r="759" spans="1:2" ht="12.75" customHeight="1" x14ac:dyDescent="0.25">
      <c r="A759" s="1"/>
      <c r="B759" s="1"/>
    </row>
    <row r="760" spans="1:2" ht="12.75" customHeight="1" x14ac:dyDescent="0.25">
      <c r="A760" s="1"/>
      <c r="B760" s="1"/>
    </row>
    <row r="761" spans="1:2" ht="12.75" customHeight="1" x14ac:dyDescent="0.25">
      <c r="A761" s="1"/>
      <c r="B761" s="1"/>
    </row>
    <row r="762" spans="1:2" ht="12.75" customHeight="1" x14ac:dyDescent="0.25">
      <c r="A762" s="1"/>
      <c r="B762" s="1"/>
    </row>
    <row r="763" spans="1:2" ht="12.75" customHeight="1" x14ac:dyDescent="0.25">
      <c r="A763" s="1"/>
      <c r="B763" s="1"/>
    </row>
    <row r="764" spans="1:2" ht="12.75" customHeight="1" x14ac:dyDescent="0.25">
      <c r="A764" s="1"/>
      <c r="B764" s="1"/>
    </row>
    <row r="765" spans="1:2" ht="12.75" customHeight="1" x14ac:dyDescent="0.25">
      <c r="A765" s="1"/>
      <c r="B765" s="1"/>
    </row>
    <row r="766" spans="1:2" ht="12.75" customHeight="1" x14ac:dyDescent="0.25">
      <c r="A766" s="1"/>
      <c r="B766" s="1"/>
    </row>
    <row r="767" spans="1:2" ht="12.75" customHeight="1" x14ac:dyDescent="0.25">
      <c r="A767" s="1"/>
      <c r="B767" s="1"/>
    </row>
    <row r="768" spans="1:2" ht="12.75" customHeight="1" x14ac:dyDescent="0.25">
      <c r="A768" s="1"/>
      <c r="B768" s="1"/>
    </row>
    <row r="769" spans="1:2" ht="12.75" customHeight="1" x14ac:dyDescent="0.25">
      <c r="A769" s="1"/>
      <c r="B769" s="1"/>
    </row>
    <row r="770" spans="1:2" ht="12.75" customHeight="1" x14ac:dyDescent="0.25">
      <c r="A770" s="1"/>
      <c r="B770" s="1"/>
    </row>
    <row r="771" spans="1:2" ht="12.75" customHeight="1" x14ac:dyDescent="0.25">
      <c r="A771" s="1"/>
      <c r="B771" s="1"/>
    </row>
    <row r="772" spans="1:2" ht="12.75" customHeight="1" x14ac:dyDescent="0.25">
      <c r="A772" s="1"/>
      <c r="B772" s="1"/>
    </row>
    <row r="773" spans="1:2" ht="12.75" customHeight="1" x14ac:dyDescent="0.25">
      <c r="A773" s="1"/>
      <c r="B773" s="1"/>
    </row>
    <row r="774" spans="1:2" ht="12.75" customHeight="1" x14ac:dyDescent="0.25">
      <c r="A774" s="1"/>
      <c r="B774" s="1"/>
    </row>
    <row r="775" spans="1:2" ht="12.75" customHeight="1" x14ac:dyDescent="0.25">
      <c r="A775" s="1"/>
      <c r="B775" s="1"/>
    </row>
    <row r="776" spans="1:2" ht="12.75" customHeight="1" x14ac:dyDescent="0.25">
      <c r="A776" s="1"/>
      <c r="B776" s="1"/>
    </row>
    <row r="777" spans="1:2" ht="12.75" customHeight="1" x14ac:dyDescent="0.25">
      <c r="A777" s="1"/>
      <c r="B777" s="1"/>
    </row>
    <row r="778" spans="1:2" ht="12.75" customHeight="1" x14ac:dyDescent="0.25">
      <c r="A778" s="1"/>
      <c r="B778" s="1"/>
    </row>
    <row r="779" spans="1:2" ht="12.75" customHeight="1" x14ac:dyDescent="0.25">
      <c r="A779" s="1"/>
      <c r="B779" s="1"/>
    </row>
    <row r="780" spans="1:2" ht="12.75" customHeight="1" x14ac:dyDescent="0.25">
      <c r="A780" s="1"/>
      <c r="B780" s="1"/>
    </row>
    <row r="781" spans="1:2" ht="12.75" customHeight="1" x14ac:dyDescent="0.25">
      <c r="A781" s="1"/>
      <c r="B781" s="1"/>
    </row>
    <row r="782" spans="1:2" ht="12.75" customHeight="1" x14ac:dyDescent="0.25">
      <c r="A782" s="1"/>
      <c r="B782" s="1"/>
    </row>
    <row r="783" spans="1:2" ht="12.75" customHeight="1" x14ac:dyDescent="0.25">
      <c r="A783" s="1"/>
      <c r="B783" s="1"/>
    </row>
    <row r="784" spans="1:2" ht="12.75" customHeight="1" x14ac:dyDescent="0.25">
      <c r="A784" s="1"/>
      <c r="B784" s="1"/>
    </row>
    <row r="785" spans="1:2" ht="12.75" customHeight="1" x14ac:dyDescent="0.25">
      <c r="A785" s="1"/>
      <c r="B785" s="1"/>
    </row>
    <row r="786" spans="1:2" ht="12.75" customHeight="1" x14ac:dyDescent="0.25">
      <c r="A786" s="1"/>
      <c r="B786" s="1"/>
    </row>
    <row r="787" spans="1:2" ht="12.75" customHeight="1" x14ac:dyDescent="0.25">
      <c r="A787" s="1"/>
      <c r="B787" s="1"/>
    </row>
    <row r="788" spans="1:2" ht="12.75" customHeight="1" x14ac:dyDescent="0.25">
      <c r="A788" s="1"/>
      <c r="B788" s="1"/>
    </row>
    <row r="789" spans="1:2" ht="12.75" customHeight="1" x14ac:dyDescent="0.25">
      <c r="A789" s="1"/>
      <c r="B789" s="1"/>
    </row>
    <row r="790" spans="1:2" ht="12.75" customHeight="1" x14ac:dyDescent="0.25">
      <c r="A790" s="1"/>
      <c r="B790" s="1"/>
    </row>
    <row r="791" spans="1:2" ht="12.75" customHeight="1" x14ac:dyDescent="0.25">
      <c r="A791" s="1"/>
      <c r="B791" s="1"/>
    </row>
    <row r="792" spans="1:2" ht="12.75" customHeight="1" x14ac:dyDescent="0.25">
      <c r="A792" s="1"/>
      <c r="B792" s="1"/>
    </row>
    <row r="793" spans="1:2" ht="12.75" customHeight="1" x14ac:dyDescent="0.25">
      <c r="A793" s="1"/>
      <c r="B793" s="1"/>
    </row>
    <row r="794" spans="1:2" ht="12.75" customHeight="1" x14ac:dyDescent="0.25">
      <c r="A794" s="1"/>
      <c r="B794" s="1"/>
    </row>
    <row r="795" spans="1:2" ht="12.75" customHeight="1" x14ac:dyDescent="0.25">
      <c r="A795" s="1"/>
      <c r="B795" s="1"/>
    </row>
    <row r="796" spans="1:2" ht="12.75" customHeight="1" x14ac:dyDescent="0.25">
      <c r="A796" s="1"/>
      <c r="B796" s="1"/>
    </row>
    <row r="797" spans="1:2" ht="12.75" customHeight="1" x14ac:dyDescent="0.25">
      <c r="A797" s="1"/>
      <c r="B797" s="1"/>
    </row>
    <row r="798" spans="1:2" ht="12.75" customHeight="1" x14ac:dyDescent="0.25">
      <c r="A798" s="1"/>
      <c r="B798" s="1"/>
    </row>
    <row r="799" spans="1:2" ht="12.75" customHeight="1" x14ac:dyDescent="0.25">
      <c r="A799" s="1"/>
      <c r="B799" s="1"/>
    </row>
    <row r="800" spans="1:2" ht="12.75" customHeight="1" x14ac:dyDescent="0.25">
      <c r="A800" s="1"/>
      <c r="B800" s="1"/>
    </row>
    <row r="801" spans="1:2" ht="12.75" customHeight="1" x14ac:dyDescent="0.25">
      <c r="A801" s="1"/>
      <c r="B801" s="1"/>
    </row>
    <row r="802" spans="1:2" ht="12.75" customHeight="1" x14ac:dyDescent="0.25">
      <c r="A802" s="1"/>
      <c r="B802" s="1"/>
    </row>
    <row r="803" spans="1:2" ht="12.75" customHeight="1" x14ac:dyDescent="0.25">
      <c r="A803" s="1"/>
      <c r="B803" s="1"/>
    </row>
    <row r="804" spans="1:2" ht="12.75" customHeight="1" x14ac:dyDescent="0.25">
      <c r="A804" s="1"/>
      <c r="B804" s="1"/>
    </row>
    <row r="805" spans="1:2" ht="12.75" customHeight="1" x14ac:dyDescent="0.25">
      <c r="A805" s="1"/>
      <c r="B805" s="1"/>
    </row>
    <row r="806" spans="1:2" ht="12.75" customHeight="1" x14ac:dyDescent="0.25">
      <c r="A806" s="1"/>
      <c r="B806" s="1"/>
    </row>
    <row r="807" spans="1:2" ht="12.75" customHeight="1" x14ac:dyDescent="0.25">
      <c r="A807" s="1"/>
      <c r="B807" s="1"/>
    </row>
    <row r="808" spans="1:2" ht="12.75" customHeight="1" x14ac:dyDescent="0.25">
      <c r="A808" s="1"/>
      <c r="B808" s="1"/>
    </row>
    <row r="809" spans="1:2" ht="12.75" customHeight="1" x14ac:dyDescent="0.25">
      <c r="A809" s="1"/>
      <c r="B809" s="1"/>
    </row>
    <row r="810" spans="1:2" ht="12.75" customHeight="1" x14ac:dyDescent="0.25">
      <c r="A810" s="1"/>
      <c r="B810" s="1"/>
    </row>
    <row r="811" spans="1:2" ht="12.75" customHeight="1" x14ac:dyDescent="0.25">
      <c r="A811" s="1"/>
      <c r="B811" s="1"/>
    </row>
    <row r="812" spans="1:2" ht="12.75" customHeight="1" x14ac:dyDescent="0.25">
      <c r="A812" s="1"/>
      <c r="B812" s="1"/>
    </row>
    <row r="813" spans="1:2" ht="12.75" customHeight="1" x14ac:dyDescent="0.25">
      <c r="A813" s="1"/>
      <c r="B813" s="1"/>
    </row>
    <row r="814" spans="1:2" ht="12.75" customHeight="1" x14ac:dyDescent="0.25">
      <c r="A814" s="1"/>
      <c r="B814" s="1"/>
    </row>
    <row r="815" spans="1:2" ht="12.75" customHeight="1" x14ac:dyDescent="0.25">
      <c r="A815" s="1"/>
      <c r="B815" s="1"/>
    </row>
    <row r="816" spans="1:2" ht="12.75" customHeight="1" x14ac:dyDescent="0.25">
      <c r="A816" s="1"/>
      <c r="B816" s="1"/>
    </row>
    <row r="817" spans="1:2" ht="12.75" customHeight="1" x14ac:dyDescent="0.25">
      <c r="A817" s="1"/>
      <c r="B817" s="1"/>
    </row>
    <row r="818" spans="1:2" ht="12.75" customHeight="1" x14ac:dyDescent="0.25">
      <c r="A818" s="1"/>
      <c r="B818" s="1"/>
    </row>
    <row r="819" spans="1:2" ht="12.75" customHeight="1" x14ac:dyDescent="0.25">
      <c r="A819" s="1"/>
      <c r="B819" s="1"/>
    </row>
    <row r="820" spans="1:2" ht="12.75" customHeight="1" x14ac:dyDescent="0.25">
      <c r="A820" s="1"/>
      <c r="B820" s="1"/>
    </row>
    <row r="821" spans="1:2" ht="12.75" customHeight="1" x14ac:dyDescent="0.25">
      <c r="A821" s="1"/>
      <c r="B821" s="1"/>
    </row>
    <row r="822" spans="1:2" ht="12.75" customHeight="1" x14ac:dyDescent="0.25">
      <c r="A822" s="1"/>
      <c r="B822" s="1"/>
    </row>
    <row r="823" spans="1:2" ht="12.75" customHeight="1" x14ac:dyDescent="0.25">
      <c r="A823" s="1"/>
      <c r="B823" s="1"/>
    </row>
    <row r="824" spans="1:2" ht="12.75" customHeight="1" x14ac:dyDescent="0.25">
      <c r="A824" s="1"/>
      <c r="B824" s="1"/>
    </row>
    <row r="825" spans="1:2" ht="12.75" customHeight="1" x14ac:dyDescent="0.25">
      <c r="A825" s="1"/>
      <c r="B825" s="1"/>
    </row>
    <row r="826" spans="1:2" ht="12.75" customHeight="1" x14ac:dyDescent="0.25">
      <c r="A826" s="1"/>
      <c r="B826" s="1"/>
    </row>
    <row r="827" spans="1:2" ht="12.75" customHeight="1" x14ac:dyDescent="0.25">
      <c r="A827" s="1"/>
      <c r="B827" s="1"/>
    </row>
    <row r="828" spans="1:2" ht="12.75" customHeight="1" x14ac:dyDescent="0.25">
      <c r="A828" s="1"/>
      <c r="B828" s="1"/>
    </row>
    <row r="829" spans="1:2" ht="12.75" customHeight="1" x14ac:dyDescent="0.25">
      <c r="A829" s="1"/>
      <c r="B829" s="1"/>
    </row>
    <row r="830" spans="1:2" ht="12.75" customHeight="1" x14ac:dyDescent="0.25">
      <c r="A830" s="1"/>
      <c r="B830" s="1"/>
    </row>
    <row r="831" spans="1:2" ht="12.75" customHeight="1" x14ac:dyDescent="0.25">
      <c r="A831" s="1"/>
      <c r="B831" s="1"/>
    </row>
    <row r="832" spans="1:2" ht="12.75" customHeight="1" x14ac:dyDescent="0.25">
      <c r="A832" s="1"/>
      <c r="B832" s="1"/>
    </row>
    <row r="833" spans="1:2" ht="12.75" customHeight="1" x14ac:dyDescent="0.25">
      <c r="A833" s="1"/>
      <c r="B833" s="1"/>
    </row>
    <row r="834" spans="1:2" ht="12.75" customHeight="1" x14ac:dyDescent="0.25">
      <c r="A834" s="1"/>
      <c r="B834" s="1"/>
    </row>
    <row r="835" spans="1:2" ht="12.75" customHeight="1" x14ac:dyDescent="0.25">
      <c r="A835" s="1"/>
      <c r="B835" s="1"/>
    </row>
    <row r="836" spans="1:2" ht="12.75" customHeight="1" x14ac:dyDescent="0.25">
      <c r="A836" s="1"/>
      <c r="B836" s="1"/>
    </row>
    <row r="837" spans="1:2" ht="12.75" customHeight="1" x14ac:dyDescent="0.25">
      <c r="A837" s="1"/>
      <c r="B837" s="1"/>
    </row>
    <row r="838" spans="1:2" ht="12.75" customHeight="1" x14ac:dyDescent="0.25">
      <c r="A838" s="1"/>
      <c r="B838" s="1"/>
    </row>
    <row r="839" spans="1:2" ht="12.75" customHeight="1" x14ac:dyDescent="0.25">
      <c r="A839" s="1"/>
      <c r="B839" s="1"/>
    </row>
    <row r="840" spans="1:2" ht="12.75" customHeight="1" x14ac:dyDescent="0.25">
      <c r="A840" s="1"/>
      <c r="B840" s="1"/>
    </row>
    <row r="841" spans="1:2" ht="12.75" customHeight="1" x14ac:dyDescent="0.25">
      <c r="A841" s="1"/>
      <c r="B841" s="1"/>
    </row>
    <row r="842" spans="1:2" ht="12.75" customHeight="1" x14ac:dyDescent="0.25">
      <c r="A842" s="1"/>
      <c r="B842" s="1"/>
    </row>
    <row r="843" spans="1:2" ht="12.75" customHeight="1" x14ac:dyDescent="0.25">
      <c r="A843" s="1"/>
      <c r="B843" s="1"/>
    </row>
    <row r="844" spans="1:2" ht="12.75" customHeight="1" x14ac:dyDescent="0.25">
      <c r="A844" s="1"/>
      <c r="B844" s="1"/>
    </row>
    <row r="845" spans="1:2" ht="12.75" customHeight="1" x14ac:dyDescent="0.25">
      <c r="A845" s="1"/>
      <c r="B845" s="1"/>
    </row>
    <row r="846" spans="1:2" ht="12.75" customHeight="1" x14ac:dyDescent="0.25">
      <c r="A846" s="1"/>
      <c r="B846" s="1"/>
    </row>
    <row r="847" spans="1:2" ht="12.75" customHeight="1" x14ac:dyDescent="0.25">
      <c r="A847" s="1"/>
      <c r="B847" s="1"/>
    </row>
    <row r="848" spans="1:2" ht="12.75" customHeight="1" x14ac:dyDescent="0.25">
      <c r="A848" s="1"/>
      <c r="B848" s="1"/>
    </row>
    <row r="849" spans="1:2" ht="12.75" customHeight="1" x14ac:dyDescent="0.25">
      <c r="A849" s="1"/>
      <c r="B849" s="1"/>
    </row>
    <row r="850" spans="1:2" ht="12.75" customHeight="1" x14ac:dyDescent="0.25">
      <c r="A850" s="1"/>
      <c r="B850" s="1"/>
    </row>
    <row r="851" spans="1:2" ht="12.75" customHeight="1" x14ac:dyDescent="0.25">
      <c r="A851" s="1"/>
      <c r="B851" s="1"/>
    </row>
    <row r="852" spans="1:2" ht="12.75" customHeight="1" x14ac:dyDescent="0.25">
      <c r="A852" s="1"/>
      <c r="B852" s="1"/>
    </row>
    <row r="853" spans="1:2" ht="12.75" customHeight="1" x14ac:dyDescent="0.25">
      <c r="A853" s="1"/>
      <c r="B853" s="1"/>
    </row>
    <row r="854" spans="1:2" ht="12.75" customHeight="1" x14ac:dyDescent="0.25">
      <c r="A854" s="1"/>
      <c r="B854" s="1"/>
    </row>
    <row r="855" spans="1:2" ht="12.75" customHeight="1" x14ac:dyDescent="0.25">
      <c r="A855" s="1"/>
      <c r="B855" s="1"/>
    </row>
    <row r="856" spans="1:2" ht="12.75" customHeight="1" x14ac:dyDescent="0.25">
      <c r="A856" s="1"/>
      <c r="B856" s="1"/>
    </row>
    <row r="857" spans="1:2" ht="12.75" customHeight="1" x14ac:dyDescent="0.25">
      <c r="A857" s="1"/>
      <c r="B857" s="1"/>
    </row>
    <row r="858" spans="1:2" ht="12.75" customHeight="1" x14ac:dyDescent="0.25">
      <c r="A858" s="1"/>
      <c r="B858" s="1"/>
    </row>
    <row r="859" spans="1:2" ht="12.75" customHeight="1" x14ac:dyDescent="0.25">
      <c r="A859" s="1"/>
      <c r="B859" s="1"/>
    </row>
    <row r="860" spans="1:2" ht="12.75" customHeight="1" x14ac:dyDescent="0.25">
      <c r="A860" s="1"/>
      <c r="B860" s="1"/>
    </row>
    <row r="861" spans="1:2" ht="12.75" customHeight="1" x14ac:dyDescent="0.25">
      <c r="A861" s="1"/>
      <c r="B861" s="1"/>
    </row>
    <row r="862" spans="1:2" ht="12.75" customHeight="1" x14ac:dyDescent="0.25">
      <c r="A862" s="1"/>
      <c r="B862" s="1"/>
    </row>
    <row r="863" spans="1:2" ht="12.75" customHeight="1" x14ac:dyDescent="0.25">
      <c r="A863" s="1"/>
      <c r="B863" s="1"/>
    </row>
    <row r="864" spans="1:2" ht="12.75" customHeight="1" x14ac:dyDescent="0.25">
      <c r="A864" s="1"/>
      <c r="B864" s="1"/>
    </row>
    <row r="865" spans="1:2" ht="12.75" customHeight="1" x14ac:dyDescent="0.25">
      <c r="A865" s="1"/>
      <c r="B865" s="1"/>
    </row>
    <row r="866" spans="1:2" ht="12.75" customHeight="1" x14ac:dyDescent="0.25">
      <c r="A866" s="1"/>
      <c r="B866" s="1"/>
    </row>
    <row r="867" spans="1:2" ht="12.75" customHeight="1" x14ac:dyDescent="0.25">
      <c r="A867" s="1"/>
      <c r="B867" s="1"/>
    </row>
    <row r="868" spans="1:2" ht="12.75" customHeight="1" x14ac:dyDescent="0.25">
      <c r="A868" s="1"/>
      <c r="B868" s="1"/>
    </row>
    <row r="869" spans="1:2" ht="12.75" customHeight="1" x14ac:dyDescent="0.25">
      <c r="A869" s="1"/>
      <c r="B869" s="1"/>
    </row>
    <row r="870" spans="1:2" ht="12.75" customHeight="1" x14ac:dyDescent="0.25">
      <c r="A870" s="1"/>
      <c r="B870" s="1"/>
    </row>
    <row r="871" spans="1:2" ht="12.75" customHeight="1" x14ac:dyDescent="0.25">
      <c r="A871" s="1"/>
      <c r="B871" s="1"/>
    </row>
    <row r="872" spans="1:2" ht="12.75" customHeight="1" x14ac:dyDescent="0.25">
      <c r="A872" s="1"/>
      <c r="B872" s="1"/>
    </row>
    <row r="873" spans="1:2" ht="12.75" customHeight="1" x14ac:dyDescent="0.25">
      <c r="A873" s="1"/>
      <c r="B873" s="1"/>
    </row>
    <row r="874" spans="1:2" ht="12.75" customHeight="1" x14ac:dyDescent="0.25">
      <c r="A874" s="1"/>
      <c r="B874" s="1"/>
    </row>
    <row r="875" spans="1:2" ht="12.75" customHeight="1" x14ac:dyDescent="0.25">
      <c r="A875" s="1"/>
      <c r="B875" s="1"/>
    </row>
    <row r="876" spans="1:2" ht="12.75" customHeight="1" x14ac:dyDescent="0.25">
      <c r="A876" s="1"/>
      <c r="B876" s="1"/>
    </row>
    <row r="877" spans="1:2" ht="12.75" customHeight="1" x14ac:dyDescent="0.25">
      <c r="A877" s="1"/>
      <c r="B877" s="1"/>
    </row>
    <row r="878" spans="1:2" ht="12.75" customHeight="1" x14ac:dyDescent="0.25">
      <c r="A878" s="1"/>
      <c r="B878" s="1"/>
    </row>
    <row r="879" spans="1:2" ht="12.75" customHeight="1" x14ac:dyDescent="0.25">
      <c r="A879" s="1"/>
      <c r="B879" s="1"/>
    </row>
    <row r="880" spans="1:2" ht="12.75" customHeight="1" x14ac:dyDescent="0.25">
      <c r="A880" s="1"/>
      <c r="B880" s="1"/>
    </row>
    <row r="881" spans="1:2" ht="12.75" customHeight="1" x14ac:dyDescent="0.25">
      <c r="A881" s="1"/>
      <c r="B881" s="1"/>
    </row>
    <row r="882" spans="1:2" ht="12.75" customHeight="1" x14ac:dyDescent="0.25">
      <c r="A882" s="1"/>
      <c r="B882" s="1"/>
    </row>
    <row r="883" spans="1:2" ht="12.75" customHeight="1" x14ac:dyDescent="0.25">
      <c r="A883" s="1"/>
      <c r="B883" s="1"/>
    </row>
    <row r="884" spans="1:2" ht="12.75" customHeight="1" x14ac:dyDescent="0.25">
      <c r="A884" s="1"/>
      <c r="B884" s="1"/>
    </row>
    <row r="885" spans="1:2" ht="12.75" customHeight="1" x14ac:dyDescent="0.25">
      <c r="A885" s="1"/>
      <c r="B885" s="1"/>
    </row>
    <row r="886" spans="1:2" ht="12.75" customHeight="1" x14ac:dyDescent="0.25">
      <c r="A886" s="1"/>
      <c r="B886" s="1"/>
    </row>
    <row r="887" spans="1:2" ht="12.75" customHeight="1" x14ac:dyDescent="0.25">
      <c r="A887" s="1"/>
      <c r="B887" s="1"/>
    </row>
    <row r="888" spans="1:2" ht="12.75" customHeight="1" x14ac:dyDescent="0.25">
      <c r="A888" s="1"/>
      <c r="B888" s="1"/>
    </row>
    <row r="889" spans="1:2" ht="12.75" customHeight="1" x14ac:dyDescent="0.25">
      <c r="A889" s="1"/>
      <c r="B889" s="1"/>
    </row>
    <row r="890" spans="1:2" ht="12.75" customHeight="1" x14ac:dyDescent="0.25">
      <c r="A890" s="1"/>
      <c r="B890" s="1"/>
    </row>
    <row r="891" spans="1:2" ht="12.75" customHeight="1" x14ac:dyDescent="0.25">
      <c r="A891" s="1"/>
      <c r="B891" s="1"/>
    </row>
    <row r="892" spans="1:2" ht="12.75" customHeight="1" x14ac:dyDescent="0.25">
      <c r="A892" s="1"/>
      <c r="B892" s="1"/>
    </row>
    <row r="893" spans="1:2" ht="12.75" customHeight="1" x14ac:dyDescent="0.25">
      <c r="A893" s="1"/>
      <c r="B893" s="1"/>
    </row>
    <row r="894" spans="1:2" ht="12.75" customHeight="1" x14ac:dyDescent="0.25">
      <c r="A894" s="1"/>
      <c r="B894" s="1"/>
    </row>
    <row r="895" spans="1:2" ht="12.75" customHeight="1" x14ac:dyDescent="0.25">
      <c r="A895" s="1"/>
      <c r="B895" s="1"/>
    </row>
    <row r="896" spans="1:2" ht="12.75" customHeight="1" x14ac:dyDescent="0.25">
      <c r="A896" s="1"/>
      <c r="B896" s="1"/>
    </row>
    <row r="897" spans="1:2" ht="12.75" customHeight="1" x14ac:dyDescent="0.25">
      <c r="A897" s="1"/>
      <c r="B897" s="1"/>
    </row>
    <row r="898" spans="1:2" ht="12.75" customHeight="1" x14ac:dyDescent="0.25">
      <c r="A898" s="1"/>
      <c r="B898" s="1"/>
    </row>
    <row r="899" spans="1:2" ht="12.75" customHeight="1" x14ac:dyDescent="0.25">
      <c r="A899" s="1"/>
      <c r="B899" s="1"/>
    </row>
    <row r="900" spans="1:2" ht="12.75" customHeight="1" x14ac:dyDescent="0.25">
      <c r="A900" s="1"/>
      <c r="B900" s="1"/>
    </row>
    <row r="901" spans="1:2" ht="12.75" customHeight="1" x14ac:dyDescent="0.25">
      <c r="A901" s="1"/>
      <c r="B901" s="1"/>
    </row>
    <row r="902" spans="1:2" ht="12.75" customHeight="1" x14ac:dyDescent="0.25">
      <c r="A902" s="1"/>
      <c r="B902" s="1"/>
    </row>
    <row r="903" spans="1:2" ht="12.75" customHeight="1" x14ac:dyDescent="0.25">
      <c r="A903" s="1"/>
      <c r="B903" s="1"/>
    </row>
    <row r="904" spans="1:2" ht="12.75" customHeight="1" x14ac:dyDescent="0.25">
      <c r="A904" s="1"/>
      <c r="B904" s="1"/>
    </row>
    <row r="905" spans="1:2" ht="12.75" customHeight="1" x14ac:dyDescent="0.25">
      <c r="A905" s="1"/>
      <c r="B905" s="1"/>
    </row>
    <row r="906" spans="1:2" ht="12.75" customHeight="1" x14ac:dyDescent="0.25">
      <c r="A906" s="1"/>
      <c r="B906" s="1"/>
    </row>
    <row r="907" spans="1:2" ht="12.75" customHeight="1" x14ac:dyDescent="0.25">
      <c r="A907" s="1"/>
      <c r="B907" s="1"/>
    </row>
    <row r="908" spans="1:2" ht="12.75" customHeight="1" x14ac:dyDescent="0.25">
      <c r="A908" s="1"/>
      <c r="B908" s="1"/>
    </row>
    <row r="909" spans="1:2" ht="12.75" customHeight="1" x14ac:dyDescent="0.25">
      <c r="A909" s="1"/>
      <c r="B909" s="1"/>
    </row>
    <row r="910" spans="1:2" ht="12.75" customHeight="1" x14ac:dyDescent="0.25">
      <c r="A910" s="1"/>
      <c r="B910" s="1"/>
    </row>
    <row r="911" spans="1:2" ht="12.75" customHeight="1" x14ac:dyDescent="0.25">
      <c r="A911" s="1"/>
      <c r="B911" s="1"/>
    </row>
    <row r="912" spans="1:2" ht="12.75" customHeight="1" x14ac:dyDescent="0.25">
      <c r="A912" s="1"/>
      <c r="B912" s="1"/>
    </row>
    <row r="913" spans="1:2" ht="12.75" customHeight="1" x14ac:dyDescent="0.25">
      <c r="A913" s="1"/>
      <c r="B913" s="1"/>
    </row>
    <row r="914" spans="1:2" ht="12.75" customHeight="1" x14ac:dyDescent="0.25">
      <c r="A914" s="1"/>
      <c r="B914" s="1"/>
    </row>
    <row r="915" spans="1:2" ht="12.75" customHeight="1" x14ac:dyDescent="0.25">
      <c r="A915" s="1"/>
      <c r="B915" s="1"/>
    </row>
    <row r="916" spans="1:2" ht="12.75" customHeight="1" x14ac:dyDescent="0.25">
      <c r="A916" s="1"/>
      <c r="B916" s="1"/>
    </row>
    <row r="917" spans="1:2" ht="12.75" customHeight="1" x14ac:dyDescent="0.25">
      <c r="A917" s="1"/>
      <c r="B917" s="1"/>
    </row>
    <row r="918" spans="1:2" ht="12.75" customHeight="1" x14ac:dyDescent="0.25">
      <c r="A918" s="1"/>
      <c r="B918" s="1"/>
    </row>
    <row r="919" spans="1:2" ht="12.75" customHeight="1" x14ac:dyDescent="0.25">
      <c r="A919" s="1"/>
      <c r="B919" s="1"/>
    </row>
    <row r="920" spans="1:2" ht="12.75" customHeight="1" x14ac:dyDescent="0.25">
      <c r="A920" s="1"/>
      <c r="B920" s="1"/>
    </row>
    <row r="921" spans="1:2" ht="12.75" customHeight="1" x14ac:dyDescent="0.25">
      <c r="A921" s="1"/>
      <c r="B921" s="1"/>
    </row>
    <row r="922" spans="1:2" ht="12.75" customHeight="1" x14ac:dyDescent="0.25">
      <c r="A922" s="1"/>
      <c r="B922" s="1"/>
    </row>
    <row r="923" spans="1:2" ht="12.75" customHeight="1" x14ac:dyDescent="0.25">
      <c r="A923" s="1"/>
      <c r="B923" s="1"/>
    </row>
    <row r="924" spans="1:2" ht="12.75" customHeight="1" x14ac:dyDescent="0.25">
      <c r="A924" s="1"/>
      <c r="B924" s="1"/>
    </row>
    <row r="925" spans="1:2" ht="12.75" customHeight="1" x14ac:dyDescent="0.25">
      <c r="A925" s="1"/>
      <c r="B925" s="1"/>
    </row>
    <row r="926" spans="1:2" ht="12.75" customHeight="1" x14ac:dyDescent="0.25">
      <c r="A926" s="1"/>
      <c r="B926" s="1"/>
    </row>
    <row r="927" spans="1:2" ht="12.75" customHeight="1" x14ac:dyDescent="0.25">
      <c r="A927" s="1"/>
      <c r="B927" s="1"/>
    </row>
    <row r="928" spans="1:2" ht="12.75" customHeight="1" x14ac:dyDescent="0.25">
      <c r="A928" s="1"/>
      <c r="B928" s="1"/>
    </row>
    <row r="929" spans="1:2" ht="12.75" customHeight="1" x14ac:dyDescent="0.25">
      <c r="A929" s="1"/>
      <c r="B929" s="1"/>
    </row>
    <row r="930" spans="1:2" ht="12.75" customHeight="1" x14ac:dyDescent="0.25">
      <c r="A930" s="1"/>
      <c r="B930" s="1"/>
    </row>
    <row r="931" spans="1:2" ht="12.75" customHeight="1" x14ac:dyDescent="0.25">
      <c r="A931" s="1"/>
      <c r="B931" s="1"/>
    </row>
    <row r="932" spans="1:2" ht="12.75" customHeight="1" x14ac:dyDescent="0.25">
      <c r="A932" s="1"/>
      <c r="B932" s="1"/>
    </row>
    <row r="933" spans="1:2" ht="12.75" customHeight="1" x14ac:dyDescent="0.25">
      <c r="A933" s="1"/>
      <c r="B933" s="1"/>
    </row>
    <row r="934" spans="1:2" ht="12.75" customHeight="1" x14ac:dyDescent="0.25">
      <c r="A934" s="1"/>
      <c r="B934" s="1"/>
    </row>
    <row r="935" spans="1:2" ht="12.75" customHeight="1" x14ac:dyDescent="0.25">
      <c r="A935" s="1"/>
      <c r="B935" s="1"/>
    </row>
    <row r="936" spans="1:2" ht="12.75" customHeight="1" x14ac:dyDescent="0.25">
      <c r="A936" s="1"/>
      <c r="B936" s="1"/>
    </row>
    <row r="937" spans="1:2" ht="12.75" customHeight="1" x14ac:dyDescent="0.25">
      <c r="A937" s="1"/>
      <c r="B937" s="1"/>
    </row>
    <row r="938" spans="1:2" ht="12.75" customHeight="1" x14ac:dyDescent="0.25">
      <c r="A938" s="1"/>
      <c r="B938" s="1"/>
    </row>
    <row r="939" spans="1:2" ht="12.75" customHeight="1" x14ac:dyDescent="0.25">
      <c r="A939" s="1"/>
      <c r="B939" s="1"/>
    </row>
    <row r="940" spans="1:2" ht="12.75" customHeight="1" x14ac:dyDescent="0.25">
      <c r="A940" s="1"/>
      <c r="B940" s="1"/>
    </row>
    <row r="941" spans="1:2" ht="12.75" customHeight="1" x14ac:dyDescent="0.25">
      <c r="A941" s="1"/>
      <c r="B941" s="1"/>
    </row>
    <row r="942" spans="1:2" ht="12.75" customHeight="1" x14ac:dyDescent="0.25">
      <c r="A942" s="1"/>
      <c r="B942" s="1"/>
    </row>
    <row r="943" spans="1:2" ht="12.75" customHeight="1" x14ac:dyDescent="0.25">
      <c r="A943" s="1"/>
      <c r="B943" s="1"/>
    </row>
    <row r="944" spans="1:2" ht="12.75" customHeight="1" x14ac:dyDescent="0.25">
      <c r="A944" s="1"/>
      <c r="B944" s="1"/>
    </row>
    <row r="945" spans="1:2" ht="12.75" customHeight="1" x14ac:dyDescent="0.25">
      <c r="A945" s="1"/>
      <c r="B945" s="1"/>
    </row>
    <row r="946" spans="1:2" ht="12.75" customHeight="1" x14ac:dyDescent="0.25">
      <c r="A946" s="1"/>
      <c r="B946" s="1"/>
    </row>
    <row r="947" spans="1:2" ht="12.75" customHeight="1" x14ac:dyDescent="0.25">
      <c r="A947" s="1"/>
      <c r="B947" s="1"/>
    </row>
    <row r="948" spans="1:2" ht="12.75" customHeight="1" x14ac:dyDescent="0.25">
      <c r="A948" s="1"/>
      <c r="B948" s="1"/>
    </row>
    <row r="949" spans="1:2" ht="12.75" customHeight="1" x14ac:dyDescent="0.25">
      <c r="A949" s="1"/>
      <c r="B949" s="1"/>
    </row>
    <row r="950" spans="1:2" ht="12.75" customHeight="1" x14ac:dyDescent="0.25">
      <c r="A950" s="1"/>
      <c r="B950" s="1"/>
    </row>
    <row r="951" spans="1:2" ht="12.75" customHeight="1" x14ac:dyDescent="0.25">
      <c r="A951" s="1"/>
      <c r="B951" s="1"/>
    </row>
    <row r="952" spans="1:2" ht="12.75" customHeight="1" x14ac:dyDescent="0.25">
      <c r="A952" s="1"/>
      <c r="B952" s="1"/>
    </row>
    <row r="953" spans="1:2" ht="12.75" customHeight="1" x14ac:dyDescent="0.25">
      <c r="A953" s="1"/>
      <c r="B953" s="1"/>
    </row>
    <row r="954" spans="1:2" ht="12.75" customHeight="1" x14ac:dyDescent="0.25">
      <c r="A954" s="1"/>
      <c r="B954" s="1"/>
    </row>
    <row r="955" spans="1:2" ht="12.75" customHeight="1" x14ac:dyDescent="0.25">
      <c r="A955" s="1"/>
      <c r="B955" s="1"/>
    </row>
    <row r="956" spans="1:2" ht="12.75" customHeight="1" x14ac:dyDescent="0.25">
      <c r="A956" s="1"/>
      <c r="B956" s="1"/>
    </row>
    <row r="957" spans="1:2" ht="12.75" customHeight="1" x14ac:dyDescent="0.25">
      <c r="A957" s="1"/>
      <c r="B957" s="1"/>
    </row>
    <row r="958" spans="1:2" ht="12.75" customHeight="1" x14ac:dyDescent="0.25">
      <c r="A958" s="1"/>
      <c r="B958" s="1"/>
    </row>
    <row r="959" spans="1:2" ht="12.75" customHeight="1" x14ac:dyDescent="0.25">
      <c r="A959" s="1"/>
      <c r="B959" s="1"/>
    </row>
    <row r="960" spans="1:2" ht="12.75" customHeight="1" x14ac:dyDescent="0.25">
      <c r="A960" s="1"/>
      <c r="B960" s="1"/>
    </row>
    <row r="961" spans="1:2" ht="12.75" customHeight="1" x14ac:dyDescent="0.25">
      <c r="A961" s="1"/>
      <c r="B961" s="1"/>
    </row>
    <row r="962" spans="1:2" ht="12.75" customHeight="1" x14ac:dyDescent="0.25">
      <c r="A962" s="1"/>
      <c r="B962" s="1"/>
    </row>
    <row r="963" spans="1:2" ht="12.75" customHeight="1" x14ac:dyDescent="0.25">
      <c r="A963" s="1"/>
      <c r="B963" s="1"/>
    </row>
    <row r="964" spans="1:2" ht="12.75" customHeight="1" x14ac:dyDescent="0.25">
      <c r="A964" s="1"/>
      <c r="B964" s="1"/>
    </row>
    <row r="965" spans="1:2" ht="12.75" customHeight="1" x14ac:dyDescent="0.25">
      <c r="A965" s="1"/>
      <c r="B965" s="1"/>
    </row>
    <row r="966" spans="1:2" ht="12.75" customHeight="1" x14ac:dyDescent="0.25">
      <c r="A966" s="1"/>
      <c r="B966" s="1"/>
    </row>
    <row r="967" spans="1:2" ht="12.75" customHeight="1" x14ac:dyDescent="0.25">
      <c r="A967" s="1"/>
      <c r="B967" s="1"/>
    </row>
    <row r="968" spans="1:2" ht="12.75" customHeight="1" x14ac:dyDescent="0.25">
      <c r="A968" s="1"/>
      <c r="B968" s="1"/>
    </row>
    <row r="969" spans="1:2" ht="12.75" customHeight="1" x14ac:dyDescent="0.25">
      <c r="A969" s="1"/>
      <c r="B969" s="1"/>
    </row>
    <row r="970" spans="1:2" ht="12.75" customHeight="1" x14ac:dyDescent="0.25">
      <c r="A970" s="1"/>
      <c r="B970" s="1"/>
    </row>
    <row r="971" spans="1:2" ht="12.75" customHeight="1" x14ac:dyDescent="0.25">
      <c r="A971" s="1"/>
      <c r="B971" s="1"/>
    </row>
    <row r="972" spans="1:2" ht="12.75" customHeight="1" x14ac:dyDescent="0.25">
      <c r="A972" s="1"/>
      <c r="B972" s="1"/>
    </row>
    <row r="973" spans="1:2" ht="12.75" customHeight="1" x14ac:dyDescent="0.25">
      <c r="A973" s="1"/>
      <c r="B973" s="1"/>
    </row>
    <row r="974" spans="1:2" ht="12.75" customHeight="1" x14ac:dyDescent="0.25">
      <c r="A974" s="1"/>
      <c r="B974" s="1"/>
    </row>
    <row r="975" spans="1:2" ht="12.75" customHeight="1" x14ac:dyDescent="0.25">
      <c r="A975" s="1"/>
      <c r="B975" s="1"/>
    </row>
    <row r="976" spans="1:2" ht="12.75" customHeight="1" x14ac:dyDescent="0.25">
      <c r="A976" s="1"/>
      <c r="B976" s="1"/>
    </row>
    <row r="977" spans="1:2" ht="12.75" customHeight="1" x14ac:dyDescent="0.25">
      <c r="A977" s="1"/>
      <c r="B977" s="1"/>
    </row>
    <row r="978" spans="1:2" ht="12.75" customHeight="1" x14ac:dyDescent="0.25">
      <c r="A978" s="1"/>
      <c r="B978" s="1"/>
    </row>
    <row r="979" spans="1:2" ht="12.75" customHeight="1" x14ac:dyDescent="0.25">
      <c r="A979" s="1"/>
      <c r="B979" s="1"/>
    </row>
    <row r="980" spans="1:2" ht="12.75" customHeight="1" x14ac:dyDescent="0.25">
      <c r="A980" s="1"/>
      <c r="B980" s="1"/>
    </row>
    <row r="981" spans="1:2" ht="12.75" customHeight="1" x14ac:dyDescent="0.25">
      <c r="A981" s="1"/>
      <c r="B981" s="1"/>
    </row>
    <row r="982" spans="1:2" ht="12.75" customHeight="1" x14ac:dyDescent="0.25">
      <c r="A982" s="1"/>
      <c r="B982" s="1"/>
    </row>
    <row r="983" spans="1:2" ht="12.75" customHeight="1" x14ac:dyDescent="0.25">
      <c r="A983" s="1"/>
      <c r="B983" s="1"/>
    </row>
    <row r="984" spans="1:2" ht="12.75" customHeight="1" x14ac:dyDescent="0.25">
      <c r="A984" s="1"/>
      <c r="B984" s="1"/>
    </row>
    <row r="985" spans="1:2" ht="12.75" customHeight="1" x14ac:dyDescent="0.25">
      <c r="A985" s="1"/>
      <c r="B985" s="1"/>
    </row>
    <row r="986" spans="1:2" ht="12.75" customHeight="1" x14ac:dyDescent="0.25">
      <c r="A986" s="1"/>
      <c r="B986" s="1"/>
    </row>
    <row r="987" spans="1:2" ht="12.75" customHeight="1" x14ac:dyDescent="0.25">
      <c r="A987" s="1"/>
      <c r="B987" s="1"/>
    </row>
    <row r="988" spans="1:2" ht="12.75" customHeight="1" x14ac:dyDescent="0.25">
      <c r="A988" s="1"/>
      <c r="B988" s="1"/>
    </row>
    <row r="989" spans="1:2" ht="12.75" customHeight="1" x14ac:dyDescent="0.25">
      <c r="A989" s="1"/>
      <c r="B989" s="1"/>
    </row>
    <row r="990" spans="1:2" ht="12.75" customHeight="1" x14ac:dyDescent="0.25">
      <c r="A990" s="1"/>
      <c r="B990" s="1"/>
    </row>
    <row r="991" spans="1:2" ht="12.75" customHeight="1" x14ac:dyDescent="0.25">
      <c r="A991" s="1"/>
      <c r="B991" s="1"/>
    </row>
    <row r="992" spans="1:2" ht="12.75" customHeight="1" x14ac:dyDescent="0.25">
      <c r="A992" s="1"/>
      <c r="B992" s="1"/>
    </row>
    <row r="993" spans="1:2" ht="12.75" customHeight="1" x14ac:dyDescent="0.25">
      <c r="A993" s="1"/>
      <c r="B993" s="1"/>
    </row>
    <row r="994" spans="1:2" ht="12.75" customHeight="1" x14ac:dyDescent="0.25">
      <c r="A994" s="1"/>
      <c r="B994" s="1"/>
    </row>
    <row r="995" spans="1:2" ht="12.75" customHeight="1" x14ac:dyDescent="0.25">
      <c r="A995" s="1"/>
      <c r="B995" s="1"/>
    </row>
    <row r="996" spans="1:2" ht="12.75" customHeight="1" x14ac:dyDescent="0.25">
      <c r="A996" s="1"/>
      <c r="B996" s="1"/>
    </row>
    <row r="997" spans="1:2" ht="12.75" customHeight="1" x14ac:dyDescent="0.25">
      <c r="A997" s="1"/>
      <c r="B997" s="1"/>
    </row>
    <row r="998" spans="1:2" ht="12.75" customHeight="1" x14ac:dyDescent="0.25">
      <c r="A998" s="1"/>
      <c r="B998" s="1"/>
    </row>
    <row r="999" spans="1:2" ht="12.75" customHeight="1" x14ac:dyDescent="0.25">
      <c r="A999" s="1"/>
      <c r="B999" s="1"/>
    </row>
    <row r="1000" spans="1:2" ht="12.75" customHeight="1" x14ac:dyDescent="0.25">
      <c r="A1000" s="1"/>
      <c r="B1000" s="1"/>
    </row>
    <row r="1001" spans="1:2" ht="12.75" customHeight="1" x14ac:dyDescent="0.25">
      <c r="A1001" s="1"/>
      <c r="B1001" s="1"/>
    </row>
    <row r="1002" spans="1:2" ht="12.75" customHeight="1" x14ac:dyDescent="0.25">
      <c r="A1002" s="1"/>
      <c r="B1002" s="1"/>
    </row>
    <row r="1003" spans="1:2" ht="12.75" customHeight="1" x14ac:dyDescent="0.25">
      <c r="A1003" s="1"/>
      <c r="B1003" s="1"/>
    </row>
  </sheetData>
  <mergeCells count="1">
    <mergeCell ref="E31:V41"/>
  </mergeCells>
  <phoneticPr fontId="57" type="noConversion"/>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D1135-9023-479F-ACBD-CF5A485DF7D1}">
  <sheetPr>
    <tabColor rgb="FF44546A"/>
  </sheetPr>
  <dimension ref="A1:AC1004"/>
  <sheetViews>
    <sheetView showGridLines="0" workbookViewId="0">
      <selection activeCell="F27" sqref="F27"/>
    </sheetView>
  </sheetViews>
  <sheetFormatPr defaultColWidth="14.42578125" defaultRowHeight="15" customHeight="1" outlineLevelRow="1" outlineLevelCol="1" x14ac:dyDescent="0.25"/>
  <cols>
    <col min="1" max="2" width="2.42578125" customWidth="1"/>
    <col min="3" max="3" width="1.28515625" customWidth="1"/>
    <col min="4" max="4" width="3.28515625" customWidth="1"/>
    <col min="5" max="5" width="48.5703125" customWidth="1"/>
    <col min="6" max="6" width="16.85546875" customWidth="1"/>
    <col min="7" max="7" width="11.42578125" customWidth="1"/>
    <col min="8" max="8" width="11.140625" customWidth="1"/>
    <col min="9" max="9" width="9" bestFit="1" customWidth="1"/>
    <col min="10" max="10" width="13.85546875" customWidth="1"/>
    <col min="11" max="11" width="10.42578125" customWidth="1"/>
    <col min="12" max="12" width="9.140625" customWidth="1"/>
    <col min="13" max="15" width="9.140625" hidden="1" customWidth="1" outlineLevel="1"/>
    <col min="16" max="16" width="9.140625" customWidth="1" collapsed="1"/>
    <col min="17" max="17" width="3.42578125" customWidth="1"/>
    <col min="18" max="18" width="23.7109375" customWidth="1"/>
    <col min="19" max="20" width="9.140625" customWidth="1"/>
    <col min="21" max="21" width="10.7109375" customWidth="1"/>
    <col min="22" max="23" width="9.140625" customWidth="1"/>
    <col min="24" max="24" width="12.28515625" customWidth="1"/>
    <col min="25" max="25" width="17.42578125" customWidth="1"/>
    <col min="26" max="26" width="17.28515625" customWidth="1"/>
    <col min="27" max="27" width="15.7109375" customWidth="1"/>
    <col min="28" max="29" width="9.140625" customWidth="1"/>
  </cols>
  <sheetData>
    <row r="1" spans="1:29" ht="12.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2.75" customHeight="1" x14ac:dyDescent="0.25">
      <c r="A2" s="1"/>
      <c r="B2" s="1"/>
      <c r="C2" s="3"/>
      <c r="D2" s="4" t="s">
        <v>814</v>
      </c>
      <c r="E2" s="4"/>
      <c r="F2" s="3"/>
      <c r="G2" s="3"/>
      <c r="H2" s="3"/>
      <c r="I2" s="3"/>
      <c r="J2" s="3"/>
      <c r="K2" s="3"/>
      <c r="L2" s="3"/>
      <c r="M2" s="3"/>
      <c r="N2" s="3"/>
      <c r="O2" s="3"/>
      <c r="P2" s="3"/>
      <c r="Q2" s="3"/>
      <c r="R2" s="3"/>
      <c r="S2" s="3"/>
      <c r="T2" s="3"/>
      <c r="U2" s="3"/>
      <c r="V2" s="3"/>
      <c r="W2" s="3"/>
      <c r="X2" s="3"/>
      <c r="Y2" s="3"/>
      <c r="Z2" s="3"/>
      <c r="AA2" s="3"/>
      <c r="AB2" s="3"/>
      <c r="AC2" s="3"/>
    </row>
    <row r="3" spans="1:29" ht="12.75" customHeight="1" x14ac:dyDescent="0.25">
      <c r="A3" s="1"/>
      <c r="B3" s="1"/>
      <c r="C3" s="6"/>
      <c r="D3" s="6"/>
      <c r="E3" s="6"/>
      <c r="F3" s="6"/>
      <c r="G3" s="6"/>
      <c r="H3" s="6"/>
      <c r="I3" s="6"/>
      <c r="J3" s="6"/>
      <c r="K3" s="6"/>
      <c r="L3" s="6"/>
      <c r="M3" s="6"/>
      <c r="N3" s="6"/>
      <c r="O3" s="6"/>
      <c r="P3" s="6"/>
      <c r="Q3" s="6"/>
      <c r="R3" s="6"/>
      <c r="S3" s="6"/>
      <c r="T3" s="6"/>
      <c r="U3" s="6"/>
      <c r="V3" s="6"/>
      <c r="W3" s="6"/>
      <c r="X3" s="6"/>
      <c r="Y3" s="6"/>
      <c r="Z3" s="6"/>
      <c r="AA3" s="6"/>
      <c r="AB3" s="6"/>
      <c r="AC3" s="6"/>
    </row>
    <row r="4" spans="1:29" ht="12.75" customHeight="1" x14ac:dyDescent="0.25">
      <c r="A4" s="1"/>
      <c r="B4" s="1"/>
      <c r="C4" s="13"/>
      <c r="D4" s="13"/>
      <c r="E4" s="13"/>
      <c r="F4" s="13"/>
      <c r="G4" s="13"/>
      <c r="H4" s="13"/>
      <c r="I4" s="13"/>
      <c r="J4" s="13"/>
      <c r="K4" s="13"/>
      <c r="L4" s="13"/>
      <c r="M4" s="13"/>
      <c r="N4" s="13"/>
      <c r="O4" s="13"/>
      <c r="P4" s="13"/>
      <c r="Q4" s="13"/>
      <c r="R4" s="13"/>
      <c r="S4" s="13"/>
      <c r="T4" s="13"/>
      <c r="U4" s="13"/>
      <c r="V4" s="13"/>
      <c r="W4" s="13"/>
      <c r="X4" s="13"/>
      <c r="Y4" s="13"/>
      <c r="Z4" s="13"/>
      <c r="AA4" s="13"/>
      <c r="AB4" s="13"/>
      <c r="AC4" s="13"/>
    </row>
    <row r="5" spans="1:29" ht="12.75" customHeight="1" x14ac:dyDescent="0.25">
      <c r="A5" s="1"/>
      <c r="B5" s="1"/>
      <c r="D5" s="313"/>
      <c r="E5" s="4" t="s">
        <v>815</v>
      </c>
      <c r="F5" s="238"/>
      <c r="G5" s="313"/>
      <c r="H5" s="313"/>
      <c r="I5" s="313"/>
      <c r="J5" s="313"/>
      <c r="K5" s="313"/>
      <c r="L5" s="313"/>
      <c r="M5" s="313"/>
      <c r="N5" s="313"/>
      <c r="O5" s="313"/>
    </row>
    <row r="6" spans="1:29" ht="12.75" customHeight="1" x14ac:dyDescent="0.25">
      <c r="A6" s="1"/>
      <c r="B6" s="1"/>
      <c r="D6" s="313"/>
      <c r="E6" s="445" t="s">
        <v>829</v>
      </c>
      <c r="F6" s="445">
        <v>649</v>
      </c>
      <c r="G6" s="313"/>
      <c r="H6" s="313"/>
      <c r="I6" s="313"/>
      <c r="J6" s="313"/>
      <c r="K6" s="313"/>
      <c r="L6" s="313"/>
      <c r="M6" s="313"/>
      <c r="N6" s="313"/>
      <c r="O6" s="313"/>
    </row>
    <row r="7" spans="1:29" ht="15" customHeight="1" x14ac:dyDescent="0.25">
      <c r="A7" s="1"/>
      <c r="B7" s="1"/>
      <c r="D7" s="313"/>
      <c r="E7" s="445" t="s">
        <v>826</v>
      </c>
      <c r="F7" s="445">
        <v>2821.9</v>
      </c>
      <c r="G7" s="313"/>
      <c r="H7" s="313"/>
      <c r="I7" s="313"/>
      <c r="J7" s="313"/>
      <c r="K7" s="313"/>
      <c r="L7" s="313"/>
    </row>
    <row r="8" spans="1:29" ht="13.5" customHeight="1" x14ac:dyDescent="0.25">
      <c r="A8" s="1"/>
      <c r="B8" s="1"/>
      <c r="D8" s="313"/>
      <c r="E8" s="445" t="s">
        <v>816</v>
      </c>
      <c r="F8" s="445">
        <v>10</v>
      </c>
      <c r="G8" s="313"/>
      <c r="H8" s="313"/>
      <c r="I8" s="313"/>
      <c r="J8" s="313"/>
      <c r="K8" s="313"/>
      <c r="L8" s="313"/>
    </row>
    <row r="9" spans="1:29" ht="12.75" customHeight="1" x14ac:dyDescent="0.25">
      <c r="A9" s="1"/>
      <c r="B9" s="1"/>
      <c r="D9" s="313"/>
      <c r="E9" s="445" t="s">
        <v>817</v>
      </c>
      <c r="F9" s="445">
        <v>1.617</v>
      </c>
      <c r="G9" s="313"/>
      <c r="H9" s="313"/>
      <c r="I9" s="313"/>
      <c r="J9" s="313"/>
      <c r="K9" s="313"/>
      <c r="L9" s="313"/>
    </row>
    <row r="10" spans="1:29" ht="12.75" customHeight="1" x14ac:dyDescent="0.25">
      <c r="A10" s="1"/>
      <c r="B10" s="1"/>
      <c r="D10" s="313"/>
      <c r="E10" s="445" t="s">
        <v>818</v>
      </c>
      <c r="F10" s="445">
        <v>4.1500000000000002E-2</v>
      </c>
      <c r="G10" s="313"/>
      <c r="H10" s="313"/>
      <c r="I10" s="313"/>
      <c r="J10" s="313"/>
      <c r="K10" s="313"/>
      <c r="L10" s="313"/>
    </row>
    <row r="11" spans="1:29" ht="12.75" customHeight="1" x14ac:dyDescent="0.25">
      <c r="A11" s="1"/>
      <c r="B11" s="1"/>
      <c r="D11" s="459"/>
      <c r="E11" s="459"/>
      <c r="F11" s="459"/>
      <c r="G11" s="459"/>
      <c r="H11" s="313"/>
      <c r="I11" s="313"/>
      <c r="J11" s="313"/>
      <c r="K11" s="313"/>
      <c r="L11" s="313"/>
    </row>
    <row r="12" spans="1:29" ht="12.75" customHeight="1" x14ac:dyDescent="0.25">
      <c r="A12" s="1"/>
      <c r="B12" s="1"/>
      <c r="D12" s="313"/>
      <c r="E12" s="4" t="s">
        <v>819</v>
      </c>
      <c r="F12" s="4"/>
      <c r="G12" s="313"/>
      <c r="H12" s="313"/>
      <c r="I12" s="313"/>
      <c r="J12" s="313"/>
      <c r="K12" s="313"/>
      <c r="L12" s="313"/>
    </row>
    <row r="13" spans="1:29" ht="12.75" customHeight="1" x14ac:dyDescent="0.25">
      <c r="A13" s="1"/>
      <c r="B13" s="1"/>
      <c r="D13" s="313"/>
      <c r="E13" s="445" t="s">
        <v>820</v>
      </c>
      <c r="F13" s="461">
        <f>F7/EXP(F10*F8)</f>
        <v>1863.4142381213912</v>
      </c>
      <c r="G13" s="313"/>
      <c r="H13" s="313"/>
      <c r="I13" s="313"/>
      <c r="J13" s="313"/>
      <c r="K13" s="313"/>
      <c r="L13" s="313"/>
    </row>
    <row r="14" spans="1:29" ht="12.75" customHeight="1" x14ac:dyDescent="0.25">
      <c r="A14" s="1"/>
      <c r="B14" s="1"/>
      <c r="D14" s="313"/>
      <c r="E14" s="445" t="s">
        <v>821</v>
      </c>
      <c r="F14" s="460">
        <f>(LN(F6/F7)+(F10+F9^2/2)*F8)/(F9*F8^0.5)</f>
        <v>2.3504331804150067</v>
      </c>
      <c r="G14" s="313"/>
      <c r="H14" s="313"/>
      <c r="I14" s="313"/>
      <c r="J14" s="313"/>
      <c r="K14" s="313"/>
      <c r="L14" s="313"/>
    </row>
    <row r="15" spans="1:29" ht="12.75" customHeight="1" x14ac:dyDescent="0.25">
      <c r="A15" s="1"/>
      <c r="B15" s="1"/>
      <c r="D15" s="313"/>
      <c r="E15" s="445" t="s">
        <v>822</v>
      </c>
      <c r="F15" s="445">
        <f>F14-F9*F8^0.5</f>
        <v>-2.7629697960772632</v>
      </c>
      <c r="G15" s="313"/>
      <c r="H15" s="313"/>
      <c r="I15" s="313"/>
      <c r="J15" s="313"/>
      <c r="K15" s="313"/>
      <c r="L15" s="313"/>
    </row>
    <row r="16" spans="1:29" ht="12.75" customHeight="1" x14ac:dyDescent="0.25">
      <c r="A16" s="1"/>
      <c r="B16" s="1"/>
      <c r="D16" s="313"/>
      <c r="E16" s="447" t="s">
        <v>823</v>
      </c>
      <c r="F16" s="447">
        <f>NORMSDIST(F14)</f>
        <v>0.9906242129454812</v>
      </c>
      <c r="G16" s="313"/>
      <c r="H16" s="313"/>
      <c r="I16" s="313"/>
      <c r="J16" s="313"/>
      <c r="K16" s="313"/>
      <c r="L16" s="313"/>
    </row>
    <row r="17" spans="1:12" ht="12.75" customHeight="1" x14ac:dyDescent="0.25">
      <c r="A17" s="1"/>
      <c r="B17" s="1"/>
      <c r="D17" s="313"/>
      <c r="E17" s="447" t="s">
        <v>824</v>
      </c>
      <c r="F17" s="447">
        <f>NORMSDIST(F15)</f>
        <v>2.8639033271629466E-3</v>
      </c>
      <c r="G17" s="313"/>
      <c r="H17" s="313"/>
      <c r="I17" s="313"/>
      <c r="J17" s="313"/>
      <c r="K17" s="313"/>
      <c r="L17" s="313"/>
    </row>
    <row r="18" spans="1:12" ht="12.75" customHeight="1" x14ac:dyDescent="0.25">
      <c r="A18" s="1"/>
      <c r="B18" s="1"/>
      <c r="D18" s="313"/>
      <c r="E18" s="313"/>
      <c r="F18" s="313"/>
      <c r="G18" s="313"/>
      <c r="I18" s="313"/>
      <c r="J18" s="313"/>
      <c r="K18" s="313"/>
      <c r="L18" s="313"/>
    </row>
    <row r="19" spans="1:12" ht="12.75" customHeight="1" x14ac:dyDescent="0.25">
      <c r="A19" s="1"/>
      <c r="B19" s="1"/>
      <c r="D19" s="313"/>
      <c r="E19" s="4" t="s">
        <v>825</v>
      </c>
      <c r="F19" s="4"/>
      <c r="G19" s="313"/>
      <c r="I19" s="313"/>
      <c r="J19" s="313"/>
      <c r="K19" s="313"/>
      <c r="L19" s="313"/>
    </row>
    <row r="20" spans="1:12" ht="12.75" customHeight="1" x14ac:dyDescent="0.25">
      <c r="A20" s="1"/>
      <c r="B20" s="1"/>
      <c r="D20" s="313"/>
      <c r="E20" s="445" t="s">
        <v>827</v>
      </c>
      <c r="F20" s="461">
        <f>F16*F6-F17*F13</f>
        <v>637.57847596517854</v>
      </c>
      <c r="G20" s="313"/>
      <c r="I20" s="313"/>
      <c r="J20" s="313"/>
      <c r="K20" s="313"/>
      <c r="L20" s="313"/>
    </row>
    <row r="21" spans="1:12" ht="12.75" customHeight="1" x14ac:dyDescent="0.25">
      <c r="A21" s="1"/>
      <c r="B21" s="1"/>
      <c r="D21" s="313"/>
      <c r="E21" s="447" t="s">
        <v>828</v>
      </c>
      <c r="F21" s="462">
        <f>F20/620</f>
        <v>1.0283523805889976</v>
      </c>
      <c r="G21" s="313"/>
      <c r="I21" s="313"/>
      <c r="J21" s="313"/>
      <c r="K21" s="313"/>
      <c r="L21" s="313"/>
    </row>
    <row r="22" spans="1:12" ht="12.75" customHeight="1" x14ac:dyDescent="0.25">
      <c r="A22" s="1"/>
      <c r="B22" s="1"/>
    </row>
    <row r="23" spans="1:12" ht="12.75" customHeight="1" x14ac:dyDescent="0.25">
      <c r="A23" s="1"/>
      <c r="B23" s="1"/>
    </row>
    <row r="24" spans="1:12" ht="12.75" customHeight="1" x14ac:dyDescent="0.25">
      <c r="A24" s="1"/>
      <c r="B24" s="1"/>
    </row>
    <row r="25" spans="1:12" ht="12.75" customHeight="1" x14ac:dyDescent="0.25">
      <c r="A25" s="1"/>
      <c r="B25" s="1"/>
    </row>
    <row r="26" spans="1:12" ht="12.75" customHeight="1" x14ac:dyDescent="0.25">
      <c r="A26" s="1"/>
      <c r="B26" s="1"/>
    </row>
    <row r="27" spans="1:12" ht="6.75" customHeight="1" x14ac:dyDescent="0.25">
      <c r="A27" s="1"/>
      <c r="B27" s="1"/>
    </row>
    <row r="28" spans="1:12" ht="12.75" customHeight="1" x14ac:dyDescent="0.25">
      <c r="A28" s="1"/>
      <c r="B28" s="1"/>
    </row>
    <row r="29" spans="1:12" ht="12.75" customHeight="1" x14ac:dyDescent="0.25">
      <c r="A29" s="1"/>
      <c r="B29" s="1"/>
    </row>
    <row r="30" spans="1:12" ht="12.75" customHeight="1" x14ac:dyDescent="0.25">
      <c r="A30" s="1"/>
      <c r="B30" s="1"/>
    </row>
    <row r="31" spans="1:12" ht="12.75" customHeight="1" x14ac:dyDescent="0.25">
      <c r="A31" s="1"/>
      <c r="B31" s="1"/>
    </row>
    <row r="32" spans="1:12" ht="8.25" customHeight="1" x14ac:dyDescent="0.25">
      <c r="A32" s="1"/>
      <c r="B32" s="1"/>
    </row>
    <row r="33" spans="1:2" ht="12.75" customHeight="1" x14ac:dyDescent="0.25">
      <c r="A33" s="1"/>
      <c r="B33" s="1"/>
    </row>
    <row r="34" spans="1:2" ht="12.75" customHeight="1" x14ac:dyDescent="0.25">
      <c r="A34" s="1"/>
      <c r="B34" s="1"/>
    </row>
    <row r="35" spans="1:2" ht="12.75" customHeight="1" x14ac:dyDescent="0.25">
      <c r="A35" s="1"/>
      <c r="B35" s="1"/>
    </row>
    <row r="36" spans="1:2" ht="12.75" customHeight="1" x14ac:dyDescent="0.25">
      <c r="A36" s="1"/>
      <c r="B36" s="1"/>
    </row>
    <row r="37" spans="1:2" ht="12" customHeight="1" x14ac:dyDescent="0.25">
      <c r="A37" s="1"/>
      <c r="B37" s="1"/>
    </row>
    <row r="38" spans="1:2" ht="12.75" hidden="1" customHeight="1" outlineLevel="1" x14ac:dyDescent="0.25">
      <c r="A38" s="1"/>
      <c r="B38" s="1"/>
    </row>
    <row r="39" spans="1:2" ht="12.75" customHeight="1" collapsed="1" x14ac:dyDescent="0.25">
      <c r="A39" s="1"/>
      <c r="B39" s="1"/>
    </row>
    <row r="40" spans="1:2" ht="12.75" customHeight="1" x14ac:dyDescent="0.25">
      <c r="A40" s="1"/>
      <c r="B40" s="1"/>
    </row>
    <row r="41" spans="1:2" ht="12.75" customHeight="1" x14ac:dyDescent="0.25">
      <c r="A41" s="1"/>
      <c r="B41" s="1"/>
    </row>
    <row r="42" spans="1:2" ht="12.75" customHeight="1" x14ac:dyDescent="0.25">
      <c r="A42" s="1"/>
      <c r="B42" s="1"/>
    </row>
    <row r="43" spans="1:2" ht="12.75" customHeight="1" x14ac:dyDescent="0.25">
      <c r="A43" s="1"/>
      <c r="B43" s="1"/>
    </row>
    <row r="44" spans="1:2" ht="7.5" customHeight="1" x14ac:dyDescent="0.25">
      <c r="A44" s="1"/>
      <c r="B44" s="1"/>
    </row>
    <row r="45" spans="1:2" ht="10.5" customHeight="1" x14ac:dyDescent="0.25">
      <c r="A45" s="1"/>
      <c r="B45" s="1"/>
    </row>
    <row r="46" spans="1:2" ht="11.25" customHeight="1" x14ac:dyDescent="0.25">
      <c r="A46" s="1"/>
      <c r="B46" s="1"/>
    </row>
    <row r="47" spans="1:2" ht="12.75" customHeight="1" x14ac:dyDescent="0.25">
      <c r="A47" s="1"/>
      <c r="B47" s="1"/>
    </row>
    <row r="48" spans="1:2" ht="12.75" customHeight="1" x14ac:dyDescent="0.25">
      <c r="A48" s="1"/>
      <c r="B48" s="1"/>
    </row>
    <row r="49" spans="1:2" ht="12.75" customHeight="1" x14ac:dyDescent="0.25">
      <c r="A49" s="1"/>
      <c r="B49" s="1"/>
    </row>
    <row r="50" spans="1:2" ht="12.75" customHeight="1" x14ac:dyDescent="0.25">
      <c r="A50" s="1"/>
      <c r="B50" s="1"/>
    </row>
    <row r="51" spans="1:2" ht="12.75" customHeight="1" x14ac:dyDescent="0.25">
      <c r="A51" s="1"/>
      <c r="B51" s="1"/>
    </row>
    <row r="52" spans="1:2" ht="12.75" customHeight="1" x14ac:dyDescent="0.25">
      <c r="A52" s="1"/>
      <c r="B52" s="1"/>
    </row>
    <row r="53" spans="1:2" ht="12.75" customHeight="1" x14ac:dyDescent="0.25">
      <c r="A53" s="1"/>
      <c r="B53" s="1"/>
    </row>
    <row r="54" spans="1:2" ht="12.75" customHeight="1" x14ac:dyDescent="0.25">
      <c r="A54" s="1"/>
      <c r="B54" s="1"/>
    </row>
    <row r="55" spans="1:2" ht="12.75" customHeight="1" x14ac:dyDescent="0.25">
      <c r="A55" s="1"/>
      <c r="B55" s="1"/>
    </row>
    <row r="56" spans="1:2" ht="12.75" customHeight="1" x14ac:dyDescent="0.25">
      <c r="A56" s="1"/>
      <c r="B56" s="1"/>
    </row>
    <row r="57" spans="1:2" ht="12.75" customHeight="1" x14ac:dyDescent="0.25">
      <c r="A57" s="1"/>
      <c r="B57" s="1"/>
    </row>
    <row r="58" spans="1:2" ht="12.75" customHeight="1" x14ac:dyDescent="0.25">
      <c r="A58" s="1"/>
      <c r="B58" s="1"/>
    </row>
    <row r="59" spans="1:2" ht="12.75" customHeight="1" x14ac:dyDescent="0.25">
      <c r="A59" s="1"/>
      <c r="B59" s="1"/>
    </row>
    <row r="60" spans="1:2" ht="12.75" customHeight="1" x14ac:dyDescent="0.25">
      <c r="A60" s="1"/>
      <c r="B60" s="1"/>
    </row>
    <row r="61" spans="1:2" ht="12.75" customHeight="1" x14ac:dyDescent="0.25">
      <c r="A61" s="1"/>
      <c r="B61" s="1"/>
    </row>
    <row r="62" spans="1:2" ht="12.75" customHeight="1" x14ac:dyDescent="0.25">
      <c r="A62" s="1"/>
      <c r="B62" s="1"/>
    </row>
    <row r="63" spans="1:2" ht="12.75" customHeight="1" x14ac:dyDescent="0.25">
      <c r="A63" s="1"/>
      <c r="B63" s="1"/>
    </row>
    <row r="64" spans="1:2" ht="12.75" customHeight="1" x14ac:dyDescent="0.25">
      <c r="A64" s="1"/>
      <c r="B64" s="1"/>
    </row>
    <row r="65" spans="1:2" ht="12.75" customHeight="1" x14ac:dyDescent="0.25">
      <c r="A65" s="1"/>
      <c r="B65" s="1"/>
    </row>
    <row r="66" spans="1:2" ht="12.75" customHeight="1" x14ac:dyDescent="0.25">
      <c r="A66" s="1"/>
      <c r="B66" s="1"/>
    </row>
    <row r="67" spans="1:2" ht="12.75" customHeight="1" x14ac:dyDescent="0.25">
      <c r="A67" s="1"/>
      <c r="B67" s="1"/>
    </row>
    <row r="68" spans="1:2" ht="12.75" customHeight="1" x14ac:dyDescent="0.25">
      <c r="A68" s="1"/>
      <c r="B68" s="1"/>
    </row>
    <row r="69" spans="1:2" ht="12.75" customHeight="1" x14ac:dyDescent="0.25">
      <c r="A69" s="1"/>
      <c r="B69" s="1"/>
    </row>
    <row r="70" spans="1:2" ht="12.75" customHeight="1" x14ac:dyDescent="0.25">
      <c r="A70" s="1"/>
      <c r="B70" s="1"/>
    </row>
    <row r="71" spans="1:2" ht="12.75" customHeight="1" x14ac:dyDescent="0.25">
      <c r="A71" s="1"/>
      <c r="B71" s="1"/>
    </row>
    <row r="72" spans="1:2" ht="12.75" customHeight="1" x14ac:dyDescent="0.25">
      <c r="A72" s="1"/>
      <c r="B72" s="1"/>
    </row>
    <row r="73" spans="1:2" ht="12.75" customHeight="1" x14ac:dyDescent="0.25">
      <c r="A73" s="1"/>
      <c r="B73" s="1"/>
    </row>
    <row r="74" spans="1:2" ht="12.75" customHeight="1" x14ac:dyDescent="0.25">
      <c r="A74" s="1"/>
      <c r="B74" s="1"/>
    </row>
    <row r="75" spans="1:2" ht="6" customHeight="1" x14ac:dyDescent="0.25">
      <c r="A75" s="1"/>
      <c r="B75" s="1"/>
    </row>
    <row r="76" spans="1:2" ht="12.75" customHeight="1" x14ac:dyDescent="0.25">
      <c r="A76" s="1"/>
      <c r="B76" s="1"/>
    </row>
    <row r="77" spans="1:2" ht="12.75" customHeight="1" x14ac:dyDescent="0.25">
      <c r="A77" s="1"/>
      <c r="B77" s="1"/>
    </row>
    <row r="78" spans="1:2" ht="12.75" customHeight="1" x14ac:dyDescent="0.25">
      <c r="A78" s="1"/>
      <c r="B78" s="1"/>
    </row>
    <row r="79" spans="1:2" ht="12.75" customHeight="1" x14ac:dyDescent="0.25">
      <c r="A79" s="1"/>
      <c r="B79" s="1"/>
    </row>
    <row r="80" spans="1:2" ht="12.75" customHeight="1" x14ac:dyDescent="0.25">
      <c r="A80" s="1"/>
      <c r="B80" s="1"/>
    </row>
    <row r="81" spans="1:2" ht="12.75" customHeight="1" x14ac:dyDescent="0.25">
      <c r="A81" s="1"/>
      <c r="B81" s="1"/>
    </row>
    <row r="82" spans="1:2" ht="12.75" customHeight="1" x14ac:dyDescent="0.25">
      <c r="A82" s="1"/>
      <c r="B82" s="1"/>
    </row>
    <row r="83" spans="1:2" ht="12.75" customHeight="1" x14ac:dyDescent="0.25">
      <c r="A83" s="1"/>
      <c r="B83" s="1"/>
    </row>
    <row r="84" spans="1:2" ht="12.75" customHeight="1" x14ac:dyDescent="0.25">
      <c r="A84" s="1"/>
      <c r="B84" s="1"/>
    </row>
    <row r="85" spans="1:2" ht="12.75" customHeight="1" x14ac:dyDescent="0.25">
      <c r="A85" s="1"/>
      <c r="B85" s="1"/>
    </row>
    <row r="86" spans="1:2" ht="12.75" customHeight="1" x14ac:dyDescent="0.25">
      <c r="A86" s="1"/>
      <c r="B86" s="1"/>
    </row>
    <row r="87" spans="1:2" ht="12.75" customHeight="1" x14ac:dyDescent="0.25">
      <c r="A87" s="1"/>
      <c r="B87" s="1"/>
    </row>
    <row r="88" spans="1:2" ht="12.75" customHeight="1" x14ac:dyDescent="0.25">
      <c r="A88" s="1"/>
      <c r="B88" s="1"/>
    </row>
    <row r="89" spans="1:2" ht="12.75" customHeight="1" x14ac:dyDescent="0.25">
      <c r="A89" s="1"/>
      <c r="B89" s="1"/>
    </row>
    <row r="90" spans="1:2" ht="12.75" customHeight="1" x14ac:dyDescent="0.25">
      <c r="A90" s="1"/>
      <c r="B90" s="1"/>
    </row>
    <row r="91" spans="1:2" ht="12.75" customHeight="1" x14ac:dyDescent="0.25">
      <c r="A91" s="1"/>
      <c r="B91" s="1"/>
    </row>
    <row r="92" spans="1:2" ht="12.75" customHeight="1" x14ac:dyDescent="0.25">
      <c r="A92" s="1"/>
      <c r="B92" s="1"/>
    </row>
    <row r="93" spans="1:2" ht="12.75" customHeight="1" x14ac:dyDescent="0.25">
      <c r="A93" s="1"/>
      <c r="B93" s="1"/>
    </row>
    <row r="94" spans="1:2" ht="12.75" customHeight="1" x14ac:dyDescent="0.25">
      <c r="A94" s="1"/>
      <c r="B94" s="1"/>
    </row>
    <row r="95" spans="1:2" ht="12.75" customHeight="1" x14ac:dyDescent="0.25">
      <c r="A95" s="1"/>
      <c r="B95" s="1"/>
    </row>
    <row r="96" spans="1:2" ht="12.75" customHeight="1" x14ac:dyDescent="0.25">
      <c r="A96" s="1"/>
      <c r="B96" s="1"/>
    </row>
    <row r="97" spans="1:2" ht="12.75" customHeight="1" x14ac:dyDescent="0.25">
      <c r="A97" s="1"/>
      <c r="B97" s="1"/>
    </row>
    <row r="98" spans="1:2" ht="12.75" customHeight="1" x14ac:dyDescent="0.25">
      <c r="A98" s="1"/>
      <c r="B98" s="1"/>
    </row>
    <row r="99" spans="1:2" ht="12.75" customHeight="1" x14ac:dyDescent="0.25">
      <c r="A99" s="1"/>
      <c r="B99" s="1"/>
    </row>
    <row r="100" spans="1:2" ht="12.75" customHeight="1" x14ac:dyDescent="0.25">
      <c r="A100" s="1"/>
      <c r="B100" s="1"/>
    </row>
    <row r="101" spans="1:2" ht="12.75" customHeight="1" x14ac:dyDescent="0.25">
      <c r="A101" s="1"/>
      <c r="B101" s="1"/>
    </row>
    <row r="102" spans="1:2" ht="12.75" customHeight="1" x14ac:dyDescent="0.25">
      <c r="A102" s="1"/>
      <c r="B102" s="1"/>
    </row>
    <row r="103" spans="1:2" ht="12.75" customHeight="1" x14ac:dyDescent="0.25">
      <c r="A103" s="1"/>
      <c r="B103" s="1"/>
    </row>
    <row r="104" spans="1:2" ht="12.75" customHeight="1" x14ac:dyDescent="0.25">
      <c r="A104" s="1"/>
      <c r="B104" s="1"/>
    </row>
    <row r="105" spans="1:2" ht="12.75" customHeight="1" x14ac:dyDescent="0.25">
      <c r="A105" s="1"/>
      <c r="B105" s="1"/>
    </row>
    <row r="106" spans="1:2" ht="12.75" customHeight="1" x14ac:dyDescent="0.25">
      <c r="A106" s="1"/>
      <c r="B106" s="1"/>
    </row>
    <row r="107" spans="1:2" ht="12.75" customHeight="1" x14ac:dyDescent="0.25">
      <c r="A107" s="1"/>
      <c r="B107" s="1"/>
    </row>
    <row r="108" spans="1:2" ht="12.75" customHeight="1" x14ac:dyDescent="0.25">
      <c r="A108" s="1"/>
      <c r="B108" s="1"/>
    </row>
    <row r="109" spans="1:2" ht="12.75" customHeight="1" x14ac:dyDescent="0.25">
      <c r="A109" s="1"/>
      <c r="B109" s="1"/>
    </row>
    <row r="110" spans="1:2" ht="12.75" customHeight="1" x14ac:dyDescent="0.25">
      <c r="A110" s="1"/>
      <c r="B110" s="1"/>
    </row>
    <row r="111" spans="1:2" ht="11.25" customHeight="1" x14ac:dyDescent="0.25">
      <c r="A111" s="1"/>
      <c r="B111" s="1"/>
    </row>
    <row r="112" spans="1:2" ht="12.75" customHeight="1" x14ac:dyDescent="0.25">
      <c r="A112" s="1"/>
      <c r="B112" s="1"/>
    </row>
    <row r="113" spans="1:2" ht="12.75" customHeight="1" x14ac:dyDescent="0.25">
      <c r="A113" s="1"/>
      <c r="B113" s="1"/>
    </row>
    <row r="114" spans="1:2" ht="12.75" customHeight="1" x14ac:dyDescent="0.25">
      <c r="A114" s="1"/>
      <c r="B114" s="1"/>
    </row>
    <row r="115" spans="1:2" ht="9" customHeight="1" x14ac:dyDescent="0.25">
      <c r="A115" s="1"/>
      <c r="B115" s="1"/>
    </row>
    <row r="116" spans="1:2" ht="12.75" customHeight="1" x14ac:dyDescent="0.25">
      <c r="A116" s="1"/>
      <c r="B116" s="1"/>
    </row>
    <row r="117" spans="1:2" ht="12.75" customHeight="1" x14ac:dyDescent="0.25">
      <c r="A117" s="1"/>
      <c r="B117" s="1"/>
    </row>
    <row r="118" spans="1:2" ht="12.75" customHeight="1" x14ac:dyDescent="0.25">
      <c r="A118" s="1"/>
      <c r="B118" s="1"/>
    </row>
    <row r="119" spans="1:2" ht="12.75" customHeight="1" x14ac:dyDescent="0.25">
      <c r="A119" s="1"/>
      <c r="B119" s="1"/>
    </row>
    <row r="120" spans="1:2" ht="12.75" customHeight="1" x14ac:dyDescent="0.25">
      <c r="A120" s="1"/>
      <c r="B120" s="1"/>
    </row>
    <row r="121" spans="1:2" ht="12.75" customHeight="1" x14ac:dyDescent="0.25">
      <c r="A121" s="1"/>
      <c r="B121" s="1"/>
    </row>
    <row r="122" spans="1:2" ht="12.75" customHeight="1" x14ac:dyDescent="0.25">
      <c r="A122" s="1"/>
      <c r="B122" s="1"/>
    </row>
    <row r="123" spans="1:2" ht="12.75" customHeight="1" x14ac:dyDescent="0.25">
      <c r="A123" s="1"/>
      <c r="B123" s="1"/>
    </row>
    <row r="124" spans="1:2" ht="12.75" customHeight="1" x14ac:dyDescent="0.25">
      <c r="A124" s="1"/>
      <c r="B124" s="1"/>
    </row>
    <row r="125" spans="1:2" ht="12.75" customHeight="1" x14ac:dyDescent="0.25">
      <c r="A125" s="1"/>
      <c r="B125" s="1"/>
    </row>
    <row r="126" spans="1:2" ht="12.75" customHeight="1" x14ac:dyDescent="0.25">
      <c r="A126" s="1"/>
      <c r="B126" s="1"/>
    </row>
    <row r="127" spans="1:2" ht="12.75" customHeight="1" x14ac:dyDescent="0.25">
      <c r="A127" s="1"/>
      <c r="B127" s="1"/>
    </row>
    <row r="128" spans="1:2" ht="12.75" customHeight="1" x14ac:dyDescent="0.25">
      <c r="A128" s="1"/>
      <c r="B128" s="1"/>
    </row>
    <row r="129" spans="1:2" ht="12.75" customHeight="1" x14ac:dyDescent="0.25">
      <c r="A129" s="1"/>
      <c r="B129" s="1"/>
    </row>
    <row r="130" spans="1:2" ht="12.75" customHeight="1" x14ac:dyDescent="0.25">
      <c r="A130" s="1"/>
      <c r="B130" s="1"/>
    </row>
    <row r="131" spans="1:2" ht="12.75" customHeight="1" x14ac:dyDescent="0.25">
      <c r="A131" s="1"/>
      <c r="B131" s="1"/>
    </row>
    <row r="132" spans="1:2" ht="12.75" customHeight="1" x14ac:dyDescent="0.25">
      <c r="A132" s="1"/>
      <c r="B132" s="1"/>
    </row>
    <row r="133" spans="1:2" ht="12.75" customHeight="1" x14ac:dyDescent="0.25">
      <c r="A133" s="1"/>
      <c r="B133" s="1"/>
    </row>
    <row r="134" spans="1:2" ht="12.75" customHeight="1" x14ac:dyDescent="0.25">
      <c r="A134" s="1"/>
      <c r="B134" s="1"/>
    </row>
    <row r="135" spans="1:2" ht="12.75" customHeight="1" x14ac:dyDescent="0.25">
      <c r="A135" s="1"/>
      <c r="B135" s="1"/>
    </row>
    <row r="136" spans="1:2" ht="12.75" customHeight="1" x14ac:dyDescent="0.25">
      <c r="A136" s="1"/>
      <c r="B136" s="1"/>
    </row>
    <row r="137" spans="1:2" ht="12.75" customHeight="1" x14ac:dyDescent="0.25">
      <c r="A137" s="1"/>
      <c r="B137" s="1"/>
    </row>
    <row r="138" spans="1:2" ht="12.75" customHeight="1" x14ac:dyDescent="0.25">
      <c r="A138" s="1"/>
      <c r="B138" s="1"/>
    </row>
    <row r="139" spans="1:2" ht="12.75" customHeight="1" x14ac:dyDescent="0.25">
      <c r="A139" s="1"/>
      <c r="B139" s="1"/>
    </row>
    <row r="140" spans="1:2" ht="12.75" customHeight="1" x14ac:dyDescent="0.25">
      <c r="A140" s="1"/>
      <c r="B140" s="1"/>
    </row>
    <row r="141" spans="1:2" ht="12.75" customHeight="1" x14ac:dyDescent="0.25">
      <c r="A141" s="1"/>
      <c r="B141" s="1"/>
    </row>
    <row r="142" spans="1:2" ht="12.75" customHeight="1" x14ac:dyDescent="0.25">
      <c r="A142" s="1"/>
      <c r="B142" s="1"/>
    </row>
    <row r="143" spans="1:2" ht="12.75" customHeight="1" x14ac:dyDescent="0.25">
      <c r="A143" s="1"/>
      <c r="B143" s="1"/>
    </row>
    <row r="144" spans="1:2" ht="12.75" customHeight="1" x14ac:dyDescent="0.25">
      <c r="A144" s="1"/>
      <c r="B144" s="1"/>
    </row>
    <row r="145" spans="1:2" ht="12.75" customHeight="1" x14ac:dyDescent="0.25">
      <c r="A145" s="1"/>
      <c r="B145" s="1"/>
    </row>
    <row r="146" spans="1:2" ht="12.75" customHeight="1" x14ac:dyDescent="0.25">
      <c r="A146" s="1"/>
      <c r="B146" s="1"/>
    </row>
    <row r="147" spans="1:2" ht="12.75" customHeight="1" x14ac:dyDescent="0.25">
      <c r="A147" s="1"/>
      <c r="B147" s="1"/>
    </row>
    <row r="148" spans="1:2" ht="12.75" customHeight="1" x14ac:dyDescent="0.25">
      <c r="A148" s="1"/>
      <c r="B148" s="1"/>
    </row>
    <row r="149" spans="1:2" ht="12.75" customHeight="1" x14ac:dyDescent="0.25">
      <c r="A149" s="1"/>
      <c r="B149" s="1"/>
    </row>
    <row r="150" spans="1:2" ht="12.75" customHeight="1" x14ac:dyDescent="0.25">
      <c r="A150" s="1"/>
      <c r="B150" s="1"/>
    </row>
    <row r="151" spans="1:2" ht="12.75" customHeight="1" x14ac:dyDescent="0.25">
      <c r="A151" s="1"/>
      <c r="B151" s="1"/>
    </row>
    <row r="152" spans="1:2" ht="12.75" customHeight="1" x14ac:dyDescent="0.25">
      <c r="A152" s="1"/>
      <c r="B152" s="1"/>
    </row>
    <row r="153" spans="1:2" ht="12.75" customHeight="1" x14ac:dyDescent="0.25">
      <c r="A153" s="1"/>
      <c r="B153" s="1"/>
    </row>
    <row r="154" spans="1:2" ht="12.75" customHeight="1" x14ac:dyDescent="0.25">
      <c r="A154" s="1"/>
      <c r="B154" s="1"/>
    </row>
    <row r="155" spans="1:2" ht="12.75" customHeight="1" x14ac:dyDescent="0.25">
      <c r="A155" s="1"/>
      <c r="B155" s="1"/>
    </row>
    <row r="156" spans="1:2" ht="12.75" customHeight="1" x14ac:dyDescent="0.25">
      <c r="A156" s="1"/>
      <c r="B156" s="1"/>
    </row>
    <row r="157" spans="1:2" ht="12.75" customHeight="1" x14ac:dyDescent="0.25">
      <c r="A157" s="1"/>
      <c r="B157" s="1"/>
    </row>
    <row r="158" spans="1:2" ht="12.75" customHeight="1" x14ac:dyDescent="0.25">
      <c r="A158" s="1"/>
      <c r="B158" s="1"/>
    </row>
    <row r="159" spans="1:2" ht="12.75" customHeight="1" x14ac:dyDescent="0.25">
      <c r="A159" s="1"/>
      <c r="B159" s="1"/>
    </row>
    <row r="160" spans="1:2" ht="12.75" customHeight="1" x14ac:dyDescent="0.25">
      <c r="A160" s="1"/>
      <c r="B160" s="1"/>
    </row>
    <row r="161" spans="1:2" ht="12.75" customHeight="1" x14ac:dyDescent="0.25">
      <c r="A161" s="1"/>
      <c r="B161" s="1"/>
    </row>
    <row r="162" spans="1:2" ht="12.75" customHeight="1" x14ac:dyDescent="0.25">
      <c r="A162" s="1"/>
      <c r="B162" s="1"/>
    </row>
    <row r="163" spans="1:2" ht="12.75" customHeight="1" x14ac:dyDescent="0.25">
      <c r="A163" s="1"/>
      <c r="B163" s="1"/>
    </row>
    <row r="164" spans="1:2" ht="12.75" customHeight="1" x14ac:dyDescent="0.25">
      <c r="A164" s="1"/>
      <c r="B164" s="1"/>
    </row>
    <row r="165" spans="1:2" ht="12.75" customHeight="1" x14ac:dyDescent="0.25">
      <c r="A165" s="1"/>
      <c r="B165" s="1"/>
    </row>
    <row r="166" spans="1:2" ht="12.75" customHeight="1" x14ac:dyDescent="0.25">
      <c r="A166" s="1"/>
      <c r="B166" s="1"/>
    </row>
    <row r="167" spans="1:2" ht="12.75" customHeight="1" x14ac:dyDescent="0.25">
      <c r="A167" s="1"/>
      <c r="B167" s="1"/>
    </row>
    <row r="168" spans="1:2" ht="12.75" customHeight="1" x14ac:dyDescent="0.25">
      <c r="A168" s="1"/>
      <c r="B168" s="1"/>
    </row>
    <row r="169" spans="1:2" ht="12.75" customHeight="1" x14ac:dyDescent="0.25">
      <c r="A169" s="1"/>
      <c r="B169" s="1"/>
    </row>
    <row r="170" spans="1:2" ht="12.75" customHeight="1" x14ac:dyDescent="0.25">
      <c r="A170" s="1"/>
      <c r="B170" s="1"/>
    </row>
    <row r="171" spans="1:2" ht="12.75" customHeight="1" x14ac:dyDescent="0.25">
      <c r="A171" s="1"/>
      <c r="B171" s="1"/>
    </row>
    <row r="172" spans="1:2" ht="12.75" customHeight="1" x14ac:dyDescent="0.25">
      <c r="A172" s="1"/>
      <c r="B172" s="1"/>
    </row>
    <row r="173" spans="1:2" ht="12.75" customHeight="1" x14ac:dyDescent="0.25">
      <c r="A173" s="1"/>
      <c r="B173" s="1"/>
    </row>
    <row r="174" spans="1:2" ht="12.75" customHeight="1" x14ac:dyDescent="0.25">
      <c r="A174" s="1"/>
      <c r="B174" s="1"/>
    </row>
    <row r="175" spans="1:2" ht="12.75" customHeight="1" x14ac:dyDescent="0.25">
      <c r="A175" s="1"/>
      <c r="B175" s="1"/>
    </row>
    <row r="176" spans="1:2" ht="12.75" customHeight="1" x14ac:dyDescent="0.25">
      <c r="A176" s="1"/>
      <c r="B176" s="1"/>
    </row>
    <row r="177" spans="1:2" ht="12.75" customHeight="1" x14ac:dyDescent="0.25">
      <c r="A177" s="1"/>
      <c r="B177" s="1"/>
    </row>
    <row r="178" spans="1:2" ht="12.75" customHeight="1" x14ac:dyDescent="0.25">
      <c r="A178" s="1"/>
      <c r="B178" s="1"/>
    </row>
    <row r="179" spans="1:2" ht="12.75" customHeight="1" x14ac:dyDescent="0.25">
      <c r="A179" s="1"/>
      <c r="B179" s="1"/>
    </row>
    <row r="180" spans="1:2" ht="12.75" customHeight="1" x14ac:dyDescent="0.25">
      <c r="A180" s="1"/>
      <c r="B180" s="1"/>
    </row>
    <row r="181" spans="1:2" ht="12.75" customHeight="1" x14ac:dyDescent="0.25">
      <c r="A181" s="1"/>
      <c r="B181" s="1"/>
    </row>
    <row r="182" spans="1:2" ht="12.75" customHeight="1" x14ac:dyDescent="0.25">
      <c r="A182" s="1"/>
      <c r="B182" s="1"/>
    </row>
    <row r="183" spans="1:2" ht="12.75" customHeight="1" x14ac:dyDescent="0.25">
      <c r="A183" s="1"/>
      <c r="B183" s="1"/>
    </row>
    <row r="184" spans="1:2" ht="12.75" customHeight="1" x14ac:dyDescent="0.25">
      <c r="A184" s="1"/>
      <c r="B184" s="1"/>
    </row>
    <row r="185" spans="1:2" ht="12.75" customHeight="1" x14ac:dyDescent="0.25">
      <c r="A185" s="1"/>
      <c r="B185" s="1"/>
    </row>
    <row r="186" spans="1:2" ht="12.75" customHeight="1" x14ac:dyDescent="0.25">
      <c r="A186" s="1"/>
      <c r="B186" s="1"/>
    </row>
    <row r="187" spans="1:2" ht="12.75" customHeight="1" x14ac:dyDescent="0.25">
      <c r="A187" s="1"/>
      <c r="B187" s="1"/>
    </row>
    <row r="188" spans="1:2" ht="12.75" customHeight="1" x14ac:dyDescent="0.25">
      <c r="A188" s="1"/>
      <c r="B188" s="1"/>
    </row>
    <row r="189" spans="1:2" ht="12.75" customHeight="1" x14ac:dyDescent="0.25">
      <c r="A189" s="1"/>
      <c r="B189" s="1"/>
    </row>
    <row r="190" spans="1:2" ht="12.75" customHeight="1" x14ac:dyDescent="0.25">
      <c r="A190" s="1"/>
      <c r="B190" s="1"/>
    </row>
    <row r="191" spans="1:2" ht="12.75" customHeight="1" x14ac:dyDescent="0.25">
      <c r="A191" s="1"/>
      <c r="B191" s="1"/>
    </row>
    <row r="192" spans="1:2" ht="12.75" customHeight="1" x14ac:dyDescent="0.25">
      <c r="A192" s="1"/>
      <c r="B192" s="1"/>
    </row>
    <row r="193" spans="1:2" ht="12.75" customHeight="1" x14ac:dyDescent="0.25">
      <c r="A193" s="1"/>
      <c r="B193" s="1"/>
    </row>
    <row r="194" spans="1:2" ht="12.75" customHeight="1" x14ac:dyDescent="0.25">
      <c r="A194" s="1"/>
      <c r="B194" s="1"/>
    </row>
    <row r="195" spans="1:2" ht="12.75" customHeight="1" x14ac:dyDescent="0.25">
      <c r="A195" s="1"/>
      <c r="B195" s="1"/>
    </row>
    <row r="196" spans="1:2" ht="12.75" customHeight="1" x14ac:dyDescent="0.25">
      <c r="A196" s="1"/>
      <c r="B196" s="1"/>
    </row>
    <row r="197" spans="1:2" ht="12.75" customHeight="1" x14ac:dyDescent="0.25">
      <c r="A197" s="1"/>
      <c r="B197" s="1"/>
    </row>
    <row r="198" spans="1:2" ht="12.75" customHeight="1" x14ac:dyDescent="0.25">
      <c r="A198" s="1"/>
      <c r="B198" s="1"/>
    </row>
    <row r="199" spans="1:2" ht="12.75" customHeight="1" x14ac:dyDescent="0.25">
      <c r="A199" s="1"/>
      <c r="B199" s="1"/>
    </row>
    <row r="200" spans="1:2" ht="12.75" customHeight="1" x14ac:dyDescent="0.25">
      <c r="A200" s="1"/>
      <c r="B200" s="1"/>
    </row>
    <row r="201" spans="1:2" ht="12.75" customHeight="1" x14ac:dyDescent="0.25">
      <c r="A201" s="1"/>
      <c r="B201" s="1"/>
    </row>
    <row r="202" spans="1:2" ht="12.75" customHeight="1" x14ac:dyDescent="0.25">
      <c r="A202" s="1"/>
      <c r="B202" s="1"/>
    </row>
    <row r="203" spans="1:2" ht="12.75" customHeight="1" x14ac:dyDescent="0.25">
      <c r="A203" s="1"/>
      <c r="B203" s="1"/>
    </row>
    <row r="204" spans="1:2" ht="12.75" customHeight="1" x14ac:dyDescent="0.25">
      <c r="A204" s="1"/>
      <c r="B204" s="1"/>
    </row>
    <row r="205" spans="1:2" ht="12.75" customHeight="1" x14ac:dyDescent="0.25">
      <c r="A205" s="1"/>
      <c r="B205" s="1"/>
    </row>
    <row r="206" spans="1:2" ht="12.75" customHeight="1" x14ac:dyDescent="0.25">
      <c r="A206" s="1"/>
      <c r="B206" s="1"/>
    </row>
    <row r="207" spans="1:2" ht="12.75" customHeight="1" x14ac:dyDescent="0.25">
      <c r="A207" s="1"/>
      <c r="B207" s="1"/>
    </row>
    <row r="208" spans="1:2" ht="12.75" customHeight="1" x14ac:dyDescent="0.25">
      <c r="A208" s="1"/>
      <c r="B208" s="1"/>
    </row>
    <row r="209" spans="1:2" ht="12.75" customHeight="1" x14ac:dyDescent="0.25">
      <c r="A209" s="1"/>
      <c r="B209" s="1"/>
    </row>
    <row r="210" spans="1:2" ht="12.75" customHeight="1" x14ac:dyDescent="0.25">
      <c r="A210" s="1"/>
      <c r="B210" s="1"/>
    </row>
    <row r="211" spans="1:2" ht="12.75" customHeight="1" x14ac:dyDescent="0.25">
      <c r="A211" s="1"/>
      <c r="B211" s="1"/>
    </row>
    <row r="212" spans="1:2" ht="12.75" customHeight="1" x14ac:dyDescent="0.25">
      <c r="A212" s="1"/>
      <c r="B212" s="1"/>
    </row>
    <row r="213" spans="1:2" ht="12.75" customHeight="1" x14ac:dyDescent="0.25">
      <c r="A213" s="1"/>
      <c r="B213" s="1"/>
    </row>
    <row r="214" spans="1:2" ht="12.75" customHeight="1" x14ac:dyDescent="0.25">
      <c r="A214" s="1"/>
      <c r="B214" s="1"/>
    </row>
    <row r="215" spans="1:2" ht="12.75" customHeight="1" x14ac:dyDescent="0.25">
      <c r="A215" s="1"/>
      <c r="B215" s="1"/>
    </row>
    <row r="216" spans="1:2" ht="12.75" customHeight="1" x14ac:dyDescent="0.25">
      <c r="A216" s="1"/>
      <c r="B216" s="1"/>
    </row>
    <row r="217" spans="1:2" ht="12.75" customHeight="1" x14ac:dyDescent="0.25">
      <c r="A217" s="1"/>
      <c r="B217" s="1"/>
    </row>
    <row r="218" spans="1:2" ht="12.75" customHeight="1" x14ac:dyDescent="0.25">
      <c r="A218" s="1"/>
      <c r="B218" s="1"/>
    </row>
    <row r="219" spans="1:2" ht="12.75" customHeight="1" x14ac:dyDescent="0.25">
      <c r="A219" s="1"/>
      <c r="B219" s="1"/>
    </row>
    <row r="220" spans="1:2" ht="12.75" customHeight="1" x14ac:dyDescent="0.25">
      <c r="A220" s="1"/>
      <c r="B220" s="1"/>
    </row>
    <row r="221" spans="1:2" ht="12.75" customHeight="1" x14ac:dyDescent="0.25">
      <c r="A221" s="1"/>
      <c r="B221" s="1"/>
    </row>
    <row r="222" spans="1:2" ht="12.75" customHeight="1" x14ac:dyDescent="0.25">
      <c r="A222" s="1"/>
      <c r="B222" s="1"/>
    </row>
    <row r="223" spans="1:2" ht="12.75" customHeight="1" x14ac:dyDescent="0.25">
      <c r="A223" s="1"/>
      <c r="B223" s="1"/>
    </row>
    <row r="224" spans="1:2" ht="12.75" customHeight="1" x14ac:dyDescent="0.25">
      <c r="A224" s="1"/>
      <c r="B224" s="1"/>
    </row>
    <row r="225" spans="1:2" ht="12.75" customHeight="1" x14ac:dyDescent="0.25">
      <c r="A225" s="1"/>
      <c r="B225" s="1"/>
    </row>
    <row r="226" spans="1:2" ht="12.75" customHeight="1" x14ac:dyDescent="0.25">
      <c r="A226" s="1"/>
      <c r="B226" s="1"/>
    </row>
    <row r="227" spans="1:2" ht="12.75" customHeight="1" x14ac:dyDescent="0.25">
      <c r="A227" s="1"/>
      <c r="B227" s="1"/>
    </row>
    <row r="228" spans="1:2" ht="12.75" customHeight="1" x14ac:dyDescent="0.25">
      <c r="A228" s="1"/>
      <c r="B228" s="1"/>
    </row>
    <row r="229" spans="1:2" ht="12.75" customHeight="1" x14ac:dyDescent="0.25">
      <c r="A229" s="1"/>
      <c r="B229" s="1"/>
    </row>
    <row r="230" spans="1:2" ht="12.75" customHeight="1" x14ac:dyDescent="0.25">
      <c r="A230" s="1"/>
      <c r="B230" s="1"/>
    </row>
    <row r="231" spans="1:2" ht="12.75" customHeight="1" x14ac:dyDescent="0.25">
      <c r="A231" s="1"/>
      <c r="B231" s="1"/>
    </row>
    <row r="232" spans="1:2" ht="12.75" customHeight="1" x14ac:dyDescent="0.25">
      <c r="A232" s="1"/>
      <c r="B232" s="1"/>
    </row>
    <row r="233" spans="1:2" ht="12.75" customHeight="1" x14ac:dyDescent="0.25">
      <c r="A233" s="1"/>
      <c r="B233" s="1"/>
    </row>
    <row r="234" spans="1:2" ht="12.75" customHeight="1" x14ac:dyDescent="0.25">
      <c r="A234" s="1"/>
      <c r="B234" s="1"/>
    </row>
    <row r="235" spans="1:2" ht="12.75" customHeight="1" x14ac:dyDescent="0.25">
      <c r="A235" s="1"/>
      <c r="B235" s="1"/>
    </row>
    <row r="236" spans="1:2" ht="12.75" customHeight="1" x14ac:dyDescent="0.25">
      <c r="A236" s="1"/>
      <c r="B236" s="1"/>
    </row>
    <row r="237" spans="1:2" ht="12.75" customHeight="1" x14ac:dyDescent="0.25">
      <c r="A237" s="1"/>
      <c r="B237" s="1"/>
    </row>
    <row r="238" spans="1:2" ht="12.75" customHeight="1" x14ac:dyDescent="0.25">
      <c r="A238" s="1"/>
      <c r="B238" s="1"/>
    </row>
    <row r="239" spans="1:2" ht="12.75" customHeight="1" x14ac:dyDescent="0.25">
      <c r="A239" s="1"/>
      <c r="B239" s="1"/>
    </row>
    <row r="240" spans="1:2" ht="12.75" customHeight="1" x14ac:dyDescent="0.25">
      <c r="A240" s="1"/>
      <c r="B240" s="1"/>
    </row>
    <row r="241" spans="1:2" ht="12.75" customHeight="1" x14ac:dyDescent="0.25">
      <c r="A241" s="1"/>
      <c r="B241" s="1"/>
    </row>
    <row r="242" spans="1:2" ht="12.75" customHeight="1" x14ac:dyDescent="0.25">
      <c r="A242" s="1"/>
      <c r="B242" s="1"/>
    </row>
    <row r="243" spans="1:2" ht="12.75" customHeight="1" x14ac:dyDescent="0.25">
      <c r="A243" s="1"/>
      <c r="B243" s="1"/>
    </row>
    <row r="244" spans="1:2" ht="12.75" customHeight="1" x14ac:dyDescent="0.25">
      <c r="A244" s="1"/>
      <c r="B244" s="1"/>
    </row>
    <row r="245" spans="1:2" ht="12.75" customHeight="1" x14ac:dyDescent="0.25">
      <c r="A245" s="1"/>
      <c r="B245" s="1"/>
    </row>
    <row r="246" spans="1:2" ht="12.75" customHeight="1" x14ac:dyDescent="0.25">
      <c r="A246" s="1"/>
      <c r="B246" s="1"/>
    </row>
    <row r="247" spans="1:2" ht="12.75" customHeight="1" x14ac:dyDescent="0.25">
      <c r="A247" s="1"/>
      <c r="B247" s="1"/>
    </row>
    <row r="248" spans="1:2" ht="12.75" customHeight="1" x14ac:dyDescent="0.25">
      <c r="A248" s="1"/>
      <c r="B248" s="1"/>
    </row>
    <row r="249" spans="1:2" ht="12.75" customHeight="1" x14ac:dyDescent="0.25">
      <c r="A249" s="1"/>
      <c r="B249" s="1"/>
    </row>
    <row r="250" spans="1:2" ht="12.75" customHeight="1" x14ac:dyDescent="0.25">
      <c r="A250" s="1"/>
      <c r="B250" s="1"/>
    </row>
    <row r="251" spans="1:2" ht="12.75" customHeight="1" x14ac:dyDescent="0.25">
      <c r="A251" s="1"/>
      <c r="B251" s="1"/>
    </row>
    <row r="252" spans="1:2" ht="12.75" customHeight="1" x14ac:dyDescent="0.25">
      <c r="A252" s="1"/>
      <c r="B252" s="1"/>
    </row>
    <row r="253" spans="1:2" ht="12.75" customHeight="1" x14ac:dyDescent="0.25">
      <c r="A253" s="1"/>
      <c r="B253" s="1"/>
    </row>
    <row r="254" spans="1:2" ht="12.75" customHeight="1" x14ac:dyDescent="0.25">
      <c r="A254" s="1"/>
      <c r="B254" s="1"/>
    </row>
    <row r="255" spans="1:2" ht="12.75" customHeight="1" x14ac:dyDescent="0.25">
      <c r="A255" s="1"/>
      <c r="B255" s="1"/>
    </row>
    <row r="256" spans="1:2" ht="12.75" customHeight="1" x14ac:dyDescent="0.25">
      <c r="A256" s="1"/>
      <c r="B256" s="1"/>
    </row>
    <row r="257" spans="1:2" ht="12.75" customHeight="1" x14ac:dyDescent="0.25">
      <c r="A257" s="1"/>
      <c r="B257" s="1"/>
    </row>
    <row r="258" spans="1:2" ht="12.75" customHeight="1" x14ac:dyDescent="0.25">
      <c r="A258" s="1"/>
      <c r="B258" s="1"/>
    </row>
    <row r="259" spans="1:2" ht="12.75" customHeight="1" x14ac:dyDescent="0.25">
      <c r="A259" s="1"/>
      <c r="B259" s="1"/>
    </row>
    <row r="260" spans="1:2" ht="12.75" customHeight="1" x14ac:dyDescent="0.25">
      <c r="A260" s="1"/>
      <c r="B260" s="1"/>
    </row>
    <row r="261" spans="1:2" ht="12.75" customHeight="1" x14ac:dyDescent="0.25">
      <c r="A261" s="1"/>
      <c r="B261" s="1"/>
    </row>
    <row r="262" spans="1:2" ht="12.75" customHeight="1" x14ac:dyDescent="0.25">
      <c r="A262" s="1"/>
      <c r="B262" s="1"/>
    </row>
    <row r="263" spans="1:2" ht="12.75" customHeight="1" x14ac:dyDescent="0.25">
      <c r="A263" s="1"/>
      <c r="B263" s="1"/>
    </row>
    <row r="264" spans="1:2" ht="12.75" customHeight="1" x14ac:dyDescent="0.25">
      <c r="A264" s="1"/>
      <c r="B264" s="1"/>
    </row>
    <row r="265" spans="1:2" ht="12.75" customHeight="1" x14ac:dyDescent="0.25">
      <c r="A265" s="1"/>
      <c r="B265" s="1"/>
    </row>
    <row r="266" spans="1:2" ht="12.75" customHeight="1" x14ac:dyDescent="0.25">
      <c r="A266" s="1"/>
      <c r="B266" s="1"/>
    </row>
    <row r="267" spans="1:2" ht="12.75" customHeight="1" x14ac:dyDescent="0.25">
      <c r="A267" s="1"/>
      <c r="B267" s="1"/>
    </row>
    <row r="268" spans="1:2" ht="12.75" customHeight="1" x14ac:dyDescent="0.25">
      <c r="A268" s="1"/>
      <c r="B268" s="1"/>
    </row>
    <row r="269" spans="1:2" ht="12.75" customHeight="1" x14ac:dyDescent="0.25">
      <c r="A269" s="1"/>
      <c r="B269" s="1"/>
    </row>
    <row r="270" spans="1:2" ht="12.75" customHeight="1" x14ac:dyDescent="0.25">
      <c r="A270" s="1"/>
      <c r="B270" s="1"/>
    </row>
    <row r="271" spans="1:2" ht="12.75" customHeight="1" x14ac:dyDescent="0.25">
      <c r="A271" s="1"/>
      <c r="B271" s="1"/>
    </row>
    <row r="272" spans="1:2" ht="12.75" customHeight="1" x14ac:dyDescent="0.25">
      <c r="A272" s="1"/>
      <c r="B272" s="1"/>
    </row>
    <row r="273" spans="1:2" ht="12.75" customHeight="1" x14ac:dyDescent="0.25">
      <c r="A273" s="1"/>
      <c r="B273" s="1"/>
    </row>
    <row r="274" spans="1:2" ht="12.75" customHeight="1" x14ac:dyDescent="0.25">
      <c r="A274" s="1"/>
      <c r="B274" s="1"/>
    </row>
    <row r="275" spans="1:2" ht="12.75" customHeight="1" x14ac:dyDescent="0.25">
      <c r="A275" s="1"/>
      <c r="B275" s="1"/>
    </row>
    <row r="276" spans="1:2" ht="12.75" customHeight="1" x14ac:dyDescent="0.25">
      <c r="A276" s="1"/>
      <c r="B276" s="1"/>
    </row>
    <row r="277" spans="1:2" ht="12.75" customHeight="1" x14ac:dyDescent="0.25">
      <c r="A277" s="1"/>
      <c r="B277" s="1"/>
    </row>
    <row r="278" spans="1:2" ht="12.75" customHeight="1" x14ac:dyDescent="0.25">
      <c r="A278" s="1"/>
      <c r="B278" s="1"/>
    </row>
    <row r="279" spans="1:2" ht="12.75" customHeight="1" x14ac:dyDescent="0.25">
      <c r="A279" s="1"/>
      <c r="B279" s="1"/>
    </row>
    <row r="280" spans="1:2" ht="12.75" customHeight="1" x14ac:dyDescent="0.25">
      <c r="A280" s="1"/>
      <c r="B280" s="1"/>
    </row>
    <row r="281" spans="1:2" ht="12.75" customHeight="1" x14ac:dyDescent="0.25">
      <c r="A281" s="1"/>
      <c r="B281" s="1"/>
    </row>
    <row r="282" spans="1:2" ht="12.75" customHeight="1" x14ac:dyDescent="0.25">
      <c r="A282" s="1"/>
      <c r="B282" s="1"/>
    </row>
    <row r="283" spans="1:2" ht="12.75" customHeight="1" x14ac:dyDescent="0.25">
      <c r="A283" s="1"/>
      <c r="B283" s="1"/>
    </row>
    <row r="284" spans="1:2" ht="12.75" customHeight="1" x14ac:dyDescent="0.25">
      <c r="A284" s="1"/>
      <c r="B284" s="1"/>
    </row>
    <row r="285" spans="1:2" ht="12.75" customHeight="1" x14ac:dyDescent="0.25">
      <c r="A285" s="1"/>
      <c r="B285" s="1"/>
    </row>
    <row r="286" spans="1:2" ht="12.75" customHeight="1" x14ac:dyDescent="0.25">
      <c r="A286" s="1"/>
      <c r="B286" s="1"/>
    </row>
    <row r="287" spans="1:2" ht="12.75" customHeight="1" x14ac:dyDescent="0.25">
      <c r="A287" s="1"/>
      <c r="B287" s="1"/>
    </row>
    <row r="288" spans="1:2" ht="12.75" customHeight="1" x14ac:dyDescent="0.25">
      <c r="A288" s="1"/>
      <c r="B288" s="1"/>
    </row>
    <row r="289" spans="1:2" ht="12.75" customHeight="1" x14ac:dyDescent="0.25">
      <c r="A289" s="1"/>
      <c r="B289" s="1"/>
    </row>
    <row r="290" spans="1:2" ht="12.75" customHeight="1" x14ac:dyDescent="0.25">
      <c r="A290" s="1"/>
      <c r="B290" s="1"/>
    </row>
    <row r="291" spans="1:2" ht="12.75" customHeight="1" x14ac:dyDescent="0.25">
      <c r="A291" s="1"/>
      <c r="B291" s="1"/>
    </row>
    <row r="292" spans="1:2" ht="12.75" customHeight="1" x14ac:dyDescent="0.25">
      <c r="A292" s="1"/>
      <c r="B292" s="1"/>
    </row>
    <row r="293" spans="1:2" ht="12.75" customHeight="1" x14ac:dyDescent="0.25">
      <c r="A293" s="1"/>
      <c r="B293" s="1"/>
    </row>
    <row r="294" spans="1:2" ht="12.75" customHeight="1" x14ac:dyDescent="0.25">
      <c r="A294" s="1"/>
      <c r="B294" s="1"/>
    </row>
    <row r="295" spans="1:2" ht="12.75" customHeight="1" x14ac:dyDescent="0.25">
      <c r="A295" s="1"/>
      <c r="B295" s="1"/>
    </row>
    <row r="296" spans="1:2" ht="12.75" customHeight="1" x14ac:dyDescent="0.25">
      <c r="A296" s="1"/>
      <c r="B296" s="1"/>
    </row>
    <row r="297" spans="1:2" ht="12.75" customHeight="1" x14ac:dyDescent="0.25">
      <c r="A297" s="1"/>
      <c r="B297" s="1"/>
    </row>
    <row r="298" spans="1:2" ht="12.75" customHeight="1" x14ac:dyDescent="0.25">
      <c r="A298" s="1"/>
      <c r="B298" s="1"/>
    </row>
    <row r="299" spans="1:2" ht="12.75" customHeight="1" x14ac:dyDescent="0.25">
      <c r="A299" s="1"/>
      <c r="B299" s="1"/>
    </row>
    <row r="300" spans="1:2" ht="12.75" customHeight="1" x14ac:dyDescent="0.25">
      <c r="A300" s="1"/>
      <c r="B300" s="1"/>
    </row>
    <row r="301" spans="1:2" ht="12.75" customHeight="1" x14ac:dyDescent="0.25">
      <c r="A301" s="1"/>
      <c r="B301" s="1"/>
    </row>
    <row r="302" spans="1:2" ht="12.75" customHeight="1" x14ac:dyDescent="0.25">
      <c r="A302" s="1"/>
      <c r="B302" s="1"/>
    </row>
    <row r="303" spans="1:2" ht="12.75" customHeight="1" x14ac:dyDescent="0.25">
      <c r="A303" s="1"/>
      <c r="B303" s="1"/>
    </row>
    <row r="304" spans="1:2" ht="12.75" customHeight="1" x14ac:dyDescent="0.25">
      <c r="A304" s="1"/>
      <c r="B304" s="1"/>
    </row>
    <row r="305" spans="1:2" ht="12.75" customHeight="1" x14ac:dyDescent="0.25">
      <c r="A305" s="1"/>
      <c r="B305" s="1"/>
    </row>
    <row r="306" spans="1:2" ht="12.75" customHeight="1" x14ac:dyDescent="0.25">
      <c r="A306" s="1"/>
      <c r="B306" s="1"/>
    </row>
    <row r="307" spans="1:2" ht="12.75" customHeight="1" x14ac:dyDescent="0.25">
      <c r="A307" s="1"/>
      <c r="B307" s="1"/>
    </row>
    <row r="308" spans="1:2" ht="12.75" customHeight="1" x14ac:dyDescent="0.25">
      <c r="A308" s="1"/>
      <c r="B308" s="1"/>
    </row>
    <row r="309" spans="1:2" ht="12.75" customHeight="1" x14ac:dyDescent="0.25">
      <c r="A309" s="1"/>
      <c r="B309" s="1"/>
    </row>
    <row r="310" spans="1:2" ht="12.75" customHeight="1" x14ac:dyDescent="0.25">
      <c r="A310" s="1"/>
      <c r="B310" s="1"/>
    </row>
    <row r="311" spans="1:2" ht="12.75" customHeight="1" x14ac:dyDescent="0.25">
      <c r="A311" s="1"/>
      <c r="B311" s="1"/>
    </row>
    <row r="312" spans="1:2" ht="12.75" customHeight="1" x14ac:dyDescent="0.25">
      <c r="A312" s="1"/>
      <c r="B312" s="1"/>
    </row>
    <row r="313" spans="1:2" ht="12.75" customHeight="1" x14ac:dyDescent="0.25">
      <c r="A313" s="1"/>
      <c r="B313" s="1"/>
    </row>
    <row r="314" spans="1:2" ht="12.75" customHeight="1" x14ac:dyDescent="0.25">
      <c r="A314" s="1"/>
      <c r="B314" s="1"/>
    </row>
    <row r="315" spans="1:2" ht="12.75" customHeight="1" x14ac:dyDescent="0.25">
      <c r="A315" s="1"/>
      <c r="B315" s="1"/>
    </row>
    <row r="316" spans="1:2" ht="12.75" customHeight="1" x14ac:dyDescent="0.25">
      <c r="A316" s="1"/>
      <c r="B316" s="1"/>
    </row>
    <row r="317" spans="1:2" ht="12.75" customHeight="1" x14ac:dyDescent="0.25">
      <c r="A317" s="1"/>
      <c r="B317" s="1"/>
    </row>
    <row r="318" spans="1:2" ht="12.75" customHeight="1" x14ac:dyDescent="0.25">
      <c r="A318" s="1"/>
      <c r="B318" s="1"/>
    </row>
    <row r="319" spans="1:2" ht="12.75" customHeight="1" x14ac:dyDescent="0.25">
      <c r="A319" s="1"/>
      <c r="B319" s="1"/>
    </row>
    <row r="320" spans="1:2" ht="12.75" customHeight="1" x14ac:dyDescent="0.25">
      <c r="A320" s="1"/>
      <c r="B320" s="1"/>
    </row>
    <row r="321" spans="1:2" ht="12.75" customHeight="1" x14ac:dyDescent="0.25">
      <c r="A321" s="1"/>
      <c r="B321" s="1"/>
    </row>
    <row r="322" spans="1:2" ht="12.75" customHeight="1" x14ac:dyDescent="0.25">
      <c r="A322" s="1"/>
      <c r="B322" s="1"/>
    </row>
    <row r="323" spans="1:2" ht="12.75" customHeight="1" x14ac:dyDescent="0.25">
      <c r="A323" s="1"/>
      <c r="B323" s="1"/>
    </row>
    <row r="324" spans="1:2" ht="12.75" customHeight="1" x14ac:dyDescent="0.25">
      <c r="A324" s="1"/>
      <c r="B324" s="1"/>
    </row>
    <row r="325" spans="1:2" ht="12.75" customHeight="1" x14ac:dyDescent="0.25">
      <c r="A325" s="1"/>
      <c r="B325" s="1"/>
    </row>
    <row r="326" spans="1:2" ht="12.75" customHeight="1" x14ac:dyDescent="0.25">
      <c r="A326" s="1"/>
      <c r="B326" s="1"/>
    </row>
    <row r="327" spans="1:2" ht="12.75" customHeight="1" x14ac:dyDescent="0.25">
      <c r="A327" s="1"/>
      <c r="B327" s="1"/>
    </row>
    <row r="328" spans="1:2" ht="12.75" customHeight="1" x14ac:dyDescent="0.25">
      <c r="A328" s="1"/>
      <c r="B328" s="1"/>
    </row>
    <row r="329" spans="1:2" ht="12.75" customHeight="1" x14ac:dyDescent="0.25">
      <c r="A329" s="1"/>
      <c r="B329" s="1"/>
    </row>
    <row r="330" spans="1:2" ht="12.75" customHeight="1" x14ac:dyDescent="0.25">
      <c r="A330" s="1"/>
      <c r="B330" s="1"/>
    </row>
    <row r="331" spans="1:2" ht="12.75" customHeight="1" x14ac:dyDescent="0.25">
      <c r="A331" s="1"/>
      <c r="B331" s="1"/>
    </row>
    <row r="332" spans="1:2" ht="12.75" customHeight="1" x14ac:dyDescent="0.25">
      <c r="A332" s="1"/>
      <c r="B332" s="1"/>
    </row>
    <row r="333" spans="1:2" ht="12.75" customHeight="1" x14ac:dyDescent="0.25">
      <c r="A333" s="1"/>
      <c r="B333" s="1"/>
    </row>
    <row r="334" spans="1:2" ht="12.75" customHeight="1" x14ac:dyDescent="0.25">
      <c r="A334" s="1"/>
      <c r="B334" s="1"/>
    </row>
    <row r="335" spans="1:2" ht="12.75" customHeight="1" x14ac:dyDescent="0.25">
      <c r="A335" s="1"/>
      <c r="B335" s="1"/>
    </row>
    <row r="336" spans="1:2" ht="12.75" customHeight="1" x14ac:dyDescent="0.25">
      <c r="A336" s="1"/>
      <c r="B336" s="1"/>
    </row>
    <row r="337" spans="1:2" ht="12.75" customHeight="1" x14ac:dyDescent="0.25">
      <c r="A337" s="1"/>
      <c r="B337" s="1"/>
    </row>
    <row r="338" spans="1:2" ht="12.75" customHeight="1" x14ac:dyDescent="0.25">
      <c r="A338" s="1"/>
      <c r="B338" s="1"/>
    </row>
    <row r="339" spans="1:2" ht="12.75" customHeight="1" x14ac:dyDescent="0.25">
      <c r="A339" s="1"/>
      <c r="B339" s="1"/>
    </row>
    <row r="340" spans="1:2" ht="12.75" customHeight="1" x14ac:dyDescent="0.25">
      <c r="A340" s="1"/>
      <c r="B340" s="1"/>
    </row>
    <row r="341" spans="1:2" ht="12.75" customHeight="1" x14ac:dyDescent="0.25">
      <c r="A341" s="1"/>
      <c r="B341" s="1"/>
    </row>
    <row r="342" spans="1:2" ht="12.75" customHeight="1" x14ac:dyDescent="0.25">
      <c r="A342" s="1"/>
      <c r="B342" s="1"/>
    </row>
    <row r="343" spans="1:2" ht="12.75" customHeight="1" x14ac:dyDescent="0.25">
      <c r="A343" s="1"/>
      <c r="B343" s="1"/>
    </row>
    <row r="344" spans="1:2" ht="12.75" customHeight="1" x14ac:dyDescent="0.25">
      <c r="A344" s="1"/>
      <c r="B344" s="1"/>
    </row>
    <row r="345" spans="1:2" ht="12.75" customHeight="1" x14ac:dyDescent="0.25">
      <c r="A345" s="1"/>
      <c r="B345" s="1"/>
    </row>
    <row r="346" spans="1:2" ht="12.75" customHeight="1" x14ac:dyDescent="0.25">
      <c r="A346" s="1"/>
      <c r="B346" s="1"/>
    </row>
    <row r="347" spans="1:2" ht="12.75" customHeight="1" x14ac:dyDescent="0.25">
      <c r="A347" s="1"/>
      <c r="B347" s="1"/>
    </row>
    <row r="348" spans="1:2" ht="12.75" customHeight="1" x14ac:dyDescent="0.25">
      <c r="A348" s="1"/>
      <c r="B348" s="1"/>
    </row>
    <row r="349" spans="1:2" ht="12.75" customHeight="1" x14ac:dyDescent="0.25">
      <c r="A349" s="1"/>
      <c r="B349" s="1"/>
    </row>
    <row r="350" spans="1:2" ht="12.75" customHeight="1" x14ac:dyDescent="0.25">
      <c r="A350" s="1"/>
      <c r="B350" s="1"/>
    </row>
    <row r="351" spans="1:2" ht="12.75" customHeight="1" x14ac:dyDescent="0.25">
      <c r="A351" s="1"/>
      <c r="B351" s="1"/>
    </row>
    <row r="352" spans="1:2" ht="12.75" customHeight="1" x14ac:dyDescent="0.25">
      <c r="A352" s="1"/>
      <c r="B352" s="1"/>
    </row>
    <row r="353" spans="1:2" ht="12.75" customHeight="1" x14ac:dyDescent="0.25">
      <c r="A353" s="1"/>
      <c r="B353" s="1"/>
    </row>
    <row r="354" spans="1:2" ht="12.75" customHeight="1" x14ac:dyDescent="0.25">
      <c r="A354" s="1"/>
      <c r="B354" s="1"/>
    </row>
    <row r="355" spans="1:2" ht="12.75" customHeight="1" x14ac:dyDescent="0.25">
      <c r="A355" s="1"/>
      <c r="B355" s="1"/>
    </row>
    <row r="356" spans="1:2" ht="12.75" customHeight="1" x14ac:dyDescent="0.25">
      <c r="A356" s="1"/>
      <c r="B356" s="1"/>
    </row>
    <row r="357" spans="1:2" ht="12.75" customHeight="1" x14ac:dyDescent="0.25">
      <c r="A357" s="1"/>
      <c r="B357" s="1"/>
    </row>
    <row r="358" spans="1:2" ht="12.75" customHeight="1" x14ac:dyDescent="0.25">
      <c r="A358" s="1"/>
      <c r="B358" s="1"/>
    </row>
    <row r="359" spans="1:2" ht="12.75" customHeight="1" x14ac:dyDescent="0.25">
      <c r="A359" s="1"/>
      <c r="B359" s="1"/>
    </row>
    <row r="360" spans="1:2" ht="12.75" customHeight="1" x14ac:dyDescent="0.25">
      <c r="A360" s="1"/>
      <c r="B360" s="1"/>
    </row>
    <row r="361" spans="1:2" ht="12.75" customHeight="1" x14ac:dyDescent="0.25">
      <c r="A361" s="1"/>
      <c r="B361" s="1"/>
    </row>
    <row r="362" spans="1:2" ht="12.75" customHeight="1" x14ac:dyDescent="0.25">
      <c r="A362" s="1"/>
      <c r="B362" s="1"/>
    </row>
    <row r="363" spans="1:2" ht="12.75" customHeight="1" x14ac:dyDescent="0.25">
      <c r="A363" s="1"/>
      <c r="B363" s="1"/>
    </row>
    <row r="364" spans="1:2" ht="12.75" customHeight="1" x14ac:dyDescent="0.25">
      <c r="A364" s="1"/>
      <c r="B364" s="1"/>
    </row>
    <row r="365" spans="1:2" ht="12.75" customHeight="1" x14ac:dyDescent="0.25">
      <c r="A365" s="1"/>
      <c r="B365" s="1"/>
    </row>
    <row r="366" spans="1:2" ht="12.75" customHeight="1" x14ac:dyDescent="0.25">
      <c r="A366" s="1"/>
      <c r="B366" s="1"/>
    </row>
    <row r="367" spans="1:2" ht="12.75" customHeight="1" x14ac:dyDescent="0.25">
      <c r="A367" s="1"/>
      <c r="B367" s="1"/>
    </row>
    <row r="368" spans="1:2" ht="12.75" customHeight="1" x14ac:dyDescent="0.25">
      <c r="A368" s="1"/>
      <c r="B368" s="1"/>
    </row>
    <row r="369" spans="1:2" ht="12.75" customHeight="1" x14ac:dyDescent="0.25">
      <c r="A369" s="1"/>
      <c r="B369" s="1"/>
    </row>
    <row r="370" spans="1:2" ht="12.75" customHeight="1" x14ac:dyDescent="0.25">
      <c r="A370" s="1"/>
      <c r="B370" s="1"/>
    </row>
    <row r="371" spans="1:2" ht="12.75" customHeight="1" x14ac:dyDescent="0.25">
      <c r="A371" s="1"/>
      <c r="B371" s="1"/>
    </row>
    <row r="372" spans="1:2" ht="12.75" customHeight="1" x14ac:dyDescent="0.25">
      <c r="A372" s="1"/>
      <c r="B372" s="1"/>
    </row>
    <row r="373" spans="1:2" ht="12.75" customHeight="1" x14ac:dyDescent="0.25">
      <c r="A373" s="1"/>
      <c r="B373" s="1"/>
    </row>
    <row r="374" spans="1:2" ht="12.75" customHeight="1" x14ac:dyDescent="0.25">
      <c r="A374" s="1"/>
      <c r="B374" s="1"/>
    </row>
    <row r="375" spans="1:2" ht="12.75" customHeight="1" x14ac:dyDescent="0.25">
      <c r="A375" s="1"/>
      <c r="B375" s="1"/>
    </row>
    <row r="376" spans="1:2" ht="12.75" customHeight="1" x14ac:dyDescent="0.25">
      <c r="A376" s="1"/>
      <c r="B376" s="1"/>
    </row>
    <row r="377" spans="1:2" ht="12.75" customHeight="1" x14ac:dyDescent="0.25">
      <c r="A377" s="1"/>
      <c r="B377" s="1"/>
    </row>
    <row r="378" spans="1:2" ht="12.75" customHeight="1" x14ac:dyDescent="0.25">
      <c r="A378" s="1"/>
      <c r="B378" s="1"/>
    </row>
    <row r="379" spans="1:2" ht="12.75" customHeight="1" x14ac:dyDescent="0.25">
      <c r="A379" s="1"/>
      <c r="B379" s="1"/>
    </row>
    <row r="380" spans="1:2" ht="12.75" customHeight="1" x14ac:dyDescent="0.25">
      <c r="A380" s="1"/>
      <c r="B380" s="1"/>
    </row>
    <row r="381" spans="1:2" ht="12.75" customHeight="1" x14ac:dyDescent="0.25">
      <c r="A381" s="1"/>
      <c r="B381" s="1"/>
    </row>
    <row r="382" spans="1:2" ht="12.75" customHeight="1" x14ac:dyDescent="0.25">
      <c r="A382" s="1"/>
      <c r="B382" s="1"/>
    </row>
    <row r="383" spans="1:2" ht="12.75" customHeight="1" x14ac:dyDescent="0.25">
      <c r="A383" s="1"/>
      <c r="B383" s="1"/>
    </row>
    <row r="384" spans="1:2" ht="12.75" customHeight="1" x14ac:dyDescent="0.25">
      <c r="A384" s="1"/>
      <c r="B384" s="1"/>
    </row>
    <row r="385" spans="1:2" ht="12.75" customHeight="1" x14ac:dyDescent="0.25">
      <c r="A385" s="1"/>
      <c r="B385" s="1"/>
    </row>
    <row r="386" spans="1:2" ht="12.75" customHeight="1" x14ac:dyDescent="0.25">
      <c r="A386" s="1"/>
      <c r="B386" s="1"/>
    </row>
    <row r="387" spans="1:2" ht="12.75" customHeight="1" x14ac:dyDescent="0.25">
      <c r="A387" s="1"/>
      <c r="B387" s="1"/>
    </row>
    <row r="388" spans="1:2" ht="12.75" customHeight="1" x14ac:dyDescent="0.25">
      <c r="A388" s="1"/>
      <c r="B388" s="1"/>
    </row>
    <row r="389" spans="1:2" ht="12.75" customHeight="1" x14ac:dyDescent="0.25">
      <c r="A389" s="1"/>
      <c r="B389" s="1"/>
    </row>
    <row r="390" spans="1:2" ht="12.75" customHeight="1" x14ac:dyDescent="0.25">
      <c r="A390" s="1"/>
      <c r="B390" s="1"/>
    </row>
    <row r="391" spans="1:2" ht="12.75" customHeight="1" x14ac:dyDescent="0.25">
      <c r="A391" s="1"/>
      <c r="B391" s="1"/>
    </row>
    <row r="392" spans="1:2" ht="12.75" customHeight="1" x14ac:dyDescent="0.25">
      <c r="A392" s="1"/>
      <c r="B392" s="1"/>
    </row>
    <row r="393" spans="1:2" ht="12.75" customHeight="1" x14ac:dyDescent="0.25">
      <c r="A393" s="1"/>
      <c r="B393" s="1"/>
    </row>
    <row r="394" spans="1:2" ht="12.75" customHeight="1" x14ac:dyDescent="0.25">
      <c r="A394" s="1"/>
      <c r="B394" s="1"/>
    </row>
    <row r="395" spans="1:2" ht="12.75" customHeight="1" x14ac:dyDescent="0.25">
      <c r="A395" s="1"/>
      <c r="B395" s="1"/>
    </row>
    <row r="396" spans="1:2" ht="12.75" customHeight="1" x14ac:dyDescent="0.25">
      <c r="A396" s="1"/>
      <c r="B396" s="1"/>
    </row>
    <row r="397" spans="1:2" ht="12.75" customHeight="1" x14ac:dyDescent="0.25">
      <c r="A397" s="1"/>
      <c r="B397" s="1"/>
    </row>
    <row r="398" spans="1:2" ht="12.75" customHeight="1" x14ac:dyDescent="0.25">
      <c r="A398" s="1"/>
      <c r="B398" s="1"/>
    </row>
    <row r="399" spans="1:2" ht="12.75" customHeight="1" x14ac:dyDescent="0.25">
      <c r="A399" s="1"/>
      <c r="B399" s="1"/>
    </row>
    <row r="400" spans="1:2" ht="12.75" customHeight="1" x14ac:dyDescent="0.25">
      <c r="A400" s="1"/>
      <c r="B400" s="1"/>
    </row>
    <row r="401" spans="1:2" ht="12.75" customHeight="1" x14ac:dyDescent="0.25">
      <c r="A401" s="1"/>
      <c r="B401" s="1"/>
    </row>
    <row r="402" spans="1:2" ht="12.75" customHeight="1" x14ac:dyDescent="0.25">
      <c r="A402" s="1"/>
      <c r="B402" s="1"/>
    </row>
    <row r="403" spans="1:2" ht="12.75" customHeight="1" x14ac:dyDescent="0.25">
      <c r="A403" s="1"/>
      <c r="B403" s="1"/>
    </row>
    <row r="404" spans="1:2" ht="12.75" customHeight="1" x14ac:dyDescent="0.25">
      <c r="A404" s="1"/>
      <c r="B404" s="1"/>
    </row>
    <row r="405" spans="1:2" ht="12.75" customHeight="1" x14ac:dyDescent="0.25">
      <c r="A405" s="1"/>
      <c r="B405" s="1"/>
    </row>
    <row r="406" spans="1:2" ht="12.75" customHeight="1" x14ac:dyDescent="0.25">
      <c r="A406" s="1"/>
      <c r="B406" s="1"/>
    </row>
    <row r="407" spans="1:2" ht="12.75" customHeight="1" x14ac:dyDescent="0.25">
      <c r="A407" s="1"/>
      <c r="B407" s="1"/>
    </row>
    <row r="408" spans="1:2" ht="12.75" customHeight="1" x14ac:dyDescent="0.25">
      <c r="A408" s="1"/>
      <c r="B408" s="1"/>
    </row>
    <row r="409" spans="1:2" ht="12.75" customHeight="1" x14ac:dyDescent="0.25">
      <c r="A409" s="1"/>
      <c r="B409" s="1"/>
    </row>
    <row r="410" spans="1:2" ht="12.75" customHeight="1" x14ac:dyDescent="0.25">
      <c r="A410" s="1"/>
      <c r="B410" s="1"/>
    </row>
    <row r="411" spans="1:2" ht="12.75" customHeight="1" x14ac:dyDescent="0.25">
      <c r="A411" s="1"/>
      <c r="B411" s="1"/>
    </row>
    <row r="412" spans="1:2" ht="12.75" customHeight="1" x14ac:dyDescent="0.25">
      <c r="A412" s="1"/>
      <c r="B412" s="1"/>
    </row>
    <row r="413" spans="1:2" ht="12.75" customHeight="1" x14ac:dyDescent="0.25">
      <c r="A413" s="1"/>
      <c r="B413" s="1"/>
    </row>
    <row r="414" spans="1:2" ht="12.75" customHeight="1" x14ac:dyDescent="0.25">
      <c r="A414" s="1"/>
      <c r="B414" s="1"/>
    </row>
    <row r="415" spans="1:2" ht="12.75" customHeight="1" x14ac:dyDescent="0.25">
      <c r="A415" s="1"/>
      <c r="B415" s="1"/>
    </row>
    <row r="416" spans="1:2" ht="12.75" customHeight="1" x14ac:dyDescent="0.25">
      <c r="A416" s="1"/>
      <c r="B416" s="1"/>
    </row>
    <row r="417" spans="1:2" ht="12.75" customHeight="1" x14ac:dyDescent="0.25">
      <c r="A417" s="1"/>
      <c r="B417" s="1"/>
    </row>
    <row r="418" spans="1:2" ht="12.75" customHeight="1" x14ac:dyDescent="0.25">
      <c r="A418" s="1"/>
      <c r="B418" s="1"/>
    </row>
    <row r="419" spans="1:2" ht="12.75" customHeight="1" x14ac:dyDescent="0.25">
      <c r="A419" s="1"/>
      <c r="B419" s="1"/>
    </row>
    <row r="420" spans="1:2" ht="12.75" customHeight="1" x14ac:dyDescent="0.25">
      <c r="A420" s="1"/>
      <c r="B420" s="1"/>
    </row>
    <row r="421" spans="1:2" ht="12.75" customHeight="1" x14ac:dyDescent="0.25">
      <c r="A421" s="1"/>
      <c r="B421" s="1"/>
    </row>
    <row r="422" spans="1:2" ht="12.75" customHeight="1" x14ac:dyDescent="0.25">
      <c r="A422" s="1"/>
      <c r="B422" s="1"/>
    </row>
    <row r="423" spans="1:2" ht="12.75" customHeight="1" x14ac:dyDescent="0.25">
      <c r="A423" s="1"/>
      <c r="B423" s="1"/>
    </row>
    <row r="424" spans="1:2" ht="12.75" customHeight="1" x14ac:dyDescent="0.25">
      <c r="A424" s="1"/>
      <c r="B424" s="1"/>
    </row>
    <row r="425" spans="1:2" ht="12.75" customHeight="1" x14ac:dyDescent="0.25">
      <c r="A425" s="1"/>
      <c r="B425" s="1"/>
    </row>
    <row r="426" spans="1:2" ht="12.75" customHeight="1" x14ac:dyDescent="0.25">
      <c r="A426" s="1"/>
      <c r="B426" s="1"/>
    </row>
    <row r="427" spans="1:2" ht="12.75" customHeight="1" x14ac:dyDescent="0.25">
      <c r="A427" s="1"/>
      <c r="B427" s="1"/>
    </row>
    <row r="428" spans="1:2" ht="12.75" customHeight="1" x14ac:dyDescent="0.25">
      <c r="A428" s="1"/>
      <c r="B428" s="1"/>
    </row>
    <row r="429" spans="1:2" ht="12.75" customHeight="1" x14ac:dyDescent="0.25">
      <c r="A429" s="1"/>
      <c r="B429" s="1"/>
    </row>
    <row r="430" spans="1:2" ht="12.75" customHeight="1" x14ac:dyDescent="0.25">
      <c r="A430" s="1"/>
      <c r="B430" s="1"/>
    </row>
    <row r="431" spans="1:2" ht="12.75" customHeight="1" x14ac:dyDescent="0.25">
      <c r="A431" s="1"/>
      <c r="B431" s="1"/>
    </row>
    <row r="432" spans="1:2" ht="12.75" customHeight="1" x14ac:dyDescent="0.25">
      <c r="A432" s="1"/>
      <c r="B432" s="1"/>
    </row>
    <row r="433" spans="1:2" ht="12.75" customHeight="1" x14ac:dyDescent="0.25">
      <c r="A433" s="1"/>
      <c r="B433" s="1"/>
    </row>
    <row r="434" spans="1:2" ht="12.75" customHeight="1" x14ac:dyDescent="0.25">
      <c r="A434" s="1"/>
      <c r="B434" s="1"/>
    </row>
    <row r="435" spans="1:2" ht="12.75" customHeight="1" x14ac:dyDescent="0.25">
      <c r="A435" s="1"/>
      <c r="B435" s="1"/>
    </row>
    <row r="436" spans="1:2" ht="12.75" customHeight="1" x14ac:dyDescent="0.25">
      <c r="A436" s="1"/>
      <c r="B436" s="1"/>
    </row>
    <row r="437" spans="1:2" ht="12.75" customHeight="1" x14ac:dyDescent="0.25">
      <c r="A437" s="1"/>
      <c r="B437" s="1"/>
    </row>
    <row r="438" spans="1:2" ht="12.75" customHeight="1" x14ac:dyDescent="0.25">
      <c r="A438" s="1"/>
      <c r="B438" s="1"/>
    </row>
    <row r="439" spans="1:2" ht="12.75" customHeight="1" x14ac:dyDescent="0.25">
      <c r="A439" s="1"/>
      <c r="B439" s="1"/>
    </row>
    <row r="440" spans="1:2" ht="12.75" customHeight="1" x14ac:dyDescent="0.25">
      <c r="A440" s="1"/>
      <c r="B440" s="1"/>
    </row>
    <row r="441" spans="1:2" ht="12.75" customHeight="1" x14ac:dyDescent="0.25">
      <c r="A441" s="1"/>
      <c r="B441" s="1"/>
    </row>
    <row r="442" spans="1:2" ht="12.75" customHeight="1" x14ac:dyDescent="0.25">
      <c r="A442" s="1"/>
      <c r="B442" s="1"/>
    </row>
    <row r="443" spans="1:2" ht="12.75" customHeight="1" x14ac:dyDescent="0.25">
      <c r="A443" s="1"/>
      <c r="B443" s="1"/>
    </row>
    <row r="444" spans="1:2" ht="12.75" customHeight="1" x14ac:dyDescent="0.25">
      <c r="A444" s="1"/>
      <c r="B444" s="1"/>
    </row>
    <row r="445" spans="1:2" ht="12.75" customHeight="1" x14ac:dyDescent="0.25">
      <c r="A445" s="1"/>
      <c r="B445" s="1"/>
    </row>
    <row r="446" spans="1:2" ht="12.75" customHeight="1" x14ac:dyDescent="0.25">
      <c r="A446" s="1"/>
      <c r="B446" s="1"/>
    </row>
    <row r="447" spans="1:2" ht="12.75" customHeight="1" x14ac:dyDescent="0.25">
      <c r="A447" s="1"/>
      <c r="B447" s="1"/>
    </row>
    <row r="448" spans="1:2" ht="12.75" customHeight="1" x14ac:dyDescent="0.25">
      <c r="A448" s="1"/>
      <c r="B448" s="1"/>
    </row>
    <row r="449" spans="1:2" ht="12.75" customHeight="1" x14ac:dyDescent="0.25">
      <c r="A449" s="1"/>
      <c r="B449" s="1"/>
    </row>
    <row r="450" spans="1:2" ht="12.75" customHeight="1" x14ac:dyDescent="0.25">
      <c r="A450" s="1"/>
      <c r="B450" s="1"/>
    </row>
    <row r="451" spans="1:2" ht="12.75" customHeight="1" x14ac:dyDescent="0.25">
      <c r="A451" s="1"/>
      <c r="B451" s="1"/>
    </row>
    <row r="452" spans="1:2" ht="12.75" customHeight="1" x14ac:dyDescent="0.25">
      <c r="A452" s="1"/>
      <c r="B452" s="1"/>
    </row>
    <row r="453" spans="1:2" ht="12.75" customHeight="1" x14ac:dyDescent="0.25">
      <c r="A453" s="1"/>
      <c r="B453" s="1"/>
    </row>
    <row r="454" spans="1:2" ht="12.75" customHeight="1" x14ac:dyDescent="0.25">
      <c r="A454" s="1"/>
      <c r="B454" s="1"/>
    </row>
    <row r="455" spans="1:2" ht="12.75" customHeight="1" x14ac:dyDescent="0.25">
      <c r="A455" s="1"/>
      <c r="B455" s="1"/>
    </row>
    <row r="456" spans="1:2" ht="12.75" customHeight="1" x14ac:dyDescent="0.25">
      <c r="A456" s="1"/>
      <c r="B456" s="1"/>
    </row>
    <row r="457" spans="1:2" ht="12.75" customHeight="1" x14ac:dyDescent="0.25">
      <c r="A457" s="1"/>
      <c r="B457" s="1"/>
    </row>
    <row r="458" spans="1:2" ht="12.75" customHeight="1" x14ac:dyDescent="0.25">
      <c r="A458" s="1"/>
      <c r="B458" s="1"/>
    </row>
    <row r="459" spans="1:2" ht="12.75" customHeight="1" x14ac:dyDescent="0.25">
      <c r="A459" s="1"/>
      <c r="B459" s="1"/>
    </row>
    <row r="460" spans="1:2" ht="12.75" customHeight="1" x14ac:dyDescent="0.25">
      <c r="A460" s="1"/>
      <c r="B460" s="1"/>
    </row>
    <row r="461" spans="1:2" ht="12.75" customHeight="1" x14ac:dyDescent="0.25">
      <c r="A461" s="1"/>
      <c r="B461" s="1"/>
    </row>
    <row r="462" spans="1:2" ht="12.75" customHeight="1" x14ac:dyDescent="0.25">
      <c r="A462" s="1"/>
      <c r="B462" s="1"/>
    </row>
    <row r="463" spans="1:2" ht="12.75" customHeight="1" x14ac:dyDescent="0.25">
      <c r="A463" s="1"/>
      <c r="B463" s="1"/>
    </row>
    <row r="464" spans="1:2" ht="12.75" customHeight="1" x14ac:dyDescent="0.25">
      <c r="A464" s="1"/>
      <c r="B464" s="1"/>
    </row>
    <row r="465" spans="1:2" ht="12.75" customHeight="1" x14ac:dyDescent="0.25">
      <c r="A465" s="1"/>
      <c r="B465" s="1"/>
    </row>
    <row r="466" spans="1:2" ht="12.75" customHeight="1" x14ac:dyDescent="0.25">
      <c r="A466" s="1"/>
      <c r="B466" s="1"/>
    </row>
    <row r="467" spans="1:2" ht="12.75" customHeight="1" x14ac:dyDescent="0.25">
      <c r="A467" s="1"/>
      <c r="B467" s="1"/>
    </row>
    <row r="468" spans="1:2" ht="12.75" customHeight="1" x14ac:dyDescent="0.25">
      <c r="A468" s="1"/>
      <c r="B468" s="1"/>
    </row>
    <row r="469" spans="1:2" ht="12.75" customHeight="1" x14ac:dyDescent="0.25">
      <c r="A469" s="1"/>
      <c r="B469" s="1"/>
    </row>
    <row r="470" spans="1:2" ht="12.75" customHeight="1" x14ac:dyDescent="0.25">
      <c r="A470" s="1"/>
      <c r="B470" s="1"/>
    </row>
    <row r="471" spans="1:2" ht="12.75" customHeight="1" x14ac:dyDescent="0.25">
      <c r="A471" s="1"/>
      <c r="B471" s="1"/>
    </row>
    <row r="472" spans="1:2" ht="12.75" customHeight="1" x14ac:dyDescent="0.25">
      <c r="A472" s="1"/>
      <c r="B472" s="1"/>
    </row>
    <row r="473" spans="1:2" ht="12.75" customHeight="1" x14ac:dyDescent="0.25">
      <c r="A473" s="1"/>
      <c r="B473" s="1"/>
    </row>
    <row r="474" spans="1:2" ht="12.75" customHeight="1" x14ac:dyDescent="0.25">
      <c r="A474" s="1"/>
      <c r="B474" s="1"/>
    </row>
    <row r="475" spans="1:2" ht="12.75" customHeight="1" x14ac:dyDescent="0.25">
      <c r="A475" s="1"/>
      <c r="B475" s="1"/>
    </row>
    <row r="476" spans="1:2" ht="12.75" customHeight="1" x14ac:dyDescent="0.25">
      <c r="A476" s="1"/>
      <c r="B476" s="1"/>
    </row>
    <row r="477" spans="1:2" ht="12.75" customHeight="1" x14ac:dyDescent="0.25">
      <c r="A477" s="1"/>
      <c r="B477" s="1"/>
    </row>
    <row r="478" spans="1:2" ht="12.75" customHeight="1" x14ac:dyDescent="0.25">
      <c r="A478" s="1"/>
      <c r="B478" s="1"/>
    </row>
    <row r="479" spans="1:2" ht="12.75" customHeight="1" x14ac:dyDescent="0.25">
      <c r="A479" s="1"/>
      <c r="B479" s="1"/>
    </row>
    <row r="480" spans="1:2" ht="12.75" customHeight="1" x14ac:dyDescent="0.25">
      <c r="A480" s="1"/>
      <c r="B480" s="1"/>
    </row>
    <row r="481" spans="1:2" ht="12.75" customHeight="1" x14ac:dyDescent="0.25">
      <c r="A481" s="1"/>
      <c r="B481" s="1"/>
    </row>
    <row r="482" spans="1:2" ht="12.75" customHeight="1" x14ac:dyDescent="0.25">
      <c r="A482" s="1"/>
      <c r="B482" s="1"/>
    </row>
    <row r="483" spans="1:2" ht="12.75" customHeight="1" x14ac:dyDescent="0.25">
      <c r="A483" s="1"/>
      <c r="B483" s="1"/>
    </row>
    <row r="484" spans="1:2" ht="12.75" customHeight="1" x14ac:dyDescent="0.25">
      <c r="A484" s="1"/>
      <c r="B484" s="1"/>
    </row>
    <row r="485" spans="1:2" ht="12.75" customHeight="1" x14ac:dyDescent="0.25">
      <c r="A485" s="1"/>
      <c r="B485" s="1"/>
    </row>
    <row r="486" spans="1:2" ht="12.75" customHeight="1" x14ac:dyDescent="0.25">
      <c r="A486" s="1"/>
      <c r="B486" s="1"/>
    </row>
    <row r="487" spans="1:2" ht="12.75" customHeight="1" x14ac:dyDescent="0.25">
      <c r="A487" s="1"/>
      <c r="B487" s="1"/>
    </row>
    <row r="488" spans="1:2" ht="12.75" customHeight="1" x14ac:dyDescent="0.25">
      <c r="A488" s="1"/>
      <c r="B488" s="1"/>
    </row>
    <row r="489" spans="1:2" ht="12.75" customHeight="1" x14ac:dyDescent="0.25">
      <c r="A489" s="1"/>
      <c r="B489" s="1"/>
    </row>
    <row r="490" spans="1:2" ht="12.75" customHeight="1" x14ac:dyDescent="0.25">
      <c r="A490" s="1"/>
      <c r="B490" s="1"/>
    </row>
    <row r="491" spans="1:2" ht="12.75" customHeight="1" x14ac:dyDescent="0.25">
      <c r="A491" s="1"/>
      <c r="B491" s="1"/>
    </row>
    <row r="492" spans="1:2" ht="12.75" customHeight="1" x14ac:dyDescent="0.25">
      <c r="A492" s="1"/>
      <c r="B492" s="1"/>
    </row>
    <row r="493" spans="1:2" ht="12.75" customHeight="1" x14ac:dyDescent="0.25">
      <c r="A493" s="1"/>
      <c r="B493" s="1"/>
    </row>
    <row r="494" spans="1:2" ht="12.75" customHeight="1" x14ac:dyDescent="0.25">
      <c r="A494" s="1"/>
      <c r="B494" s="1"/>
    </row>
    <row r="495" spans="1:2" ht="12.75" customHeight="1" x14ac:dyDescent="0.25">
      <c r="A495" s="1"/>
      <c r="B495" s="1"/>
    </row>
    <row r="496" spans="1:2" ht="12.75" customHeight="1" x14ac:dyDescent="0.25">
      <c r="A496" s="1"/>
      <c r="B496" s="1"/>
    </row>
    <row r="497" spans="1:2" ht="12.75" customHeight="1" x14ac:dyDescent="0.25">
      <c r="A497" s="1"/>
      <c r="B497" s="1"/>
    </row>
    <row r="498" spans="1:2" ht="12.75" customHeight="1" x14ac:dyDescent="0.25">
      <c r="A498" s="1"/>
      <c r="B498" s="1"/>
    </row>
    <row r="499" spans="1:2" ht="12.75" customHeight="1" x14ac:dyDescent="0.25">
      <c r="A499" s="1"/>
      <c r="B499" s="1"/>
    </row>
    <row r="500" spans="1:2" ht="12.75" customHeight="1" x14ac:dyDescent="0.25">
      <c r="A500" s="1"/>
      <c r="B500" s="1"/>
    </row>
    <row r="501" spans="1:2" ht="12.75" customHeight="1" x14ac:dyDescent="0.25">
      <c r="A501" s="1"/>
      <c r="B501" s="1"/>
    </row>
    <row r="502" spans="1:2" ht="12.75" customHeight="1" x14ac:dyDescent="0.25">
      <c r="A502" s="1"/>
      <c r="B502" s="1"/>
    </row>
    <row r="503" spans="1:2" ht="12.75" customHeight="1" x14ac:dyDescent="0.25">
      <c r="A503" s="1"/>
      <c r="B503" s="1"/>
    </row>
    <row r="504" spans="1:2" ht="12.75" customHeight="1" x14ac:dyDescent="0.25">
      <c r="A504" s="1"/>
      <c r="B504" s="1"/>
    </row>
    <row r="505" spans="1:2" ht="12.75" customHeight="1" x14ac:dyDescent="0.25">
      <c r="A505" s="1"/>
      <c r="B505" s="1"/>
    </row>
    <row r="506" spans="1:2" ht="12.75" customHeight="1" x14ac:dyDescent="0.25">
      <c r="A506" s="1"/>
      <c r="B506" s="1"/>
    </row>
    <row r="507" spans="1:2" ht="12.75" customHeight="1" x14ac:dyDescent="0.25">
      <c r="A507" s="1"/>
      <c r="B507" s="1"/>
    </row>
    <row r="508" spans="1:2" ht="12.75" customHeight="1" x14ac:dyDescent="0.25">
      <c r="A508" s="1"/>
      <c r="B508" s="1"/>
    </row>
    <row r="509" spans="1:2" ht="12.75" customHeight="1" x14ac:dyDescent="0.25">
      <c r="A509" s="1"/>
      <c r="B509" s="1"/>
    </row>
    <row r="510" spans="1:2" ht="12.75" customHeight="1" x14ac:dyDescent="0.25">
      <c r="A510" s="1"/>
      <c r="B510" s="1"/>
    </row>
    <row r="511" spans="1:2" ht="12.75" customHeight="1" x14ac:dyDescent="0.25">
      <c r="A511" s="1"/>
      <c r="B511" s="1"/>
    </row>
    <row r="512" spans="1:2" ht="12.75" customHeight="1" x14ac:dyDescent="0.25">
      <c r="A512" s="1"/>
      <c r="B512" s="1"/>
    </row>
    <row r="513" spans="1:2" ht="12.75" customHeight="1" x14ac:dyDescent="0.25">
      <c r="A513" s="1"/>
      <c r="B513" s="1"/>
    </row>
    <row r="514" spans="1:2" ht="12.75" customHeight="1" x14ac:dyDescent="0.25">
      <c r="A514" s="1"/>
      <c r="B514" s="1"/>
    </row>
    <row r="515" spans="1:2" ht="12.75" customHeight="1" x14ac:dyDescent="0.25">
      <c r="A515" s="1"/>
      <c r="B515" s="1"/>
    </row>
    <row r="516" spans="1:2" ht="12.75" customHeight="1" x14ac:dyDescent="0.25">
      <c r="A516" s="1"/>
      <c r="B516" s="1"/>
    </row>
    <row r="517" spans="1:2" ht="12.75" customHeight="1" x14ac:dyDescent="0.25">
      <c r="A517" s="1"/>
      <c r="B517" s="1"/>
    </row>
    <row r="518" spans="1:2" ht="12.75" customHeight="1" x14ac:dyDescent="0.25">
      <c r="A518" s="1"/>
      <c r="B518" s="1"/>
    </row>
    <row r="519" spans="1:2" ht="12.75" customHeight="1" x14ac:dyDescent="0.25">
      <c r="A519" s="1"/>
      <c r="B519" s="1"/>
    </row>
    <row r="520" spans="1:2" ht="12.75" customHeight="1" x14ac:dyDescent="0.25">
      <c r="A520" s="1"/>
      <c r="B520" s="1"/>
    </row>
    <row r="521" spans="1:2" ht="12.75" customHeight="1" x14ac:dyDescent="0.25">
      <c r="A521" s="1"/>
      <c r="B521" s="1"/>
    </row>
    <row r="522" spans="1:2" ht="12.75" customHeight="1" x14ac:dyDescent="0.25">
      <c r="A522" s="1"/>
      <c r="B522" s="1"/>
    </row>
    <row r="523" spans="1:2" ht="12.75" customHeight="1" x14ac:dyDescent="0.25">
      <c r="A523" s="1"/>
      <c r="B523" s="1"/>
    </row>
    <row r="524" spans="1:2" ht="12.75" customHeight="1" x14ac:dyDescent="0.25">
      <c r="A524" s="1"/>
      <c r="B524" s="1"/>
    </row>
    <row r="525" spans="1:2" ht="12.75" customHeight="1" x14ac:dyDescent="0.25">
      <c r="A525" s="1"/>
      <c r="B525" s="1"/>
    </row>
    <row r="526" spans="1:2" ht="12.75" customHeight="1" x14ac:dyDescent="0.25">
      <c r="A526" s="1"/>
      <c r="B526" s="1"/>
    </row>
    <row r="527" spans="1:2" ht="12.75" customHeight="1" x14ac:dyDescent="0.25">
      <c r="A527" s="1"/>
      <c r="B527" s="1"/>
    </row>
    <row r="528" spans="1:2" ht="12.75" customHeight="1" x14ac:dyDescent="0.25">
      <c r="A528" s="1"/>
      <c r="B528" s="1"/>
    </row>
    <row r="529" spans="1:2" ht="12.75" customHeight="1" x14ac:dyDescent="0.25">
      <c r="A529" s="1"/>
      <c r="B529" s="1"/>
    </row>
    <row r="530" spans="1:2" ht="12.75" customHeight="1" x14ac:dyDescent="0.25">
      <c r="A530" s="1"/>
      <c r="B530" s="1"/>
    </row>
    <row r="531" spans="1:2" ht="12.75" customHeight="1" x14ac:dyDescent="0.25">
      <c r="A531" s="1"/>
      <c r="B531" s="1"/>
    </row>
    <row r="532" spans="1:2" ht="12.75" customHeight="1" x14ac:dyDescent="0.25">
      <c r="A532" s="1"/>
      <c r="B532" s="1"/>
    </row>
    <row r="533" spans="1:2" ht="12.75" customHeight="1" x14ac:dyDescent="0.25">
      <c r="A533" s="1"/>
      <c r="B533" s="1"/>
    </row>
    <row r="534" spans="1:2" ht="12.75" customHeight="1" x14ac:dyDescent="0.25">
      <c r="A534" s="1"/>
      <c r="B534" s="1"/>
    </row>
    <row r="535" spans="1:2" ht="12.75" customHeight="1" x14ac:dyDescent="0.25">
      <c r="A535" s="1"/>
      <c r="B535" s="1"/>
    </row>
    <row r="536" spans="1:2" ht="12.75" customHeight="1" x14ac:dyDescent="0.25">
      <c r="A536" s="1"/>
      <c r="B536" s="1"/>
    </row>
    <row r="537" spans="1:2" ht="12.75" customHeight="1" x14ac:dyDescent="0.25">
      <c r="A537" s="1"/>
      <c r="B537" s="1"/>
    </row>
    <row r="538" spans="1:2" ht="12.75" customHeight="1" x14ac:dyDescent="0.25">
      <c r="A538" s="1"/>
      <c r="B538" s="1"/>
    </row>
    <row r="539" spans="1:2" ht="12.75" customHeight="1" x14ac:dyDescent="0.25">
      <c r="A539" s="1"/>
      <c r="B539" s="1"/>
    </row>
    <row r="540" spans="1:2" ht="12.75" customHeight="1" x14ac:dyDescent="0.25">
      <c r="A540" s="1"/>
      <c r="B540" s="1"/>
    </row>
    <row r="541" spans="1:2" ht="12.75" customHeight="1" x14ac:dyDescent="0.25">
      <c r="A541" s="1"/>
      <c r="B541" s="1"/>
    </row>
    <row r="542" spans="1:2" ht="12.75" customHeight="1" x14ac:dyDescent="0.25">
      <c r="A542" s="1"/>
      <c r="B542" s="1"/>
    </row>
    <row r="543" spans="1:2" ht="12.75" customHeight="1" x14ac:dyDescent="0.25">
      <c r="A543" s="1"/>
      <c r="B543" s="1"/>
    </row>
    <row r="544" spans="1:2" ht="12.75" customHeight="1" x14ac:dyDescent="0.25">
      <c r="A544" s="1"/>
      <c r="B544" s="1"/>
    </row>
    <row r="545" spans="1:2" ht="12.75" customHeight="1" x14ac:dyDescent="0.25">
      <c r="A545" s="1"/>
      <c r="B545" s="1"/>
    </row>
    <row r="546" spans="1:2" ht="12.75" customHeight="1" x14ac:dyDescent="0.25">
      <c r="A546" s="1"/>
      <c r="B546" s="1"/>
    </row>
    <row r="547" spans="1:2" ht="12.75" customHeight="1" x14ac:dyDescent="0.25">
      <c r="A547" s="1"/>
      <c r="B547" s="1"/>
    </row>
    <row r="548" spans="1:2" ht="12.75" customHeight="1" x14ac:dyDescent="0.25">
      <c r="A548" s="1"/>
      <c r="B548" s="1"/>
    </row>
    <row r="549" spans="1:2" ht="12.75" customHeight="1" x14ac:dyDescent="0.25">
      <c r="A549" s="1"/>
      <c r="B549" s="1"/>
    </row>
    <row r="550" spans="1:2" ht="12.75" customHeight="1" x14ac:dyDescent="0.25">
      <c r="A550" s="1"/>
      <c r="B550" s="1"/>
    </row>
    <row r="551" spans="1:2" ht="12.75" customHeight="1" x14ac:dyDescent="0.25">
      <c r="A551" s="1"/>
      <c r="B551" s="1"/>
    </row>
    <row r="552" spans="1:2" ht="12.75" customHeight="1" x14ac:dyDescent="0.25">
      <c r="A552" s="1"/>
      <c r="B552" s="1"/>
    </row>
    <row r="553" spans="1:2" ht="12.75" customHeight="1" x14ac:dyDescent="0.25">
      <c r="A553" s="1"/>
      <c r="B553" s="1"/>
    </row>
    <row r="554" spans="1:2" ht="12.75" customHeight="1" x14ac:dyDescent="0.25">
      <c r="A554" s="1"/>
      <c r="B554" s="1"/>
    </row>
    <row r="555" spans="1:2" ht="12.75" customHeight="1" x14ac:dyDescent="0.25">
      <c r="A555" s="1"/>
      <c r="B555" s="1"/>
    </row>
    <row r="556" spans="1:2" ht="12.75" customHeight="1" x14ac:dyDescent="0.25">
      <c r="A556" s="1"/>
      <c r="B556" s="1"/>
    </row>
    <row r="557" spans="1:2" ht="12.75" customHeight="1" x14ac:dyDescent="0.25">
      <c r="A557" s="1"/>
      <c r="B557" s="1"/>
    </row>
    <row r="558" spans="1:2" ht="12.75" customHeight="1" x14ac:dyDescent="0.25">
      <c r="A558" s="1"/>
      <c r="B558" s="1"/>
    </row>
    <row r="559" spans="1:2" ht="12.75" customHeight="1" x14ac:dyDescent="0.25">
      <c r="A559" s="1"/>
      <c r="B559" s="1"/>
    </row>
    <row r="560" spans="1:2" ht="12.75" customHeight="1" x14ac:dyDescent="0.25">
      <c r="A560" s="1"/>
      <c r="B560" s="1"/>
    </row>
    <row r="561" spans="1:2" ht="12.75" customHeight="1" x14ac:dyDescent="0.25">
      <c r="A561" s="1"/>
      <c r="B561" s="1"/>
    </row>
    <row r="562" spans="1:2" ht="12.75" customHeight="1" x14ac:dyDescent="0.25">
      <c r="A562" s="1"/>
      <c r="B562" s="1"/>
    </row>
    <row r="563" spans="1:2" ht="12.75" customHeight="1" x14ac:dyDescent="0.25">
      <c r="A563" s="1"/>
      <c r="B563" s="1"/>
    </row>
    <row r="564" spans="1:2" ht="12.75" customHeight="1" x14ac:dyDescent="0.25">
      <c r="A564" s="1"/>
      <c r="B564" s="1"/>
    </row>
    <row r="565" spans="1:2" ht="12.75" customHeight="1" x14ac:dyDescent="0.25">
      <c r="A565" s="1"/>
      <c r="B565" s="1"/>
    </row>
    <row r="566" spans="1:2" ht="12.75" customHeight="1" x14ac:dyDescent="0.25">
      <c r="A566" s="1"/>
      <c r="B566" s="1"/>
    </row>
    <row r="567" spans="1:2" ht="12.75" customHeight="1" x14ac:dyDescent="0.25">
      <c r="A567" s="1"/>
      <c r="B567" s="1"/>
    </row>
    <row r="568" spans="1:2" ht="12.75" customHeight="1" x14ac:dyDescent="0.25">
      <c r="A568" s="1"/>
      <c r="B568" s="1"/>
    </row>
    <row r="569" spans="1:2" ht="12.75" customHeight="1" x14ac:dyDescent="0.25">
      <c r="A569" s="1"/>
      <c r="B569" s="1"/>
    </row>
    <row r="570" spans="1:2" ht="12.75" customHeight="1" x14ac:dyDescent="0.25">
      <c r="A570" s="1"/>
      <c r="B570" s="1"/>
    </row>
    <row r="571" spans="1:2" ht="12.75" customHeight="1" x14ac:dyDescent="0.25">
      <c r="A571" s="1"/>
      <c r="B571" s="1"/>
    </row>
    <row r="572" spans="1:2" ht="12.75" customHeight="1" x14ac:dyDescent="0.25">
      <c r="A572" s="1"/>
      <c r="B572" s="1"/>
    </row>
    <row r="573" spans="1:2" ht="12.75" customHeight="1" x14ac:dyDescent="0.25">
      <c r="A573" s="1"/>
      <c r="B573" s="1"/>
    </row>
    <row r="574" spans="1:2" ht="12.75" customHeight="1" x14ac:dyDescent="0.25">
      <c r="A574" s="1"/>
      <c r="B574" s="1"/>
    </row>
    <row r="575" spans="1:2" ht="12.75" customHeight="1" x14ac:dyDescent="0.25">
      <c r="A575" s="1"/>
      <c r="B575" s="1"/>
    </row>
    <row r="576" spans="1:2" ht="12.75" customHeight="1" x14ac:dyDescent="0.25">
      <c r="A576" s="1"/>
      <c r="B576" s="1"/>
    </row>
    <row r="577" spans="1:2" ht="12.75" customHeight="1" x14ac:dyDescent="0.25">
      <c r="A577" s="1"/>
      <c r="B577" s="1"/>
    </row>
    <row r="578" spans="1:2" ht="12.75" customHeight="1" x14ac:dyDescent="0.25">
      <c r="A578" s="1"/>
      <c r="B578" s="1"/>
    </row>
    <row r="579" spans="1:2" ht="12.75" customHeight="1" x14ac:dyDescent="0.25">
      <c r="A579" s="1"/>
      <c r="B579" s="1"/>
    </row>
    <row r="580" spans="1:2" ht="12.75" customHeight="1" x14ac:dyDescent="0.25">
      <c r="A580" s="1"/>
      <c r="B580" s="1"/>
    </row>
    <row r="581" spans="1:2" ht="12.75" customHeight="1" x14ac:dyDescent="0.25">
      <c r="A581" s="1"/>
      <c r="B581" s="1"/>
    </row>
    <row r="582" spans="1:2" ht="12.75" customHeight="1" x14ac:dyDescent="0.25">
      <c r="A582" s="1"/>
      <c r="B582" s="1"/>
    </row>
    <row r="583" spans="1:2" ht="12.75" customHeight="1" x14ac:dyDescent="0.25">
      <c r="A583" s="1"/>
      <c r="B583" s="1"/>
    </row>
    <row r="584" spans="1:2" ht="12.75" customHeight="1" x14ac:dyDescent="0.25">
      <c r="A584" s="1"/>
      <c r="B584" s="1"/>
    </row>
    <row r="585" spans="1:2" ht="12.75" customHeight="1" x14ac:dyDescent="0.25">
      <c r="A585" s="1"/>
      <c r="B585" s="1"/>
    </row>
    <row r="586" spans="1:2" ht="12.75" customHeight="1" x14ac:dyDescent="0.25">
      <c r="A586" s="1"/>
      <c r="B586" s="1"/>
    </row>
    <row r="587" spans="1:2" ht="12.75" customHeight="1" x14ac:dyDescent="0.25">
      <c r="A587" s="1"/>
      <c r="B587" s="1"/>
    </row>
    <row r="588" spans="1:2" ht="12.75" customHeight="1" x14ac:dyDescent="0.25">
      <c r="A588" s="1"/>
      <c r="B588" s="1"/>
    </row>
    <row r="589" spans="1:2" ht="12.75" customHeight="1" x14ac:dyDescent="0.25">
      <c r="A589" s="1"/>
      <c r="B589" s="1"/>
    </row>
    <row r="590" spans="1:2" ht="12.75" customHeight="1" x14ac:dyDescent="0.25">
      <c r="A590" s="1"/>
      <c r="B590" s="1"/>
    </row>
    <row r="591" spans="1:2" ht="12.75" customHeight="1" x14ac:dyDescent="0.25">
      <c r="A591" s="1"/>
      <c r="B591" s="1"/>
    </row>
    <row r="592" spans="1:2" ht="12.75" customHeight="1" x14ac:dyDescent="0.25">
      <c r="A592" s="1"/>
      <c r="B592" s="1"/>
    </row>
    <row r="593" spans="1:2" ht="12.75" customHeight="1" x14ac:dyDescent="0.25">
      <c r="A593" s="1"/>
      <c r="B593" s="1"/>
    </row>
    <row r="594" spans="1:2" ht="12.75" customHeight="1" x14ac:dyDescent="0.25">
      <c r="A594" s="1"/>
      <c r="B594" s="1"/>
    </row>
    <row r="595" spans="1:2" ht="12.75" customHeight="1" x14ac:dyDescent="0.25">
      <c r="A595" s="1"/>
      <c r="B595" s="1"/>
    </row>
    <row r="596" spans="1:2" ht="12.75" customHeight="1" x14ac:dyDescent="0.25">
      <c r="A596" s="1"/>
      <c r="B596" s="1"/>
    </row>
    <row r="597" spans="1:2" ht="12.75" customHeight="1" x14ac:dyDescent="0.25">
      <c r="A597" s="1"/>
      <c r="B597" s="1"/>
    </row>
    <row r="598" spans="1:2" ht="12.75" customHeight="1" x14ac:dyDescent="0.25">
      <c r="A598" s="1"/>
      <c r="B598" s="1"/>
    </row>
    <row r="599" spans="1:2" ht="12.75" customHeight="1" x14ac:dyDescent="0.25">
      <c r="A599" s="1"/>
      <c r="B599" s="1"/>
    </row>
    <row r="600" spans="1:2" ht="12.75" customHeight="1" x14ac:dyDescent="0.25">
      <c r="A600" s="1"/>
      <c r="B600" s="1"/>
    </row>
    <row r="601" spans="1:2" ht="12.75" customHeight="1" x14ac:dyDescent="0.25">
      <c r="A601" s="1"/>
      <c r="B601" s="1"/>
    </row>
    <row r="602" spans="1:2" ht="12.75" customHeight="1" x14ac:dyDescent="0.25">
      <c r="A602" s="1"/>
      <c r="B602" s="1"/>
    </row>
    <row r="603" spans="1:2" ht="12.75" customHeight="1" x14ac:dyDescent="0.25">
      <c r="A603" s="1"/>
      <c r="B603" s="1"/>
    </row>
    <row r="604" spans="1:2" ht="12.75" customHeight="1" x14ac:dyDescent="0.25">
      <c r="A604" s="1"/>
      <c r="B604" s="1"/>
    </row>
    <row r="605" spans="1:2" ht="12.75" customHeight="1" x14ac:dyDescent="0.25">
      <c r="A605" s="1"/>
      <c r="B605" s="1"/>
    </row>
    <row r="606" spans="1:2" ht="12.75" customHeight="1" x14ac:dyDescent="0.25">
      <c r="A606" s="1"/>
      <c r="B606" s="1"/>
    </row>
    <row r="607" spans="1:2" ht="12.75" customHeight="1" x14ac:dyDescent="0.25">
      <c r="A607" s="1"/>
      <c r="B607" s="1"/>
    </row>
    <row r="608" spans="1:2" ht="12.75" customHeight="1" x14ac:dyDescent="0.25">
      <c r="A608" s="1"/>
      <c r="B608" s="1"/>
    </row>
    <row r="609" spans="1:2" ht="12.75" customHeight="1" x14ac:dyDescent="0.25">
      <c r="A609" s="1"/>
      <c r="B609" s="1"/>
    </row>
    <row r="610" spans="1:2" ht="12.75" customHeight="1" x14ac:dyDescent="0.25">
      <c r="A610" s="1"/>
      <c r="B610" s="1"/>
    </row>
    <row r="611" spans="1:2" ht="12.75" customHeight="1" x14ac:dyDescent="0.25">
      <c r="A611" s="1"/>
      <c r="B611" s="1"/>
    </row>
    <row r="612" spans="1:2" ht="12.75" customHeight="1" x14ac:dyDescent="0.25">
      <c r="A612" s="1"/>
      <c r="B612" s="1"/>
    </row>
    <row r="613" spans="1:2" ht="12.75" customHeight="1" x14ac:dyDescent="0.25">
      <c r="A613" s="1"/>
      <c r="B613" s="1"/>
    </row>
    <row r="614" spans="1:2" ht="12.75" customHeight="1" x14ac:dyDescent="0.25">
      <c r="A614" s="1"/>
      <c r="B614" s="1"/>
    </row>
    <row r="615" spans="1:2" ht="12.75" customHeight="1" x14ac:dyDescent="0.25">
      <c r="A615" s="1"/>
      <c r="B615" s="1"/>
    </row>
    <row r="616" spans="1:2" ht="12.75" customHeight="1" x14ac:dyDescent="0.25">
      <c r="A616" s="1"/>
      <c r="B616" s="1"/>
    </row>
    <row r="617" spans="1:2" ht="12.75" customHeight="1" x14ac:dyDescent="0.25">
      <c r="A617" s="1"/>
      <c r="B617" s="1"/>
    </row>
    <row r="618" spans="1:2" ht="12.75" customHeight="1" x14ac:dyDescent="0.25">
      <c r="A618" s="1"/>
      <c r="B618" s="1"/>
    </row>
    <row r="619" spans="1:2" ht="12.75" customHeight="1" x14ac:dyDescent="0.25">
      <c r="A619" s="1"/>
      <c r="B619" s="1"/>
    </row>
    <row r="620" spans="1:2" ht="12.75" customHeight="1" x14ac:dyDescent="0.25">
      <c r="A620" s="1"/>
      <c r="B620" s="1"/>
    </row>
    <row r="621" spans="1:2" ht="12.75" customHeight="1" x14ac:dyDescent="0.25">
      <c r="A621" s="1"/>
      <c r="B621" s="1"/>
    </row>
    <row r="622" spans="1:2" ht="12.75" customHeight="1" x14ac:dyDescent="0.25">
      <c r="A622" s="1"/>
      <c r="B622" s="1"/>
    </row>
    <row r="623" spans="1:2" ht="12.75" customHeight="1" x14ac:dyDescent="0.25">
      <c r="A623" s="1"/>
      <c r="B623" s="1"/>
    </row>
    <row r="624" spans="1:2" ht="12.75" customHeight="1" x14ac:dyDescent="0.25">
      <c r="A624" s="1"/>
      <c r="B624" s="1"/>
    </row>
    <row r="625" spans="1:2" ht="12.75" customHeight="1" x14ac:dyDescent="0.25">
      <c r="A625" s="1"/>
      <c r="B625" s="1"/>
    </row>
    <row r="626" spans="1:2" ht="12.75" customHeight="1" x14ac:dyDescent="0.25">
      <c r="A626" s="1"/>
      <c r="B626" s="1"/>
    </row>
    <row r="627" spans="1:2" ht="12.75" customHeight="1" x14ac:dyDescent="0.25">
      <c r="A627" s="1"/>
      <c r="B627" s="1"/>
    </row>
    <row r="628" spans="1:2" ht="12.75" customHeight="1" x14ac:dyDescent="0.25">
      <c r="A628" s="1"/>
      <c r="B628" s="1"/>
    </row>
    <row r="629" spans="1:2" ht="12.75" customHeight="1" x14ac:dyDescent="0.25">
      <c r="A629" s="1"/>
      <c r="B629" s="1"/>
    </row>
    <row r="630" spans="1:2" ht="12.75" customHeight="1" x14ac:dyDescent="0.25">
      <c r="A630" s="1"/>
      <c r="B630" s="1"/>
    </row>
    <row r="631" spans="1:2" ht="12.75" customHeight="1" x14ac:dyDescent="0.25">
      <c r="A631" s="1"/>
      <c r="B631" s="1"/>
    </row>
    <row r="632" spans="1:2" ht="12.75" customHeight="1" x14ac:dyDescent="0.25">
      <c r="A632" s="1"/>
      <c r="B632" s="1"/>
    </row>
    <row r="633" spans="1:2" ht="12.75" customHeight="1" x14ac:dyDescent="0.25">
      <c r="A633" s="1"/>
      <c r="B633" s="1"/>
    </row>
    <row r="634" spans="1:2" ht="12.75" customHeight="1" x14ac:dyDescent="0.25">
      <c r="A634" s="1"/>
      <c r="B634" s="1"/>
    </row>
    <row r="635" spans="1:2" ht="12.75" customHeight="1" x14ac:dyDescent="0.25">
      <c r="A635" s="1"/>
      <c r="B635" s="1"/>
    </row>
    <row r="636" spans="1:2" ht="12.75" customHeight="1" x14ac:dyDescent="0.25">
      <c r="A636" s="1"/>
      <c r="B636" s="1"/>
    </row>
    <row r="637" spans="1:2" ht="12.75" customHeight="1" x14ac:dyDescent="0.25">
      <c r="A637" s="1"/>
      <c r="B637" s="1"/>
    </row>
    <row r="638" spans="1:2" ht="12.75" customHeight="1" x14ac:dyDescent="0.25">
      <c r="A638" s="1"/>
      <c r="B638" s="1"/>
    </row>
    <row r="639" spans="1:2" ht="12.75" customHeight="1" x14ac:dyDescent="0.25">
      <c r="A639" s="1"/>
      <c r="B639" s="1"/>
    </row>
    <row r="640" spans="1:2" ht="12.75" customHeight="1" x14ac:dyDescent="0.25">
      <c r="A640" s="1"/>
      <c r="B640" s="1"/>
    </row>
    <row r="641" spans="1:2" ht="12.75" customHeight="1" x14ac:dyDescent="0.25">
      <c r="A641" s="1"/>
      <c r="B641" s="1"/>
    </row>
    <row r="642" spans="1:2" ht="12.75" customHeight="1" x14ac:dyDescent="0.25">
      <c r="A642" s="1"/>
      <c r="B642" s="1"/>
    </row>
    <row r="643" spans="1:2" ht="12.75" customHeight="1" x14ac:dyDescent="0.25">
      <c r="A643" s="1"/>
      <c r="B643" s="1"/>
    </row>
    <row r="644" spans="1:2" ht="12.75" customHeight="1" x14ac:dyDescent="0.25">
      <c r="A644" s="1"/>
      <c r="B644" s="1"/>
    </row>
    <row r="645" spans="1:2" ht="12.75" customHeight="1" x14ac:dyDescent="0.25">
      <c r="A645" s="1"/>
      <c r="B645" s="1"/>
    </row>
    <row r="646" spans="1:2" ht="12.75" customHeight="1" x14ac:dyDescent="0.25">
      <c r="A646" s="1"/>
      <c r="B646" s="1"/>
    </row>
    <row r="647" spans="1:2" ht="12.75" customHeight="1" x14ac:dyDescent="0.25">
      <c r="A647" s="1"/>
      <c r="B647" s="1"/>
    </row>
    <row r="648" spans="1:2" ht="12.75" customHeight="1" x14ac:dyDescent="0.25">
      <c r="A648" s="1"/>
      <c r="B648" s="1"/>
    </row>
    <row r="649" spans="1:2" ht="12.75" customHeight="1" x14ac:dyDescent="0.25">
      <c r="A649" s="1"/>
      <c r="B649" s="1"/>
    </row>
    <row r="650" spans="1:2" ht="12.75" customHeight="1" x14ac:dyDescent="0.25">
      <c r="A650" s="1"/>
      <c r="B650" s="1"/>
    </row>
    <row r="651" spans="1:2" ht="12.75" customHeight="1" x14ac:dyDescent="0.25">
      <c r="A651" s="1"/>
      <c r="B651" s="1"/>
    </row>
    <row r="652" spans="1:2" ht="12.75" customHeight="1" x14ac:dyDescent="0.25">
      <c r="A652" s="1"/>
      <c r="B652" s="1"/>
    </row>
    <row r="653" spans="1:2" ht="12.75" customHeight="1" x14ac:dyDescent="0.25">
      <c r="A653" s="1"/>
      <c r="B653" s="1"/>
    </row>
    <row r="654" spans="1:2" ht="12.75" customHeight="1" x14ac:dyDescent="0.25">
      <c r="A654" s="1"/>
      <c r="B654" s="1"/>
    </row>
    <row r="655" spans="1:2" ht="12.75" customHeight="1" x14ac:dyDescent="0.25">
      <c r="A655" s="1"/>
      <c r="B655" s="1"/>
    </row>
    <row r="656" spans="1:2" ht="12.75" customHeight="1" x14ac:dyDescent="0.25">
      <c r="A656" s="1"/>
      <c r="B656" s="1"/>
    </row>
    <row r="657" spans="1:2" ht="12.75" customHeight="1" x14ac:dyDescent="0.25">
      <c r="A657" s="1"/>
      <c r="B657" s="1"/>
    </row>
    <row r="658" spans="1:2" ht="12.75" customHeight="1" x14ac:dyDescent="0.25">
      <c r="A658" s="1"/>
      <c r="B658" s="1"/>
    </row>
    <row r="659" spans="1:2" ht="12.75" customHeight="1" x14ac:dyDescent="0.25">
      <c r="A659" s="1"/>
      <c r="B659" s="1"/>
    </row>
    <row r="660" spans="1:2" ht="12.75" customHeight="1" x14ac:dyDescent="0.25">
      <c r="A660" s="1"/>
      <c r="B660" s="1"/>
    </row>
    <row r="661" spans="1:2" ht="12.75" customHeight="1" x14ac:dyDescent="0.25">
      <c r="A661" s="1"/>
      <c r="B661" s="1"/>
    </row>
    <row r="662" spans="1:2" ht="12.75" customHeight="1" x14ac:dyDescent="0.25">
      <c r="A662" s="1"/>
      <c r="B662" s="1"/>
    </row>
    <row r="663" spans="1:2" ht="12.75" customHeight="1" x14ac:dyDescent="0.25">
      <c r="A663" s="1"/>
      <c r="B663" s="1"/>
    </row>
    <row r="664" spans="1:2" ht="12.75" customHeight="1" x14ac:dyDescent="0.25">
      <c r="A664" s="1"/>
      <c r="B664" s="1"/>
    </row>
    <row r="665" spans="1:2" ht="12.75" customHeight="1" x14ac:dyDescent="0.25">
      <c r="A665" s="1"/>
      <c r="B665" s="1"/>
    </row>
    <row r="666" spans="1:2" ht="12.75" customHeight="1" x14ac:dyDescent="0.25">
      <c r="A666" s="1"/>
      <c r="B666" s="1"/>
    </row>
    <row r="667" spans="1:2" ht="12.75" customHeight="1" x14ac:dyDescent="0.25">
      <c r="A667" s="1"/>
      <c r="B667" s="1"/>
    </row>
    <row r="668" spans="1:2" ht="12.75" customHeight="1" x14ac:dyDescent="0.25">
      <c r="A668" s="1"/>
      <c r="B668" s="1"/>
    </row>
    <row r="669" spans="1:2" ht="12.75" customHeight="1" x14ac:dyDescent="0.25">
      <c r="A669" s="1"/>
      <c r="B669" s="1"/>
    </row>
    <row r="670" spans="1:2" ht="12.75" customHeight="1" x14ac:dyDescent="0.25">
      <c r="A670" s="1"/>
      <c r="B670" s="1"/>
    </row>
    <row r="671" spans="1:2" ht="12.75" customHeight="1" x14ac:dyDescent="0.25">
      <c r="A671" s="1"/>
      <c r="B671" s="1"/>
    </row>
    <row r="672" spans="1:2" ht="12.75" customHeight="1" x14ac:dyDescent="0.25">
      <c r="A672" s="1"/>
      <c r="B672" s="1"/>
    </row>
    <row r="673" spans="1:2" ht="12.75" customHeight="1" x14ac:dyDescent="0.25">
      <c r="A673" s="1"/>
      <c r="B673" s="1"/>
    </row>
    <row r="674" spans="1:2" ht="12.75" customHeight="1" x14ac:dyDescent="0.25">
      <c r="A674" s="1"/>
      <c r="B674" s="1"/>
    </row>
    <row r="675" spans="1:2" ht="12.75" customHeight="1" x14ac:dyDescent="0.25">
      <c r="A675" s="1"/>
      <c r="B675" s="1"/>
    </row>
    <row r="676" spans="1:2" ht="12.75" customHeight="1" x14ac:dyDescent="0.25">
      <c r="A676" s="1"/>
      <c r="B676" s="1"/>
    </row>
    <row r="677" spans="1:2" ht="12.75" customHeight="1" x14ac:dyDescent="0.25">
      <c r="A677" s="1"/>
      <c r="B677" s="1"/>
    </row>
    <row r="678" spans="1:2" ht="12.75" customHeight="1" x14ac:dyDescent="0.25">
      <c r="A678" s="1"/>
      <c r="B678" s="1"/>
    </row>
    <row r="679" spans="1:2" ht="12.75" customHeight="1" x14ac:dyDescent="0.25">
      <c r="A679" s="1"/>
      <c r="B679" s="1"/>
    </row>
    <row r="680" spans="1:2" ht="12.75" customHeight="1" x14ac:dyDescent="0.25">
      <c r="A680" s="1"/>
      <c r="B680" s="1"/>
    </row>
    <row r="681" spans="1:2" ht="12.75" customHeight="1" x14ac:dyDescent="0.25">
      <c r="A681" s="1"/>
      <c r="B681" s="1"/>
    </row>
    <row r="682" spans="1:2" ht="12.75" customHeight="1" x14ac:dyDescent="0.25">
      <c r="A682" s="1"/>
      <c r="B682" s="1"/>
    </row>
    <row r="683" spans="1:2" ht="12.75" customHeight="1" x14ac:dyDescent="0.25">
      <c r="A683" s="1"/>
      <c r="B683" s="1"/>
    </row>
    <row r="684" spans="1:2" ht="12.75" customHeight="1" x14ac:dyDescent="0.25">
      <c r="A684" s="1"/>
      <c r="B684" s="1"/>
    </row>
    <row r="685" spans="1:2" ht="12.75" customHeight="1" x14ac:dyDescent="0.25">
      <c r="A685" s="1"/>
      <c r="B685" s="1"/>
    </row>
    <row r="686" spans="1:2" ht="12.75" customHeight="1" x14ac:dyDescent="0.25">
      <c r="A686" s="1"/>
      <c r="B686" s="1"/>
    </row>
    <row r="687" spans="1:2" ht="12.75" customHeight="1" x14ac:dyDescent="0.25">
      <c r="A687" s="1"/>
      <c r="B687" s="1"/>
    </row>
    <row r="688" spans="1:2" ht="12.75" customHeight="1" x14ac:dyDescent="0.25">
      <c r="A688" s="1"/>
      <c r="B688" s="1"/>
    </row>
    <row r="689" spans="1:2" ht="12.75" customHeight="1" x14ac:dyDescent="0.25">
      <c r="A689" s="1"/>
      <c r="B689" s="1"/>
    </row>
    <row r="690" spans="1:2" ht="12.75" customHeight="1" x14ac:dyDescent="0.25">
      <c r="A690" s="1"/>
      <c r="B690" s="1"/>
    </row>
    <row r="691" spans="1:2" ht="12.75" customHeight="1" x14ac:dyDescent="0.25">
      <c r="A691" s="1"/>
      <c r="B691" s="1"/>
    </row>
    <row r="692" spans="1:2" ht="12.75" customHeight="1" x14ac:dyDescent="0.25">
      <c r="A692" s="1"/>
      <c r="B692" s="1"/>
    </row>
    <row r="693" spans="1:2" ht="12.75" customHeight="1" x14ac:dyDescent="0.25">
      <c r="A693" s="1"/>
      <c r="B693" s="1"/>
    </row>
    <row r="694" spans="1:2" ht="12.75" customHeight="1" x14ac:dyDescent="0.25">
      <c r="A694" s="1"/>
      <c r="B694" s="1"/>
    </row>
    <row r="695" spans="1:2" ht="12.75" customHeight="1" x14ac:dyDescent="0.25">
      <c r="A695" s="1"/>
      <c r="B695" s="1"/>
    </row>
    <row r="696" spans="1:2" ht="12.75" customHeight="1" x14ac:dyDescent="0.25">
      <c r="A696" s="1"/>
      <c r="B696" s="1"/>
    </row>
    <row r="697" spans="1:2" ht="12.75" customHeight="1" x14ac:dyDescent="0.25">
      <c r="A697" s="1"/>
      <c r="B697" s="1"/>
    </row>
    <row r="698" spans="1:2" ht="12.75" customHeight="1" x14ac:dyDescent="0.25">
      <c r="A698" s="1"/>
      <c r="B698" s="1"/>
    </row>
    <row r="699" spans="1:2" ht="12.75" customHeight="1" x14ac:dyDescent="0.25">
      <c r="A699" s="1"/>
      <c r="B699" s="1"/>
    </row>
    <row r="700" spans="1:2" ht="12.75" customHeight="1" x14ac:dyDescent="0.25">
      <c r="A700" s="1"/>
      <c r="B700" s="1"/>
    </row>
    <row r="701" spans="1:2" ht="12.75" customHeight="1" x14ac:dyDescent="0.25">
      <c r="A701" s="1"/>
      <c r="B701" s="1"/>
    </row>
    <row r="702" spans="1:2" ht="12.75" customHeight="1" x14ac:dyDescent="0.25">
      <c r="A702" s="1"/>
      <c r="B702" s="1"/>
    </row>
    <row r="703" spans="1:2" ht="12.75" customHeight="1" x14ac:dyDescent="0.25">
      <c r="A703" s="1"/>
      <c r="B703" s="1"/>
    </row>
    <row r="704" spans="1:2" ht="12.75" customHeight="1" x14ac:dyDescent="0.25">
      <c r="A704" s="1"/>
      <c r="B704" s="1"/>
    </row>
    <row r="705" spans="1:2" ht="12.75" customHeight="1" x14ac:dyDescent="0.25">
      <c r="A705" s="1"/>
      <c r="B705" s="1"/>
    </row>
    <row r="706" spans="1:2" ht="12.75" customHeight="1" x14ac:dyDescent="0.25">
      <c r="A706" s="1"/>
      <c r="B706" s="1"/>
    </row>
    <row r="707" spans="1:2" ht="12.75" customHeight="1" x14ac:dyDescent="0.25">
      <c r="A707" s="1"/>
      <c r="B707" s="1"/>
    </row>
    <row r="708" spans="1:2" ht="12.75" customHeight="1" x14ac:dyDescent="0.25">
      <c r="A708" s="1"/>
      <c r="B708" s="1"/>
    </row>
    <row r="709" spans="1:2" ht="12.75" customHeight="1" x14ac:dyDescent="0.25">
      <c r="A709" s="1"/>
      <c r="B709" s="1"/>
    </row>
    <row r="710" spans="1:2" ht="12.75" customHeight="1" x14ac:dyDescent="0.25">
      <c r="A710" s="1"/>
      <c r="B710" s="1"/>
    </row>
    <row r="711" spans="1:2" ht="12.75" customHeight="1" x14ac:dyDescent="0.25">
      <c r="A711" s="1"/>
      <c r="B711" s="1"/>
    </row>
    <row r="712" spans="1:2" ht="12.75" customHeight="1" x14ac:dyDescent="0.25">
      <c r="A712" s="1"/>
      <c r="B712" s="1"/>
    </row>
    <row r="713" spans="1:2" ht="12.75" customHeight="1" x14ac:dyDescent="0.25">
      <c r="A713" s="1"/>
      <c r="B713" s="1"/>
    </row>
    <row r="714" spans="1:2" ht="12.75" customHeight="1" x14ac:dyDescent="0.25">
      <c r="A714" s="1"/>
      <c r="B714" s="1"/>
    </row>
    <row r="715" spans="1:2" ht="12.75" customHeight="1" x14ac:dyDescent="0.25">
      <c r="A715" s="1"/>
      <c r="B715" s="1"/>
    </row>
    <row r="716" spans="1:2" ht="12.75" customHeight="1" x14ac:dyDescent="0.25">
      <c r="A716" s="1"/>
      <c r="B716" s="1"/>
    </row>
    <row r="717" spans="1:2" ht="12.75" customHeight="1" x14ac:dyDescent="0.25">
      <c r="A717" s="1"/>
      <c r="B717" s="1"/>
    </row>
    <row r="718" spans="1:2" ht="12.75" customHeight="1" x14ac:dyDescent="0.25">
      <c r="A718" s="1"/>
      <c r="B718" s="1"/>
    </row>
    <row r="719" spans="1:2" ht="12.75" customHeight="1" x14ac:dyDescent="0.25">
      <c r="A719" s="1"/>
      <c r="B719" s="1"/>
    </row>
    <row r="720" spans="1:2" ht="12.75" customHeight="1" x14ac:dyDescent="0.25">
      <c r="A720" s="1"/>
      <c r="B720" s="1"/>
    </row>
    <row r="721" spans="1:2" ht="12.75" customHeight="1" x14ac:dyDescent="0.25">
      <c r="A721" s="1"/>
      <c r="B721" s="1"/>
    </row>
    <row r="722" spans="1:2" ht="12.75" customHeight="1" x14ac:dyDescent="0.25">
      <c r="A722" s="1"/>
      <c r="B722" s="1"/>
    </row>
    <row r="723" spans="1:2" ht="12.75" customHeight="1" x14ac:dyDescent="0.25">
      <c r="A723" s="1"/>
      <c r="B723" s="1"/>
    </row>
    <row r="724" spans="1:2" ht="12.75" customHeight="1" x14ac:dyDescent="0.25">
      <c r="A724" s="1"/>
      <c r="B724" s="1"/>
    </row>
    <row r="725" spans="1:2" ht="12.75" customHeight="1" x14ac:dyDescent="0.25">
      <c r="A725" s="1"/>
      <c r="B725" s="1"/>
    </row>
    <row r="726" spans="1:2" ht="12.75" customHeight="1" x14ac:dyDescent="0.25">
      <c r="A726" s="1"/>
      <c r="B726" s="1"/>
    </row>
    <row r="727" spans="1:2" ht="12.75" customHeight="1" x14ac:dyDescent="0.25">
      <c r="A727" s="1"/>
      <c r="B727" s="1"/>
    </row>
    <row r="728" spans="1:2" ht="12.75" customHeight="1" x14ac:dyDescent="0.25">
      <c r="A728" s="1"/>
      <c r="B728" s="1"/>
    </row>
    <row r="729" spans="1:2" ht="12.75" customHeight="1" x14ac:dyDescent="0.25">
      <c r="A729" s="1"/>
      <c r="B729" s="1"/>
    </row>
    <row r="730" spans="1:2" ht="12.75" customHeight="1" x14ac:dyDescent="0.25">
      <c r="A730" s="1"/>
      <c r="B730" s="1"/>
    </row>
    <row r="731" spans="1:2" ht="12.75" customHeight="1" x14ac:dyDescent="0.25">
      <c r="A731" s="1"/>
      <c r="B731" s="1"/>
    </row>
    <row r="732" spans="1:2" ht="12.75" customHeight="1" x14ac:dyDescent="0.25">
      <c r="A732" s="1"/>
      <c r="B732" s="1"/>
    </row>
    <row r="733" spans="1:2" ht="12.75" customHeight="1" x14ac:dyDescent="0.25">
      <c r="A733" s="1"/>
      <c r="B733" s="1"/>
    </row>
    <row r="734" spans="1:2" ht="12.75" customHeight="1" x14ac:dyDescent="0.25">
      <c r="A734" s="1"/>
      <c r="B734" s="1"/>
    </row>
    <row r="735" spans="1:2" ht="12.75" customHeight="1" x14ac:dyDescent="0.25">
      <c r="A735" s="1"/>
      <c r="B735" s="1"/>
    </row>
    <row r="736" spans="1:2" ht="12.75" customHeight="1" x14ac:dyDescent="0.25">
      <c r="A736" s="1"/>
      <c r="B736" s="1"/>
    </row>
    <row r="737" spans="1:2" ht="12.75" customHeight="1" x14ac:dyDescent="0.25">
      <c r="A737" s="1"/>
      <c r="B737" s="1"/>
    </row>
    <row r="738" spans="1:2" ht="12.75" customHeight="1" x14ac:dyDescent="0.25">
      <c r="A738" s="1"/>
      <c r="B738" s="1"/>
    </row>
    <row r="739" spans="1:2" ht="12.75" customHeight="1" x14ac:dyDescent="0.25">
      <c r="A739" s="1"/>
      <c r="B739" s="1"/>
    </row>
    <row r="740" spans="1:2" ht="12.75" customHeight="1" x14ac:dyDescent="0.25">
      <c r="A740" s="1"/>
      <c r="B740" s="1"/>
    </row>
    <row r="741" spans="1:2" ht="12.75" customHeight="1" x14ac:dyDescent="0.25">
      <c r="A741" s="1"/>
      <c r="B741" s="1"/>
    </row>
    <row r="742" spans="1:2" ht="12.75" customHeight="1" x14ac:dyDescent="0.25">
      <c r="A742" s="1"/>
      <c r="B742" s="1"/>
    </row>
    <row r="743" spans="1:2" ht="12.75" customHeight="1" x14ac:dyDescent="0.25">
      <c r="A743" s="1"/>
      <c r="B743" s="1"/>
    </row>
    <row r="744" spans="1:2" ht="12.75" customHeight="1" x14ac:dyDescent="0.25">
      <c r="A744" s="1"/>
      <c r="B744" s="1"/>
    </row>
    <row r="745" spans="1:2" ht="12.75" customHeight="1" x14ac:dyDescent="0.25">
      <c r="A745" s="1"/>
      <c r="B745" s="1"/>
    </row>
    <row r="746" spans="1:2" ht="12.75" customHeight="1" x14ac:dyDescent="0.25">
      <c r="A746" s="1"/>
      <c r="B746" s="1"/>
    </row>
    <row r="747" spans="1:2" ht="12.75" customHeight="1" x14ac:dyDescent="0.25">
      <c r="A747" s="1"/>
      <c r="B747" s="1"/>
    </row>
    <row r="748" spans="1:2" ht="12.75" customHeight="1" x14ac:dyDescent="0.25">
      <c r="A748" s="1"/>
      <c r="B748" s="1"/>
    </row>
    <row r="749" spans="1:2" ht="12.75" customHeight="1" x14ac:dyDescent="0.25">
      <c r="A749" s="1"/>
      <c r="B749" s="1"/>
    </row>
    <row r="750" spans="1:2" ht="12.75" customHeight="1" x14ac:dyDescent="0.25">
      <c r="A750" s="1"/>
      <c r="B750" s="1"/>
    </row>
    <row r="751" spans="1:2" ht="12.75" customHeight="1" x14ac:dyDescent="0.25">
      <c r="A751" s="1"/>
      <c r="B751" s="1"/>
    </row>
    <row r="752" spans="1:2" ht="12.75" customHeight="1" x14ac:dyDescent="0.25">
      <c r="A752" s="1"/>
      <c r="B752" s="1"/>
    </row>
    <row r="753" spans="1:2" ht="12.75" customHeight="1" x14ac:dyDescent="0.25">
      <c r="A753" s="1"/>
      <c r="B753" s="1"/>
    </row>
    <row r="754" spans="1:2" ht="12.75" customHeight="1" x14ac:dyDescent="0.25">
      <c r="A754" s="1"/>
      <c r="B754" s="1"/>
    </row>
    <row r="755" spans="1:2" ht="12.75" customHeight="1" x14ac:dyDescent="0.25">
      <c r="A755" s="1"/>
      <c r="B755" s="1"/>
    </row>
    <row r="756" spans="1:2" ht="12.75" customHeight="1" x14ac:dyDescent="0.25">
      <c r="A756" s="1"/>
      <c r="B756" s="1"/>
    </row>
    <row r="757" spans="1:2" ht="12.75" customHeight="1" x14ac:dyDescent="0.25">
      <c r="A757" s="1"/>
      <c r="B757" s="1"/>
    </row>
    <row r="758" spans="1:2" ht="12.75" customHeight="1" x14ac:dyDescent="0.25">
      <c r="A758" s="1"/>
      <c r="B758" s="1"/>
    </row>
    <row r="759" spans="1:2" ht="12.75" customHeight="1" x14ac:dyDescent="0.25">
      <c r="A759" s="1"/>
      <c r="B759" s="1"/>
    </row>
    <row r="760" spans="1:2" ht="12.75" customHeight="1" x14ac:dyDescent="0.25">
      <c r="A760" s="1"/>
      <c r="B760" s="1"/>
    </row>
    <row r="761" spans="1:2" ht="12.75" customHeight="1" x14ac:dyDescent="0.25">
      <c r="A761" s="1"/>
      <c r="B761" s="1"/>
    </row>
    <row r="762" spans="1:2" ht="12.75" customHeight="1" x14ac:dyDescent="0.25">
      <c r="A762" s="1"/>
      <c r="B762" s="1"/>
    </row>
    <row r="763" spans="1:2" ht="12.75" customHeight="1" x14ac:dyDescent="0.25">
      <c r="A763" s="1"/>
      <c r="B763" s="1"/>
    </row>
    <row r="764" spans="1:2" ht="12.75" customHeight="1" x14ac:dyDescent="0.25">
      <c r="A764" s="1"/>
      <c r="B764" s="1"/>
    </row>
    <row r="765" spans="1:2" ht="12.75" customHeight="1" x14ac:dyDescent="0.25">
      <c r="A765" s="1"/>
      <c r="B765" s="1"/>
    </row>
    <row r="766" spans="1:2" ht="12.75" customHeight="1" x14ac:dyDescent="0.25">
      <c r="A766" s="1"/>
      <c r="B766" s="1"/>
    </row>
    <row r="767" spans="1:2" ht="12.75" customHeight="1" x14ac:dyDescent="0.25">
      <c r="A767" s="1"/>
      <c r="B767" s="1"/>
    </row>
    <row r="768" spans="1:2" ht="12.75" customHeight="1" x14ac:dyDescent="0.25">
      <c r="A768" s="1"/>
      <c r="B768" s="1"/>
    </row>
    <row r="769" spans="1:2" ht="12.75" customHeight="1" x14ac:dyDescent="0.25">
      <c r="A769" s="1"/>
      <c r="B769" s="1"/>
    </row>
    <row r="770" spans="1:2" ht="12.75" customHeight="1" x14ac:dyDescent="0.25">
      <c r="A770" s="1"/>
      <c r="B770" s="1"/>
    </row>
    <row r="771" spans="1:2" ht="12.75" customHeight="1" x14ac:dyDescent="0.25">
      <c r="A771" s="1"/>
      <c r="B771" s="1"/>
    </row>
    <row r="772" spans="1:2" ht="12.75" customHeight="1" x14ac:dyDescent="0.25">
      <c r="A772" s="1"/>
      <c r="B772" s="1"/>
    </row>
    <row r="773" spans="1:2" ht="12.75" customHeight="1" x14ac:dyDescent="0.25">
      <c r="A773" s="1"/>
      <c r="B773" s="1"/>
    </row>
    <row r="774" spans="1:2" ht="12.75" customHeight="1" x14ac:dyDescent="0.25">
      <c r="A774" s="1"/>
      <c r="B774" s="1"/>
    </row>
    <row r="775" spans="1:2" ht="12.75" customHeight="1" x14ac:dyDescent="0.25">
      <c r="A775" s="1"/>
      <c r="B775" s="1"/>
    </row>
    <row r="776" spans="1:2" ht="12.75" customHeight="1" x14ac:dyDescent="0.25">
      <c r="A776" s="1"/>
      <c r="B776" s="1"/>
    </row>
    <row r="777" spans="1:2" ht="12.75" customHeight="1" x14ac:dyDescent="0.25">
      <c r="A777" s="1"/>
      <c r="B777" s="1"/>
    </row>
    <row r="778" spans="1:2" ht="12.75" customHeight="1" x14ac:dyDescent="0.25">
      <c r="A778" s="1"/>
      <c r="B778" s="1"/>
    </row>
    <row r="779" spans="1:2" ht="12.75" customHeight="1" x14ac:dyDescent="0.25">
      <c r="A779" s="1"/>
      <c r="B779" s="1"/>
    </row>
    <row r="780" spans="1:2" ht="12.75" customHeight="1" x14ac:dyDescent="0.25">
      <c r="A780" s="1"/>
      <c r="B780" s="1"/>
    </row>
    <row r="781" spans="1:2" ht="12.75" customHeight="1" x14ac:dyDescent="0.25">
      <c r="A781" s="1"/>
      <c r="B781" s="1"/>
    </row>
    <row r="782" spans="1:2" ht="12.75" customHeight="1" x14ac:dyDescent="0.25">
      <c r="A782" s="1"/>
      <c r="B782" s="1"/>
    </row>
    <row r="783" spans="1:2" ht="12.75" customHeight="1" x14ac:dyDescent="0.25">
      <c r="A783" s="1"/>
      <c r="B783" s="1"/>
    </row>
    <row r="784" spans="1:2" ht="12.75" customHeight="1" x14ac:dyDescent="0.25">
      <c r="A784" s="1"/>
      <c r="B784" s="1"/>
    </row>
    <row r="785" spans="1:2" ht="12.75" customHeight="1" x14ac:dyDescent="0.25">
      <c r="A785" s="1"/>
      <c r="B785" s="1"/>
    </row>
    <row r="786" spans="1:2" ht="12.75" customHeight="1" x14ac:dyDescent="0.25">
      <c r="A786" s="1"/>
      <c r="B786" s="1"/>
    </row>
    <row r="787" spans="1:2" ht="12.75" customHeight="1" x14ac:dyDescent="0.25">
      <c r="A787" s="1"/>
      <c r="B787" s="1"/>
    </row>
    <row r="788" spans="1:2" ht="12.75" customHeight="1" x14ac:dyDescent="0.25">
      <c r="A788" s="1"/>
      <c r="B788" s="1"/>
    </row>
    <row r="789" spans="1:2" ht="12.75" customHeight="1" x14ac:dyDescent="0.25">
      <c r="A789" s="1"/>
      <c r="B789" s="1"/>
    </row>
    <row r="790" spans="1:2" ht="12.75" customHeight="1" x14ac:dyDescent="0.25">
      <c r="A790" s="1"/>
      <c r="B790" s="1"/>
    </row>
    <row r="791" spans="1:2" ht="12.75" customHeight="1" x14ac:dyDescent="0.25">
      <c r="A791" s="1"/>
      <c r="B791" s="1"/>
    </row>
    <row r="792" spans="1:2" ht="12.75" customHeight="1" x14ac:dyDescent="0.25">
      <c r="A792" s="1"/>
      <c r="B792" s="1"/>
    </row>
    <row r="793" spans="1:2" ht="12.75" customHeight="1" x14ac:dyDescent="0.25">
      <c r="A793" s="1"/>
      <c r="B793" s="1"/>
    </row>
    <row r="794" spans="1:2" ht="12.75" customHeight="1" x14ac:dyDescent="0.25">
      <c r="A794" s="1"/>
      <c r="B794" s="1"/>
    </row>
    <row r="795" spans="1:2" ht="12.75" customHeight="1" x14ac:dyDescent="0.25">
      <c r="A795" s="1"/>
      <c r="B795" s="1"/>
    </row>
    <row r="796" spans="1:2" ht="12.75" customHeight="1" x14ac:dyDescent="0.25">
      <c r="A796" s="1"/>
      <c r="B796" s="1"/>
    </row>
    <row r="797" spans="1:2" ht="12.75" customHeight="1" x14ac:dyDescent="0.25">
      <c r="A797" s="1"/>
      <c r="B797" s="1"/>
    </row>
    <row r="798" spans="1:2" ht="12.75" customHeight="1" x14ac:dyDescent="0.25">
      <c r="A798" s="1"/>
      <c r="B798" s="1"/>
    </row>
    <row r="799" spans="1:2" ht="12.75" customHeight="1" x14ac:dyDescent="0.25">
      <c r="A799" s="1"/>
      <c r="B799" s="1"/>
    </row>
    <row r="800" spans="1:2" ht="12.75" customHeight="1" x14ac:dyDescent="0.25">
      <c r="A800" s="1"/>
      <c r="B800" s="1"/>
    </row>
    <row r="801" spans="1:2" ht="12.75" customHeight="1" x14ac:dyDescent="0.25">
      <c r="A801" s="1"/>
      <c r="B801" s="1"/>
    </row>
    <row r="802" spans="1:2" ht="12.75" customHeight="1" x14ac:dyDescent="0.25">
      <c r="A802" s="1"/>
      <c r="B802" s="1"/>
    </row>
    <row r="803" spans="1:2" ht="12.75" customHeight="1" x14ac:dyDescent="0.25">
      <c r="A803" s="1"/>
      <c r="B803" s="1"/>
    </row>
    <row r="804" spans="1:2" ht="12.75" customHeight="1" x14ac:dyDescent="0.25">
      <c r="A804" s="1"/>
      <c r="B804" s="1"/>
    </row>
    <row r="805" spans="1:2" ht="12.75" customHeight="1" x14ac:dyDescent="0.25">
      <c r="A805" s="1"/>
      <c r="B805" s="1"/>
    </row>
    <row r="806" spans="1:2" ht="12.75" customHeight="1" x14ac:dyDescent="0.25">
      <c r="A806" s="1"/>
      <c r="B806" s="1"/>
    </row>
    <row r="807" spans="1:2" ht="12.75" customHeight="1" x14ac:dyDescent="0.25">
      <c r="A807" s="1"/>
      <c r="B807" s="1"/>
    </row>
    <row r="808" spans="1:2" ht="12.75" customHeight="1" x14ac:dyDescent="0.25">
      <c r="A808" s="1"/>
      <c r="B808" s="1"/>
    </row>
    <row r="809" spans="1:2" ht="12.75" customHeight="1" x14ac:dyDescent="0.25">
      <c r="A809" s="1"/>
      <c r="B809" s="1"/>
    </row>
    <row r="810" spans="1:2" ht="12.75" customHeight="1" x14ac:dyDescent="0.25">
      <c r="A810" s="1"/>
      <c r="B810" s="1"/>
    </row>
    <row r="811" spans="1:2" ht="12.75" customHeight="1" x14ac:dyDescent="0.25">
      <c r="A811" s="1"/>
      <c r="B811" s="1"/>
    </row>
    <row r="812" spans="1:2" ht="12.75" customHeight="1" x14ac:dyDescent="0.25">
      <c r="A812" s="1"/>
      <c r="B812" s="1"/>
    </row>
    <row r="813" spans="1:2" ht="12.75" customHeight="1" x14ac:dyDescent="0.25">
      <c r="A813" s="1"/>
      <c r="B813" s="1"/>
    </row>
    <row r="814" spans="1:2" ht="12.75" customHeight="1" x14ac:dyDescent="0.25">
      <c r="A814" s="1"/>
      <c r="B814" s="1"/>
    </row>
    <row r="815" spans="1:2" ht="12.75" customHeight="1" x14ac:dyDescent="0.25">
      <c r="A815" s="1"/>
      <c r="B815" s="1"/>
    </row>
    <row r="816" spans="1:2" ht="12.75" customHeight="1" x14ac:dyDescent="0.25">
      <c r="A816" s="1"/>
      <c r="B816" s="1"/>
    </row>
    <row r="817" spans="1:2" ht="12.75" customHeight="1" x14ac:dyDescent="0.25">
      <c r="A817" s="1"/>
      <c r="B817" s="1"/>
    </row>
    <row r="818" spans="1:2" ht="12.75" customHeight="1" x14ac:dyDescent="0.25">
      <c r="A818" s="1"/>
      <c r="B818" s="1"/>
    </row>
    <row r="819" spans="1:2" ht="12.75" customHeight="1" x14ac:dyDescent="0.25">
      <c r="A819" s="1"/>
      <c r="B819" s="1"/>
    </row>
    <row r="820" spans="1:2" ht="12.75" customHeight="1" x14ac:dyDescent="0.25">
      <c r="A820" s="1"/>
      <c r="B820" s="1"/>
    </row>
    <row r="821" spans="1:2" ht="12.75" customHeight="1" x14ac:dyDescent="0.25">
      <c r="A821" s="1"/>
      <c r="B821" s="1"/>
    </row>
    <row r="822" spans="1:2" ht="12.75" customHeight="1" x14ac:dyDescent="0.25">
      <c r="A822" s="1"/>
      <c r="B822" s="1"/>
    </row>
    <row r="823" spans="1:2" ht="12.75" customHeight="1" x14ac:dyDescent="0.25">
      <c r="A823" s="1"/>
      <c r="B823" s="1"/>
    </row>
    <row r="824" spans="1:2" ht="12.75" customHeight="1" x14ac:dyDescent="0.25">
      <c r="A824" s="1"/>
      <c r="B824" s="1"/>
    </row>
    <row r="825" spans="1:2" ht="12.75" customHeight="1" x14ac:dyDescent="0.25">
      <c r="A825" s="1"/>
      <c r="B825" s="1"/>
    </row>
    <row r="826" spans="1:2" ht="12.75" customHeight="1" x14ac:dyDescent="0.25">
      <c r="A826" s="1"/>
      <c r="B826" s="1"/>
    </row>
    <row r="827" spans="1:2" ht="12.75" customHeight="1" x14ac:dyDescent="0.25">
      <c r="A827" s="1"/>
      <c r="B827" s="1"/>
    </row>
    <row r="828" spans="1:2" ht="12.75" customHeight="1" x14ac:dyDescent="0.25">
      <c r="A828" s="1"/>
      <c r="B828" s="1"/>
    </row>
    <row r="829" spans="1:2" ht="12.75" customHeight="1" x14ac:dyDescent="0.25">
      <c r="A829" s="1"/>
      <c r="B829" s="1"/>
    </row>
    <row r="830" spans="1:2" ht="12.75" customHeight="1" x14ac:dyDescent="0.25">
      <c r="A830" s="1"/>
      <c r="B830" s="1"/>
    </row>
    <row r="831" spans="1:2" ht="12.75" customHeight="1" x14ac:dyDescent="0.25">
      <c r="A831" s="1"/>
      <c r="B831" s="1"/>
    </row>
    <row r="832" spans="1:2" ht="12.75" customHeight="1" x14ac:dyDescent="0.25">
      <c r="A832" s="1"/>
      <c r="B832" s="1"/>
    </row>
    <row r="833" spans="1:2" ht="12.75" customHeight="1" x14ac:dyDescent="0.25">
      <c r="A833" s="1"/>
      <c r="B833" s="1"/>
    </row>
    <row r="834" spans="1:2" ht="12.75" customHeight="1" x14ac:dyDescent="0.25">
      <c r="A834" s="1"/>
      <c r="B834" s="1"/>
    </row>
    <row r="835" spans="1:2" ht="12.75" customHeight="1" x14ac:dyDescent="0.25">
      <c r="A835" s="1"/>
      <c r="B835" s="1"/>
    </row>
    <row r="836" spans="1:2" ht="12.75" customHeight="1" x14ac:dyDescent="0.25">
      <c r="A836" s="1"/>
      <c r="B836" s="1"/>
    </row>
    <row r="837" spans="1:2" ht="12.75" customHeight="1" x14ac:dyDescent="0.25">
      <c r="A837" s="1"/>
      <c r="B837" s="1"/>
    </row>
    <row r="838" spans="1:2" ht="12.75" customHeight="1" x14ac:dyDescent="0.25">
      <c r="A838" s="1"/>
      <c r="B838" s="1"/>
    </row>
    <row r="839" spans="1:2" ht="12.75" customHeight="1" x14ac:dyDescent="0.25">
      <c r="A839" s="1"/>
      <c r="B839" s="1"/>
    </row>
    <row r="840" spans="1:2" ht="12.75" customHeight="1" x14ac:dyDescent="0.25">
      <c r="A840" s="1"/>
      <c r="B840" s="1"/>
    </row>
    <row r="841" spans="1:2" ht="12.75" customHeight="1" x14ac:dyDescent="0.25">
      <c r="A841" s="1"/>
      <c r="B841" s="1"/>
    </row>
    <row r="842" spans="1:2" ht="12.75" customHeight="1" x14ac:dyDescent="0.25">
      <c r="A842" s="1"/>
      <c r="B842" s="1"/>
    </row>
    <row r="843" spans="1:2" ht="12.75" customHeight="1" x14ac:dyDescent="0.25">
      <c r="A843" s="1"/>
      <c r="B843" s="1"/>
    </row>
    <row r="844" spans="1:2" ht="12.75" customHeight="1" x14ac:dyDescent="0.25">
      <c r="A844" s="1"/>
      <c r="B844" s="1"/>
    </row>
    <row r="845" spans="1:2" ht="12.75" customHeight="1" x14ac:dyDescent="0.25">
      <c r="A845" s="1"/>
      <c r="B845" s="1"/>
    </row>
    <row r="846" spans="1:2" ht="12.75" customHeight="1" x14ac:dyDescent="0.25">
      <c r="A846" s="1"/>
      <c r="B846" s="1"/>
    </row>
    <row r="847" spans="1:2" ht="12.75" customHeight="1" x14ac:dyDescent="0.25">
      <c r="A847" s="1"/>
      <c r="B847" s="1"/>
    </row>
    <row r="848" spans="1:2" ht="12.75" customHeight="1" x14ac:dyDescent="0.25">
      <c r="A848" s="1"/>
      <c r="B848" s="1"/>
    </row>
    <row r="849" spans="1:2" ht="12.75" customHeight="1" x14ac:dyDescent="0.25">
      <c r="A849" s="1"/>
      <c r="B849" s="1"/>
    </row>
    <row r="850" spans="1:2" ht="12.75" customHeight="1" x14ac:dyDescent="0.25">
      <c r="A850" s="1"/>
      <c r="B850" s="1"/>
    </row>
    <row r="851" spans="1:2" ht="12.75" customHeight="1" x14ac:dyDescent="0.25">
      <c r="A851" s="1"/>
      <c r="B851" s="1"/>
    </row>
    <row r="852" spans="1:2" ht="12.75" customHeight="1" x14ac:dyDescent="0.25">
      <c r="A852" s="1"/>
      <c r="B852" s="1"/>
    </row>
    <row r="853" spans="1:2" ht="12.75" customHeight="1" x14ac:dyDescent="0.25">
      <c r="A853" s="1"/>
      <c r="B853" s="1"/>
    </row>
    <row r="854" spans="1:2" ht="12.75" customHeight="1" x14ac:dyDescent="0.25">
      <c r="A854" s="1"/>
      <c r="B854" s="1"/>
    </row>
    <row r="855" spans="1:2" ht="12.75" customHeight="1" x14ac:dyDescent="0.25">
      <c r="A855" s="1"/>
      <c r="B855" s="1"/>
    </row>
    <row r="856" spans="1:2" ht="12.75" customHeight="1" x14ac:dyDescent="0.25">
      <c r="A856" s="1"/>
      <c r="B856" s="1"/>
    </row>
    <row r="857" spans="1:2" ht="12.75" customHeight="1" x14ac:dyDescent="0.25">
      <c r="A857" s="1"/>
      <c r="B857" s="1"/>
    </row>
    <row r="858" spans="1:2" ht="12.75" customHeight="1" x14ac:dyDescent="0.25">
      <c r="A858" s="1"/>
      <c r="B858" s="1"/>
    </row>
    <row r="859" spans="1:2" ht="12.75" customHeight="1" x14ac:dyDescent="0.25">
      <c r="A859" s="1"/>
      <c r="B859" s="1"/>
    </row>
    <row r="860" spans="1:2" ht="12.75" customHeight="1" x14ac:dyDescent="0.25">
      <c r="A860" s="1"/>
      <c r="B860" s="1"/>
    </row>
    <row r="861" spans="1:2" ht="12.75" customHeight="1" x14ac:dyDescent="0.25">
      <c r="A861" s="1"/>
      <c r="B861" s="1"/>
    </row>
    <row r="862" spans="1:2" ht="12.75" customHeight="1" x14ac:dyDescent="0.25">
      <c r="A862" s="1"/>
      <c r="B862" s="1"/>
    </row>
    <row r="863" spans="1:2" ht="12.75" customHeight="1" x14ac:dyDescent="0.25">
      <c r="A863" s="1"/>
      <c r="B863" s="1"/>
    </row>
    <row r="864" spans="1:2" ht="12.75" customHeight="1" x14ac:dyDescent="0.25">
      <c r="A864" s="1"/>
      <c r="B864" s="1"/>
    </row>
    <row r="865" spans="1:2" ht="12.75" customHeight="1" x14ac:dyDescent="0.25">
      <c r="A865" s="1"/>
      <c r="B865" s="1"/>
    </row>
    <row r="866" spans="1:2" ht="12.75" customHeight="1" x14ac:dyDescent="0.25">
      <c r="A866" s="1"/>
      <c r="B866" s="1"/>
    </row>
    <row r="867" spans="1:2" ht="12.75" customHeight="1" x14ac:dyDescent="0.25">
      <c r="A867" s="1"/>
      <c r="B867" s="1"/>
    </row>
    <row r="868" spans="1:2" ht="12.75" customHeight="1" x14ac:dyDescent="0.25">
      <c r="A868" s="1"/>
      <c r="B868" s="1"/>
    </row>
    <row r="869" spans="1:2" ht="12.75" customHeight="1" x14ac:dyDescent="0.25">
      <c r="A869" s="1"/>
      <c r="B869" s="1"/>
    </row>
    <row r="870" spans="1:2" ht="12.75" customHeight="1" x14ac:dyDescent="0.25">
      <c r="A870" s="1"/>
      <c r="B870" s="1"/>
    </row>
    <row r="871" spans="1:2" ht="12.75" customHeight="1" x14ac:dyDescent="0.25">
      <c r="A871" s="1"/>
      <c r="B871" s="1"/>
    </row>
    <row r="872" spans="1:2" ht="12.75" customHeight="1" x14ac:dyDescent="0.25">
      <c r="A872" s="1"/>
      <c r="B872" s="1"/>
    </row>
    <row r="873" spans="1:2" ht="12.75" customHeight="1" x14ac:dyDescent="0.25">
      <c r="A873" s="1"/>
      <c r="B873" s="1"/>
    </row>
    <row r="874" spans="1:2" ht="12.75" customHeight="1" x14ac:dyDescent="0.25">
      <c r="A874" s="1"/>
      <c r="B874" s="1"/>
    </row>
    <row r="875" spans="1:2" ht="12.75" customHeight="1" x14ac:dyDescent="0.25">
      <c r="A875" s="1"/>
      <c r="B875" s="1"/>
    </row>
    <row r="876" spans="1:2" ht="12.75" customHeight="1" x14ac:dyDescent="0.25">
      <c r="A876" s="1"/>
      <c r="B876" s="1"/>
    </row>
    <row r="877" spans="1:2" ht="12.75" customHeight="1" x14ac:dyDescent="0.25">
      <c r="A877" s="1"/>
      <c r="B877" s="1"/>
    </row>
    <row r="878" spans="1:2" ht="12.75" customHeight="1" x14ac:dyDescent="0.25">
      <c r="A878" s="1"/>
      <c r="B878" s="1"/>
    </row>
    <row r="879" spans="1:2" ht="12.75" customHeight="1" x14ac:dyDescent="0.25">
      <c r="A879" s="1"/>
      <c r="B879" s="1"/>
    </row>
    <row r="880" spans="1:2" ht="12.75" customHeight="1" x14ac:dyDescent="0.25">
      <c r="A880" s="1"/>
      <c r="B880" s="1"/>
    </row>
    <row r="881" spans="1:2" ht="12.75" customHeight="1" x14ac:dyDescent="0.25">
      <c r="A881" s="1"/>
      <c r="B881" s="1"/>
    </row>
    <row r="882" spans="1:2" ht="12.75" customHeight="1" x14ac:dyDescent="0.25">
      <c r="A882" s="1"/>
      <c r="B882" s="1"/>
    </row>
    <row r="883" spans="1:2" ht="12.75" customHeight="1" x14ac:dyDescent="0.25">
      <c r="A883" s="1"/>
      <c r="B883" s="1"/>
    </row>
    <row r="884" spans="1:2" ht="12.75" customHeight="1" x14ac:dyDescent="0.25">
      <c r="A884" s="1"/>
      <c r="B884" s="1"/>
    </row>
    <row r="885" spans="1:2" ht="12.75" customHeight="1" x14ac:dyDescent="0.25">
      <c r="A885" s="1"/>
      <c r="B885" s="1"/>
    </row>
    <row r="886" spans="1:2" ht="12.75" customHeight="1" x14ac:dyDescent="0.25">
      <c r="A886" s="1"/>
      <c r="B886" s="1"/>
    </row>
    <row r="887" spans="1:2" ht="12.75" customHeight="1" x14ac:dyDescent="0.25">
      <c r="A887" s="1"/>
      <c r="B887" s="1"/>
    </row>
    <row r="888" spans="1:2" ht="12.75" customHeight="1" x14ac:dyDescent="0.25">
      <c r="A888" s="1"/>
      <c r="B888" s="1"/>
    </row>
    <row r="889" spans="1:2" ht="12.75" customHeight="1" x14ac:dyDescent="0.25">
      <c r="A889" s="1"/>
      <c r="B889" s="1"/>
    </row>
    <row r="890" spans="1:2" ht="12.75" customHeight="1" x14ac:dyDescent="0.25">
      <c r="A890" s="1"/>
      <c r="B890" s="1"/>
    </row>
    <row r="891" spans="1:2" ht="12.75" customHeight="1" x14ac:dyDescent="0.25">
      <c r="A891" s="1"/>
      <c r="B891" s="1"/>
    </row>
    <row r="892" spans="1:2" ht="12.75" customHeight="1" x14ac:dyDescent="0.25">
      <c r="A892" s="1"/>
      <c r="B892" s="1"/>
    </row>
    <row r="893" spans="1:2" ht="12.75" customHeight="1" x14ac:dyDescent="0.25">
      <c r="A893" s="1"/>
      <c r="B893" s="1"/>
    </row>
    <row r="894" spans="1:2" ht="12.75" customHeight="1" x14ac:dyDescent="0.25">
      <c r="A894" s="1"/>
      <c r="B894" s="1"/>
    </row>
    <row r="895" spans="1:2" ht="12.75" customHeight="1" x14ac:dyDescent="0.25">
      <c r="A895" s="1"/>
      <c r="B895" s="1"/>
    </row>
    <row r="896" spans="1:2" ht="12.75" customHeight="1" x14ac:dyDescent="0.25">
      <c r="A896" s="1"/>
      <c r="B896" s="1"/>
    </row>
    <row r="897" spans="1:2" ht="12.75" customHeight="1" x14ac:dyDescent="0.25">
      <c r="A897" s="1"/>
      <c r="B897" s="1"/>
    </row>
    <row r="898" spans="1:2" ht="12.75" customHeight="1" x14ac:dyDescent="0.25">
      <c r="A898" s="1"/>
      <c r="B898" s="1"/>
    </row>
    <row r="899" spans="1:2" ht="12.75" customHeight="1" x14ac:dyDescent="0.25">
      <c r="A899" s="1"/>
      <c r="B899" s="1"/>
    </row>
    <row r="900" spans="1:2" ht="12.75" customHeight="1" x14ac:dyDescent="0.25">
      <c r="A900" s="1"/>
      <c r="B900" s="1"/>
    </row>
    <row r="901" spans="1:2" ht="12.75" customHeight="1" x14ac:dyDescent="0.25">
      <c r="A901" s="1"/>
      <c r="B901" s="1"/>
    </row>
    <row r="902" spans="1:2" ht="12.75" customHeight="1" x14ac:dyDescent="0.25">
      <c r="A902" s="1"/>
      <c r="B902" s="1"/>
    </row>
    <row r="903" spans="1:2" ht="12.75" customHeight="1" x14ac:dyDescent="0.25">
      <c r="A903" s="1"/>
      <c r="B903" s="1"/>
    </row>
    <row r="904" spans="1:2" ht="12.75" customHeight="1" x14ac:dyDescent="0.25">
      <c r="A904" s="1"/>
      <c r="B904" s="1"/>
    </row>
    <row r="905" spans="1:2" ht="12.75" customHeight="1" x14ac:dyDescent="0.25">
      <c r="A905" s="1"/>
      <c r="B905" s="1"/>
    </row>
    <row r="906" spans="1:2" ht="12.75" customHeight="1" x14ac:dyDescent="0.25">
      <c r="A906" s="1"/>
      <c r="B906" s="1"/>
    </row>
    <row r="907" spans="1:2" ht="12.75" customHeight="1" x14ac:dyDescent="0.25">
      <c r="A907" s="1"/>
      <c r="B907" s="1"/>
    </row>
    <row r="908" spans="1:2" ht="12.75" customHeight="1" x14ac:dyDescent="0.25">
      <c r="A908" s="1"/>
      <c r="B908" s="1"/>
    </row>
    <row r="909" spans="1:2" ht="12.75" customHeight="1" x14ac:dyDescent="0.25">
      <c r="A909" s="1"/>
      <c r="B909" s="1"/>
    </row>
    <row r="910" spans="1:2" ht="12.75" customHeight="1" x14ac:dyDescent="0.25">
      <c r="A910" s="1"/>
      <c r="B910" s="1"/>
    </row>
    <row r="911" spans="1:2" ht="12.75" customHeight="1" x14ac:dyDescent="0.25">
      <c r="A911" s="1"/>
      <c r="B911" s="1"/>
    </row>
    <row r="912" spans="1:2" ht="12.75" customHeight="1" x14ac:dyDescent="0.25">
      <c r="A912" s="1"/>
      <c r="B912" s="1"/>
    </row>
    <row r="913" spans="1:2" ht="12.75" customHeight="1" x14ac:dyDescent="0.25">
      <c r="A913" s="1"/>
      <c r="B913" s="1"/>
    </row>
    <row r="914" spans="1:2" ht="12.75" customHeight="1" x14ac:dyDescent="0.25">
      <c r="A914" s="1"/>
      <c r="B914" s="1"/>
    </row>
    <row r="915" spans="1:2" ht="12.75" customHeight="1" x14ac:dyDescent="0.25">
      <c r="A915" s="1"/>
      <c r="B915" s="1"/>
    </row>
    <row r="916" spans="1:2" ht="12.75" customHeight="1" x14ac:dyDescent="0.25">
      <c r="A916" s="1"/>
      <c r="B916" s="1"/>
    </row>
    <row r="917" spans="1:2" ht="12.75" customHeight="1" x14ac:dyDescent="0.25">
      <c r="A917" s="1"/>
      <c r="B917" s="1"/>
    </row>
    <row r="918" spans="1:2" ht="12.75" customHeight="1" x14ac:dyDescent="0.25">
      <c r="A918" s="1"/>
      <c r="B918" s="1"/>
    </row>
    <row r="919" spans="1:2" ht="12.75" customHeight="1" x14ac:dyDescent="0.25">
      <c r="A919" s="1"/>
      <c r="B919" s="1"/>
    </row>
    <row r="920" spans="1:2" ht="12.75" customHeight="1" x14ac:dyDescent="0.25">
      <c r="A920" s="1"/>
      <c r="B920" s="1"/>
    </row>
    <row r="921" spans="1:2" ht="12.75" customHeight="1" x14ac:dyDescent="0.25">
      <c r="A921" s="1"/>
      <c r="B921" s="1"/>
    </row>
    <row r="922" spans="1:2" ht="12.75" customHeight="1" x14ac:dyDescent="0.25">
      <c r="A922" s="1"/>
      <c r="B922" s="1"/>
    </row>
    <row r="923" spans="1:2" ht="12.75" customHeight="1" x14ac:dyDescent="0.25">
      <c r="A923" s="1"/>
      <c r="B923" s="1"/>
    </row>
    <row r="924" spans="1:2" ht="12.75" customHeight="1" x14ac:dyDescent="0.25">
      <c r="A924" s="1"/>
      <c r="B924" s="1"/>
    </row>
    <row r="925" spans="1:2" ht="12.75" customHeight="1" x14ac:dyDescent="0.25">
      <c r="A925" s="1"/>
      <c r="B925" s="1"/>
    </row>
    <row r="926" spans="1:2" ht="12.75" customHeight="1" x14ac:dyDescent="0.25">
      <c r="A926" s="1"/>
      <c r="B926" s="1"/>
    </row>
    <row r="927" spans="1:2" ht="12.75" customHeight="1" x14ac:dyDescent="0.25">
      <c r="A927" s="1"/>
      <c r="B927" s="1"/>
    </row>
    <row r="928" spans="1:2" ht="12.75" customHeight="1" x14ac:dyDescent="0.25">
      <c r="A928" s="1"/>
      <c r="B928" s="1"/>
    </row>
    <row r="929" spans="1:2" ht="12.75" customHeight="1" x14ac:dyDescent="0.25">
      <c r="A929" s="1"/>
      <c r="B929" s="1"/>
    </row>
    <row r="930" spans="1:2" ht="12.75" customHeight="1" x14ac:dyDescent="0.25">
      <c r="A930" s="1"/>
      <c r="B930" s="1"/>
    </row>
    <row r="931" spans="1:2" ht="12.75" customHeight="1" x14ac:dyDescent="0.25">
      <c r="A931" s="1"/>
      <c r="B931" s="1"/>
    </row>
    <row r="932" spans="1:2" ht="12.75" customHeight="1" x14ac:dyDescent="0.25">
      <c r="A932" s="1"/>
      <c r="B932" s="1"/>
    </row>
    <row r="933" spans="1:2" ht="12.75" customHeight="1" x14ac:dyDescent="0.25">
      <c r="A933" s="1"/>
      <c r="B933" s="1"/>
    </row>
    <row r="934" spans="1:2" ht="12.75" customHeight="1" x14ac:dyDescent="0.25">
      <c r="A934" s="1"/>
      <c r="B934" s="1"/>
    </row>
    <row r="935" spans="1:2" ht="12.75" customHeight="1" x14ac:dyDescent="0.25">
      <c r="A935" s="1"/>
      <c r="B935" s="1"/>
    </row>
    <row r="936" spans="1:2" ht="12.75" customHeight="1" x14ac:dyDescent="0.25">
      <c r="A936" s="1"/>
      <c r="B936" s="1"/>
    </row>
    <row r="937" spans="1:2" ht="12.75" customHeight="1" x14ac:dyDescent="0.25">
      <c r="A937" s="1"/>
      <c r="B937" s="1"/>
    </row>
    <row r="938" spans="1:2" ht="12.75" customHeight="1" x14ac:dyDescent="0.25">
      <c r="A938" s="1"/>
      <c r="B938" s="1"/>
    </row>
    <row r="939" spans="1:2" ht="12.75" customHeight="1" x14ac:dyDescent="0.25">
      <c r="A939" s="1"/>
      <c r="B939" s="1"/>
    </row>
    <row r="940" spans="1:2" ht="12.75" customHeight="1" x14ac:dyDescent="0.25">
      <c r="A940" s="1"/>
      <c r="B940" s="1"/>
    </row>
    <row r="941" spans="1:2" ht="12.75" customHeight="1" x14ac:dyDescent="0.25">
      <c r="A941" s="1"/>
      <c r="B941" s="1"/>
    </row>
    <row r="942" spans="1:2" ht="12.75" customHeight="1" x14ac:dyDescent="0.25">
      <c r="A942" s="1"/>
      <c r="B942" s="1"/>
    </row>
    <row r="943" spans="1:2" ht="12.75" customHeight="1" x14ac:dyDescent="0.25">
      <c r="A943" s="1"/>
      <c r="B943" s="1"/>
    </row>
    <row r="944" spans="1:2" ht="12.75" customHeight="1" x14ac:dyDescent="0.25">
      <c r="A944" s="1"/>
      <c r="B944" s="1"/>
    </row>
    <row r="945" spans="1:2" ht="12.75" customHeight="1" x14ac:dyDescent="0.25">
      <c r="A945" s="1"/>
      <c r="B945" s="1"/>
    </row>
    <row r="946" spans="1:2" ht="12.75" customHeight="1" x14ac:dyDescent="0.25">
      <c r="A946" s="1"/>
      <c r="B946" s="1"/>
    </row>
    <row r="947" spans="1:2" ht="12.75" customHeight="1" x14ac:dyDescent="0.25">
      <c r="A947" s="1"/>
      <c r="B947" s="1"/>
    </row>
    <row r="948" spans="1:2" ht="12.75" customHeight="1" x14ac:dyDescent="0.25">
      <c r="A948" s="1"/>
      <c r="B948" s="1"/>
    </row>
    <row r="949" spans="1:2" ht="12.75" customHeight="1" x14ac:dyDescent="0.25">
      <c r="A949" s="1"/>
      <c r="B949" s="1"/>
    </row>
    <row r="950" spans="1:2" ht="12.75" customHeight="1" x14ac:dyDescent="0.25">
      <c r="A950" s="1"/>
      <c r="B950" s="1"/>
    </row>
    <row r="951" spans="1:2" ht="12.75" customHeight="1" x14ac:dyDescent="0.25">
      <c r="A951" s="1"/>
      <c r="B951" s="1"/>
    </row>
    <row r="952" spans="1:2" ht="12.75" customHeight="1" x14ac:dyDescent="0.25">
      <c r="A952" s="1"/>
      <c r="B952" s="1"/>
    </row>
    <row r="953" spans="1:2" ht="12.75" customHeight="1" x14ac:dyDescent="0.25">
      <c r="A953" s="1"/>
      <c r="B953" s="1"/>
    </row>
    <row r="954" spans="1:2" ht="12.75" customHeight="1" x14ac:dyDescent="0.25">
      <c r="A954" s="1"/>
      <c r="B954" s="1"/>
    </row>
    <row r="955" spans="1:2" ht="12.75" customHeight="1" x14ac:dyDescent="0.25">
      <c r="A955" s="1"/>
      <c r="B955" s="1"/>
    </row>
    <row r="956" spans="1:2" ht="12.75" customHeight="1" x14ac:dyDescent="0.25">
      <c r="A956" s="1"/>
      <c r="B956" s="1"/>
    </row>
    <row r="957" spans="1:2" ht="12.75" customHeight="1" x14ac:dyDescent="0.25">
      <c r="A957" s="1"/>
      <c r="B957" s="1"/>
    </row>
    <row r="958" spans="1:2" ht="12.75" customHeight="1" x14ac:dyDescent="0.25">
      <c r="A958" s="1"/>
      <c r="B958" s="1"/>
    </row>
    <row r="959" spans="1:2" ht="12.75" customHeight="1" x14ac:dyDescent="0.25">
      <c r="A959" s="1"/>
      <c r="B959" s="1"/>
    </row>
    <row r="960" spans="1:2" ht="12.75" customHeight="1" x14ac:dyDescent="0.25">
      <c r="A960" s="1"/>
      <c r="B960" s="1"/>
    </row>
    <row r="961" spans="1:2" ht="12.75" customHeight="1" x14ac:dyDescent="0.25">
      <c r="A961" s="1"/>
      <c r="B961" s="1"/>
    </row>
    <row r="962" spans="1:2" ht="12.75" customHeight="1" x14ac:dyDescent="0.25">
      <c r="A962" s="1"/>
      <c r="B962" s="1"/>
    </row>
    <row r="963" spans="1:2" ht="12.75" customHeight="1" x14ac:dyDescent="0.25">
      <c r="A963" s="1"/>
      <c r="B963" s="1"/>
    </row>
    <row r="964" spans="1:2" ht="12.75" customHeight="1" x14ac:dyDescent="0.25">
      <c r="A964" s="1"/>
      <c r="B964" s="1"/>
    </row>
    <row r="965" spans="1:2" ht="12.75" customHeight="1" x14ac:dyDescent="0.25">
      <c r="A965" s="1"/>
      <c r="B965" s="1"/>
    </row>
    <row r="966" spans="1:2" ht="12.75" customHeight="1" x14ac:dyDescent="0.25">
      <c r="A966" s="1"/>
      <c r="B966" s="1"/>
    </row>
    <row r="967" spans="1:2" ht="12.75" customHeight="1" x14ac:dyDescent="0.25">
      <c r="A967" s="1"/>
      <c r="B967" s="1"/>
    </row>
    <row r="968" spans="1:2" ht="12.75" customHeight="1" x14ac:dyDescent="0.25">
      <c r="A968" s="1"/>
      <c r="B968" s="1"/>
    </row>
    <row r="969" spans="1:2" ht="12.75" customHeight="1" x14ac:dyDescent="0.25">
      <c r="A969" s="1"/>
      <c r="B969" s="1"/>
    </row>
    <row r="970" spans="1:2" ht="12.75" customHeight="1" x14ac:dyDescent="0.25">
      <c r="A970" s="1"/>
      <c r="B970" s="1"/>
    </row>
    <row r="971" spans="1:2" ht="12.75" customHeight="1" x14ac:dyDescent="0.25">
      <c r="A971" s="1"/>
      <c r="B971" s="1"/>
    </row>
    <row r="972" spans="1:2" ht="12.75" customHeight="1" x14ac:dyDescent="0.25">
      <c r="A972" s="1"/>
      <c r="B972" s="1"/>
    </row>
    <row r="973" spans="1:2" ht="12.75" customHeight="1" x14ac:dyDescent="0.25">
      <c r="A973" s="1"/>
      <c r="B973" s="1"/>
    </row>
    <row r="974" spans="1:2" ht="12.75" customHeight="1" x14ac:dyDescent="0.25">
      <c r="A974" s="1"/>
      <c r="B974" s="1"/>
    </row>
    <row r="975" spans="1:2" ht="12.75" customHeight="1" x14ac:dyDescent="0.25">
      <c r="A975" s="1"/>
      <c r="B975" s="1"/>
    </row>
    <row r="976" spans="1:2" ht="12.75" customHeight="1" x14ac:dyDescent="0.25">
      <c r="A976" s="1"/>
      <c r="B976" s="1"/>
    </row>
    <row r="977" spans="1:2" ht="12.75" customHeight="1" x14ac:dyDescent="0.25">
      <c r="A977" s="1"/>
      <c r="B977" s="1"/>
    </row>
    <row r="978" spans="1:2" ht="12.75" customHeight="1" x14ac:dyDescent="0.25">
      <c r="A978" s="1"/>
      <c r="B978" s="1"/>
    </row>
    <row r="979" spans="1:2" ht="12.75" customHeight="1" x14ac:dyDescent="0.25">
      <c r="A979" s="1"/>
      <c r="B979" s="1"/>
    </row>
    <row r="980" spans="1:2" ht="12.75" customHeight="1" x14ac:dyDescent="0.25">
      <c r="A980" s="1"/>
      <c r="B980" s="1"/>
    </row>
    <row r="981" spans="1:2" ht="12.75" customHeight="1" x14ac:dyDescent="0.25">
      <c r="A981" s="1"/>
      <c r="B981" s="1"/>
    </row>
    <row r="982" spans="1:2" ht="12.75" customHeight="1" x14ac:dyDescent="0.25">
      <c r="A982" s="1"/>
      <c r="B982" s="1"/>
    </row>
    <row r="983" spans="1:2" ht="12.75" customHeight="1" x14ac:dyDescent="0.25">
      <c r="A983" s="1"/>
      <c r="B983" s="1"/>
    </row>
    <row r="984" spans="1:2" ht="12.75" customHeight="1" x14ac:dyDescent="0.25">
      <c r="A984" s="1"/>
      <c r="B984" s="1"/>
    </row>
    <row r="985" spans="1:2" ht="12.75" customHeight="1" x14ac:dyDescent="0.25">
      <c r="A985" s="1"/>
      <c r="B985" s="1"/>
    </row>
    <row r="986" spans="1:2" ht="12.75" customHeight="1" x14ac:dyDescent="0.25">
      <c r="A986" s="1"/>
      <c r="B986" s="1"/>
    </row>
    <row r="987" spans="1:2" ht="12.75" customHeight="1" x14ac:dyDescent="0.25">
      <c r="A987" s="1"/>
      <c r="B987" s="1"/>
    </row>
    <row r="988" spans="1:2" ht="12.75" customHeight="1" x14ac:dyDescent="0.25">
      <c r="A988" s="1"/>
      <c r="B988" s="1"/>
    </row>
    <row r="989" spans="1:2" ht="12.75" customHeight="1" x14ac:dyDescent="0.25">
      <c r="A989" s="1"/>
      <c r="B989" s="1"/>
    </row>
    <row r="990" spans="1:2" ht="12.75" customHeight="1" x14ac:dyDescent="0.25">
      <c r="A990" s="1"/>
      <c r="B990" s="1"/>
    </row>
    <row r="991" spans="1:2" ht="12.75" customHeight="1" x14ac:dyDescent="0.25">
      <c r="A991" s="1"/>
      <c r="B991" s="1"/>
    </row>
    <row r="992" spans="1:2" ht="12.75" customHeight="1" x14ac:dyDescent="0.25">
      <c r="A992" s="1"/>
      <c r="B992" s="1"/>
    </row>
    <row r="993" spans="1:2" ht="12.75" customHeight="1" x14ac:dyDescent="0.25">
      <c r="A993" s="1"/>
      <c r="B993" s="1"/>
    </row>
    <row r="994" spans="1:2" ht="12.75" customHeight="1" x14ac:dyDescent="0.25">
      <c r="A994" s="1"/>
      <c r="B994" s="1"/>
    </row>
    <row r="995" spans="1:2" ht="12.75" customHeight="1" x14ac:dyDescent="0.25">
      <c r="A995" s="1"/>
      <c r="B995" s="1"/>
    </row>
    <row r="996" spans="1:2" ht="12.75" customHeight="1" x14ac:dyDescent="0.25">
      <c r="A996" s="1"/>
      <c r="B996" s="1"/>
    </row>
    <row r="997" spans="1:2" ht="12.75" customHeight="1" x14ac:dyDescent="0.25">
      <c r="A997" s="1"/>
      <c r="B997" s="1"/>
    </row>
    <row r="998" spans="1:2" ht="12.75" customHeight="1" x14ac:dyDescent="0.25">
      <c r="A998" s="1"/>
      <c r="B998" s="1"/>
    </row>
    <row r="999" spans="1:2" ht="12.75" customHeight="1" x14ac:dyDescent="0.25">
      <c r="A999" s="1"/>
      <c r="B999" s="1"/>
    </row>
    <row r="1000" spans="1:2" ht="12.75" customHeight="1" x14ac:dyDescent="0.25">
      <c r="A1000" s="1"/>
      <c r="B1000" s="1"/>
    </row>
    <row r="1001" spans="1:2" ht="12.75" customHeight="1" x14ac:dyDescent="0.25">
      <c r="A1001" s="1"/>
      <c r="B1001" s="1"/>
    </row>
    <row r="1002" spans="1:2" ht="12.75" customHeight="1" x14ac:dyDescent="0.25">
      <c r="A1002" s="1"/>
      <c r="B1002" s="1"/>
    </row>
    <row r="1003" spans="1:2" ht="12.75" customHeight="1" x14ac:dyDescent="0.25">
      <c r="A1003" s="1"/>
      <c r="B1003" s="1"/>
    </row>
    <row r="1004" spans="1:2" ht="12.75" customHeight="1" x14ac:dyDescent="0.25">
      <c r="A1004" s="1"/>
      <c r="B1004" s="1"/>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4546A"/>
  </sheetPr>
  <dimension ref="A2:AK723"/>
  <sheetViews>
    <sheetView showGridLines="0" zoomScale="110" zoomScaleNormal="110" workbookViewId="0">
      <pane xSplit="5" ySplit="9" topLeftCell="K92" activePane="bottomRight" state="frozen"/>
      <selection pane="topRight" activeCell="F1" sqref="F1"/>
      <selection pane="bottomLeft" activeCell="A10" sqref="A10"/>
      <selection pane="bottomRight" activeCell="AA102" sqref="AA102"/>
    </sheetView>
  </sheetViews>
  <sheetFormatPr defaultColWidth="14.42578125" defaultRowHeight="15" customHeight="1" outlineLevelCol="1" x14ac:dyDescent="0.25"/>
  <cols>
    <col min="1" max="2" width="2.7109375" customWidth="1"/>
    <col min="3" max="3" width="1.42578125" customWidth="1"/>
    <col min="4" max="4" width="3.42578125" customWidth="1"/>
    <col min="5" max="5" width="44.42578125" customWidth="1"/>
    <col min="6" max="7" width="11.140625" customWidth="1"/>
    <col min="8" max="8" width="10.42578125" customWidth="1" outlineLevel="1"/>
    <col min="9" max="16" width="10.42578125" customWidth="1"/>
    <col min="17" max="20" width="11.7109375" customWidth="1"/>
    <col min="21" max="21" width="10.42578125" customWidth="1"/>
    <col min="22" max="25" width="12.42578125" customWidth="1"/>
    <col min="26" max="37" width="9.140625" customWidth="1"/>
  </cols>
  <sheetData>
    <row r="2" spans="1:37" x14ac:dyDescent="0.25">
      <c r="A2" s="1"/>
      <c r="B2" s="1"/>
      <c r="C2" s="1"/>
      <c r="D2" s="2" t="s">
        <v>210</v>
      </c>
      <c r="E2" s="1"/>
      <c r="F2" s="1"/>
      <c r="G2" s="1"/>
      <c r="H2" s="601" t="s">
        <v>211</v>
      </c>
      <c r="I2" s="602"/>
      <c r="J2" s="602"/>
      <c r="K2" s="602"/>
      <c r="L2" s="602"/>
      <c r="M2" s="602"/>
      <c r="N2" s="599"/>
      <c r="O2" s="1"/>
      <c r="P2" s="1"/>
      <c r="Q2" s="1"/>
      <c r="R2" s="1"/>
      <c r="S2" s="1"/>
      <c r="T2" s="1"/>
      <c r="U2" s="1"/>
      <c r="V2" s="1"/>
      <c r="W2" s="1"/>
      <c r="X2" s="1"/>
      <c r="Y2" s="1"/>
      <c r="Z2" s="1"/>
      <c r="AA2" s="1"/>
      <c r="AB2" s="1"/>
      <c r="AC2" s="1"/>
      <c r="AD2" s="1"/>
      <c r="AE2" s="1"/>
      <c r="AF2" s="1"/>
      <c r="AG2" s="1"/>
      <c r="AH2" s="1"/>
      <c r="AI2" s="1"/>
      <c r="AJ2" s="1"/>
      <c r="AK2" s="1"/>
    </row>
    <row r="3" spans="1:37" ht="9" customHeight="1" x14ac:dyDescent="0.25">
      <c r="C3" s="1"/>
      <c r="D3" s="1"/>
      <c r="E3" s="1"/>
      <c r="F3" s="1"/>
      <c r="G3" s="1"/>
      <c r="H3" s="1"/>
      <c r="I3" s="1"/>
      <c r="J3" s="1"/>
      <c r="K3" s="1"/>
      <c r="L3" s="1"/>
      <c r="M3" s="1"/>
      <c r="N3" s="1"/>
      <c r="O3" s="1"/>
      <c r="P3" s="1"/>
      <c r="Q3" s="1"/>
      <c r="R3" s="1"/>
      <c r="S3" s="1"/>
      <c r="T3" s="1"/>
      <c r="U3" s="1"/>
      <c r="V3" s="1"/>
      <c r="W3" s="1"/>
      <c r="X3" s="1"/>
      <c r="Y3" s="1"/>
    </row>
    <row r="4" spans="1:37" x14ac:dyDescent="0.25">
      <c r="C4" s="3"/>
      <c r="D4" s="4" t="s">
        <v>212</v>
      </c>
      <c r="E4" s="3"/>
      <c r="F4" s="5" t="s">
        <v>213</v>
      </c>
      <c r="G4" s="5"/>
      <c r="H4" s="4">
        <f>'&gt;&gt; Inputs'!G17</f>
        <v>2017</v>
      </c>
      <c r="I4" s="4">
        <f t="shared" ref="I4:Y4" si="0">H4 + 1</f>
        <v>2018</v>
      </c>
      <c r="J4" s="4">
        <f t="shared" si="0"/>
        <v>2019</v>
      </c>
      <c r="K4" s="4">
        <f t="shared" si="0"/>
        <v>2020</v>
      </c>
      <c r="L4" s="4">
        <f t="shared" si="0"/>
        <v>2021</v>
      </c>
      <c r="M4" s="4">
        <f t="shared" si="0"/>
        <v>2022</v>
      </c>
      <c r="N4" s="4">
        <f t="shared" si="0"/>
        <v>2023</v>
      </c>
      <c r="O4" s="4">
        <f t="shared" si="0"/>
        <v>2024</v>
      </c>
      <c r="P4" s="4">
        <f t="shared" si="0"/>
        <v>2025</v>
      </c>
      <c r="Q4" s="4">
        <f t="shared" si="0"/>
        <v>2026</v>
      </c>
      <c r="R4" s="4">
        <f t="shared" si="0"/>
        <v>2027</v>
      </c>
      <c r="S4" s="4">
        <f t="shared" si="0"/>
        <v>2028</v>
      </c>
      <c r="T4" s="4">
        <f t="shared" si="0"/>
        <v>2029</v>
      </c>
      <c r="U4" s="4">
        <f t="shared" si="0"/>
        <v>2030</v>
      </c>
      <c r="V4" s="4">
        <f t="shared" si="0"/>
        <v>2031</v>
      </c>
      <c r="W4" s="4">
        <f t="shared" si="0"/>
        <v>2032</v>
      </c>
      <c r="X4" s="4">
        <f t="shared" si="0"/>
        <v>2033</v>
      </c>
      <c r="Y4" s="4">
        <f t="shared" si="0"/>
        <v>2034</v>
      </c>
    </row>
    <row r="5" spans="1:37" ht="12.75" customHeight="1" x14ac:dyDescent="0.25">
      <c r="C5" s="6"/>
      <c r="D5" s="6"/>
      <c r="E5" s="6" t="s">
        <v>214</v>
      </c>
      <c r="F5" s="7" t="s">
        <v>169</v>
      </c>
      <c r="G5" s="7"/>
      <c r="H5" s="10">
        <f t="shared" ref="H5:L5" si="1">I5-1</f>
        <v>-5</v>
      </c>
      <c r="I5" s="10">
        <f t="shared" si="1"/>
        <v>-4</v>
      </c>
      <c r="J5" s="10">
        <f t="shared" si="1"/>
        <v>-3</v>
      </c>
      <c r="K5" s="10">
        <f t="shared" si="1"/>
        <v>-2</v>
      </c>
      <c r="L5" s="10">
        <f t="shared" si="1"/>
        <v>-1</v>
      </c>
      <c r="M5" s="10">
        <v>0</v>
      </c>
      <c r="N5" s="10">
        <v>0</v>
      </c>
      <c r="O5" s="10">
        <f t="shared" ref="O5:Y5" si="2">N5 + 1</f>
        <v>1</v>
      </c>
      <c r="P5" s="10">
        <f t="shared" si="2"/>
        <v>2</v>
      </c>
      <c r="Q5" s="10">
        <f t="shared" si="2"/>
        <v>3</v>
      </c>
      <c r="R5" s="10">
        <f t="shared" si="2"/>
        <v>4</v>
      </c>
      <c r="S5" s="10">
        <f t="shared" si="2"/>
        <v>5</v>
      </c>
      <c r="T5" s="10">
        <f t="shared" si="2"/>
        <v>6</v>
      </c>
      <c r="U5" s="10">
        <f t="shared" si="2"/>
        <v>7</v>
      </c>
      <c r="V5" s="10">
        <f t="shared" si="2"/>
        <v>8</v>
      </c>
      <c r="W5" s="10">
        <f t="shared" si="2"/>
        <v>9</v>
      </c>
      <c r="X5" s="10">
        <f t="shared" si="2"/>
        <v>10</v>
      </c>
      <c r="Y5" s="10">
        <f t="shared" si="2"/>
        <v>11</v>
      </c>
    </row>
    <row r="6" spans="1:37" ht="12.75" customHeight="1" x14ac:dyDescent="0.25">
      <c r="C6" s="6"/>
      <c r="D6" s="6"/>
      <c r="E6" s="6" t="s">
        <v>215</v>
      </c>
      <c r="F6" s="9" t="s">
        <v>216</v>
      </c>
      <c r="G6" s="9"/>
      <c r="H6" s="10">
        <v>0</v>
      </c>
      <c r="I6" s="10">
        <v>0</v>
      </c>
      <c r="J6" s="10">
        <v>0</v>
      </c>
      <c r="K6" s="10">
        <v>0.5</v>
      </c>
      <c r="L6" s="10">
        <f t="shared" ref="L6:Y6" si="3">K6 + 1</f>
        <v>1.5</v>
      </c>
      <c r="M6" s="10">
        <f t="shared" si="3"/>
        <v>2.5</v>
      </c>
      <c r="N6" s="10">
        <f t="shared" si="3"/>
        <v>3.5</v>
      </c>
      <c r="O6" s="10">
        <f t="shared" si="3"/>
        <v>4.5</v>
      </c>
      <c r="P6" s="10">
        <f t="shared" si="3"/>
        <v>5.5</v>
      </c>
      <c r="Q6" s="10">
        <f t="shared" si="3"/>
        <v>6.5</v>
      </c>
      <c r="R6" s="10">
        <f t="shared" si="3"/>
        <v>7.5</v>
      </c>
      <c r="S6" s="10">
        <f t="shared" si="3"/>
        <v>8.5</v>
      </c>
      <c r="T6" s="10">
        <f t="shared" si="3"/>
        <v>9.5</v>
      </c>
      <c r="U6" s="10">
        <f t="shared" si="3"/>
        <v>10.5</v>
      </c>
      <c r="V6" s="10">
        <f t="shared" si="3"/>
        <v>11.5</v>
      </c>
      <c r="W6" s="10">
        <f t="shared" si="3"/>
        <v>12.5</v>
      </c>
      <c r="X6" s="10">
        <f t="shared" si="3"/>
        <v>13.5</v>
      </c>
      <c r="Y6" s="10">
        <f t="shared" si="3"/>
        <v>14.5</v>
      </c>
    </row>
    <row r="7" spans="1:37" ht="12.75" customHeight="1" x14ac:dyDescent="0.25">
      <c r="C7" s="6"/>
      <c r="D7" s="6"/>
      <c r="E7" s="6" t="s">
        <v>217</v>
      </c>
      <c r="F7" s="9" t="s">
        <v>5</v>
      </c>
      <c r="G7" s="9"/>
      <c r="H7" s="11">
        <f>EOMONTH( H8, -12 ) + 1</f>
        <v>42552</v>
      </c>
      <c r="I7" s="160">
        <f t="shared" ref="I7:Y7" si="4">H8 + 1</f>
        <v>42917</v>
      </c>
      <c r="J7" s="160">
        <f t="shared" si="4"/>
        <v>43282</v>
      </c>
      <c r="K7" s="160">
        <f t="shared" si="4"/>
        <v>43647</v>
      </c>
      <c r="L7" s="160">
        <f t="shared" si="4"/>
        <v>44013</v>
      </c>
      <c r="M7" s="160">
        <f t="shared" si="4"/>
        <v>44378</v>
      </c>
      <c r="N7" s="160">
        <f t="shared" si="4"/>
        <v>44743</v>
      </c>
      <c r="O7" s="160">
        <f t="shared" si="4"/>
        <v>45108</v>
      </c>
      <c r="P7" s="160">
        <f t="shared" si="4"/>
        <v>45474</v>
      </c>
      <c r="Q7" s="160">
        <f t="shared" si="4"/>
        <v>45839</v>
      </c>
      <c r="R7" s="160">
        <f t="shared" si="4"/>
        <v>46204</v>
      </c>
      <c r="S7" s="160">
        <f t="shared" si="4"/>
        <v>46569</v>
      </c>
      <c r="T7" s="160">
        <f t="shared" si="4"/>
        <v>46935</v>
      </c>
      <c r="U7" s="160">
        <f t="shared" si="4"/>
        <v>47300</v>
      </c>
      <c r="V7" s="160">
        <f t="shared" si="4"/>
        <v>47665</v>
      </c>
      <c r="W7" s="160">
        <f t="shared" si="4"/>
        <v>48030</v>
      </c>
      <c r="X7" s="160">
        <f t="shared" si="4"/>
        <v>48396</v>
      </c>
      <c r="Y7" s="160">
        <f t="shared" si="4"/>
        <v>48761</v>
      </c>
    </row>
    <row r="8" spans="1:37" ht="12.75" customHeight="1" x14ac:dyDescent="0.25">
      <c r="C8" s="6"/>
      <c r="D8" s="6"/>
      <c r="E8" s="6" t="s">
        <v>218</v>
      </c>
      <c r="F8" s="9" t="s">
        <v>5</v>
      </c>
      <c r="G8" s="9"/>
      <c r="H8" s="11">
        <f>'&gt;&gt; Inputs'!G18</f>
        <v>42916</v>
      </c>
      <c r="I8" s="11">
        <f t="shared" ref="I8:Y8" si="5">EOMONTH( I7, 11 )</f>
        <v>43281</v>
      </c>
      <c r="J8" s="11">
        <f t="shared" si="5"/>
        <v>43646</v>
      </c>
      <c r="K8" s="11">
        <f t="shared" si="5"/>
        <v>44012</v>
      </c>
      <c r="L8" s="11">
        <f t="shared" si="5"/>
        <v>44377</v>
      </c>
      <c r="M8" s="11">
        <f t="shared" si="5"/>
        <v>44742</v>
      </c>
      <c r="N8" s="11">
        <f t="shared" si="5"/>
        <v>45107</v>
      </c>
      <c r="O8" s="11">
        <f t="shared" si="5"/>
        <v>45473</v>
      </c>
      <c r="P8" s="11">
        <f t="shared" si="5"/>
        <v>45838</v>
      </c>
      <c r="Q8" s="11">
        <f t="shared" si="5"/>
        <v>46203</v>
      </c>
      <c r="R8" s="11">
        <f t="shared" si="5"/>
        <v>46568</v>
      </c>
      <c r="S8" s="11">
        <f t="shared" si="5"/>
        <v>46934</v>
      </c>
      <c r="T8" s="11">
        <f t="shared" si="5"/>
        <v>47299</v>
      </c>
      <c r="U8" s="11">
        <f t="shared" si="5"/>
        <v>47664</v>
      </c>
      <c r="V8" s="11">
        <f t="shared" si="5"/>
        <v>48029</v>
      </c>
      <c r="W8" s="11">
        <f t="shared" si="5"/>
        <v>48395</v>
      </c>
      <c r="X8" s="11">
        <f t="shared" si="5"/>
        <v>48760</v>
      </c>
      <c r="Y8" s="11">
        <f t="shared" si="5"/>
        <v>49125</v>
      </c>
    </row>
    <row r="9" spans="1:37" ht="12.75" customHeight="1" x14ac:dyDescent="0.25">
      <c r="C9" s="6"/>
      <c r="D9" s="6"/>
      <c r="E9" s="6" t="s">
        <v>219</v>
      </c>
      <c r="F9" s="9" t="s">
        <v>11</v>
      </c>
      <c r="G9" s="9"/>
      <c r="H9" s="12" t="str">
        <f ca="1">IF( H8 &gt; '&gt;&gt; Inputs'!$G20, "Forecast", "Actual" )</f>
        <v>Actual</v>
      </c>
      <c r="I9" s="12" t="str">
        <f ca="1">IF( I8 &gt; '&gt;&gt; Inputs'!$G20, "Forecast", "Actual" )</f>
        <v>Actual</v>
      </c>
      <c r="J9" s="12" t="str">
        <f ca="1">IF( J8 &gt; '&gt;&gt; Inputs'!$G20, "Forecast", "Actual" )</f>
        <v>Actual</v>
      </c>
      <c r="K9" s="12" t="str">
        <f ca="1">IF( K8 &gt; '&gt;&gt; Inputs'!$G20, "Forecast", "Actual" )</f>
        <v>Actual</v>
      </c>
      <c r="L9" s="12" t="str">
        <f ca="1">IF( L8 &gt; '&gt;&gt; Inputs'!$G20, "Forecast", "Actual" )</f>
        <v>Actual</v>
      </c>
      <c r="M9" s="12" t="str">
        <f ca="1">IF( M8 &gt; '&gt;&gt; Inputs'!$G20, "Forecast", "Actual" )</f>
        <v>Actual</v>
      </c>
      <c r="N9" s="12" t="str">
        <f ca="1">IF( N8 &gt; '&gt;&gt; Inputs'!$G20, "Forecast", "Actual" )</f>
        <v>Actual</v>
      </c>
      <c r="O9" s="12" t="str">
        <f ca="1">IF( O8 &gt; '&gt;&gt; Inputs'!$G20, "Forecast", "Actual" )</f>
        <v>Actual</v>
      </c>
      <c r="P9" s="12" t="str">
        <f ca="1">IF( P8 &gt; '&gt;&gt; Inputs'!$G20, "Forecast", "Actual" )</f>
        <v>Forecast</v>
      </c>
      <c r="Q9" s="12" t="str">
        <f ca="1">IF( Q8 &gt; '&gt;&gt; Inputs'!$G20, "Forecast", "Actual" )</f>
        <v>Forecast</v>
      </c>
      <c r="R9" s="12" t="str">
        <f ca="1">IF( R8 &gt; '&gt;&gt; Inputs'!$G20, "Forecast", "Actual" )</f>
        <v>Forecast</v>
      </c>
      <c r="S9" s="12" t="str">
        <f ca="1">IF( S8 &gt; '&gt;&gt; Inputs'!$G20, "Forecast", "Actual" )</f>
        <v>Forecast</v>
      </c>
      <c r="T9" s="12" t="str">
        <f ca="1">IF( T8 &gt; '&gt;&gt; Inputs'!$G20, "Forecast", "Actual" )</f>
        <v>Forecast</v>
      </c>
      <c r="U9" s="12" t="str">
        <f ca="1">IF( U8 &gt; '&gt;&gt; Inputs'!$G20, "Forecast", "Actual" )</f>
        <v>Forecast</v>
      </c>
      <c r="V9" s="12" t="str">
        <f ca="1">IF( V8 &gt; '&gt;&gt; Inputs'!$G20, "Forecast", "Actual" )</f>
        <v>Forecast</v>
      </c>
      <c r="W9" s="12" t="str">
        <f ca="1">IF( W8 &gt; '&gt;&gt; Inputs'!$G20, "Forecast", "Actual" )</f>
        <v>Forecast</v>
      </c>
      <c r="X9" s="12" t="str">
        <f ca="1">IF( X8 &gt; '&gt;&gt; Inputs'!$G20, "Forecast", "Actual" )</f>
        <v>Forecast</v>
      </c>
      <c r="Y9" s="12" t="str">
        <f ca="1">IF( Y8 &gt; '&gt;&gt; Inputs'!$G20, "Forecast", "Actual" )</f>
        <v>Forecast</v>
      </c>
    </row>
    <row r="10" spans="1:37" ht="9" customHeight="1" x14ac:dyDescent="0.25">
      <c r="A10" s="1"/>
      <c r="B10" s="1"/>
      <c r="C10" s="1"/>
      <c r="D10" s="1"/>
      <c r="E10" s="1"/>
      <c r="F10" s="33"/>
      <c r="G10" s="33"/>
      <c r="H10" s="187"/>
      <c r="I10" s="187"/>
      <c r="J10" s="187"/>
      <c r="K10" s="187"/>
      <c r="L10" s="187"/>
      <c r="M10" s="187"/>
      <c r="N10" s="13"/>
      <c r="O10" s="13"/>
      <c r="P10" s="13"/>
      <c r="Q10" s="13"/>
      <c r="R10" s="13"/>
      <c r="S10" s="13"/>
      <c r="T10" s="13"/>
      <c r="U10" s="13"/>
      <c r="V10" s="13"/>
      <c r="W10" s="13"/>
      <c r="X10" s="13"/>
      <c r="Y10" s="13"/>
    </row>
    <row r="11" spans="1:37" ht="9" customHeight="1" x14ac:dyDescent="0.25">
      <c r="A11" s="1"/>
      <c r="B11" s="1"/>
      <c r="C11" s="1"/>
      <c r="D11" s="1"/>
      <c r="E11" s="1"/>
      <c r="F11" s="33"/>
      <c r="G11" s="33"/>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ht="12" customHeight="1" x14ac:dyDescent="0.25">
      <c r="A12" s="1"/>
      <c r="B12" s="1"/>
      <c r="C12" s="1"/>
      <c r="D12" s="1"/>
      <c r="E12" s="1" t="s">
        <v>220</v>
      </c>
      <c r="F12" s="33" t="s">
        <v>11</v>
      </c>
      <c r="G12" s="33"/>
      <c r="H12" s="84">
        <f>IF( AND( H5 &lt;= '&gt;&gt; Inputs'!$G56, H5 &gt;= 1 ), 1, 0 )</f>
        <v>0</v>
      </c>
      <c r="I12" s="84">
        <f>IF( AND( I5 &lt;= '&gt;&gt; Inputs'!$G56, I5 &gt;= 1 ), 1, 0 )</f>
        <v>0</v>
      </c>
      <c r="J12" s="84">
        <f>IF( AND( J5 &lt;= '&gt;&gt; Inputs'!$G56, J5 &gt;= 1 ), 1, 0 )</f>
        <v>0</v>
      </c>
      <c r="K12" s="161">
        <f>IF( AND( K5 &lt;= '&gt;&gt; Inputs'!$G56, K5 &gt;= 1 ), 1, 0 )</f>
        <v>0</v>
      </c>
      <c r="L12" s="161">
        <f>IF( AND( L5 &lt;= '&gt;&gt; Inputs'!$G56, L5 &gt;= 1 ), 1, 0 )</f>
        <v>0</v>
      </c>
      <c r="M12" s="161">
        <f>IF( AND( M5 &lt;= '&gt;&gt; Inputs'!$G56, M5 &gt;= 1 ), 1, 0 )</f>
        <v>0</v>
      </c>
      <c r="N12" s="161">
        <f>IF( AND( N5 &lt;= '&gt;&gt; Inputs'!$G56, N5 &gt;= 1 ), 1, 0 )</f>
        <v>0</v>
      </c>
      <c r="O12" s="161">
        <f>IF( AND( O5 &lt;= '&gt;&gt; Inputs'!$G56, O5 &gt;= 1 ), 1, 0 )</f>
        <v>1</v>
      </c>
      <c r="P12" s="161">
        <f>IF( AND( P5 &lt;= '&gt;&gt; Inputs'!$G56, P5 &gt;= 1 ), 1, 0 )</f>
        <v>1</v>
      </c>
      <c r="Q12" s="161">
        <f>IF( AND( Q5 &lt;= '&gt;&gt; Inputs'!$G56, Q5 &gt;= 1 ), 1, 0 )</f>
        <v>1</v>
      </c>
      <c r="R12" s="161">
        <f>IF( AND( R5 &lt;= '&gt;&gt; Inputs'!$G56, R5 &gt;= 1 ), 1, 0 )</f>
        <v>1</v>
      </c>
      <c r="S12" s="161">
        <f>IF( AND( S5 &lt;= '&gt;&gt; Inputs'!$G56, S5 &gt;= 1 ), 1, 0 )</f>
        <v>1</v>
      </c>
      <c r="T12" s="161">
        <f>IF( AND( T5 &lt;= '&gt;&gt; Inputs'!$G56, T5 &gt;= 1 ), 1, 0 )</f>
        <v>1</v>
      </c>
      <c r="U12" s="161">
        <f>IF( AND( U5 &lt;= '&gt;&gt; Inputs'!$G56, U5 &gt;= 1 ), 1, 0 )</f>
        <v>1</v>
      </c>
      <c r="V12" s="161">
        <f>IF( AND( V5 &lt;= '&gt;&gt; Inputs'!$G56, V5 &gt;= 1 ), 1, 0 )</f>
        <v>1</v>
      </c>
      <c r="W12" s="161">
        <f>IF( AND( W5 &lt;= '&gt;&gt; Inputs'!$G56, W5 &gt;= 1 ), 1, 0 )</f>
        <v>1</v>
      </c>
      <c r="X12" s="161">
        <f>IF( AND( X5 &lt;= '&gt;&gt; Inputs'!$G56, X5 &gt;= 1 ), 1, 0 )</f>
        <v>1</v>
      </c>
      <c r="Y12" s="161">
        <f>IF( AND( Y5 &lt;= '&gt;&gt; Inputs'!$G56, Y5 &gt;= 1 ), 1, 0 )</f>
        <v>0</v>
      </c>
      <c r="Z12" s="1"/>
      <c r="AA12" s="1"/>
      <c r="AB12" s="1"/>
      <c r="AC12" s="1"/>
      <c r="AD12" s="1"/>
      <c r="AE12" s="1"/>
      <c r="AF12" s="1"/>
      <c r="AG12" s="1"/>
      <c r="AH12" s="1"/>
      <c r="AI12" s="1"/>
      <c r="AJ12" s="1"/>
      <c r="AK12" s="1"/>
    </row>
    <row r="13" spans="1:37" ht="12" customHeight="1" x14ac:dyDescent="0.25">
      <c r="A13" s="1"/>
      <c r="B13" s="1"/>
      <c r="C13" s="1"/>
      <c r="D13" s="1"/>
      <c r="E13" s="1" t="s">
        <v>221</v>
      </c>
      <c r="F13" s="33" t="s">
        <v>11</v>
      </c>
      <c r="G13" s="33"/>
      <c r="H13" s="84">
        <f>IF( H5 = '&gt;&gt; Inputs'!$G56, 1, 0 )</f>
        <v>0</v>
      </c>
      <c r="I13" s="84">
        <f>IF( I5 = '&gt;&gt; Inputs'!$G56, 1, 0 )</f>
        <v>0</v>
      </c>
      <c r="J13" s="84">
        <f>IF( J5 = '&gt;&gt; Inputs'!$G56, 1, 0 )</f>
        <v>0</v>
      </c>
      <c r="K13" s="84">
        <f>IF( K5 = '&gt;&gt; Inputs'!$G56, 1, 0 )</f>
        <v>0</v>
      </c>
      <c r="L13" s="84">
        <f>IF( L5 = '&gt;&gt; Inputs'!$G56, 1, 0 )</f>
        <v>0</v>
      </c>
      <c r="M13" s="84">
        <f>IF( M5 = '&gt;&gt; Inputs'!$G56, 1, 0 )</f>
        <v>0</v>
      </c>
      <c r="N13" s="84">
        <f>IF( N5 = '&gt;&gt; Inputs'!$G56, 1, 0 )</f>
        <v>0</v>
      </c>
      <c r="O13" s="84">
        <f>IF( O5 = '&gt;&gt; Inputs'!$G56, 1, 0 )</f>
        <v>0</v>
      </c>
      <c r="P13" s="84">
        <f>IF( P5 = '&gt;&gt; Inputs'!$G56, 1, 0 )</f>
        <v>0</v>
      </c>
      <c r="Q13" s="84">
        <f>IF( Q5 = '&gt;&gt; Inputs'!$G56, 1, 0 )</f>
        <v>0</v>
      </c>
      <c r="R13" s="84">
        <f>IF( R5 = '&gt;&gt; Inputs'!$G56, 1, 0 )</f>
        <v>0</v>
      </c>
      <c r="S13" s="84">
        <f>IF( S5 = '&gt;&gt; Inputs'!$G56, 1, 0 )</f>
        <v>0</v>
      </c>
      <c r="T13" s="84">
        <f>IF( T5 = '&gt;&gt; Inputs'!$G56, 1, 0 )</f>
        <v>0</v>
      </c>
      <c r="U13" s="84">
        <f>IF( U5 = '&gt;&gt; Inputs'!$G56, 1, 0 )</f>
        <v>0</v>
      </c>
      <c r="V13" s="84">
        <f>IF( V5 = '&gt;&gt; Inputs'!$G56, 1, 0 )</f>
        <v>0</v>
      </c>
      <c r="W13" s="84">
        <f>IF( W5 = '&gt;&gt; Inputs'!$G56, 1, 0 )</f>
        <v>0</v>
      </c>
      <c r="X13" s="84">
        <f>IF( X5 = '&gt;&gt; Inputs'!$G56, 1, 0 )</f>
        <v>1</v>
      </c>
      <c r="Y13" s="84">
        <f>IF( Y5 = '&gt;&gt; Inputs'!$G56, 1, 0 )</f>
        <v>0</v>
      </c>
      <c r="Z13" s="1"/>
      <c r="AA13" s="1"/>
      <c r="AB13" s="1"/>
      <c r="AC13" s="1"/>
      <c r="AD13" s="1"/>
      <c r="AE13" s="1"/>
      <c r="AF13" s="1"/>
      <c r="AG13" s="1"/>
      <c r="AH13" s="1"/>
      <c r="AI13" s="1"/>
      <c r="AJ13" s="1"/>
      <c r="AK13" s="1"/>
    </row>
    <row r="14" spans="1:37" ht="12" customHeight="1" x14ac:dyDescent="0.25">
      <c r="A14" s="1"/>
      <c r="B14" s="1"/>
      <c r="C14" s="1"/>
      <c r="D14" s="1"/>
      <c r="E14" s="1" t="s">
        <v>222</v>
      </c>
      <c r="F14" s="33" t="s">
        <v>11</v>
      </c>
      <c r="G14" s="33"/>
      <c r="H14" s="76" t="str">
        <f>IF( H4 = '&gt;&gt; Inputs'!H5, "Passed", " Error" )</f>
        <v>Passed</v>
      </c>
      <c r="I14" s="76" t="str">
        <f>IF( I4 = '&gt;&gt; Inputs'!I5, "Passed", " Error" )</f>
        <v>Passed</v>
      </c>
      <c r="J14" s="76" t="str">
        <f>IF( J4 = '&gt;&gt; Inputs'!J5, "Passed", " Error" )</f>
        <v>Passed</v>
      </c>
      <c r="K14" s="76" t="str">
        <f>IF( K4 = '&gt;&gt; Inputs'!K5, "Passed", " Error" )</f>
        <v>Passed</v>
      </c>
      <c r="L14" s="76" t="str">
        <f>IF( L4 = '&gt;&gt; Inputs'!L5, "Passed", " Error" )</f>
        <v>Passed</v>
      </c>
      <c r="M14" s="76" t="str">
        <f>IF( M4 = '&gt;&gt; Inputs'!M5, "Passed", " Error" )</f>
        <v>Passed</v>
      </c>
      <c r="N14" s="76" t="str">
        <f>IF( N4 = '&gt;&gt; Inputs'!N5, "Passed", " Error" )</f>
        <v>Passed</v>
      </c>
      <c r="O14" s="76" t="str">
        <f>IF( O4 = '&gt;&gt; Inputs'!O5, "Passed", " Error" )</f>
        <v>Passed</v>
      </c>
      <c r="P14" s="76" t="str">
        <f>IF( P4 = '&gt;&gt; Inputs'!P5, "Passed", " Error" )</f>
        <v>Passed</v>
      </c>
      <c r="Q14" s="76" t="str">
        <f>IF( Q4 = '&gt;&gt; Inputs'!Q5, "Passed", " Error" )</f>
        <v>Passed</v>
      </c>
      <c r="R14" s="76" t="str">
        <f>IF( R4 = '&gt;&gt; Inputs'!R5, "Passed", " Error" )</f>
        <v>Passed</v>
      </c>
      <c r="S14" s="76" t="str">
        <f>IF( S4 = '&gt;&gt; Inputs'!S5, "Passed", " Error" )</f>
        <v>Passed</v>
      </c>
      <c r="T14" s="76" t="str">
        <f>IF( T4 = '&gt;&gt; Inputs'!T5, "Passed", " Error" )</f>
        <v>Passed</v>
      </c>
      <c r="U14" s="76" t="str">
        <f>IF( U4 = '&gt;&gt; Inputs'!U5, "Passed", " Error" )</f>
        <v>Passed</v>
      </c>
      <c r="V14" s="76" t="str">
        <f>IF( V4 = '&gt;&gt; Inputs'!V5, "Passed", " Error" )</f>
        <v>Passed</v>
      </c>
      <c r="W14" s="76" t="str">
        <f>IF( W4 = '&gt;&gt; Inputs'!W5, "Passed", " Error" )</f>
        <v>Passed</v>
      </c>
      <c r="X14" s="76" t="str">
        <f>IF( X4 = '&gt;&gt; Inputs'!X5, "Passed", " Error" )</f>
        <v>Passed</v>
      </c>
      <c r="Y14" s="76" t="str">
        <f>IF( Y4 = '&gt;&gt; Inputs'!Y5, "Passed", " Error" )</f>
        <v>Passed</v>
      </c>
      <c r="Z14" s="1"/>
      <c r="AA14" s="1"/>
      <c r="AB14" s="1"/>
      <c r="AC14" s="1"/>
      <c r="AD14" s="1"/>
      <c r="AE14" s="1"/>
      <c r="AF14" s="1"/>
      <c r="AG14" s="1"/>
      <c r="AH14" s="1"/>
      <c r="AI14" s="1"/>
      <c r="AJ14" s="1"/>
      <c r="AK14" s="1"/>
    </row>
    <row r="15" spans="1:37" ht="12" customHeight="1" x14ac:dyDescent="0.25">
      <c r="A15" s="1"/>
      <c r="B15" s="1"/>
      <c r="C15" s="1"/>
      <c r="D15" s="1"/>
      <c r="E15" s="1"/>
      <c r="F15" s="33"/>
      <c r="G15" s="33"/>
      <c r="H15" s="76"/>
      <c r="I15" s="76"/>
      <c r="J15" s="76"/>
      <c r="K15" s="76"/>
      <c r="L15" s="76"/>
      <c r="M15" s="76"/>
      <c r="N15" s="76"/>
      <c r="O15" s="76"/>
      <c r="P15" s="76"/>
      <c r="Q15" s="76"/>
      <c r="R15" s="76"/>
      <c r="S15" s="76"/>
      <c r="T15" s="76"/>
      <c r="U15" s="76"/>
      <c r="V15" s="76"/>
      <c r="W15" s="76"/>
      <c r="X15" s="76"/>
      <c r="Y15" s="76"/>
      <c r="Z15" s="1"/>
      <c r="AA15" s="1"/>
      <c r="AB15" s="1"/>
      <c r="AC15" s="1"/>
      <c r="AD15" s="1"/>
      <c r="AE15" s="1"/>
      <c r="AF15" s="1"/>
      <c r="AG15" s="1"/>
      <c r="AH15" s="1"/>
      <c r="AI15" s="1"/>
      <c r="AJ15" s="1"/>
      <c r="AK15" s="1"/>
    </row>
    <row r="16" spans="1:37" ht="9" customHeight="1" x14ac:dyDescent="0.25">
      <c r="A16" s="1"/>
      <c r="B16" s="1"/>
      <c r="C16" s="188" t="s">
        <v>275</v>
      </c>
      <c r="D16" s="189"/>
      <c r="E16" s="189"/>
      <c r="F16" s="190"/>
      <c r="G16" s="190"/>
      <c r="H16" s="191"/>
      <c r="I16" s="191"/>
      <c r="J16" s="191"/>
      <c r="K16" s="191"/>
      <c r="L16" s="191"/>
      <c r="M16" s="191"/>
      <c r="N16" s="191"/>
      <c r="O16" s="191"/>
      <c r="P16" s="191"/>
      <c r="Q16" s="191"/>
      <c r="R16" s="191"/>
      <c r="S16" s="191"/>
      <c r="T16" s="191"/>
      <c r="U16" s="191"/>
      <c r="V16" s="191"/>
      <c r="W16" s="191"/>
      <c r="X16" s="191"/>
      <c r="Y16" s="191"/>
      <c r="Z16" s="2"/>
      <c r="AA16" s="1"/>
      <c r="AB16" s="1"/>
      <c r="AC16" s="2"/>
      <c r="AD16" s="1"/>
      <c r="AE16" s="1"/>
      <c r="AF16" s="1"/>
      <c r="AG16" s="1"/>
      <c r="AH16" s="1"/>
      <c r="AI16" s="1"/>
      <c r="AJ16" s="1"/>
      <c r="AK16" s="1"/>
    </row>
    <row r="17" spans="1:37" ht="9" customHeight="1" x14ac:dyDescent="0.25">
      <c r="A17" s="1"/>
      <c r="B17" s="1"/>
      <c r="C17" s="2"/>
      <c r="D17" s="1"/>
      <c r="E17" s="1"/>
      <c r="F17" s="33"/>
      <c r="G17" s="33"/>
      <c r="H17" s="76"/>
      <c r="I17" s="76"/>
      <c r="J17" s="76"/>
      <c r="K17" s="76"/>
      <c r="L17" s="76"/>
      <c r="M17" s="76"/>
      <c r="N17" s="76"/>
      <c r="O17" s="76"/>
      <c r="P17" s="76"/>
      <c r="Q17" s="76"/>
      <c r="R17" s="76"/>
      <c r="S17" s="76"/>
      <c r="T17" s="76"/>
      <c r="U17" s="76"/>
      <c r="V17" s="76"/>
      <c r="W17" s="76"/>
      <c r="X17" s="76"/>
      <c r="Y17" s="76"/>
      <c r="Z17" s="1"/>
      <c r="AA17" s="1"/>
      <c r="AB17" s="1"/>
      <c r="AC17" s="1"/>
      <c r="AD17" s="1"/>
      <c r="AE17" s="1"/>
      <c r="AF17" s="1"/>
      <c r="AG17" s="1"/>
      <c r="AH17" s="1"/>
      <c r="AI17" s="1"/>
      <c r="AJ17" s="1"/>
      <c r="AK17" s="1"/>
    </row>
    <row r="18" spans="1:37" ht="12.75" customHeight="1" x14ac:dyDescent="0.25">
      <c r="A18" s="1"/>
      <c r="B18" s="1"/>
      <c r="C18" s="1"/>
      <c r="D18" s="1"/>
      <c r="E18" s="1" t="s">
        <v>276</v>
      </c>
      <c r="F18" s="33" t="s">
        <v>28</v>
      </c>
      <c r="G18" s="33"/>
      <c r="H18" s="39">
        <f>'&gt;&gt; SKC segments'!H23</f>
        <v>817.39969857635947</v>
      </c>
      <c r="I18" s="39">
        <f>'&gt;&gt; SKC segments'!I23</f>
        <v>884.78800000000001</v>
      </c>
      <c r="J18" s="39">
        <f>'&gt;&gt; SKC segments'!J23</f>
        <v>885.21799999999985</v>
      </c>
      <c r="K18" s="39">
        <f>'&gt;&gt; SKC segments'!K23</f>
        <v>821.47699999999986</v>
      </c>
      <c r="L18" s="39">
        <f>'&gt;&gt; SKC segments'!L23</f>
        <v>789.5780000000002</v>
      </c>
      <c r="M18" s="39">
        <f>'&gt;&gt; SKC segments'!M23</f>
        <v>628.30600000000004</v>
      </c>
      <c r="N18" s="39">
        <f>'&gt;&gt; SKC segments'!N23</f>
        <v>898.87900000000002</v>
      </c>
      <c r="O18" s="39">
        <f>'&gt;&gt; SKC segments'!O23</f>
        <v>920.94423494525529</v>
      </c>
      <c r="P18" s="39">
        <f>'&gt;&gt; SKC segments'!P23</f>
        <v>913.220426815682</v>
      </c>
      <c r="Q18" s="39">
        <f>'&gt;&gt; SKC segments'!Q23</f>
        <v>877.2016205573434</v>
      </c>
      <c r="R18" s="39">
        <f>'&gt;&gt; SKC segments'!R23</f>
        <v>894.74565296849028</v>
      </c>
      <c r="S18" s="39">
        <f>'&gt;&gt; SKC segments'!S23</f>
        <v>912.64056602786002</v>
      </c>
      <c r="T18" s="39">
        <f>'&gt;&gt; SKC segments'!T23</f>
        <v>930.89337734841729</v>
      </c>
      <c r="U18" s="39">
        <f>'&gt;&gt; SKC segments'!U23</f>
        <v>949.51124489538563</v>
      </c>
      <c r="V18" s="39">
        <f>'&gt;&gt; SKC segments'!V23</f>
        <v>968.50146979329338</v>
      </c>
      <c r="W18" s="39">
        <f>'&gt;&gt; SKC segments'!W23</f>
        <v>987.87149918915907</v>
      </c>
      <c r="X18" s="39">
        <f>'&gt;&gt; SKC segments'!X23</f>
        <v>1007.6289291729423</v>
      </c>
      <c r="Y18" s="39">
        <f>'&gt;&gt; SKC segments'!Y23</f>
        <v>1027.7815077564012</v>
      </c>
      <c r="Z18" s="192"/>
    </row>
    <row r="19" spans="1:37" ht="12.75" customHeight="1" x14ac:dyDescent="0.25">
      <c r="A19" s="1"/>
      <c r="B19" s="1"/>
      <c r="C19" s="1"/>
      <c r="D19" s="1"/>
      <c r="E19" s="1" t="s">
        <v>277</v>
      </c>
      <c r="F19" s="33" t="s">
        <v>28</v>
      </c>
      <c r="G19" s="33"/>
      <c r="H19" s="39">
        <f>-621.057</f>
        <v>-621.05700000000002</v>
      </c>
      <c r="I19" s="39">
        <f>-658.112-0.347</f>
        <v>-658.45899999999995</v>
      </c>
      <c r="J19" s="39">
        <f>-667.016-0.737</f>
        <v>-667.75299999999993</v>
      </c>
      <c r="K19" s="39">
        <f>-547.316-0.083-108.09</f>
        <v>-655.48900000000003</v>
      </c>
      <c r="L19" s="39">
        <f>-500.034-141.845</f>
        <v>-641.87900000000002</v>
      </c>
      <c r="M19" s="39">
        <f>-449.67-88.849</f>
        <v>-538.51900000000001</v>
      </c>
      <c r="N19" s="39">
        <f>-652.647-63.828</f>
        <v>-716.47500000000002</v>
      </c>
      <c r="O19" s="39">
        <f>-O18*(1-'&gt;&gt; Dash'!$H$47)</f>
        <v>-642.65542707741338</v>
      </c>
      <c r="P19" s="39">
        <f>P20-P18</f>
        <v>-660.64790347158123</v>
      </c>
      <c r="Q19" s="39">
        <f t="shared" ref="Q19:Y19" si="6">Q20-Q18</f>
        <v>-612.13085516061642</v>
      </c>
      <c r="R19" s="39">
        <f t="shared" si="6"/>
        <v>-624.37347226382872</v>
      </c>
      <c r="S19" s="39">
        <f t="shared" si="6"/>
        <v>-636.86094170910519</v>
      </c>
      <c r="T19" s="39">
        <f t="shared" si="6"/>
        <v>-649.59816054328735</v>
      </c>
      <c r="U19" s="39">
        <f t="shared" si="6"/>
        <v>-662.59012375415296</v>
      </c>
      <c r="V19" s="39">
        <f t="shared" si="6"/>
        <v>-675.84192622923615</v>
      </c>
      <c r="W19" s="39">
        <f t="shared" si="6"/>
        <v>-689.35876475382065</v>
      </c>
      <c r="X19" s="39">
        <f t="shared" si="6"/>
        <v>-703.14594004889705</v>
      </c>
      <c r="Y19" s="39">
        <f t="shared" si="6"/>
        <v>-717.20885884987524</v>
      </c>
    </row>
    <row r="20" spans="1:37" ht="12.75" customHeight="1" x14ac:dyDescent="0.25">
      <c r="A20" s="2"/>
      <c r="B20" s="2"/>
      <c r="C20" s="2"/>
      <c r="D20" s="2"/>
      <c r="E20" s="2" t="s">
        <v>151</v>
      </c>
      <c r="F20" s="33" t="s">
        <v>28</v>
      </c>
      <c r="G20" s="193"/>
      <c r="H20" s="171">
        <f t="shared" ref="H20:O20" si="7">SUM(H18:H19)</f>
        <v>196.34269857635945</v>
      </c>
      <c r="I20" s="171">
        <f t="shared" si="7"/>
        <v>226.32900000000006</v>
      </c>
      <c r="J20" s="171">
        <f t="shared" si="7"/>
        <v>217.46499999999992</v>
      </c>
      <c r="K20" s="171">
        <f t="shared" si="7"/>
        <v>165.98799999999983</v>
      </c>
      <c r="L20" s="171">
        <f t="shared" si="7"/>
        <v>147.69900000000018</v>
      </c>
      <c r="M20" s="171">
        <f t="shared" si="7"/>
        <v>89.787000000000035</v>
      </c>
      <c r="N20" s="171">
        <f t="shared" si="7"/>
        <v>182.404</v>
      </c>
      <c r="O20" s="171">
        <f t="shared" si="7"/>
        <v>278.28880786784191</v>
      </c>
      <c r="P20" s="171">
        <f>'&gt;&gt; SKC segments'!P43</f>
        <v>252.57252334410083</v>
      </c>
      <c r="Q20" s="171">
        <f>'&gt;&gt; SKC segments'!Q43</f>
        <v>265.07076539672704</v>
      </c>
      <c r="R20" s="171">
        <f>'&gt;&gt; SKC segments'!R43</f>
        <v>270.37218070466162</v>
      </c>
      <c r="S20" s="171">
        <f>'&gt;&gt; SKC segments'!S43</f>
        <v>275.77962431875483</v>
      </c>
      <c r="T20" s="171">
        <f>'&gt;&gt; SKC segments'!T43</f>
        <v>281.29521680513</v>
      </c>
      <c r="U20" s="171">
        <f>'&gt;&gt; SKC segments'!U43</f>
        <v>286.92112114123262</v>
      </c>
      <c r="V20" s="171">
        <f>'&gt;&gt; SKC segments'!V43</f>
        <v>292.65954356405723</v>
      </c>
      <c r="W20" s="171">
        <f>'&gt;&gt; SKC segments'!W43</f>
        <v>298.51273443533836</v>
      </c>
      <c r="X20" s="171">
        <f>'&gt;&gt; SKC segments'!X43</f>
        <v>304.48298912404522</v>
      </c>
      <c r="Y20" s="171">
        <f>'&gt;&gt; SKC segments'!Y43</f>
        <v>310.57264890652601</v>
      </c>
      <c r="Z20" s="192"/>
      <c r="AA20" s="194"/>
      <c r="AB20" s="194"/>
      <c r="AC20" s="194"/>
      <c r="AD20" s="194"/>
      <c r="AE20" s="194"/>
      <c r="AF20" s="194"/>
      <c r="AG20" s="194"/>
      <c r="AH20" s="194"/>
      <c r="AI20" s="194"/>
      <c r="AJ20" s="194"/>
      <c r="AK20" s="194"/>
    </row>
    <row r="21" spans="1:37" ht="12.75" customHeight="1" x14ac:dyDescent="0.25">
      <c r="A21" s="1"/>
      <c r="B21" s="1"/>
      <c r="C21" s="1"/>
      <c r="D21" s="1"/>
      <c r="E21" s="1" t="s">
        <v>278</v>
      </c>
      <c r="F21" s="33" t="s">
        <v>28</v>
      </c>
      <c r="G21" s="33"/>
      <c r="H21" s="39">
        <f t="shared" ref="H21:Y21" si="8">H142-H149</f>
        <v>-95.049000000000007</v>
      </c>
      <c r="I21" s="39">
        <f t="shared" si="8"/>
        <v>-94.37700000000001</v>
      </c>
      <c r="J21" s="39">
        <f t="shared" si="8"/>
        <v>-84.697999999999993</v>
      </c>
      <c r="K21" s="39">
        <f t="shared" si="8"/>
        <v>-85.445999999999998</v>
      </c>
      <c r="L21" s="39">
        <f t="shared" si="8"/>
        <v>-89.519000000000005</v>
      </c>
      <c r="M21" s="39">
        <f t="shared" si="8"/>
        <v>-88.691999999999993</v>
      </c>
      <c r="N21" s="39">
        <f t="shared" si="8"/>
        <v>-84.363</v>
      </c>
      <c r="O21" s="39">
        <f t="shared" si="8"/>
        <v>-92.5</v>
      </c>
      <c r="P21" s="469">
        <f t="shared" si="8"/>
        <v>-102.57803572233976</v>
      </c>
      <c r="Q21" s="469">
        <f t="shared" si="8"/>
        <v>-99.505024562632229</v>
      </c>
      <c r="R21" s="469">
        <f t="shared" si="8"/>
        <v>-96.191637007961248</v>
      </c>
      <c r="S21" s="469">
        <f t="shared" si="8"/>
        <v>-97.316746446912603</v>
      </c>
      <c r="T21" s="469">
        <f t="shared" si="8"/>
        <v>-98.200045187438292</v>
      </c>
      <c r="U21" s="39">
        <f t="shared" si="8"/>
        <v>-98.579960278987969</v>
      </c>
      <c r="V21" s="39">
        <f t="shared" si="8"/>
        <v>-98.605100683625892</v>
      </c>
      <c r="W21" s="39">
        <f t="shared" si="8"/>
        <v>-98.53063280032913</v>
      </c>
      <c r="X21" s="39">
        <f t="shared" si="8"/>
        <v>-98.688397836278384</v>
      </c>
      <c r="Y21" s="39">
        <f t="shared" si="8"/>
        <v>-98.202193100520716</v>
      </c>
    </row>
    <row r="22" spans="1:37" ht="12.75" customHeight="1" x14ac:dyDescent="0.25">
      <c r="A22" s="1"/>
      <c r="B22" s="1"/>
      <c r="C22" s="1"/>
      <c r="D22" s="1"/>
      <c r="E22" s="1" t="s">
        <v>279</v>
      </c>
      <c r="F22" s="33" t="s">
        <v>28</v>
      </c>
      <c r="G22" s="33"/>
      <c r="H22" s="195">
        <v>0</v>
      </c>
      <c r="I22" s="195">
        <v>0</v>
      </c>
      <c r="J22" s="195">
        <v>0</v>
      </c>
      <c r="K22" s="195">
        <v>-1.1140000000000001</v>
      </c>
      <c r="L22" s="195">
        <v>-1.8939999999999999</v>
      </c>
      <c r="M22" s="195">
        <v>-5.968</v>
      </c>
      <c r="N22" s="196">
        <v>-6.3090000000000002</v>
      </c>
      <c r="O22" s="39">
        <v>-6</v>
      </c>
      <c r="P22" s="39">
        <v>-6</v>
      </c>
      <c r="Q22" s="39">
        <v>-6</v>
      </c>
      <c r="R22" s="39">
        <v>-6</v>
      </c>
      <c r="S22" s="39">
        <v>-6</v>
      </c>
      <c r="T22" s="39">
        <v>-6</v>
      </c>
      <c r="U22" s="39">
        <v>-6</v>
      </c>
      <c r="V22" s="39">
        <v>-6</v>
      </c>
      <c r="W22" s="39">
        <v>-6</v>
      </c>
      <c r="X22" s="39">
        <v>-6</v>
      </c>
      <c r="Y22" s="39">
        <v>-6</v>
      </c>
      <c r="Z22" s="192"/>
    </row>
    <row r="23" spans="1:37" ht="12.75" customHeight="1" x14ac:dyDescent="0.25">
      <c r="A23" s="2"/>
      <c r="B23" s="2"/>
      <c r="C23" s="2"/>
      <c r="D23" s="2"/>
      <c r="E23" s="2" t="s">
        <v>230</v>
      </c>
      <c r="F23" s="193" t="s">
        <v>28</v>
      </c>
      <c r="G23" s="193"/>
      <c r="H23" s="182">
        <f t="shared" ref="H23:Y23" si="9">SUM(H20:H22)</f>
        <v>101.29369857635945</v>
      </c>
      <c r="I23" s="182">
        <f t="shared" si="9"/>
        <v>131.95200000000006</v>
      </c>
      <c r="J23" s="182">
        <f t="shared" si="9"/>
        <v>132.76699999999994</v>
      </c>
      <c r="K23" s="182">
        <f t="shared" si="9"/>
        <v>79.427999999999827</v>
      </c>
      <c r="L23" s="182">
        <f t="shared" si="9"/>
        <v>56.286000000000179</v>
      </c>
      <c r="M23" s="182">
        <f t="shared" si="9"/>
        <v>-4.8729999999999585</v>
      </c>
      <c r="N23" s="182">
        <f t="shared" si="9"/>
        <v>91.731999999999999</v>
      </c>
      <c r="O23" s="182">
        <f t="shared" si="9"/>
        <v>179.78880786784191</v>
      </c>
      <c r="P23" s="182">
        <f t="shared" si="9"/>
        <v>143.99448762176107</v>
      </c>
      <c r="Q23" s="182">
        <f t="shared" si="9"/>
        <v>159.56574083409481</v>
      </c>
      <c r="R23" s="182">
        <f t="shared" si="9"/>
        <v>168.18054369670037</v>
      </c>
      <c r="S23" s="182">
        <f t="shared" si="9"/>
        <v>172.46287787184224</v>
      </c>
      <c r="T23" s="182">
        <f t="shared" si="9"/>
        <v>177.0951716176917</v>
      </c>
      <c r="U23" s="182">
        <f t="shared" si="9"/>
        <v>182.34116086224464</v>
      </c>
      <c r="V23" s="182">
        <f t="shared" si="9"/>
        <v>188.05444288043134</v>
      </c>
      <c r="W23" s="182">
        <f t="shared" si="9"/>
        <v>193.98210163500923</v>
      </c>
      <c r="X23" s="182">
        <f t="shared" si="9"/>
        <v>199.79459128776682</v>
      </c>
      <c r="Y23" s="182">
        <f t="shared" si="9"/>
        <v>206.37045580600528</v>
      </c>
      <c r="Z23" s="194"/>
      <c r="AA23" s="194"/>
      <c r="AB23" s="194"/>
      <c r="AC23" s="194"/>
      <c r="AD23" s="194"/>
      <c r="AE23" s="194"/>
      <c r="AF23" s="194"/>
      <c r="AG23" s="194"/>
      <c r="AH23" s="194"/>
      <c r="AI23" s="194"/>
      <c r="AJ23" s="194"/>
      <c r="AK23" s="194"/>
    </row>
    <row r="24" spans="1:37" ht="12.75" customHeight="1" x14ac:dyDescent="0.25">
      <c r="A24" s="1"/>
      <c r="B24" s="1"/>
      <c r="C24" s="1"/>
      <c r="D24" s="1"/>
      <c r="E24" s="1" t="s">
        <v>280</v>
      </c>
      <c r="F24" s="33" t="s">
        <v>28</v>
      </c>
      <c r="G24" s="33"/>
      <c r="H24" s="196">
        <v>-16.712</v>
      </c>
      <c r="I24" s="196">
        <v>-12.458</v>
      </c>
      <c r="J24" s="196">
        <v>-10.212</v>
      </c>
      <c r="K24" s="196">
        <f>-28.613 -K25</f>
        <v>-25.524999999999999</v>
      </c>
      <c r="L24" s="196">
        <f>-32.455 -L25</f>
        <v>-28.888999999999999</v>
      </c>
      <c r="M24" s="196">
        <f>-35.044 -M25</f>
        <v>-28.874999999999996</v>
      </c>
      <c r="N24" s="196">
        <f>-23.492 - N25</f>
        <v>-17.114000000000001</v>
      </c>
      <c r="O24" s="39">
        <v>-25</v>
      </c>
      <c r="P24" s="39">
        <v>-25</v>
      </c>
      <c r="Q24" s="39">
        <v>-25</v>
      </c>
      <c r="R24" s="39">
        <v>-25</v>
      </c>
      <c r="S24" s="39">
        <v>-25</v>
      </c>
      <c r="T24" s="39">
        <v>-25</v>
      </c>
      <c r="U24" s="39">
        <v>-25</v>
      </c>
      <c r="V24" s="39">
        <v>-25</v>
      </c>
      <c r="W24" s="39">
        <v>-25</v>
      </c>
      <c r="X24" s="39">
        <v>-25</v>
      </c>
      <c r="Y24" s="39">
        <v>-25</v>
      </c>
    </row>
    <row r="25" spans="1:37" ht="12.75" customHeight="1" x14ac:dyDescent="0.25">
      <c r="A25" s="1"/>
      <c r="B25" s="1"/>
      <c r="C25" s="1"/>
      <c r="D25" s="1"/>
      <c r="E25" s="1" t="s">
        <v>281</v>
      </c>
      <c r="F25" s="33" t="s">
        <v>28</v>
      </c>
      <c r="G25" s="33"/>
      <c r="H25" s="195">
        <v>0</v>
      </c>
      <c r="I25" s="195">
        <v>0</v>
      </c>
      <c r="J25" s="195">
        <v>0</v>
      </c>
      <c r="K25" s="195">
        <v>-3.0880000000000001</v>
      </c>
      <c r="L25" s="195">
        <v>-3.5659999999999998</v>
      </c>
      <c r="M25" s="195">
        <v>-6.1689999999999996</v>
      </c>
      <c r="N25" s="195">
        <v>-6.3780000000000001</v>
      </c>
      <c r="O25" s="39">
        <v>-6.5</v>
      </c>
      <c r="P25" s="39">
        <v>-6.5</v>
      </c>
      <c r="Q25" s="39">
        <v>-6.5</v>
      </c>
      <c r="R25" s="39">
        <v>-6.5</v>
      </c>
      <c r="S25" s="39">
        <v>-6.5</v>
      </c>
      <c r="T25" s="39">
        <v>-6.5</v>
      </c>
      <c r="U25" s="39">
        <v>-6.5</v>
      </c>
      <c r="V25" s="39">
        <v>-6.5</v>
      </c>
      <c r="W25" s="39">
        <v>-6.5</v>
      </c>
      <c r="X25" s="39">
        <v>-6.5</v>
      </c>
      <c r="Y25" s="39">
        <v>-6.5</v>
      </c>
    </row>
    <row r="26" spans="1:37" ht="12.75" customHeight="1" x14ac:dyDescent="0.25">
      <c r="A26" s="1"/>
      <c r="B26" s="1"/>
      <c r="C26" s="1"/>
      <c r="D26" s="1"/>
      <c r="E26" s="1" t="s">
        <v>282</v>
      </c>
      <c r="F26" s="33" t="s">
        <v>28</v>
      </c>
      <c r="G26" s="33"/>
      <c r="H26" s="195">
        <v>-99.486000000000004</v>
      </c>
      <c r="I26" s="195">
        <v>-15.234</v>
      </c>
      <c r="J26" s="195">
        <v>-15.756</v>
      </c>
      <c r="K26" s="195">
        <f>-160.6+0.118</f>
        <v>-160.482</v>
      </c>
      <c r="L26" s="39">
        <v>0</v>
      </c>
      <c r="M26" s="39">
        <v>-7.2930000000000001</v>
      </c>
      <c r="N26" s="39">
        <v>-50.856000000000002</v>
      </c>
      <c r="O26" s="84"/>
      <c r="P26" s="470"/>
      <c r="Q26" s="470"/>
      <c r="R26" s="470"/>
      <c r="S26" s="470"/>
      <c r="T26" s="470"/>
      <c r="U26" s="470"/>
      <c r="V26" s="470"/>
      <c r="W26" s="470"/>
      <c r="X26" s="470"/>
      <c r="Y26" s="470"/>
    </row>
    <row r="27" spans="1:37" ht="12.75" customHeight="1" x14ac:dyDescent="0.25">
      <c r="A27" s="2"/>
      <c r="B27" s="2"/>
      <c r="C27" s="2"/>
      <c r="D27" s="2"/>
      <c r="E27" s="2" t="s">
        <v>283</v>
      </c>
      <c r="F27" s="193" t="s">
        <v>28</v>
      </c>
      <c r="G27" s="193"/>
      <c r="H27" s="182">
        <f t="shared" ref="H27:Y27" si="10">SUM(H23:H26)</f>
        <v>-14.904301423640561</v>
      </c>
      <c r="I27" s="182">
        <f t="shared" si="10"/>
        <v>104.26000000000006</v>
      </c>
      <c r="J27" s="182">
        <f t="shared" si="10"/>
        <v>106.79899999999994</v>
      </c>
      <c r="K27" s="182">
        <f t="shared" si="10"/>
        <v>-109.66700000000017</v>
      </c>
      <c r="L27" s="182">
        <f t="shared" si="10"/>
        <v>23.831000000000181</v>
      </c>
      <c r="M27" s="182">
        <f t="shared" si="10"/>
        <v>-47.209999999999951</v>
      </c>
      <c r="N27" s="182">
        <f t="shared" si="10"/>
        <v>17.383999999999993</v>
      </c>
      <c r="O27" s="182">
        <f t="shared" si="10"/>
        <v>148.28880786784191</v>
      </c>
      <c r="P27" s="182">
        <f t="shared" si="10"/>
        <v>112.49448762176107</v>
      </c>
      <c r="Q27" s="182">
        <f t="shared" si="10"/>
        <v>128.06574083409481</v>
      </c>
      <c r="R27" s="182">
        <f t="shared" si="10"/>
        <v>136.68054369670037</v>
      </c>
      <c r="S27" s="182">
        <f t="shared" si="10"/>
        <v>140.96287787184224</v>
      </c>
      <c r="T27" s="182">
        <f t="shared" si="10"/>
        <v>145.5951716176917</v>
      </c>
      <c r="U27" s="182">
        <f t="shared" si="10"/>
        <v>150.84116086224464</v>
      </c>
      <c r="V27" s="182">
        <f t="shared" si="10"/>
        <v>156.55444288043134</v>
      </c>
      <c r="W27" s="182">
        <f t="shared" si="10"/>
        <v>162.48210163500923</v>
      </c>
      <c r="X27" s="182">
        <f t="shared" si="10"/>
        <v>168.29459128776682</v>
      </c>
      <c r="Y27" s="182">
        <f t="shared" si="10"/>
        <v>174.87045580600528</v>
      </c>
      <c r="Z27" s="194"/>
      <c r="AA27" s="194"/>
      <c r="AB27" s="194"/>
      <c r="AC27" s="194"/>
      <c r="AD27" s="194"/>
      <c r="AE27" s="194"/>
      <c r="AF27" s="194"/>
      <c r="AG27" s="194"/>
      <c r="AH27" s="194"/>
      <c r="AI27" s="194"/>
      <c r="AJ27" s="194"/>
      <c r="AK27" s="194"/>
    </row>
    <row r="28" spans="1:37" ht="12.75" customHeight="1" x14ac:dyDescent="0.25">
      <c r="A28" s="1"/>
      <c r="B28" s="1"/>
      <c r="C28" s="1"/>
      <c r="D28" s="1"/>
      <c r="E28" s="1" t="s">
        <v>284</v>
      </c>
      <c r="F28" s="33" t="s">
        <v>28</v>
      </c>
      <c r="G28" s="33"/>
      <c r="H28" s="196">
        <v>-50.901000000000003</v>
      </c>
      <c r="I28" s="196">
        <v>-57.826999999999998</v>
      </c>
      <c r="J28" s="196">
        <v>-46.753</v>
      </c>
      <c r="K28" s="196">
        <v>2.1520000000000001</v>
      </c>
      <c r="L28" s="196">
        <v>-37.334000000000003</v>
      </c>
      <c r="M28" s="196">
        <v>-0.82699999999999996</v>
      </c>
      <c r="N28" s="196">
        <v>-43.76</v>
      </c>
      <c r="O28" s="182">
        <f t="shared" ref="O28:Y28" si="11">-O27*0.2</f>
        <v>-29.657761573568383</v>
      </c>
      <c r="P28" s="182">
        <f t="shared" si="11"/>
        <v>-22.498897524352216</v>
      </c>
      <c r="Q28" s="182">
        <f t="shared" si="11"/>
        <v>-25.613148166818963</v>
      </c>
      <c r="R28" s="182">
        <f t="shared" si="11"/>
        <v>-27.336108739340077</v>
      </c>
      <c r="S28" s="182">
        <f t="shared" si="11"/>
        <v>-28.192575574368448</v>
      </c>
      <c r="T28" s="182">
        <f t="shared" si="11"/>
        <v>-29.119034323538344</v>
      </c>
      <c r="U28" s="182">
        <f t="shared" si="11"/>
        <v>-30.168232172448928</v>
      </c>
      <c r="V28" s="182">
        <f t="shared" si="11"/>
        <v>-31.310888576086271</v>
      </c>
      <c r="W28" s="182">
        <f t="shared" si="11"/>
        <v>-32.49642032700185</v>
      </c>
      <c r="X28" s="182">
        <f t="shared" si="11"/>
        <v>-33.658918257553367</v>
      </c>
      <c r="Y28" s="182">
        <f t="shared" si="11"/>
        <v>-34.974091161201059</v>
      </c>
    </row>
    <row r="29" spans="1:37" ht="12.75" customHeight="1" x14ac:dyDescent="0.25">
      <c r="A29" s="2"/>
      <c r="B29" s="2"/>
      <c r="C29" s="2"/>
      <c r="D29" s="2"/>
      <c r="E29" s="2" t="s">
        <v>285</v>
      </c>
      <c r="F29" s="193" t="s">
        <v>28</v>
      </c>
      <c r="G29" s="193"/>
      <c r="H29" s="182">
        <f t="shared" ref="H29:Y29" si="12">SUM(H27:H28)</f>
        <v>-65.805301423640572</v>
      </c>
      <c r="I29" s="182">
        <f t="shared" si="12"/>
        <v>46.433000000000064</v>
      </c>
      <c r="J29" s="182">
        <f t="shared" si="12"/>
        <v>60.045999999999935</v>
      </c>
      <c r="K29" s="182">
        <f t="shared" si="12"/>
        <v>-107.51500000000017</v>
      </c>
      <c r="L29" s="182">
        <f t="shared" si="12"/>
        <v>-13.502999999999822</v>
      </c>
      <c r="M29" s="182">
        <f t="shared" si="12"/>
        <v>-48.036999999999949</v>
      </c>
      <c r="N29" s="182">
        <f t="shared" si="12"/>
        <v>-26.376000000000005</v>
      </c>
      <c r="O29" s="182">
        <f t="shared" si="12"/>
        <v>118.63104629427353</v>
      </c>
      <c r="P29" s="182">
        <f t="shared" si="12"/>
        <v>89.995590097408851</v>
      </c>
      <c r="Q29" s="182">
        <f t="shared" si="12"/>
        <v>102.45259266727585</v>
      </c>
      <c r="R29" s="182">
        <f t="shared" si="12"/>
        <v>109.34443495736029</v>
      </c>
      <c r="S29" s="182">
        <f t="shared" si="12"/>
        <v>112.77030229747379</v>
      </c>
      <c r="T29" s="182">
        <f t="shared" si="12"/>
        <v>116.47613729415336</v>
      </c>
      <c r="U29" s="182">
        <f t="shared" si="12"/>
        <v>120.67292868979571</v>
      </c>
      <c r="V29" s="182">
        <f t="shared" si="12"/>
        <v>125.24355430434507</v>
      </c>
      <c r="W29" s="182">
        <f t="shared" si="12"/>
        <v>129.98568130800737</v>
      </c>
      <c r="X29" s="182">
        <f t="shared" si="12"/>
        <v>134.63567303021347</v>
      </c>
      <c r="Y29" s="182">
        <f t="shared" si="12"/>
        <v>139.89636464480424</v>
      </c>
      <c r="Z29" s="194"/>
      <c r="AA29" s="194"/>
      <c r="AB29" s="194"/>
      <c r="AC29" s="194"/>
      <c r="AD29" s="194"/>
      <c r="AE29" s="194"/>
      <c r="AF29" s="194"/>
      <c r="AG29" s="194"/>
      <c r="AH29" s="194"/>
      <c r="AI29" s="194"/>
      <c r="AJ29" s="194"/>
      <c r="AK29" s="194"/>
    </row>
    <row r="30" spans="1:37" ht="12.75" customHeight="1" x14ac:dyDescent="0.25">
      <c r="A30" s="2"/>
      <c r="B30" s="2"/>
      <c r="C30" s="2"/>
      <c r="D30" s="2"/>
      <c r="E30" s="2" t="s">
        <v>286</v>
      </c>
      <c r="F30" s="193" t="s">
        <v>28</v>
      </c>
      <c r="G30" s="68"/>
      <c r="H30" s="182">
        <f>H29-(H26 * (1-'&gt;&gt; Inputs'!$G$72))</f>
        <v>5.8246185763594269</v>
      </c>
      <c r="I30" s="182">
        <f>I29-(I26 * (1-'&gt;&gt; Inputs'!$G$72))</f>
        <v>57.401480000000063</v>
      </c>
      <c r="J30" s="182">
        <f>J29-(J26 * (1-'&gt;&gt; Inputs'!$G$72))</f>
        <v>71.390319999999932</v>
      </c>
      <c r="K30" s="182">
        <f>K29-(K26 * (1-'&gt;&gt; Inputs'!$G$72))</f>
        <v>8.0320399999998244</v>
      </c>
      <c r="L30" s="182">
        <f>L29-(L26 * (1-'&gt;&gt; Inputs'!$G$72))</f>
        <v>-13.502999999999822</v>
      </c>
      <c r="M30" s="182">
        <f>M29-(M26 * (1-'&gt;&gt; Inputs'!$G$72))</f>
        <v>-42.78603999999995</v>
      </c>
      <c r="N30" s="182">
        <f>N29-(N26 * (1-'&gt;&gt; Inputs'!$G$72))</f>
        <v>10.240319999999997</v>
      </c>
      <c r="O30" s="182">
        <f>O29-(O26 * (1-'&gt;&gt; Inputs'!$G$72))</f>
        <v>118.63104629427353</v>
      </c>
      <c r="P30" s="182">
        <f>P29-(P26 * (1-'&gt;&gt; Inputs'!$G$72))</f>
        <v>89.995590097408851</v>
      </c>
      <c r="Q30" s="182">
        <f>Q29-(Q26 * (1-'&gt;&gt; Inputs'!$G$72))</f>
        <v>102.45259266727585</v>
      </c>
      <c r="R30" s="182">
        <f>R29-(R26 * (1-'&gt;&gt; Inputs'!$G$72))</f>
        <v>109.34443495736029</v>
      </c>
      <c r="S30" s="182">
        <f>S29-(S26 * (1-'&gt;&gt; Inputs'!$G$72))</f>
        <v>112.77030229747379</v>
      </c>
      <c r="T30" s="182">
        <f>T29-(T26 * (1-'&gt;&gt; Inputs'!$G$72))</f>
        <v>116.47613729415336</v>
      </c>
      <c r="U30" s="182">
        <f>U29-(U26 * (1-'&gt;&gt; Inputs'!$G$72))</f>
        <v>120.67292868979571</v>
      </c>
      <c r="V30" s="182">
        <f>V29-(V26 * (1-'&gt;&gt; Inputs'!$G$72))</f>
        <v>125.24355430434507</v>
      </c>
      <c r="W30" s="182">
        <f>W29-(W26 * (1-'&gt;&gt; Inputs'!$G$72))</f>
        <v>129.98568130800737</v>
      </c>
      <c r="X30" s="182">
        <f>X29-(X26 * (1-'&gt;&gt; Inputs'!$G$72))</f>
        <v>134.63567303021347</v>
      </c>
      <c r="Y30" s="182">
        <f>Y29-(Y26 * (1-'&gt;&gt; Inputs'!$G$72))</f>
        <v>139.89636464480424</v>
      </c>
      <c r="Z30" s="194"/>
      <c r="AA30" s="194"/>
      <c r="AB30" s="194"/>
      <c r="AC30" s="194"/>
      <c r="AD30" s="194"/>
      <c r="AE30" s="194"/>
      <c r="AF30" s="194"/>
      <c r="AG30" s="194"/>
      <c r="AH30" s="194"/>
      <c r="AI30" s="194"/>
      <c r="AJ30" s="194"/>
      <c r="AK30" s="194"/>
    </row>
    <row r="31" spans="1:37" ht="12" customHeight="1" x14ac:dyDescent="0.25">
      <c r="A31" s="1"/>
      <c r="B31" s="1"/>
      <c r="C31" s="1"/>
      <c r="D31" s="1"/>
      <c r="E31" s="1" t="s">
        <v>287</v>
      </c>
      <c r="F31" s="197" t="s">
        <v>288</v>
      </c>
      <c r="G31" s="33"/>
      <c r="H31" s="84">
        <f>( H30 / '&gt;&gt; Inputs'!$G$74) * 100</f>
        <v>0.76619030064544413</v>
      </c>
      <c r="I31" s="84">
        <f>( I30 / '&gt;&gt; Inputs'!$G$74) * 100</f>
        <v>7.5507875137435505</v>
      </c>
      <c r="J31" s="84">
        <f>( J30 / '&gt;&gt; Inputs'!$G$74) * 100</f>
        <v>9.3909274962623854</v>
      </c>
      <c r="K31" s="84">
        <f>( K30 / '&gt;&gt; Inputs'!$G$74) * 100</f>
        <v>1.0565620841463907</v>
      </c>
      <c r="L31" s="84">
        <f>( L30 / '&gt;&gt; Inputs'!$G$74) * 100</f>
        <v>-1.776230922932261</v>
      </c>
      <c r="M31" s="84">
        <f>( M30 / '&gt;&gt; Inputs'!$G$74) * 100</f>
        <v>-5.6282224185601377</v>
      </c>
      <c r="N31" s="84">
        <f>( N30 / '&gt;&gt; Inputs'!$G$74) * 100</f>
        <v>1.3470468077258331</v>
      </c>
      <c r="O31" s="84">
        <f>( O30 / '&gt;&gt; Inputs'!$G$74) * 100</f>
        <v>15.605134625468416</v>
      </c>
      <c r="P31" s="84">
        <f>( P30 / '&gt;&gt; Inputs'!$G$74) * 100</f>
        <v>11.838328523924762</v>
      </c>
      <c r="Q31" s="84">
        <f>( Q30 / '&gt;&gt; Inputs'!$G$74) * 100</f>
        <v>13.476965358083445</v>
      </c>
      <c r="R31" s="84">
        <f>( R30 / '&gt;&gt; Inputs'!$G$74) * 100</f>
        <v>14.383541925632912</v>
      </c>
      <c r="S31" s="84">
        <f>( S30 / '&gt;&gt; Inputs'!$G$74) * 100</f>
        <v>14.834192263141121</v>
      </c>
      <c r="T31" s="84">
        <f>( T30 / '&gt;&gt; Inputs'!$G$74) * 100</f>
        <v>15.321670506226873</v>
      </c>
      <c r="U31" s="84">
        <f>( U30 / '&gt;&gt; Inputs'!$G$74) * 100</f>
        <v>15.873730837563324</v>
      </c>
      <c r="V31" s="84">
        <f>( V30 / '&gt;&gt; Inputs'!$G$74) * 100</f>
        <v>16.474966603964045</v>
      </c>
      <c r="W31" s="84">
        <f>( W30 / '&gt;&gt; Inputs'!$G$74) * 100</f>
        <v>17.098762251181494</v>
      </c>
      <c r="X31" s="84">
        <f>( X30 / '&gt;&gt; Inputs'!$G$74) * 100</f>
        <v>17.710438107536497</v>
      </c>
      <c r="Y31" s="84">
        <f>( Y30 / '&gt;&gt; Inputs'!$G$74) * 100</f>
        <v>18.402447521877509</v>
      </c>
      <c r="Z31" s="1"/>
      <c r="AA31" s="1"/>
      <c r="AB31" s="1"/>
      <c r="AC31" s="1"/>
      <c r="AD31" s="1"/>
      <c r="AE31" s="1"/>
      <c r="AF31" s="1"/>
      <c r="AG31" s="1"/>
      <c r="AH31" s="1"/>
      <c r="AI31" s="1"/>
      <c r="AJ31" s="1"/>
      <c r="AK31" s="1"/>
    </row>
    <row r="32" spans="1:37" ht="9" customHeight="1" x14ac:dyDescent="0.25">
      <c r="A32" s="1"/>
      <c r="B32" s="1"/>
      <c r="C32" s="1"/>
      <c r="D32" s="1"/>
      <c r="E32" s="1"/>
      <c r="F32" s="33"/>
      <c r="G32" s="33"/>
      <c r="H32" s="1"/>
      <c r="I32" s="1"/>
      <c r="J32" s="1"/>
      <c r="K32" s="162"/>
      <c r="L32" s="162"/>
      <c r="M32" s="162"/>
      <c r="N32" s="198"/>
      <c r="O32" s="162"/>
      <c r="P32" s="162"/>
      <c r="Q32" s="162"/>
      <c r="R32" s="162"/>
      <c r="S32" s="162"/>
      <c r="T32" s="162"/>
      <c r="U32" s="162"/>
      <c r="V32" s="162"/>
      <c r="W32" s="162"/>
      <c r="X32" s="162"/>
      <c r="Y32" s="162"/>
      <c r="Z32" s="1"/>
      <c r="AA32" s="1"/>
      <c r="AB32" s="1"/>
      <c r="AC32" s="1"/>
      <c r="AD32" s="1"/>
      <c r="AE32" s="1"/>
      <c r="AF32" s="1"/>
      <c r="AG32" s="1"/>
      <c r="AH32" s="1"/>
      <c r="AI32" s="1"/>
      <c r="AJ32" s="1"/>
      <c r="AK32" s="1"/>
    </row>
    <row r="33" spans="1:37" ht="9" customHeight="1" x14ac:dyDescent="0.25">
      <c r="A33" s="1"/>
      <c r="B33" s="1"/>
      <c r="C33" s="199" t="s">
        <v>289</v>
      </c>
      <c r="D33" s="200"/>
      <c r="E33" s="200"/>
      <c r="F33" s="201"/>
      <c r="G33" s="201"/>
      <c r="H33" s="200"/>
      <c r="I33" s="200"/>
      <c r="J33" s="200"/>
      <c r="K33" s="202"/>
      <c r="L33" s="202"/>
      <c r="M33" s="202"/>
      <c r="N33" s="203"/>
      <c r="O33" s="1"/>
      <c r="P33" s="202"/>
      <c r="Q33" s="202"/>
      <c r="R33" s="202"/>
      <c r="S33" s="202"/>
      <c r="T33" s="202"/>
      <c r="U33" s="202"/>
      <c r="V33" s="202"/>
      <c r="W33" s="202"/>
      <c r="X33" s="202"/>
      <c r="Y33" s="202"/>
      <c r="Z33" s="1"/>
      <c r="AA33" s="1"/>
      <c r="AB33" s="1"/>
      <c r="AC33" s="1"/>
      <c r="AD33" s="1"/>
      <c r="AE33" s="1"/>
      <c r="AF33" s="1"/>
      <c r="AG33" s="1"/>
      <c r="AH33" s="1"/>
      <c r="AI33" s="1"/>
      <c r="AJ33" s="1"/>
      <c r="AK33" s="1"/>
    </row>
    <row r="34" spans="1:37" ht="9" customHeight="1" x14ac:dyDescent="0.25">
      <c r="A34" s="1"/>
      <c r="B34" s="1"/>
      <c r="C34" s="2"/>
      <c r="D34" s="1"/>
      <c r="E34" s="1"/>
      <c r="F34" s="33"/>
      <c r="G34" s="33"/>
      <c r="H34" s="1"/>
      <c r="I34" s="1"/>
      <c r="J34" s="1"/>
      <c r="K34" s="162"/>
      <c r="L34" s="162"/>
      <c r="M34" s="162"/>
      <c r="N34" s="162"/>
      <c r="O34" s="163"/>
      <c r="P34" s="162"/>
      <c r="Q34" s="162"/>
      <c r="R34" s="162"/>
      <c r="S34" s="162"/>
      <c r="T34" s="162"/>
      <c r="U34" s="162"/>
      <c r="V34" s="162"/>
      <c r="W34" s="162"/>
      <c r="X34" s="162"/>
      <c r="Y34" s="162"/>
      <c r="Z34" s="1"/>
      <c r="AA34" s="1"/>
      <c r="AB34" s="1"/>
      <c r="AC34" s="1"/>
      <c r="AD34" s="1"/>
      <c r="AE34" s="1"/>
      <c r="AF34" s="1"/>
      <c r="AG34" s="1"/>
      <c r="AH34" s="1"/>
      <c r="AI34" s="1"/>
      <c r="AJ34" s="1"/>
      <c r="AK34" s="1"/>
    </row>
    <row r="35" spans="1:37" ht="11.25" customHeight="1" x14ac:dyDescent="0.25">
      <c r="A35" s="1"/>
      <c r="B35" s="1"/>
      <c r="C35" s="1"/>
      <c r="D35" s="1"/>
      <c r="E35" s="1" t="s">
        <v>290</v>
      </c>
      <c r="F35" s="33" t="s">
        <v>28</v>
      </c>
      <c r="G35" s="33"/>
      <c r="H35" s="375">
        <v>56.726999999999997</v>
      </c>
      <c r="I35" s="375">
        <v>75.954999999999998</v>
      </c>
      <c r="J35" s="375">
        <v>41.573999999999998</v>
      </c>
      <c r="K35" s="375">
        <v>54.223999999999997</v>
      </c>
      <c r="L35" s="375">
        <v>49.94</v>
      </c>
      <c r="M35" s="375">
        <v>48.698</v>
      </c>
      <c r="N35" s="375">
        <v>245.01300000000001</v>
      </c>
      <c r="O35" s="375">
        <v>60.545999999999999</v>
      </c>
      <c r="P35" s="394">
        <f>O35*(1+P36)</f>
        <v>63.298069621019316</v>
      </c>
      <c r="Q35" s="394">
        <f t="shared" ref="Q35:Y35" si="13">P35*(1+Q36)</f>
        <v>66.225751068887973</v>
      </c>
      <c r="R35" s="394">
        <f t="shared" si="13"/>
        <v>69.341699851913646</v>
      </c>
      <c r="S35" s="394">
        <f t="shared" si="13"/>
        <v>72.659597497554415</v>
      </c>
      <c r="T35" s="394">
        <f t="shared" si="13"/>
        <v>76.194241866659922</v>
      </c>
      <c r="U35" s="394">
        <f t="shared" si="13"/>
        <v>79.961646027648627</v>
      </c>
      <c r="V35" s="394">
        <f t="shared" si="13"/>
        <v>83.979146553180399</v>
      </c>
      <c r="W35" s="375">
        <f t="shared" si="13"/>
        <v>88.265522193731201</v>
      </c>
      <c r="X35" s="375">
        <f t="shared" si="13"/>
        <v>92.841123984593551</v>
      </c>
      <c r="Y35" s="375">
        <f t="shared" si="13"/>
        <v>97.728017956412629</v>
      </c>
    </row>
    <row r="36" spans="1:37" ht="11.25" customHeight="1" x14ac:dyDescent="0.25">
      <c r="A36" s="1"/>
      <c r="B36" s="1"/>
      <c r="C36" s="1"/>
      <c r="D36" s="1"/>
      <c r="E36" s="383" t="s">
        <v>625</v>
      </c>
      <c r="F36" s="33" t="s">
        <v>8</v>
      </c>
      <c r="G36" s="33"/>
      <c r="H36" s="375"/>
      <c r="I36" s="376">
        <f>IFERROR((I35/H35-1),"NA")</f>
        <v>0.33895675780492529</v>
      </c>
      <c r="J36" s="376">
        <f t="shared" ref="J36:O36" si="14">IFERROR((J35/I35-1),"NA")</f>
        <v>-0.45264959515502601</v>
      </c>
      <c r="K36" s="376">
        <f t="shared" si="14"/>
        <v>0.3042767114061673</v>
      </c>
      <c r="L36" s="376">
        <f t="shared" si="14"/>
        <v>-7.9005606373561466E-2</v>
      </c>
      <c r="M36" s="376">
        <f t="shared" si="14"/>
        <v>-2.4869843812575065E-2</v>
      </c>
      <c r="N36" s="376">
        <f t="shared" si="14"/>
        <v>4.0312743849850099</v>
      </c>
      <c r="O36" s="376">
        <f t="shared" si="14"/>
        <v>-0.7528865815283271</v>
      </c>
      <c r="P36" s="377">
        <v>4.5454193852926893E-2</v>
      </c>
      <c r="Q36" s="377">
        <v>4.6252302248668685E-2</v>
      </c>
      <c r="R36" s="377">
        <v>4.7050410644410193E-2</v>
      </c>
      <c r="S36" s="377">
        <v>4.78485190401517E-2</v>
      </c>
      <c r="T36" s="377">
        <v>4.8646627435893493E-2</v>
      </c>
      <c r="U36" s="377">
        <v>4.9444735831635001E-2</v>
      </c>
      <c r="V36" s="377">
        <v>5.0242844227376508E-2</v>
      </c>
      <c r="W36" s="377">
        <v>5.1040952623118301E-2</v>
      </c>
      <c r="X36" s="377">
        <v>5.1839061018859808E-2</v>
      </c>
      <c r="Y36" s="377">
        <v>5.2637169414601601E-2</v>
      </c>
    </row>
    <row r="37" spans="1:37" ht="11.25" customHeight="1" x14ac:dyDescent="0.25">
      <c r="A37" s="1"/>
      <c r="B37" s="1"/>
      <c r="C37" s="1"/>
      <c r="D37" s="1"/>
      <c r="E37" s="1" t="s">
        <v>291</v>
      </c>
      <c r="F37" s="33" t="s">
        <v>28</v>
      </c>
      <c r="G37" s="33"/>
      <c r="H37" s="375">
        <v>17.363</v>
      </c>
      <c r="I37" s="375">
        <v>23.379000000000001</v>
      </c>
      <c r="J37" s="375">
        <v>49.292999999999999</v>
      </c>
      <c r="K37" s="375">
        <v>42.252000000000002</v>
      </c>
      <c r="L37" s="375">
        <v>33.405000000000001</v>
      </c>
      <c r="M37" s="375">
        <v>25.826000000000001</v>
      </c>
      <c r="N37" s="375">
        <v>50.832999999999998</v>
      </c>
      <c r="O37" s="375">
        <v>86.878</v>
      </c>
      <c r="P37" s="375">
        <f>O37*(1+P38)</f>
        <v>90.60982682933107</v>
      </c>
      <c r="Q37" s="375">
        <f t="shared" ref="Q37:Y37" si="15">P37*(1+Q38)</f>
        <v>94.641973037960554</v>
      </c>
      <c r="R37" s="375">
        <f t="shared" si="15"/>
        <v>98.999800548293365</v>
      </c>
      <c r="S37" s="375">
        <f t="shared" si="15"/>
        <v>103.71127052653102</v>
      </c>
      <c r="T37" s="375">
        <f t="shared" si="15"/>
        <v>108.80722786640759</v>
      </c>
      <c r="U37" s="375">
        <f t="shared" si="15"/>
        <v>114.32172017401156</v>
      </c>
      <c r="V37" s="375">
        <f t="shared" si="15"/>
        <v>120.29235569324715</v>
      </c>
      <c r="W37" s="375">
        <f t="shared" si="15"/>
        <v>126.76070522341442</v>
      </c>
      <c r="X37" s="375">
        <f t="shared" si="15"/>
        <v>133.77275378104679</v>
      </c>
      <c r="Y37" s="375">
        <f t="shared" si="15"/>
        <v>141.37940856109179</v>
      </c>
    </row>
    <row r="38" spans="1:37" ht="11.25" customHeight="1" x14ac:dyDescent="0.25">
      <c r="A38" s="1"/>
      <c r="B38" s="1"/>
      <c r="C38" s="1"/>
      <c r="D38" s="1"/>
      <c r="E38" s="383" t="s">
        <v>625</v>
      </c>
      <c r="F38" s="33" t="s">
        <v>8</v>
      </c>
      <c r="G38" s="33"/>
      <c r="H38" s="375"/>
      <c r="I38" s="376">
        <f>IFERROR((I37/H37-1),"NA")</f>
        <v>0.3464839025514026</v>
      </c>
      <c r="J38" s="376">
        <f t="shared" ref="J38:O38" si="16">IFERROR((J37/I37-1),"NA")</f>
        <v>1.10843064288464</v>
      </c>
      <c r="K38" s="376">
        <f t="shared" si="16"/>
        <v>-0.14283975412330341</v>
      </c>
      <c r="L38" s="376">
        <f t="shared" si="16"/>
        <v>-0.20938653791536499</v>
      </c>
      <c r="M38" s="376">
        <f t="shared" si="16"/>
        <v>-0.22688220326298458</v>
      </c>
      <c r="N38" s="376">
        <f t="shared" si="16"/>
        <v>0.96828777201270033</v>
      </c>
      <c r="O38" s="376">
        <f t="shared" si="16"/>
        <v>0.70908661696142272</v>
      </c>
      <c r="P38" s="377">
        <v>4.2954796718744317E-2</v>
      </c>
      <c r="Q38" s="377">
        <v>4.4500098385843782E-2</v>
      </c>
      <c r="R38" s="377">
        <v>4.6045400052943816E-2</v>
      </c>
      <c r="S38" s="377">
        <v>4.759070172004385E-2</v>
      </c>
      <c r="T38" s="377">
        <v>4.9136003387143322E-2</v>
      </c>
      <c r="U38" s="377">
        <v>5.0681305054243356E-2</v>
      </c>
      <c r="V38" s="377">
        <v>5.222660672134339E-2</v>
      </c>
      <c r="W38" s="377">
        <v>5.3771908388442854E-2</v>
      </c>
      <c r="X38" s="377">
        <v>5.5317210055542888E-2</v>
      </c>
      <c r="Y38" s="377">
        <v>5.6862511722642922E-2</v>
      </c>
    </row>
    <row r="39" spans="1:37" ht="11.25" customHeight="1" x14ac:dyDescent="0.25">
      <c r="A39" s="1"/>
      <c r="B39" s="1"/>
      <c r="C39" s="1"/>
      <c r="D39" s="1"/>
      <c r="E39" s="1" t="s">
        <v>292</v>
      </c>
      <c r="F39" s="33" t="s">
        <v>28</v>
      </c>
      <c r="G39" s="33"/>
      <c r="H39" s="375">
        <v>7.0369999999999999</v>
      </c>
      <c r="I39" s="375">
        <v>7.57</v>
      </c>
      <c r="J39" s="375">
        <v>6.4589999999999996</v>
      </c>
      <c r="K39" s="375">
        <v>6.6280000000000001</v>
      </c>
      <c r="L39" s="375">
        <v>7.1870000000000003</v>
      </c>
      <c r="M39" s="375">
        <v>7.5279999999999996</v>
      </c>
      <c r="N39" s="375">
        <v>8.5820000000000007</v>
      </c>
      <c r="O39" s="375">
        <v>8.375</v>
      </c>
      <c r="P39" s="375">
        <f>O39*(1+P40)</f>
        <v>8.5531851306046622</v>
      </c>
      <c r="Q39" s="375">
        <f t="shared" ref="Q39:Y39" si="17">P39*(1+Q40)</f>
        <v>8.7375911050175947</v>
      </c>
      <c r="R39" s="375">
        <f t="shared" si="17"/>
        <v>8.9284550497377104</v>
      </c>
      <c r="S39" s="375">
        <f t="shared" si="17"/>
        <v>9.1260246401082767</v>
      </c>
      <c r="T39" s="375">
        <f t="shared" si="17"/>
        <v>9.3305586061928576</v>
      </c>
      <c r="U39" s="375">
        <f t="shared" si="17"/>
        <v>9.5423272651164073</v>
      </c>
      <c r="V39" s="375">
        <f t="shared" si="17"/>
        <v>9.7616130813419968</v>
      </c>
      <c r="W39" s="375">
        <f t="shared" si="17"/>
        <v>9.9887112564404035</v>
      </c>
      <c r="X39" s="375">
        <f t="shared" si="17"/>
        <v>10.223930350002105</v>
      </c>
      <c r="Y39" s="375">
        <f t="shared" si="17"/>
        <v>10.467592933439114</v>
      </c>
      <c r="Z39" s="205"/>
      <c r="AA39" s="205"/>
      <c r="AB39" s="205"/>
    </row>
    <row r="40" spans="1:37" ht="11.25" customHeight="1" x14ac:dyDescent="0.25">
      <c r="A40" s="1"/>
      <c r="B40" s="1"/>
      <c r="C40" s="1"/>
      <c r="D40" s="1"/>
      <c r="E40" s="383" t="s">
        <v>625</v>
      </c>
      <c r="F40" s="33" t="s">
        <v>8</v>
      </c>
      <c r="G40" s="33"/>
      <c r="H40" s="375"/>
      <c r="I40" s="376">
        <f>IFERROR((I39/H39-1),"NA")</f>
        <v>7.5742503907915371E-2</v>
      </c>
      <c r="J40" s="376">
        <f t="shared" ref="J40:O40" si="18">IFERROR((J39/I39-1),"NA")</f>
        <v>-0.146763540290621</v>
      </c>
      <c r="K40" s="376">
        <f t="shared" si="18"/>
        <v>2.6165041028022973E-2</v>
      </c>
      <c r="L40" s="376">
        <f t="shared" si="18"/>
        <v>8.4339167169583673E-2</v>
      </c>
      <c r="M40" s="376">
        <f t="shared" si="18"/>
        <v>4.7446778906358622E-2</v>
      </c>
      <c r="N40" s="376">
        <f t="shared" si="18"/>
        <v>0.14001062699256117</v>
      </c>
      <c r="O40" s="376">
        <f t="shared" si="18"/>
        <v>-2.4120251689582983E-2</v>
      </c>
      <c r="P40" s="377">
        <v>2.12758364901088E-2</v>
      </c>
      <c r="Q40" s="377">
        <v>2.1559918509550115E-2</v>
      </c>
      <c r="R40" s="377">
        <v>2.1844000528991429E-2</v>
      </c>
      <c r="S40" s="377">
        <v>2.2128082548432744E-2</v>
      </c>
      <c r="T40" s="377">
        <v>2.2412164567874059E-2</v>
      </c>
      <c r="U40" s="377">
        <v>2.2696246587315373E-2</v>
      </c>
      <c r="V40" s="377">
        <v>2.2980328606756757E-2</v>
      </c>
      <c r="W40" s="377">
        <v>2.3264410626198072E-2</v>
      </c>
      <c r="X40" s="377">
        <v>2.3548492645639386E-2</v>
      </c>
      <c r="Y40" s="377">
        <v>2.3832574665080698E-2</v>
      </c>
      <c r="Z40" s="205"/>
      <c r="AA40" s="205"/>
      <c r="AB40" s="205"/>
    </row>
    <row r="41" spans="1:37" ht="11.25" customHeight="1" x14ac:dyDescent="0.25">
      <c r="A41" s="1"/>
      <c r="B41" s="1"/>
      <c r="C41" s="1"/>
      <c r="D41" s="1"/>
      <c r="E41" s="1" t="s">
        <v>293</v>
      </c>
      <c r="F41" s="33" t="s">
        <v>28</v>
      </c>
      <c r="G41" s="33"/>
      <c r="H41" s="375">
        <v>10.164999999999999</v>
      </c>
      <c r="I41" s="375">
        <v>26.974</v>
      </c>
      <c r="J41" s="375">
        <v>116.702</v>
      </c>
      <c r="K41" s="375">
        <v>115.86699999999999</v>
      </c>
      <c r="L41" s="375">
        <v>189.02500000000001</v>
      </c>
      <c r="M41" s="375">
        <v>243.91499999999999</v>
      </c>
      <c r="N41" s="375">
        <v>14.113999999999999</v>
      </c>
      <c r="O41" s="375">
        <f>O43-O39-O37-O35</f>
        <v>33.389999999999993</v>
      </c>
      <c r="P41" s="375">
        <f>O41*(1+P42)</f>
        <v>34.865955493006737</v>
      </c>
      <c r="Q41" s="375">
        <f t="shared" ref="Q41:Y41" si="19">P41*(1+Q42)</f>
        <v>36.439515709887679</v>
      </c>
      <c r="R41" s="375">
        <f t="shared" si="19"/>
        <v>38.117916254585737</v>
      </c>
      <c r="S41" s="375">
        <f t="shared" si="19"/>
        <v>39.90900450602804</v>
      </c>
      <c r="T41" s="375">
        <f t="shared" si="19"/>
        <v>41.821295796227226</v>
      </c>
      <c r="U41" s="375">
        <f t="shared" si="19"/>
        <v>43.864035171595653</v>
      </c>
      <c r="V41" s="375">
        <f t="shared" si="19"/>
        <v>46.047265328228356</v>
      </c>
      <c r="W41" s="375">
        <f t="shared" si="19"/>
        <v>48.381901378138409</v>
      </c>
      <c r="X41" s="375">
        <f t="shared" si="19"/>
        <v>50.879813177462196</v>
      </c>
      <c r="Y41" s="375">
        <f t="shared" si="19"/>
        <v>53.553916030455241</v>
      </c>
      <c r="Z41" s="205"/>
      <c r="AA41" s="205"/>
      <c r="AB41" s="205"/>
    </row>
    <row r="42" spans="1:37" ht="11.25" customHeight="1" x14ac:dyDescent="0.25">
      <c r="A42" s="1"/>
      <c r="B42" s="1"/>
      <c r="C42" s="1"/>
      <c r="D42" s="1"/>
      <c r="E42" s="383" t="s">
        <v>625</v>
      </c>
      <c r="F42" s="33" t="s">
        <v>8</v>
      </c>
      <c r="G42" s="33"/>
      <c r="H42" s="375"/>
      <c r="I42" s="376">
        <f>IFERROR((I41/H41-1),"NA")</f>
        <v>1.6536153467781607</v>
      </c>
      <c r="J42" s="376">
        <f t="shared" ref="J42:O42" si="20">IFERROR((J41/I41-1),"NA")</f>
        <v>3.3264625194631865</v>
      </c>
      <c r="K42" s="376">
        <f t="shared" si="20"/>
        <v>-7.1549759215780995E-3</v>
      </c>
      <c r="L42" s="376">
        <f t="shared" si="20"/>
        <v>0.63139634235804865</v>
      </c>
      <c r="M42" s="376">
        <f t="shared" si="20"/>
        <v>0.29038486972622657</v>
      </c>
      <c r="N42" s="376">
        <f t="shared" si="20"/>
        <v>-0.94213558001762909</v>
      </c>
      <c r="O42" s="376">
        <f t="shared" si="20"/>
        <v>1.3657361485050301</v>
      </c>
      <c r="P42" s="377">
        <v>4.420351880822835E-2</v>
      </c>
      <c r="Q42" s="377">
        <v>4.513171070836023E-2</v>
      </c>
      <c r="R42" s="377">
        <v>4.6059902608492395E-2</v>
      </c>
      <c r="S42" s="377">
        <v>4.6988094508624269E-2</v>
      </c>
      <c r="T42" s="377">
        <v>4.7916286408756434E-2</v>
      </c>
      <c r="U42" s="377">
        <v>4.8844478308888314E-2</v>
      </c>
      <c r="V42" s="377">
        <v>4.9772670209020473E-2</v>
      </c>
      <c r="W42" s="377">
        <v>5.0700862109152353E-2</v>
      </c>
      <c r="X42" s="377">
        <v>5.1629054009284518E-2</v>
      </c>
      <c r="Y42" s="377">
        <v>5.2557245909416392E-2</v>
      </c>
    </row>
    <row r="43" spans="1:37" ht="11.25" customHeight="1" x14ac:dyDescent="0.25">
      <c r="A43" s="1"/>
      <c r="B43" s="1"/>
      <c r="C43" s="1"/>
      <c r="D43" s="1"/>
      <c r="E43" s="2" t="s">
        <v>294</v>
      </c>
      <c r="F43" s="33" t="s">
        <v>28</v>
      </c>
      <c r="G43" s="33"/>
      <c r="H43" s="378">
        <f>H35+H37+H39+H41</f>
        <v>91.292000000000002</v>
      </c>
      <c r="I43" s="378">
        <f t="shared" ref="I43:Y43" si="21">I35+I37+I39+I41</f>
        <v>133.87799999999999</v>
      </c>
      <c r="J43" s="378">
        <f t="shared" si="21"/>
        <v>214.02799999999999</v>
      </c>
      <c r="K43" s="378">
        <f t="shared" si="21"/>
        <v>218.971</v>
      </c>
      <c r="L43" s="378">
        <f t="shared" si="21"/>
        <v>279.55700000000002</v>
      </c>
      <c r="M43" s="378">
        <f t="shared" si="21"/>
        <v>325.96699999999998</v>
      </c>
      <c r="N43" s="378">
        <f t="shared" si="21"/>
        <v>318.54199999999997</v>
      </c>
      <c r="O43" s="378">
        <v>189.18899999999999</v>
      </c>
      <c r="P43" s="378">
        <f t="shared" si="21"/>
        <v>197.3270370739618</v>
      </c>
      <c r="Q43" s="378">
        <f t="shared" si="21"/>
        <v>206.0448309217538</v>
      </c>
      <c r="R43" s="378">
        <f t="shared" si="21"/>
        <v>215.38787170453045</v>
      </c>
      <c r="S43" s="378">
        <f t="shared" si="21"/>
        <v>225.40589717022175</v>
      </c>
      <c r="T43" s="378">
        <f t="shared" si="21"/>
        <v>236.15332413548757</v>
      </c>
      <c r="U43" s="378">
        <f t="shared" si="21"/>
        <v>247.68972863837223</v>
      </c>
      <c r="V43" s="378">
        <f t="shared" si="21"/>
        <v>260.08038065599789</v>
      </c>
      <c r="W43" s="378">
        <f t="shared" si="21"/>
        <v>273.39684005172444</v>
      </c>
      <c r="X43" s="378">
        <f t="shared" si="21"/>
        <v>287.71762129310463</v>
      </c>
      <c r="Y43" s="378">
        <f t="shared" si="21"/>
        <v>303.1289354813988</v>
      </c>
    </row>
    <row r="44" spans="1:37" ht="11.25" customHeight="1" x14ac:dyDescent="0.25">
      <c r="A44" s="1"/>
      <c r="B44" s="1"/>
      <c r="C44" s="1"/>
      <c r="D44" s="1"/>
      <c r="E44" s="2"/>
      <c r="F44" s="33"/>
      <c r="G44" s="33"/>
      <c r="H44" s="378"/>
      <c r="I44" s="378"/>
      <c r="J44" s="378"/>
      <c r="K44" s="378"/>
      <c r="L44" s="378"/>
      <c r="M44" s="378"/>
      <c r="N44" s="378"/>
      <c r="O44" s="473"/>
      <c r="P44" s="473">
        <f>O45 + P101 +P148</f>
        <v>1572.3603392776602</v>
      </c>
      <c r="Q44" s="473">
        <f t="shared" ref="Q44:Y44" si="22">Q45 + Q101 +Q148</f>
        <v>1887.6451473123677</v>
      </c>
      <c r="R44" s="473">
        <f t="shared" si="22"/>
        <v>1952.3286813514139</v>
      </c>
      <c r="S44" s="473">
        <f t="shared" si="22"/>
        <v>2012.4461117073843</v>
      </c>
      <c r="T44" s="473">
        <f t="shared" si="22"/>
        <v>2073.4539702361458</v>
      </c>
      <c r="U44" s="473">
        <f t="shared" si="22"/>
        <v>2136.3612430725439</v>
      </c>
      <c r="V44" s="473">
        <f t="shared" si="22"/>
        <v>2201.2564703068474</v>
      </c>
      <c r="W44" s="473">
        <f t="shared" si="22"/>
        <v>2318.793286128353</v>
      </c>
      <c r="X44" s="473">
        <f t="shared" si="22"/>
        <v>2438.6968305541773</v>
      </c>
      <c r="Y44" s="473">
        <f t="shared" si="22"/>
        <v>2561.8513904513434</v>
      </c>
    </row>
    <row r="45" spans="1:37" ht="11.25" customHeight="1" x14ac:dyDescent="0.25">
      <c r="A45" s="1"/>
      <c r="B45" s="1"/>
      <c r="C45" s="1"/>
      <c r="D45" s="1"/>
      <c r="E45" s="1" t="s">
        <v>295</v>
      </c>
      <c r="F45" s="33" t="s">
        <v>28</v>
      </c>
      <c r="G45" s="33"/>
      <c r="H45" s="375">
        <v>1324.577</v>
      </c>
      <c r="I45" s="375">
        <v>1498.61</v>
      </c>
      <c r="J45" s="375">
        <v>1436.2570000000001</v>
      </c>
      <c r="K45" s="375">
        <v>1528.902</v>
      </c>
      <c r="L45" s="375">
        <v>1370.7619999999999</v>
      </c>
      <c r="M45" s="375">
        <v>1442.68</v>
      </c>
      <c r="N45" s="375">
        <v>1652.4760000000001</v>
      </c>
      <c r="O45" s="379">
        <v>1816.961</v>
      </c>
      <c r="P45" s="379">
        <f>O45-P101</f>
        <v>1972.961</v>
      </c>
      <c r="Q45" s="379">
        <f t="shared" ref="Q45:Y45" si="23">P45-Q101</f>
        <v>2034.0509999999999</v>
      </c>
      <c r="R45" s="379">
        <f t="shared" si="23"/>
        <v>2095.1410000000001</v>
      </c>
      <c r="S45" s="379">
        <f t="shared" si="23"/>
        <v>2157.4528</v>
      </c>
      <c r="T45" s="379">
        <f t="shared" si="23"/>
        <v>2221.0108359999999</v>
      </c>
      <c r="U45" s="379">
        <f t="shared" si="23"/>
        <v>2285.8400327199997</v>
      </c>
      <c r="V45" s="379">
        <f t="shared" si="23"/>
        <v>2403.2158133743997</v>
      </c>
      <c r="W45" s="379">
        <f t="shared" si="23"/>
        <v>2523.1953596418875</v>
      </c>
      <c r="X45" s="379">
        <f t="shared" si="23"/>
        <v>2645.8371530847253</v>
      </c>
      <c r="Y45" s="379">
        <f t="shared" si="23"/>
        <v>2716.0103605214199</v>
      </c>
    </row>
    <row r="46" spans="1:37" ht="11.25" customHeight="1" x14ac:dyDescent="0.25">
      <c r="A46" s="1"/>
      <c r="B46" s="1"/>
      <c r="C46" s="1"/>
      <c r="D46" s="1"/>
      <c r="E46" s="383" t="s">
        <v>625</v>
      </c>
      <c r="F46" s="33" t="s">
        <v>8</v>
      </c>
      <c r="G46" s="33"/>
      <c r="H46" s="375"/>
      <c r="I46" s="376">
        <f>IFERROR((I45/H45-1),"NA")</f>
        <v>0.1313876052505818</v>
      </c>
      <c r="J46" s="376">
        <f t="shared" ref="J46:O46" si="24">IFERROR((J45/I45-1),"NA")</f>
        <v>-4.1607222693028745E-2</v>
      </c>
      <c r="K46" s="376">
        <f t="shared" si="24"/>
        <v>6.4504472388994483E-2</v>
      </c>
      <c r="L46" s="376">
        <f t="shared" si="24"/>
        <v>-0.10343370601909085</v>
      </c>
      <c r="M46" s="376">
        <f t="shared" si="24"/>
        <v>5.2465708853907556E-2</v>
      </c>
      <c r="N46" s="376">
        <f t="shared" si="24"/>
        <v>0.14542102198685791</v>
      </c>
      <c r="O46" s="376">
        <f t="shared" si="24"/>
        <v>9.9538510695465376E-2</v>
      </c>
      <c r="P46" s="376">
        <f>IFERROR((P45/O45-1),"NA")</f>
        <v>8.5857649118500579E-2</v>
      </c>
      <c r="Q46" s="376">
        <f t="shared" ref="Q46:Y46" si="25">IFERROR((Q45/P45-1),"NA")</f>
        <v>3.0963612560005016E-2</v>
      </c>
      <c r="R46" s="376">
        <f t="shared" si="25"/>
        <v>3.0033661889500296E-2</v>
      </c>
      <c r="S46" s="376">
        <f t="shared" si="25"/>
        <v>2.974110095692839E-2</v>
      </c>
      <c r="T46" s="376">
        <f t="shared" si="25"/>
        <v>2.9459757358306859E-2</v>
      </c>
      <c r="U46" s="376">
        <f t="shared" si="25"/>
        <v>2.9189050169946995E-2</v>
      </c>
      <c r="V46" s="376">
        <f t="shared" si="25"/>
        <v>5.1349079101887352E-2</v>
      </c>
      <c r="W46" s="376">
        <f t="shared" si="25"/>
        <v>4.9924582553001029E-2</v>
      </c>
      <c r="X46" s="376">
        <f t="shared" si="25"/>
        <v>4.8605746270968142E-2</v>
      </c>
      <c r="Y46" s="376">
        <f t="shared" si="25"/>
        <v>2.6522118851827647E-2</v>
      </c>
    </row>
    <row r="47" spans="1:37" ht="11.25" customHeight="1" x14ac:dyDescent="0.25">
      <c r="A47" s="1"/>
      <c r="B47" s="1"/>
      <c r="C47" s="1"/>
      <c r="D47" s="1"/>
      <c r="E47" s="1" t="s">
        <v>296</v>
      </c>
      <c r="F47" s="33" t="s">
        <v>28</v>
      </c>
      <c r="G47" s="33"/>
      <c r="H47" s="375">
        <v>819.02499999999998</v>
      </c>
      <c r="I47" s="375">
        <v>831.83299999999997</v>
      </c>
      <c r="J47" s="375">
        <v>798.40800000000002</v>
      </c>
      <c r="K47" s="375">
        <v>649.53099999999995</v>
      </c>
      <c r="L47" s="375">
        <v>646.32600000000002</v>
      </c>
      <c r="M47" s="375">
        <v>623.89700000000005</v>
      </c>
      <c r="N47" s="375">
        <v>566.553</v>
      </c>
      <c r="O47" s="379">
        <v>544.60699999999997</v>
      </c>
      <c r="P47" s="379">
        <f>O47-P100</f>
        <v>551.5948979677338</v>
      </c>
      <c r="Q47" s="379">
        <f t="shared" ref="Q47:Y47" si="26">P47-Q100</f>
        <v>559.28158573224096</v>
      </c>
      <c r="R47" s="379">
        <f t="shared" si="26"/>
        <v>567.73694227319891</v>
      </c>
      <c r="S47" s="379">
        <f t="shared" si="26"/>
        <v>577.03783446825264</v>
      </c>
      <c r="T47" s="379">
        <f t="shared" si="26"/>
        <v>587.26881588281174</v>
      </c>
      <c r="U47" s="379">
        <f t="shared" si="26"/>
        <v>598.52289543882671</v>
      </c>
      <c r="V47" s="379">
        <f t="shared" si="26"/>
        <v>610.90238295044321</v>
      </c>
      <c r="W47" s="379">
        <f t="shared" si="26"/>
        <v>624.51981921322135</v>
      </c>
      <c r="X47" s="379">
        <f t="shared" si="26"/>
        <v>639.49899910227725</v>
      </c>
      <c r="Y47" s="379">
        <f t="shared" si="26"/>
        <v>655.97609698023882</v>
      </c>
    </row>
    <row r="48" spans="1:37" ht="11.25" customHeight="1" x14ac:dyDescent="0.25">
      <c r="A48" s="1"/>
      <c r="B48" s="1"/>
      <c r="C48" s="1"/>
      <c r="D48" s="1"/>
      <c r="E48" s="383" t="s">
        <v>625</v>
      </c>
      <c r="F48" s="33" t="s">
        <v>8</v>
      </c>
      <c r="G48" s="33"/>
      <c r="H48" s="375"/>
      <c r="I48" s="376">
        <f>IFERROR((I47/H47-1),"NA")</f>
        <v>1.5638106284912023E-2</v>
      </c>
      <c r="J48" s="376">
        <f t="shared" ref="J48:O48" si="27">IFERROR((J47/I47-1),"NA")</f>
        <v>-4.0182344292664429E-2</v>
      </c>
      <c r="K48" s="376">
        <f t="shared" si="27"/>
        <v>-0.18646731996673382</v>
      </c>
      <c r="L48" s="376">
        <f t="shared" si="27"/>
        <v>-4.9343295393136088E-3</v>
      </c>
      <c r="M48" s="376">
        <f t="shared" si="27"/>
        <v>-3.4702301934317892E-2</v>
      </c>
      <c r="N48" s="376">
        <f t="shared" si="27"/>
        <v>-9.1912607369485699E-2</v>
      </c>
      <c r="O48" s="376">
        <f t="shared" si="27"/>
        <v>-3.873600528105936E-2</v>
      </c>
      <c r="P48" s="376">
        <f>IFERROR((P47/O47-1),"NA")</f>
        <v>1.2831083639640806E-2</v>
      </c>
      <c r="Q48" s="376">
        <f t="shared" ref="Q48:Y48" si="28">IFERROR((Q47/P47-1),"NA")</f>
        <v>1.3935385901551189E-2</v>
      </c>
      <c r="R48" s="376">
        <f t="shared" si="28"/>
        <v>1.51182459009227E-2</v>
      </c>
      <c r="S48" s="376">
        <f t="shared" si="28"/>
        <v>1.6382397378992719E-2</v>
      </c>
      <c r="T48" s="376">
        <f t="shared" si="28"/>
        <v>1.7730174355009343E-2</v>
      </c>
      <c r="U48" s="376">
        <f t="shared" si="28"/>
        <v>1.9163420995029767E-2</v>
      </c>
      <c r="V48" s="376">
        <f t="shared" si="28"/>
        <v>2.0683398422945976E-2</v>
      </c>
      <c r="W48" s="376">
        <f t="shared" si="28"/>
        <v>2.2290691021715547E-2</v>
      </c>
      <c r="X48" s="376">
        <f t="shared" si="28"/>
        <v>2.3985115328968964E-2</v>
      </c>
      <c r="Y48" s="376">
        <f t="shared" si="28"/>
        <v>2.5765635131707709E-2</v>
      </c>
    </row>
    <row r="49" spans="1:25" ht="11.25" customHeight="1" x14ac:dyDescent="0.25">
      <c r="A49" s="1"/>
      <c r="B49" s="1"/>
      <c r="C49" s="1"/>
      <c r="D49" s="1"/>
      <c r="E49" s="1" t="s">
        <v>297</v>
      </c>
      <c r="F49" s="33" t="s">
        <v>28</v>
      </c>
      <c r="G49" s="33"/>
      <c r="H49" s="375"/>
      <c r="I49" s="375"/>
      <c r="J49" s="375"/>
      <c r="K49" s="375">
        <v>51.966999999999999</v>
      </c>
      <c r="L49" s="375">
        <v>126.755</v>
      </c>
      <c r="M49" s="375">
        <v>126.41200000000001</v>
      </c>
      <c r="N49" s="375">
        <v>122.538</v>
      </c>
      <c r="O49" s="379">
        <v>98.578999999999994</v>
      </c>
      <c r="P49" s="379">
        <f>O49</f>
        <v>98.578999999999994</v>
      </c>
      <c r="Q49" s="379">
        <f t="shared" ref="Q49:Y49" si="29">P49</f>
        <v>98.578999999999994</v>
      </c>
      <c r="R49" s="379">
        <f t="shared" si="29"/>
        <v>98.578999999999994</v>
      </c>
      <c r="S49" s="379">
        <f t="shared" si="29"/>
        <v>98.578999999999994</v>
      </c>
      <c r="T49" s="379">
        <f t="shared" si="29"/>
        <v>98.578999999999994</v>
      </c>
      <c r="U49" s="379">
        <f t="shared" si="29"/>
        <v>98.578999999999994</v>
      </c>
      <c r="V49" s="379">
        <f t="shared" si="29"/>
        <v>98.578999999999994</v>
      </c>
      <c r="W49" s="379">
        <f t="shared" si="29"/>
        <v>98.578999999999994</v>
      </c>
      <c r="X49" s="379">
        <f t="shared" si="29"/>
        <v>98.578999999999994</v>
      </c>
      <c r="Y49" s="379">
        <f t="shared" si="29"/>
        <v>98.578999999999994</v>
      </c>
    </row>
    <row r="50" spans="1:25" ht="11.25" customHeight="1" x14ac:dyDescent="0.25">
      <c r="A50" s="1"/>
      <c r="B50" s="1"/>
      <c r="C50" s="1"/>
      <c r="D50" s="1"/>
      <c r="E50" s="383" t="s">
        <v>625</v>
      </c>
      <c r="F50" s="33" t="s">
        <v>8</v>
      </c>
      <c r="G50" s="33"/>
      <c r="H50" s="375"/>
      <c r="I50" s="376" t="str">
        <f>IFERROR((I49/H49-1),"NA")</f>
        <v>NA</v>
      </c>
      <c r="J50" s="376" t="str">
        <f t="shared" ref="J50:O50" si="30">IFERROR((J49/I49-1),"NA")</f>
        <v>NA</v>
      </c>
      <c r="K50" s="376" t="str">
        <f t="shared" si="30"/>
        <v>NA</v>
      </c>
      <c r="L50" s="376">
        <f t="shared" si="30"/>
        <v>1.4391440721996651</v>
      </c>
      <c r="M50" s="376">
        <f t="shared" si="30"/>
        <v>-2.7060076525580179E-3</v>
      </c>
      <c r="N50" s="376">
        <f t="shared" si="30"/>
        <v>-3.0645824763471885E-2</v>
      </c>
      <c r="O50" s="376">
        <f t="shared" si="30"/>
        <v>-0.19552302143008704</v>
      </c>
      <c r="P50" s="376">
        <f>IFERROR((P49/O49-1),"NA")</f>
        <v>0</v>
      </c>
      <c r="Q50" s="376">
        <f t="shared" ref="Q50:Y50" si="31">IFERROR((Q49/P49-1),"NA")</f>
        <v>0</v>
      </c>
      <c r="R50" s="376">
        <f t="shared" si="31"/>
        <v>0</v>
      </c>
      <c r="S50" s="376">
        <f t="shared" si="31"/>
        <v>0</v>
      </c>
      <c r="T50" s="376">
        <f t="shared" si="31"/>
        <v>0</v>
      </c>
      <c r="U50" s="376">
        <f t="shared" si="31"/>
        <v>0</v>
      </c>
      <c r="V50" s="376">
        <f t="shared" si="31"/>
        <v>0</v>
      </c>
      <c r="W50" s="376">
        <f t="shared" si="31"/>
        <v>0</v>
      </c>
      <c r="X50" s="376">
        <f t="shared" si="31"/>
        <v>0</v>
      </c>
      <c r="Y50" s="376">
        <f t="shared" si="31"/>
        <v>0</v>
      </c>
    </row>
    <row r="51" spans="1:25" ht="11.25" customHeight="1" x14ac:dyDescent="0.25">
      <c r="A51" s="1"/>
      <c r="B51" s="1"/>
      <c r="C51" s="1"/>
      <c r="D51" s="1"/>
      <c r="E51" s="1" t="s">
        <v>298</v>
      </c>
      <c r="F51" s="33" t="s">
        <v>28</v>
      </c>
      <c r="G51" s="33"/>
      <c r="H51" s="375">
        <v>43.417000000000002</v>
      </c>
      <c r="I51" s="375">
        <v>80.186999999999998</v>
      </c>
      <c r="J51" s="375">
        <v>103.25699999999999</v>
      </c>
      <c r="K51" s="375">
        <v>339.95100000000002</v>
      </c>
      <c r="L51" s="375">
        <v>382.42599999999999</v>
      </c>
      <c r="M51" s="375">
        <v>224.74600000000001</v>
      </c>
      <c r="N51" s="375">
        <v>203.38900000000001</v>
      </c>
      <c r="O51" s="379">
        <f>O53-O49-O47-O45</f>
        <v>131.70000000000005</v>
      </c>
      <c r="P51" s="379">
        <v>131.63919749458546</v>
      </c>
      <c r="Q51" s="379">
        <v>131.63919749458546</v>
      </c>
      <c r="R51" s="379">
        <v>131.63919749458546</v>
      </c>
      <c r="S51" s="379">
        <v>131.63919749458546</v>
      </c>
      <c r="T51" s="379">
        <v>131.63919749458546</v>
      </c>
      <c r="U51" s="379">
        <v>131.63919749458546</v>
      </c>
      <c r="V51" s="379">
        <v>131.63919749458546</v>
      </c>
      <c r="W51" s="379">
        <v>131.63919749458546</v>
      </c>
      <c r="X51" s="379">
        <v>131.63919749458546</v>
      </c>
      <c r="Y51" s="379">
        <v>131.63919749458546</v>
      </c>
    </row>
    <row r="52" spans="1:25" ht="11.25" customHeight="1" x14ac:dyDescent="0.25">
      <c r="A52" s="1"/>
      <c r="B52" s="1"/>
      <c r="C52" s="1"/>
      <c r="D52" s="1"/>
      <c r="E52" s="383" t="s">
        <v>625</v>
      </c>
      <c r="F52" s="33" t="s">
        <v>8</v>
      </c>
      <c r="G52" s="33"/>
      <c r="H52" s="375"/>
      <c r="I52" s="376">
        <f>IFERROR((I51/H51-1),"NA")</f>
        <v>0.84690328673100379</v>
      </c>
      <c r="J52" s="376">
        <f t="shared" ref="J52:O52" si="32">IFERROR((J51/I51-1),"NA")</f>
        <v>0.28770249541696269</v>
      </c>
      <c r="K52" s="376">
        <f t="shared" si="32"/>
        <v>2.292280426508615</v>
      </c>
      <c r="L52" s="376">
        <f t="shared" si="32"/>
        <v>0.12494447729231561</v>
      </c>
      <c r="M52" s="376">
        <f t="shared" si="32"/>
        <v>-0.41231506226041115</v>
      </c>
      <c r="N52" s="376">
        <f t="shared" si="32"/>
        <v>-9.5027275235154307E-2</v>
      </c>
      <c r="O52" s="376">
        <f t="shared" si="32"/>
        <v>-0.35247235592878656</v>
      </c>
      <c r="P52" s="376">
        <f>IFERROR((P51/O51-1),"NA")</f>
        <v>-4.6167430079413485E-4</v>
      </c>
      <c r="Q52" s="376">
        <f t="shared" ref="Q52:Y52" si="33">IFERROR((Q51/P51-1),"NA")</f>
        <v>0</v>
      </c>
      <c r="R52" s="376">
        <f t="shared" si="33"/>
        <v>0</v>
      </c>
      <c r="S52" s="376">
        <f t="shared" si="33"/>
        <v>0</v>
      </c>
      <c r="T52" s="376">
        <f t="shared" si="33"/>
        <v>0</v>
      </c>
      <c r="U52" s="376">
        <f t="shared" si="33"/>
        <v>0</v>
      </c>
      <c r="V52" s="376">
        <f t="shared" si="33"/>
        <v>0</v>
      </c>
      <c r="W52" s="376">
        <f t="shared" si="33"/>
        <v>0</v>
      </c>
      <c r="X52" s="376">
        <f t="shared" si="33"/>
        <v>0</v>
      </c>
      <c r="Y52" s="376">
        <f t="shared" si="33"/>
        <v>0</v>
      </c>
    </row>
    <row r="53" spans="1:25" ht="11.25" customHeight="1" x14ac:dyDescent="0.25">
      <c r="A53" s="1"/>
      <c r="B53" s="1"/>
      <c r="C53" s="1"/>
      <c r="D53" s="1"/>
      <c r="E53" s="2" t="s">
        <v>299</v>
      </c>
      <c r="F53" s="33" t="s">
        <v>28</v>
      </c>
      <c r="G53" s="33"/>
      <c r="H53" s="378">
        <f t="shared" ref="H53:Y53" si="34">H45+H47+H49+H51</f>
        <v>2187.0189999999998</v>
      </c>
      <c r="I53" s="378">
        <f t="shared" si="34"/>
        <v>2410.6299999999997</v>
      </c>
      <c r="J53" s="378">
        <f t="shared" si="34"/>
        <v>2337.922</v>
      </c>
      <c r="K53" s="378">
        <f t="shared" si="34"/>
        <v>2570.3510000000001</v>
      </c>
      <c r="L53" s="378">
        <f t="shared" si="34"/>
        <v>2526.2689999999998</v>
      </c>
      <c r="M53" s="378">
        <f t="shared" si="34"/>
        <v>2417.7350000000001</v>
      </c>
      <c r="N53" s="378">
        <f t="shared" si="34"/>
        <v>2544.9560000000001</v>
      </c>
      <c r="O53" s="378">
        <v>2591.8470000000002</v>
      </c>
      <c r="P53" s="378">
        <f t="shared" si="34"/>
        <v>2754.7740954623196</v>
      </c>
      <c r="Q53" s="378">
        <f t="shared" si="34"/>
        <v>2823.5507832268263</v>
      </c>
      <c r="R53" s="378">
        <f t="shared" si="34"/>
        <v>2893.0961397677847</v>
      </c>
      <c r="S53" s="378">
        <f t="shared" si="34"/>
        <v>2964.7088319628383</v>
      </c>
      <c r="T53" s="378">
        <f t="shared" si="34"/>
        <v>3038.4978493773974</v>
      </c>
      <c r="U53" s="378">
        <f t="shared" si="34"/>
        <v>3114.5811256534121</v>
      </c>
      <c r="V53" s="378">
        <f t="shared" si="34"/>
        <v>3244.3363938194284</v>
      </c>
      <c r="W53" s="378">
        <f t="shared" si="34"/>
        <v>3377.9333763496948</v>
      </c>
      <c r="X53" s="378">
        <f t="shared" si="34"/>
        <v>3515.5543496815881</v>
      </c>
      <c r="Y53" s="378">
        <f t="shared" si="34"/>
        <v>3602.2046549962442</v>
      </c>
    </row>
    <row r="54" spans="1:25" ht="11.25" customHeight="1" x14ac:dyDescent="0.25">
      <c r="A54" s="1"/>
      <c r="B54" s="1"/>
      <c r="C54" s="1"/>
      <c r="D54" s="1"/>
      <c r="E54" s="2" t="s">
        <v>300</v>
      </c>
      <c r="F54" s="33" t="s">
        <v>28</v>
      </c>
      <c r="G54" s="33"/>
      <c r="H54" s="378">
        <f t="shared" ref="H54:Y54" si="35">SUM(H43,H53)</f>
        <v>2278.3109999999997</v>
      </c>
      <c r="I54" s="378">
        <f t="shared" si="35"/>
        <v>2544.5079999999998</v>
      </c>
      <c r="J54" s="378">
        <f t="shared" si="35"/>
        <v>2551.9499999999998</v>
      </c>
      <c r="K54" s="378">
        <f t="shared" si="35"/>
        <v>2789.3220000000001</v>
      </c>
      <c r="L54" s="378">
        <f t="shared" si="35"/>
        <v>2805.826</v>
      </c>
      <c r="M54" s="378">
        <f t="shared" si="35"/>
        <v>2743.7020000000002</v>
      </c>
      <c r="N54" s="378">
        <f t="shared" si="35"/>
        <v>2863.498</v>
      </c>
      <c r="O54" s="378">
        <f t="shared" si="35"/>
        <v>2781.0360000000001</v>
      </c>
      <c r="P54" s="378">
        <f t="shared" si="35"/>
        <v>2952.1011325362815</v>
      </c>
      <c r="Q54" s="378">
        <f t="shared" si="35"/>
        <v>3029.5956141485799</v>
      </c>
      <c r="R54" s="378">
        <f t="shared" si="35"/>
        <v>3108.4840114723152</v>
      </c>
      <c r="S54" s="378">
        <f t="shared" si="35"/>
        <v>3190.1147291330599</v>
      </c>
      <c r="T54" s="378">
        <f t="shared" si="35"/>
        <v>3274.6511735128852</v>
      </c>
      <c r="U54" s="378">
        <f t="shared" si="35"/>
        <v>3362.2708542917844</v>
      </c>
      <c r="V54" s="378">
        <f t="shared" si="35"/>
        <v>3504.4167744754263</v>
      </c>
      <c r="W54" s="378">
        <f t="shared" si="35"/>
        <v>3651.3302164014194</v>
      </c>
      <c r="X54" s="378">
        <f t="shared" si="35"/>
        <v>3803.2719709746925</v>
      </c>
      <c r="Y54" s="378">
        <f t="shared" si="35"/>
        <v>3905.3335904776432</v>
      </c>
    </row>
    <row r="55" spans="1:25" ht="11.25" customHeight="1" x14ac:dyDescent="0.25">
      <c r="A55" s="1"/>
      <c r="B55" s="1"/>
      <c r="C55" s="1"/>
      <c r="D55" s="1"/>
      <c r="E55" s="1"/>
      <c r="F55" s="33"/>
      <c r="G55" s="33"/>
      <c r="H55" s="84"/>
      <c r="I55" s="84"/>
      <c r="J55" s="84"/>
      <c r="K55" s="380"/>
      <c r="L55" s="380"/>
      <c r="M55" s="380"/>
      <c r="N55" s="380"/>
      <c r="O55" s="380"/>
      <c r="P55" s="380"/>
      <c r="Q55" s="380"/>
      <c r="R55" s="380"/>
      <c r="S55" s="380"/>
      <c r="T55" s="380"/>
      <c r="U55" s="380"/>
      <c r="V55" s="380"/>
      <c r="W55" s="380"/>
      <c r="X55" s="380"/>
      <c r="Y55" s="380"/>
    </row>
    <row r="56" spans="1:25" ht="11.25" customHeight="1" x14ac:dyDescent="0.25">
      <c r="A56" s="1"/>
      <c r="B56" s="1"/>
      <c r="C56" s="1"/>
      <c r="D56" s="1"/>
      <c r="E56" s="1" t="s">
        <v>301</v>
      </c>
      <c r="F56" s="33" t="s">
        <v>28</v>
      </c>
      <c r="G56" s="33"/>
      <c r="H56" s="375">
        <v>-136.57</v>
      </c>
      <c r="I56" s="375">
        <v>-193.72499999999999</v>
      </c>
      <c r="J56" s="375">
        <v>-228.11199999999999</v>
      </c>
      <c r="K56" s="375">
        <v>-221.84200000000001</v>
      </c>
      <c r="L56" s="375">
        <v>-200.16499999999999</v>
      </c>
      <c r="M56" s="375">
        <v>-187.19900000000001</v>
      </c>
      <c r="N56" s="375">
        <v>-215.99700000000001</v>
      </c>
      <c r="O56" s="379">
        <v>-226.79599999999999</v>
      </c>
      <c r="P56" s="375">
        <f>O56*(1+P57)</f>
        <v>-238.53076806747288</v>
      </c>
      <c r="Q56" s="375">
        <f t="shared" ref="Q56:Y56" si="36">P56*(1+Q57)</f>
        <v>-250.96391667957994</v>
      </c>
      <c r="R56" s="375">
        <f t="shared" si="36"/>
        <v>-264.14108911196314</v>
      </c>
      <c r="S56" s="375">
        <f t="shared" si="36"/>
        <v>-278.11114375912393</v>
      </c>
      <c r="T56" s="375">
        <f t="shared" si="36"/>
        <v>-292.92639521656076</v>
      </c>
      <c r="U56" s="375">
        <f t="shared" si="36"/>
        <v>-308.64287444451804</v>
      </c>
      <c r="V56" s="375">
        <f t="shared" si="36"/>
        <v>-325.32060959752357</v>
      </c>
      <c r="W56" s="375">
        <f t="shared" si="36"/>
        <v>-343.02392924117316</v>
      </c>
      <c r="X56" s="375">
        <f t="shared" si="36"/>
        <v>-361.82178982726867</v>
      </c>
      <c r="Y56" s="375">
        <f t="shared" si="36"/>
        <v>-381.78812946159229</v>
      </c>
    </row>
    <row r="57" spans="1:25" ht="11.25" customHeight="1" x14ac:dyDescent="0.25">
      <c r="A57" s="1"/>
      <c r="B57" s="1"/>
      <c r="C57" s="1"/>
      <c r="D57" s="1"/>
      <c r="E57" s="383" t="s">
        <v>625</v>
      </c>
      <c r="F57" s="33" t="s">
        <v>8</v>
      </c>
      <c r="G57" s="33"/>
      <c r="H57" s="375"/>
      <c r="I57" s="376">
        <f>IFERROR((I56/H56-1),"NA")</f>
        <v>0.41850333162480791</v>
      </c>
      <c r="J57" s="376">
        <f t="shared" ref="J57:N57" si="37">IFERROR((J56/I56-1),"NA")</f>
        <v>0.17750419408955986</v>
      </c>
      <c r="K57" s="376">
        <f t="shared" si="37"/>
        <v>-2.7486497860699899E-2</v>
      </c>
      <c r="L57" s="376">
        <f t="shared" si="37"/>
        <v>-9.7713688120374065E-2</v>
      </c>
      <c r="M57" s="376">
        <f t="shared" si="37"/>
        <v>-6.4776559338545647E-2</v>
      </c>
      <c r="N57" s="376">
        <f t="shared" si="37"/>
        <v>0.15383629186053338</v>
      </c>
      <c r="O57" s="376">
        <f>IFERROR((O56/N56-1),"NA")</f>
        <v>4.9996064760158498E-2</v>
      </c>
      <c r="P57" s="381">
        <v>5.1741512493486949E-2</v>
      </c>
      <c r="Q57" s="381">
        <v>5.2123877824390916E-2</v>
      </c>
      <c r="R57" s="381">
        <v>5.2506243155294875E-2</v>
      </c>
      <c r="S57" s="381">
        <v>5.2888608486198835E-2</v>
      </c>
      <c r="T57" s="381">
        <v>5.3270973817102933E-2</v>
      </c>
      <c r="U57" s="381">
        <v>5.3653339148006893E-2</v>
      </c>
      <c r="V57" s="381">
        <v>5.4035704478910866E-2</v>
      </c>
      <c r="W57" s="381">
        <v>5.4418069809814958E-2</v>
      </c>
      <c r="X57" s="381">
        <v>5.4800435140718924E-2</v>
      </c>
      <c r="Y57" s="381">
        <v>5.5182800471622884E-2</v>
      </c>
    </row>
    <row r="58" spans="1:25" ht="11.25" customHeight="1" x14ac:dyDescent="0.25">
      <c r="A58" s="1"/>
      <c r="B58" s="1"/>
      <c r="C58" s="1"/>
      <c r="D58" s="1"/>
      <c r="E58" s="1" t="s">
        <v>302</v>
      </c>
      <c r="F58" s="33" t="s">
        <v>28</v>
      </c>
      <c r="G58" s="33"/>
      <c r="H58" s="375">
        <v>-102.375</v>
      </c>
      <c r="I58" s="375">
        <v>0</v>
      </c>
      <c r="J58" s="375">
        <v>-49.127000000000002</v>
      </c>
      <c r="K58" s="375">
        <v>-302.50900000000001</v>
      </c>
      <c r="L58" s="375">
        <v>-48.030999999999999</v>
      </c>
      <c r="M58" s="375">
        <v>-78</v>
      </c>
      <c r="N58" s="375">
        <v>-45.814</v>
      </c>
      <c r="O58" s="379">
        <v>-241.11600000000001</v>
      </c>
      <c r="P58" s="379">
        <v>-241.11600000000001</v>
      </c>
      <c r="Q58" s="379">
        <v>-241.11600000000001</v>
      </c>
      <c r="R58" s="379">
        <v>-241.11600000000001</v>
      </c>
      <c r="S58" s="379">
        <v>-241.11600000000001</v>
      </c>
      <c r="T58" s="379">
        <v>-241.11600000000001</v>
      </c>
      <c r="U58" s="379">
        <v>-241.11600000000001</v>
      </c>
      <c r="V58" s="379">
        <v>-241.11600000000001</v>
      </c>
      <c r="W58" s="379">
        <v>-241.11600000000001</v>
      </c>
      <c r="X58" s="379">
        <v>-241.11600000000001</v>
      </c>
      <c r="Y58" s="379">
        <v>-241.11600000000001</v>
      </c>
    </row>
    <row r="59" spans="1:25" ht="11.25" customHeight="1" x14ac:dyDescent="0.25">
      <c r="A59" s="1"/>
      <c r="B59" s="1"/>
      <c r="C59" s="1"/>
      <c r="D59" s="1"/>
      <c r="E59" s="383" t="s">
        <v>625</v>
      </c>
      <c r="F59" s="33" t="s">
        <v>8</v>
      </c>
      <c r="G59" s="33">
        <v>60</v>
      </c>
      <c r="H59" s="375"/>
      <c r="I59" s="376">
        <f>IFERROR((I58/H58-1),"NA")</f>
        <v>-1</v>
      </c>
      <c r="J59" s="376" t="str">
        <f t="shared" ref="J59:N59" si="38">IFERROR((J58/I58-1),"NA")</f>
        <v>NA</v>
      </c>
      <c r="K59" s="376">
        <f t="shared" si="38"/>
        <v>5.157693325462577</v>
      </c>
      <c r="L59" s="376">
        <f t="shared" si="38"/>
        <v>-0.84122455860817369</v>
      </c>
      <c r="M59" s="376">
        <f t="shared" si="38"/>
        <v>0.62395119818450584</v>
      </c>
      <c r="N59" s="376">
        <f t="shared" si="38"/>
        <v>-0.41264102564102567</v>
      </c>
      <c r="O59" s="376">
        <f>IFERROR((O58/N58-1),"NA")</f>
        <v>4.2629327279870788</v>
      </c>
      <c r="P59" s="376">
        <f>IFERROR((P58/O58-1),"NA")</f>
        <v>0</v>
      </c>
      <c r="Q59" s="376">
        <f t="shared" ref="Q59:Y59" si="39">IFERROR((Q58/P58-1),"NA")</f>
        <v>0</v>
      </c>
      <c r="R59" s="376">
        <f t="shared" si="39"/>
        <v>0</v>
      </c>
      <c r="S59" s="376">
        <f t="shared" si="39"/>
        <v>0</v>
      </c>
      <c r="T59" s="376">
        <f t="shared" si="39"/>
        <v>0</v>
      </c>
      <c r="U59" s="376">
        <f t="shared" si="39"/>
        <v>0</v>
      </c>
      <c r="V59" s="376">
        <f t="shared" si="39"/>
        <v>0</v>
      </c>
      <c r="W59" s="376">
        <f t="shared" si="39"/>
        <v>0</v>
      </c>
      <c r="X59" s="376">
        <f t="shared" si="39"/>
        <v>0</v>
      </c>
      <c r="Y59" s="376">
        <f t="shared" si="39"/>
        <v>0</v>
      </c>
    </row>
    <row r="60" spans="1:25" ht="11.25" customHeight="1" x14ac:dyDescent="0.25">
      <c r="A60" s="1"/>
      <c r="B60" s="1"/>
      <c r="C60" s="1"/>
      <c r="D60" s="1"/>
      <c r="E60" s="1" t="s">
        <v>303</v>
      </c>
      <c r="F60" s="33" t="s">
        <v>28</v>
      </c>
      <c r="G60" s="33"/>
      <c r="H60" s="195">
        <v>0</v>
      </c>
      <c r="I60" s="195">
        <v>0</v>
      </c>
      <c r="J60" s="375">
        <v>0</v>
      </c>
      <c r="K60" s="375">
        <v>-0.48499999999999999</v>
      </c>
      <c r="L60" s="375">
        <v>-3.0139999999999998</v>
      </c>
      <c r="M60" s="375">
        <v>-3.5760000000000001</v>
      </c>
      <c r="N60" s="375">
        <v>-3.0449999999999999</v>
      </c>
      <c r="O60" s="379">
        <v>-3.2850000000000001</v>
      </c>
      <c r="P60" s="375">
        <v>-3.2850000000000001</v>
      </c>
      <c r="Q60" s="375">
        <v>-3.2850000000000001</v>
      </c>
      <c r="R60" s="375">
        <v>-3.2850000000000001</v>
      </c>
      <c r="S60" s="375">
        <v>-3.2850000000000001</v>
      </c>
      <c r="T60" s="375">
        <v>-3.2850000000000001</v>
      </c>
      <c r="U60" s="375">
        <v>-3.2850000000000001</v>
      </c>
      <c r="V60" s="375">
        <v>-3.2850000000000001</v>
      </c>
      <c r="W60" s="375">
        <v>-3.2850000000000001</v>
      </c>
      <c r="X60" s="375">
        <v>-3.2850000000000001</v>
      </c>
      <c r="Y60" s="375">
        <v>-3.2850000000000001</v>
      </c>
    </row>
    <row r="61" spans="1:25" ht="11.25" customHeight="1" x14ac:dyDescent="0.25">
      <c r="A61" s="1"/>
      <c r="B61" s="1"/>
      <c r="C61" s="1"/>
      <c r="D61" s="1"/>
      <c r="E61" s="383" t="s">
        <v>625</v>
      </c>
      <c r="F61" s="33" t="s">
        <v>8</v>
      </c>
      <c r="G61" s="33"/>
      <c r="H61" s="195"/>
      <c r="I61" s="376" t="str">
        <f>IFERROR((I60/H60-1),"NA")</f>
        <v>NA</v>
      </c>
      <c r="J61" s="376" t="str">
        <f t="shared" ref="J61:N61" si="40">IFERROR((J60/I60-1),"NA")</f>
        <v>NA</v>
      </c>
      <c r="K61" s="376" t="str">
        <f t="shared" si="40"/>
        <v>NA</v>
      </c>
      <c r="L61" s="376">
        <f t="shared" si="40"/>
        <v>5.2144329896907218</v>
      </c>
      <c r="M61" s="376">
        <f t="shared" si="40"/>
        <v>0.1864631718646319</v>
      </c>
      <c r="N61" s="376">
        <f t="shared" si="40"/>
        <v>-0.14848993288590606</v>
      </c>
      <c r="O61" s="376">
        <f>IFERROR((O60/N60-1),"NA")</f>
        <v>7.8817733990147909E-2</v>
      </c>
      <c r="P61" s="381">
        <f t="shared" ref="P61:Y61" si="41">P60/O60-1</f>
        <v>0</v>
      </c>
      <c r="Q61" s="381">
        <f t="shared" si="41"/>
        <v>0</v>
      </c>
      <c r="R61" s="381">
        <f t="shared" si="41"/>
        <v>0</v>
      </c>
      <c r="S61" s="381">
        <f t="shared" si="41"/>
        <v>0</v>
      </c>
      <c r="T61" s="381">
        <f t="shared" si="41"/>
        <v>0</v>
      </c>
      <c r="U61" s="381">
        <f t="shared" si="41"/>
        <v>0</v>
      </c>
      <c r="V61" s="381">
        <f t="shared" si="41"/>
        <v>0</v>
      </c>
      <c r="W61" s="381">
        <f t="shared" si="41"/>
        <v>0</v>
      </c>
      <c r="X61" s="381">
        <f t="shared" si="41"/>
        <v>0</v>
      </c>
      <c r="Y61" s="381">
        <f t="shared" si="41"/>
        <v>0</v>
      </c>
    </row>
    <row r="62" spans="1:25" ht="11.25" customHeight="1" x14ac:dyDescent="0.25">
      <c r="A62" s="1"/>
      <c r="B62" s="1"/>
      <c r="C62" s="1"/>
      <c r="D62" s="1"/>
      <c r="E62" s="1" t="s">
        <v>304</v>
      </c>
      <c r="F62" s="33" t="s">
        <v>28</v>
      </c>
      <c r="G62" s="33"/>
      <c r="H62" s="195">
        <v>-16.295000000000002</v>
      </c>
      <c r="I62" s="195">
        <v>-7.91</v>
      </c>
      <c r="J62" s="195">
        <v>-15.436999999999999</v>
      </c>
      <c r="K62" s="195">
        <v>-160.054</v>
      </c>
      <c r="L62" s="195">
        <v>-18.219000000000001</v>
      </c>
      <c r="M62" s="195">
        <v>-0.106</v>
      </c>
      <c r="N62" s="375">
        <v>-82.680999999999997</v>
      </c>
      <c r="O62" s="375">
        <f>O64-O56-O58-O60</f>
        <v>-35.072999999999979</v>
      </c>
      <c r="P62" s="375">
        <f>O62</f>
        <v>-35.072999999999979</v>
      </c>
      <c r="Q62" s="375">
        <f t="shared" ref="Q62:Y62" si="42">P62</f>
        <v>-35.072999999999979</v>
      </c>
      <c r="R62" s="375">
        <f t="shared" si="42"/>
        <v>-35.072999999999979</v>
      </c>
      <c r="S62" s="375">
        <f t="shared" si="42"/>
        <v>-35.072999999999979</v>
      </c>
      <c r="T62" s="375">
        <f t="shared" si="42"/>
        <v>-35.072999999999979</v>
      </c>
      <c r="U62" s="375">
        <f t="shared" si="42"/>
        <v>-35.072999999999979</v>
      </c>
      <c r="V62" s="375">
        <f t="shared" si="42"/>
        <v>-35.072999999999979</v>
      </c>
      <c r="W62" s="375">
        <f t="shared" si="42"/>
        <v>-35.072999999999979</v>
      </c>
      <c r="X62" s="375">
        <f t="shared" si="42"/>
        <v>-35.072999999999979</v>
      </c>
      <c r="Y62" s="375">
        <f t="shared" si="42"/>
        <v>-35.072999999999979</v>
      </c>
    </row>
    <row r="63" spans="1:25" ht="12.75" customHeight="1" x14ac:dyDescent="0.25">
      <c r="A63" s="1"/>
      <c r="B63" s="1"/>
      <c r="C63" s="1"/>
      <c r="D63" s="1"/>
      <c r="E63" s="383" t="s">
        <v>625</v>
      </c>
      <c r="F63" s="33" t="s">
        <v>8</v>
      </c>
      <c r="G63" s="33"/>
      <c r="H63" s="195"/>
      <c r="I63" s="376">
        <f>IFERROR((I62/H62-1),"NA")</f>
        <v>-0.51457502301319424</v>
      </c>
      <c r="J63" s="376">
        <f t="shared" ref="J63:N63" si="43">IFERROR((J62/I62-1),"NA")</f>
        <v>0.95158027812895063</v>
      </c>
      <c r="K63" s="376">
        <f t="shared" si="43"/>
        <v>9.3682062576925578</v>
      </c>
      <c r="L63" s="376">
        <f t="shared" si="43"/>
        <v>-0.88616966773713868</v>
      </c>
      <c r="M63" s="376">
        <f t="shared" si="43"/>
        <v>-0.99418189801855206</v>
      </c>
      <c r="N63" s="376">
        <f t="shared" si="43"/>
        <v>779.0094339622641</v>
      </c>
      <c r="O63" s="376">
        <f>IFERROR((O62/N62-1),"NA")</f>
        <v>-0.57580338892853278</v>
      </c>
      <c r="P63" s="381">
        <f t="shared" ref="P63:Y63" si="44">P62/O62-1</f>
        <v>0</v>
      </c>
      <c r="Q63" s="381">
        <f t="shared" si="44"/>
        <v>0</v>
      </c>
      <c r="R63" s="381">
        <f t="shared" si="44"/>
        <v>0</v>
      </c>
      <c r="S63" s="381">
        <f t="shared" si="44"/>
        <v>0</v>
      </c>
      <c r="T63" s="381">
        <f t="shared" si="44"/>
        <v>0</v>
      </c>
      <c r="U63" s="381">
        <f t="shared" si="44"/>
        <v>0</v>
      </c>
      <c r="V63" s="381">
        <f t="shared" si="44"/>
        <v>0</v>
      </c>
      <c r="W63" s="381">
        <f t="shared" si="44"/>
        <v>0</v>
      </c>
      <c r="X63" s="381">
        <f t="shared" si="44"/>
        <v>0</v>
      </c>
      <c r="Y63" s="381">
        <f t="shared" si="44"/>
        <v>0</v>
      </c>
    </row>
    <row r="64" spans="1:25" ht="11.25" customHeight="1" x14ac:dyDescent="0.25">
      <c r="A64" s="1"/>
      <c r="B64" s="1"/>
      <c r="C64" s="1"/>
      <c r="D64" s="1"/>
      <c r="E64" s="2" t="s">
        <v>305</v>
      </c>
      <c r="F64" s="33" t="s">
        <v>28</v>
      </c>
      <c r="G64" s="33"/>
      <c r="H64" s="171">
        <f>H56+H58+H60+H62</f>
        <v>-255.24</v>
      </c>
      <c r="I64" s="171">
        <f t="shared" ref="I64:N64" si="45">I56+I58+I60+I62</f>
        <v>-201.63499999999999</v>
      </c>
      <c r="J64" s="171">
        <f t="shared" si="45"/>
        <v>-292.67599999999999</v>
      </c>
      <c r="K64" s="171">
        <f t="shared" si="45"/>
        <v>-684.89</v>
      </c>
      <c r="L64" s="171">
        <f t="shared" si="45"/>
        <v>-269.42900000000003</v>
      </c>
      <c r="M64" s="171">
        <f t="shared" si="45"/>
        <v>-268.88100000000003</v>
      </c>
      <c r="N64" s="171">
        <f t="shared" si="45"/>
        <v>-347.53700000000003</v>
      </c>
      <c r="O64" s="171">
        <v>-506.27</v>
      </c>
      <c r="P64" s="171">
        <f t="shared" ref="P64:Y64" si="46">P56+P58+P60+P62</f>
        <v>-518.00476806747292</v>
      </c>
      <c r="Q64" s="171">
        <f t="shared" si="46"/>
        <v>-530.43791667957998</v>
      </c>
      <c r="R64" s="171">
        <f t="shared" si="46"/>
        <v>-543.61508911196324</v>
      </c>
      <c r="S64" s="171">
        <f t="shared" si="46"/>
        <v>-557.58514375912387</v>
      </c>
      <c r="T64" s="171">
        <f t="shared" si="46"/>
        <v>-572.4003952165607</v>
      </c>
      <c r="U64" s="171">
        <f t="shared" si="46"/>
        <v>-588.11687444451798</v>
      </c>
      <c r="V64" s="171">
        <f t="shared" si="46"/>
        <v>-604.7946095975235</v>
      </c>
      <c r="W64" s="171">
        <f t="shared" si="46"/>
        <v>-622.4979292411731</v>
      </c>
      <c r="X64" s="171">
        <f t="shared" si="46"/>
        <v>-641.29578982726866</v>
      </c>
      <c r="Y64" s="171">
        <f t="shared" si="46"/>
        <v>-661.26212946159228</v>
      </c>
    </row>
    <row r="65" spans="1:27" ht="11.25" customHeight="1" x14ac:dyDescent="0.25">
      <c r="A65" s="1"/>
      <c r="B65" s="1"/>
      <c r="C65" s="1"/>
      <c r="D65" s="1"/>
      <c r="E65" s="2"/>
      <c r="F65" s="33"/>
      <c r="G65" s="33"/>
      <c r="H65" s="171"/>
      <c r="I65" s="171"/>
      <c r="J65" s="171"/>
      <c r="K65" s="171"/>
      <c r="L65" s="171"/>
      <c r="M65" s="171"/>
      <c r="N65" s="171"/>
      <c r="O65" s="171"/>
      <c r="P65" s="171"/>
      <c r="Q65" s="171"/>
      <c r="R65" s="171"/>
      <c r="S65" s="171"/>
      <c r="T65" s="171"/>
      <c r="U65" s="171"/>
      <c r="V65" s="171"/>
      <c r="W65" s="171"/>
      <c r="X65" s="171"/>
      <c r="Y65" s="171"/>
    </row>
    <row r="66" spans="1:27" ht="11.25" customHeight="1" x14ac:dyDescent="0.25">
      <c r="A66" s="1"/>
      <c r="B66" s="1"/>
      <c r="C66" s="1"/>
      <c r="D66" s="1"/>
      <c r="E66" s="1" t="s">
        <v>306</v>
      </c>
      <c r="F66" s="33" t="s">
        <v>28</v>
      </c>
      <c r="G66" s="33"/>
      <c r="H66" s="375"/>
      <c r="I66" s="375"/>
      <c r="J66" s="375"/>
      <c r="K66" s="375">
        <v>-52.188000000000002</v>
      </c>
      <c r="L66" s="375">
        <v>-115.79300000000001</v>
      </c>
      <c r="M66" s="375">
        <v>-117.53</v>
      </c>
      <c r="N66" s="375">
        <v>-116.84</v>
      </c>
      <c r="O66" s="379">
        <v>-118.14700000000001</v>
      </c>
      <c r="P66" s="375">
        <f>O66</f>
        <v>-118.14700000000001</v>
      </c>
      <c r="Q66" s="375">
        <f t="shared" ref="Q66:Y66" si="47">P66</f>
        <v>-118.14700000000001</v>
      </c>
      <c r="R66" s="375">
        <f t="shared" si="47"/>
        <v>-118.14700000000001</v>
      </c>
      <c r="S66" s="375">
        <f t="shared" si="47"/>
        <v>-118.14700000000001</v>
      </c>
      <c r="T66" s="375">
        <f t="shared" si="47"/>
        <v>-118.14700000000001</v>
      </c>
      <c r="U66" s="375">
        <f t="shared" si="47"/>
        <v>-118.14700000000001</v>
      </c>
      <c r="V66" s="375">
        <f t="shared" si="47"/>
        <v>-118.14700000000001</v>
      </c>
      <c r="W66" s="375">
        <f t="shared" si="47"/>
        <v>-118.14700000000001</v>
      </c>
      <c r="X66" s="375">
        <f t="shared" si="47"/>
        <v>-118.14700000000001</v>
      </c>
      <c r="Y66" s="375">
        <f t="shared" si="47"/>
        <v>-118.14700000000001</v>
      </c>
    </row>
    <row r="67" spans="1:27" ht="11.25" customHeight="1" x14ac:dyDescent="0.25">
      <c r="A67" s="1"/>
      <c r="B67" s="1"/>
      <c r="C67" s="1"/>
      <c r="D67" s="1"/>
      <c r="E67" s="383" t="s">
        <v>625</v>
      </c>
      <c r="F67" s="33" t="s">
        <v>8</v>
      </c>
      <c r="G67" s="33"/>
      <c r="H67" s="375"/>
      <c r="I67" s="376" t="str">
        <f>IFERROR((I66/H66-1),"NA")</f>
        <v>NA</v>
      </c>
      <c r="J67" s="376" t="str">
        <f t="shared" ref="J67:N67" si="48">IFERROR((J66/I66-1),"NA")</f>
        <v>NA</v>
      </c>
      <c r="K67" s="376" t="str">
        <f t="shared" si="48"/>
        <v>NA</v>
      </c>
      <c r="L67" s="376">
        <f t="shared" si="48"/>
        <v>1.2187667663064308</v>
      </c>
      <c r="M67" s="376">
        <f t="shared" si="48"/>
        <v>1.5000906790565871E-2</v>
      </c>
      <c r="N67" s="376">
        <f t="shared" si="48"/>
        <v>-5.8708414872797876E-3</v>
      </c>
      <c r="O67" s="376">
        <f>IFERROR((O66/N66-1),"NA")</f>
        <v>1.1186237589866588E-2</v>
      </c>
      <c r="P67" s="382">
        <f t="shared" ref="P67:Y67" si="49">P66/O66-1</f>
        <v>0</v>
      </c>
      <c r="Q67" s="382">
        <f t="shared" si="49"/>
        <v>0</v>
      </c>
      <c r="R67" s="382">
        <f t="shared" si="49"/>
        <v>0</v>
      </c>
      <c r="S67" s="382">
        <f t="shared" si="49"/>
        <v>0</v>
      </c>
      <c r="T67" s="382">
        <f t="shared" si="49"/>
        <v>0</v>
      </c>
      <c r="U67" s="382">
        <f t="shared" si="49"/>
        <v>0</v>
      </c>
      <c r="V67" s="382">
        <f t="shared" si="49"/>
        <v>0</v>
      </c>
      <c r="W67" s="382">
        <f t="shared" si="49"/>
        <v>0</v>
      </c>
      <c r="X67" s="382">
        <f t="shared" si="49"/>
        <v>0</v>
      </c>
      <c r="Y67" s="382">
        <f t="shared" si="49"/>
        <v>0</v>
      </c>
    </row>
    <row r="68" spans="1:27" ht="12.75" customHeight="1" thickBot="1" x14ac:dyDescent="0.3">
      <c r="A68" s="1"/>
      <c r="B68" s="1"/>
      <c r="C68" s="1"/>
      <c r="D68" s="1"/>
      <c r="E68" s="1" t="s">
        <v>307</v>
      </c>
      <c r="F68" s="33" t="s">
        <v>28</v>
      </c>
      <c r="G68" s="33"/>
      <c r="H68" s="375">
        <v>-289.404</v>
      </c>
      <c r="I68" s="375">
        <v>-508.45299999999997</v>
      </c>
      <c r="J68" s="375">
        <v>-495.91300000000001</v>
      </c>
      <c r="K68" s="375">
        <v>-282.73099999999999</v>
      </c>
      <c r="L68" s="375">
        <v>-440.964</v>
      </c>
      <c r="M68" s="375">
        <v>-451.37200000000001</v>
      </c>
      <c r="N68" s="375">
        <v>-525.66600000000005</v>
      </c>
      <c r="O68" s="379">
        <v>-368.38099999999997</v>
      </c>
      <c r="P68" s="394">
        <f>O68*(1+P69)</f>
        <v>-407.90318277778943</v>
      </c>
      <c r="Q68" s="394">
        <f t="shared" ref="Q68:Y68" si="50">P68*(1+Q69)</f>
        <v>-413.81150562114152</v>
      </c>
      <c r="R68" s="394">
        <f t="shared" si="50"/>
        <v>-422.11965900469102</v>
      </c>
      <c r="S68" s="394">
        <f t="shared" si="50"/>
        <v>-457.72816448760864</v>
      </c>
      <c r="T68" s="394">
        <f t="shared" si="50"/>
        <v>-465.26055361787166</v>
      </c>
      <c r="U68" s="394">
        <f t="shared" si="50"/>
        <v>-472.44187810253067</v>
      </c>
      <c r="V68" s="394">
        <f t="shared" si="50"/>
        <v>-469.66692564629409</v>
      </c>
      <c r="W68" s="394">
        <f t="shared" si="50"/>
        <v>-486.58981694828879</v>
      </c>
      <c r="X68" s="394">
        <f t="shared" si="50"/>
        <v>-499.16936839234188</v>
      </c>
      <c r="Y68" s="394">
        <f t="shared" si="50"/>
        <v>-512.88477311040924</v>
      </c>
    </row>
    <row r="69" spans="1:27" ht="12.75" customHeight="1" thickBot="1" x14ac:dyDescent="0.3">
      <c r="A69" s="1"/>
      <c r="B69" s="1"/>
      <c r="C69" s="1"/>
      <c r="D69" s="1"/>
      <c r="E69" s="383" t="s">
        <v>625</v>
      </c>
      <c r="F69" s="33" t="s">
        <v>8</v>
      </c>
      <c r="G69" s="33"/>
      <c r="H69" s="375"/>
      <c r="I69" s="376">
        <f>IFERROR((I68/H68-1),"NA")</f>
        <v>0.75689693300714556</v>
      </c>
      <c r="J69" s="376">
        <f t="shared" ref="J69:N69" si="51">IFERROR((J68/I68-1),"NA")</f>
        <v>-2.4663046535274624E-2</v>
      </c>
      <c r="K69" s="376">
        <f t="shared" si="51"/>
        <v>-0.4298778213113994</v>
      </c>
      <c r="L69" s="376">
        <f t="shared" si="51"/>
        <v>0.55965918134198223</v>
      </c>
      <c r="M69" s="376">
        <f t="shared" si="51"/>
        <v>2.3602833791420696E-2</v>
      </c>
      <c r="N69" s="376">
        <f t="shared" si="51"/>
        <v>0.16459594303589942</v>
      </c>
      <c r="O69" s="376">
        <f>IFERROR((O68/N68-1),"NA")</f>
        <v>-0.29921090578428144</v>
      </c>
      <c r="P69" s="376">
        <f>AVERAGE(I69:O69)</f>
        <v>0.10728615964935606</v>
      </c>
      <c r="Q69" s="376">
        <f>AVERAGE(J69:P69)</f>
        <v>1.4484620598243276E-2</v>
      </c>
      <c r="R69" s="376">
        <f t="shared" ref="R69:Y69" si="52">AVERAGE(K69:Q69)</f>
        <v>2.0077144474460119E-2</v>
      </c>
      <c r="S69" s="376">
        <f t="shared" si="52"/>
        <v>8.4356425301011478E-2</v>
      </c>
      <c r="T69" s="376">
        <f t="shared" si="52"/>
        <v>1.6456031580872801E-2</v>
      </c>
      <c r="U69" s="376">
        <f t="shared" si="52"/>
        <v>1.5435059836508816E-2</v>
      </c>
      <c r="V69" s="376">
        <f t="shared" si="52"/>
        <v>-5.8736377634041274E-3</v>
      </c>
      <c r="W69" s="376">
        <f t="shared" si="52"/>
        <v>3.603168623957835E-2</v>
      </c>
      <c r="X69" s="376">
        <f t="shared" si="52"/>
        <v>2.5852475752467241E-2</v>
      </c>
      <c r="Y69" s="376">
        <f t="shared" si="52"/>
        <v>2.7476455060213529E-2</v>
      </c>
      <c r="Z69" s="393">
        <v>3.4200000000000001E-2</v>
      </c>
      <c r="AA69" s="17" t="s">
        <v>629</v>
      </c>
    </row>
    <row r="70" spans="1:27" ht="12.75" customHeight="1" x14ac:dyDescent="0.25">
      <c r="A70" s="1"/>
      <c r="B70" s="1"/>
      <c r="C70" s="1"/>
      <c r="D70" s="1"/>
      <c r="E70" s="1" t="s">
        <v>308</v>
      </c>
      <c r="F70" s="33" t="s">
        <v>28</v>
      </c>
      <c r="G70" s="33"/>
      <c r="H70" s="375">
        <v>-662.73</v>
      </c>
      <c r="I70" s="375">
        <v>-677.44</v>
      </c>
      <c r="J70" s="375">
        <v>-607.38900000000001</v>
      </c>
      <c r="K70" s="375">
        <v>-334.90600000000001</v>
      </c>
      <c r="L70" s="375">
        <v>-328.62200000000001</v>
      </c>
      <c r="M70" s="375">
        <v>-334.64499999999998</v>
      </c>
      <c r="N70" s="375">
        <v>-343.25799999999998</v>
      </c>
      <c r="O70" s="379">
        <v>-484.37699999999995</v>
      </c>
      <c r="P70" s="375">
        <f>O70</f>
        <v>-484.37699999999995</v>
      </c>
      <c r="Q70" s="375">
        <f t="shared" ref="Q70:Y70" si="53">P70</f>
        <v>-484.37699999999995</v>
      </c>
      <c r="R70" s="375">
        <f t="shared" si="53"/>
        <v>-484.37699999999995</v>
      </c>
      <c r="S70" s="375">
        <f t="shared" si="53"/>
        <v>-484.37699999999995</v>
      </c>
      <c r="T70" s="375">
        <f t="shared" si="53"/>
        <v>-484.37699999999995</v>
      </c>
      <c r="U70" s="375">
        <f t="shared" si="53"/>
        <v>-484.37699999999995</v>
      </c>
      <c r="V70" s="375">
        <f t="shared" si="53"/>
        <v>-484.37699999999995</v>
      </c>
      <c r="W70" s="375">
        <f t="shared" si="53"/>
        <v>-484.37699999999995</v>
      </c>
      <c r="X70" s="375">
        <f t="shared" si="53"/>
        <v>-484.37699999999995</v>
      </c>
      <c r="Y70" s="375">
        <f t="shared" si="53"/>
        <v>-484.37699999999995</v>
      </c>
      <c r="Z70" s="392"/>
    </row>
    <row r="71" spans="1:27" ht="12.75" customHeight="1" x14ac:dyDescent="0.25">
      <c r="A71" s="1"/>
      <c r="B71" s="1"/>
      <c r="C71" s="1"/>
      <c r="D71" s="1"/>
      <c r="E71" s="383" t="s">
        <v>625</v>
      </c>
      <c r="F71" s="33" t="s">
        <v>8</v>
      </c>
      <c r="G71" s="33"/>
      <c r="H71" s="375"/>
      <c r="I71" s="376">
        <f>IFERROR((I70/H70-1),"NA")</f>
        <v>2.2196067780242412E-2</v>
      </c>
      <c r="J71" s="376">
        <f t="shared" ref="J71:N71" si="54">IFERROR((J70/I70-1),"NA")</f>
        <v>-0.10340546764289094</v>
      </c>
      <c r="K71" s="376">
        <f t="shared" si="54"/>
        <v>-0.44861365615775062</v>
      </c>
      <c r="L71" s="376">
        <f t="shared" si="54"/>
        <v>-1.876347392999822E-2</v>
      </c>
      <c r="M71" s="376">
        <f t="shared" si="54"/>
        <v>1.8328048639470129E-2</v>
      </c>
      <c r="N71" s="376">
        <f t="shared" si="54"/>
        <v>2.5737722063679414E-2</v>
      </c>
      <c r="O71" s="376">
        <f>IFERROR((O70/N70-1),"NA")</f>
        <v>0.41111641971927826</v>
      </c>
      <c r="P71" s="382">
        <f t="shared" ref="P71:Y71" si="55">P70/O70-1</f>
        <v>0</v>
      </c>
      <c r="Q71" s="382">
        <f t="shared" si="55"/>
        <v>0</v>
      </c>
      <c r="R71" s="382">
        <f t="shared" si="55"/>
        <v>0</v>
      </c>
      <c r="S71" s="382">
        <f t="shared" si="55"/>
        <v>0</v>
      </c>
      <c r="T71" s="382">
        <f t="shared" si="55"/>
        <v>0</v>
      </c>
      <c r="U71" s="382">
        <f t="shared" si="55"/>
        <v>0</v>
      </c>
      <c r="V71" s="382">
        <f t="shared" si="55"/>
        <v>0</v>
      </c>
      <c r="W71" s="382">
        <f t="shared" si="55"/>
        <v>0</v>
      </c>
      <c r="X71" s="382">
        <f t="shared" si="55"/>
        <v>0</v>
      </c>
      <c r="Y71" s="382">
        <f t="shared" si="55"/>
        <v>0</v>
      </c>
    </row>
    <row r="72" spans="1:27" ht="12.75" customHeight="1" x14ac:dyDescent="0.25">
      <c r="A72" s="1"/>
      <c r="B72" s="1"/>
      <c r="C72" s="1"/>
      <c r="D72" s="1"/>
      <c r="E72" s="2" t="s">
        <v>299</v>
      </c>
      <c r="F72" s="33" t="s">
        <v>28</v>
      </c>
      <c r="G72" s="33"/>
      <c r="H72" s="171">
        <f>H66+H68+H70</f>
        <v>-952.13400000000001</v>
      </c>
      <c r="I72" s="171">
        <f t="shared" ref="I72:Y72" si="56">I66+I68+I70</f>
        <v>-1185.893</v>
      </c>
      <c r="J72" s="171">
        <f t="shared" si="56"/>
        <v>-1103.3020000000001</v>
      </c>
      <c r="K72" s="171">
        <f t="shared" si="56"/>
        <v>-669.82500000000005</v>
      </c>
      <c r="L72" s="171">
        <f t="shared" si="56"/>
        <v>-885.37900000000013</v>
      </c>
      <c r="M72" s="171">
        <f t="shared" si="56"/>
        <v>-903.54700000000003</v>
      </c>
      <c r="N72" s="171">
        <f t="shared" si="56"/>
        <v>-985.76400000000012</v>
      </c>
      <c r="O72" s="171">
        <f t="shared" si="56"/>
        <v>-970.90499999999997</v>
      </c>
      <c r="P72" s="171">
        <f t="shared" si="56"/>
        <v>-1010.4271827777894</v>
      </c>
      <c r="Q72" s="171">
        <f t="shared" si="56"/>
        <v>-1016.3355056211415</v>
      </c>
      <c r="R72" s="171">
        <f t="shared" si="56"/>
        <v>-1024.643659004691</v>
      </c>
      <c r="S72" s="171">
        <f t="shared" si="56"/>
        <v>-1060.2521644876088</v>
      </c>
      <c r="T72" s="171">
        <f t="shared" si="56"/>
        <v>-1067.7845536178716</v>
      </c>
      <c r="U72" s="171">
        <f t="shared" si="56"/>
        <v>-1074.9658781025305</v>
      </c>
      <c r="V72" s="171">
        <f t="shared" si="56"/>
        <v>-1072.1909256462941</v>
      </c>
      <c r="W72" s="171">
        <f t="shared" si="56"/>
        <v>-1089.1138169482888</v>
      </c>
      <c r="X72" s="171">
        <f t="shared" si="56"/>
        <v>-1101.6933683923419</v>
      </c>
      <c r="Y72" s="171">
        <f t="shared" si="56"/>
        <v>-1115.4087731104091</v>
      </c>
    </row>
    <row r="73" spans="1:27" ht="12.75" customHeight="1" x14ac:dyDescent="0.25">
      <c r="A73" s="1"/>
      <c r="B73" s="1"/>
      <c r="C73" s="1"/>
      <c r="D73" s="1"/>
      <c r="E73" s="2"/>
      <c r="F73" s="33"/>
      <c r="G73" s="33"/>
      <c r="H73" s="171"/>
      <c r="I73" s="171"/>
      <c r="J73" s="171"/>
      <c r="K73" s="171"/>
      <c r="L73" s="171"/>
      <c r="M73" s="171"/>
      <c r="N73" s="171"/>
      <c r="O73" s="171"/>
      <c r="P73" s="171"/>
      <c r="Q73" s="171"/>
      <c r="R73" s="171"/>
      <c r="S73" s="171"/>
      <c r="T73" s="171"/>
      <c r="U73" s="171"/>
      <c r="V73" s="171"/>
      <c r="W73" s="171"/>
      <c r="X73" s="171"/>
      <c r="Y73" s="171"/>
    </row>
    <row r="74" spans="1:27" ht="12.75" customHeight="1" x14ac:dyDescent="0.25">
      <c r="A74" s="1"/>
      <c r="B74" s="1"/>
      <c r="C74" s="1"/>
      <c r="D74" s="1"/>
      <c r="E74" s="2" t="s">
        <v>309</v>
      </c>
      <c r="F74" s="33" t="s">
        <v>28</v>
      </c>
      <c r="G74" s="33"/>
      <c r="H74" s="182">
        <f t="shared" ref="H74:M74" si="57">SUM(H64,H72)</f>
        <v>-1207.374</v>
      </c>
      <c r="I74" s="182">
        <f t="shared" si="57"/>
        <v>-1387.528</v>
      </c>
      <c r="J74" s="182">
        <f t="shared" si="57"/>
        <v>-1395.9780000000001</v>
      </c>
      <c r="K74" s="182">
        <f t="shared" si="57"/>
        <v>-1354.7150000000001</v>
      </c>
      <c r="L74" s="182">
        <f t="shared" si="57"/>
        <v>-1154.8080000000002</v>
      </c>
      <c r="M74" s="182">
        <f t="shared" si="57"/>
        <v>-1172.4280000000001</v>
      </c>
      <c r="N74" s="182">
        <f>SUM(N64,N72)</f>
        <v>-1333.3010000000002</v>
      </c>
      <c r="O74" s="182">
        <f t="shared" ref="O74:Y74" si="58">SUM(O64,O72)</f>
        <v>-1477.175</v>
      </c>
      <c r="P74" s="182">
        <f t="shared" si="58"/>
        <v>-1528.4319508452622</v>
      </c>
      <c r="Q74" s="182">
        <f t="shared" si="58"/>
        <v>-1546.7734223007214</v>
      </c>
      <c r="R74" s="182">
        <f t="shared" si="58"/>
        <v>-1568.2587481166543</v>
      </c>
      <c r="S74" s="182">
        <f t="shared" si="58"/>
        <v>-1617.8373082467326</v>
      </c>
      <c r="T74" s="182">
        <f t="shared" si="58"/>
        <v>-1640.1849488344324</v>
      </c>
      <c r="U74" s="182">
        <f t="shared" si="58"/>
        <v>-1663.0827525470486</v>
      </c>
      <c r="V74" s="182">
        <f t="shared" si="58"/>
        <v>-1676.9855352438176</v>
      </c>
      <c r="W74" s="182">
        <f t="shared" si="58"/>
        <v>-1711.6117461894619</v>
      </c>
      <c r="X74" s="182">
        <f t="shared" si="58"/>
        <v>-1742.9891582196105</v>
      </c>
      <c r="Y74" s="182">
        <f t="shared" si="58"/>
        <v>-1776.6709025720015</v>
      </c>
    </row>
    <row r="75" spans="1:27" ht="12.75" customHeight="1" x14ac:dyDescent="0.25">
      <c r="A75" s="1"/>
      <c r="B75" s="1"/>
      <c r="C75" s="1"/>
      <c r="D75" s="1"/>
      <c r="E75" s="1"/>
      <c r="F75" s="33"/>
      <c r="G75" s="33"/>
      <c r="H75" s="84"/>
      <c r="I75" s="84"/>
      <c r="J75" s="84"/>
      <c r="K75" s="161"/>
      <c r="L75" s="161"/>
      <c r="M75" s="161"/>
      <c r="N75" s="161"/>
      <c r="O75" s="161"/>
      <c r="P75" s="161"/>
      <c r="Q75" s="161"/>
      <c r="R75" s="161"/>
      <c r="S75" s="161"/>
      <c r="T75" s="161"/>
      <c r="U75" s="161"/>
      <c r="V75" s="161"/>
      <c r="W75" s="161"/>
      <c r="X75" s="161"/>
      <c r="Y75" s="161"/>
    </row>
    <row r="76" spans="1:27" ht="12.75" customHeight="1" x14ac:dyDescent="0.25">
      <c r="A76" s="1"/>
      <c r="B76" s="1"/>
      <c r="C76" s="1"/>
      <c r="D76" s="1"/>
      <c r="E76" s="2" t="s">
        <v>310</v>
      </c>
      <c r="F76" s="33" t="s">
        <v>28</v>
      </c>
      <c r="G76" s="33"/>
      <c r="H76" s="182">
        <f t="shared" ref="H76:Y76" si="59">SUM(H54,H74)</f>
        <v>1070.9369999999997</v>
      </c>
      <c r="I76" s="182">
        <f t="shared" si="59"/>
        <v>1156.9799999999998</v>
      </c>
      <c r="J76" s="182">
        <f t="shared" si="59"/>
        <v>1155.9719999999998</v>
      </c>
      <c r="K76" s="182">
        <f t="shared" si="59"/>
        <v>1434.607</v>
      </c>
      <c r="L76" s="182">
        <f t="shared" si="59"/>
        <v>1651.0179999999998</v>
      </c>
      <c r="M76" s="182">
        <f t="shared" si="59"/>
        <v>1571.2740000000001</v>
      </c>
      <c r="N76" s="182">
        <f t="shared" si="59"/>
        <v>1530.1969999999999</v>
      </c>
      <c r="O76" s="182">
        <f t="shared" si="59"/>
        <v>1303.8610000000001</v>
      </c>
      <c r="P76" s="182">
        <f t="shared" si="59"/>
        <v>1423.6691816910193</v>
      </c>
      <c r="Q76" s="182">
        <f t="shared" si="59"/>
        <v>1482.8221918478584</v>
      </c>
      <c r="R76" s="182">
        <f t="shared" si="59"/>
        <v>1540.2252633556609</v>
      </c>
      <c r="S76" s="182">
        <f t="shared" si="59"/>
        <v>1572.2774208863273</v>
      </c>
      <c r="T76" s="182">
        <f t="shared" si="59"/>
        <v>1634.4662246784528</v>
      </c>
      <c r="U76" s="182">
        <f t="shared" si="59"/>
        <v>1699.1881017447358</v>
      </c>
      <c r="V76" s="182">
        <f t="shared" si="59"/>
        <v>1827.4312392316087</v>
      </c>
      <c r="W76" s="182">
        <f t="shared" si="59"/>
        <v>1939.7184702119575</v>
      </c>
      <c r="X76" s="182">
        <f t="shared" si="59"/>
        <v>2060.282812755082</v>
      </c>
      <c r="Y76" s="182">
        <f t="shared" si="59"/>
        <v>2128.6626879056416</v>
      </c>
    </row>
    <row r="77" spans="1:27" ht="12.75" customHeight="1" x14ac:dyDescent="0.25">
      <c r="A77" s="1"/>
      <c r="B77" s="1"/>
      <c r="C77" s="1"/>
      <c r="D77" s="1"/>
      <c r="E77" s="1"/>
      <c r="F77" s="33"/>
      <c r="G77" s="33"/>
      <c r="H77" s="84"/>
      <c r="I77" s="84"/>
      <c r="J77" s="84"/>
      <c r="K77" s="161"/>
      <c r="L77" s="161"/>
      <c r="M77" s="161"/>
      <c r="N77" s="161"/>
      <c r="O77" s="161"/>
      <c r="P77" s="161"/>
      <c r="Q77" s="161"/>
      <c r="R77" s="161"/>
      <c r="S77" s="161"/>
      <c r="T77" s="161"/>
      <c r="U77" s="161"/>
      <c r="V77" s="161"/>
      <c r="W77" s="161"/>
      <c r="X77" s="161"/>
      <c r="Y77" s="161"/>
    </row>
    <row r="78" spans="1:27" ht="12.75" customHeight="1" x14ac:dyDescent="0.25">
      <c r="A78" s="1"/>
      <c r="B78" s="1"/>
      <c r="C78" s="1"/>
      <c r="D78" s="1"/>
      <c r="E78" s="1" t="s">
        <v>311</v>
      </c>
      <c r="F78" s="33" t="s">
        <v>28</v>
      </c>
      <c r="G78" s="33"/>
      <c r="H78" s="375"/>
      <c r="I78" s="375">
        <v>1152.26</v>
      </c>
      <c r="J78" s="375">
        <v>1126.9960000000001</v>
      </c>
      <c r="K78" s="375">
        <v>1288.287</v>
      </c>
      <c r="L78" s="375">
        <v>1338.223</v>
      </c>
      <c r="M78" s="375">
        <v>1340.556</v>
      </c>
      <c r="N78" s="375">
        <v>1343.027</v>
      </c>
      <c r="O78" s="375">
        <v>1342.4359999999999</v>
      </c>
      <c r="P78" s="375">
        <f>O78</f>
        <v>1342.4359999999999</v>
      </c>
      <c r="Q78" s="375">
        <f t="shared" ref="Q78:Y78" si="60">P78</f>
        <v>1342.4359999999999</v>
      </c>
      <c r="R78" s="375">
        <f t="shared" si="60"/>
        <v>1342.4359999999999</v>
      </c>
      <c r="S78" s="375">
        <f t="shared" si="60"/>
        <v>1342.4359999999999</v>
      </c>
      <c r="T78" s="375">
        <f t="shared" si="60"/>
        <v>1342.4359999999999</v>
      </c>
      <c r="U78" s="375">
        <f t="shared" si="60"/>
        <v>1342.4359999999999</v>
      </c>
      <c r="V78" s="375">
        <f t="shared" si="60"/>
        <v>1342.4359999999999</v>
      </c>
      <c r="W78" s="375">
        <f t="shared" si="60"/>
        <v>1342.4359999999999</v>
      </c>
      <c r="X78" s="375">
        <f t="shared" si="60"/>
        <v>1342.4359999999999</v>
      </c>
      <c r="Y78" s="375">
        <f t="shared" si="60"/>
        <v>1342.4359999999999</v>
      </c>
    </row>
    <row r="79" spans="1:27" ht="12.75" customHeight="1" x14ac:dyDescent="0.25">
      <c r="A79" s="1"/>
      <c r="B79" s="1"/>
      <c r="C79" s="1"/>
      <c r="D79" s="1"/>
      <c r="E79" s="1" t="s">
        <v>312</v>
      </c>
      <c r="F79" s="33" t="s">
        <v>28</v>
      </c>
      <c r="G79" s="33"/>
      <c r="H79" s="375"/>
      <c r="I79" s="375">
        <v>68.649000000000001</v>
      </c>
      <c r="J79" s="375">
        <v>77.540999999999997</v>
      </c>
      <c r="K79" s="375">
        <v>179.64099999999999</v>
      </c>
      <c r="L79" s="375">
        <v>335.767</v>
      </c>
      <c r="M79" s="375">
        <v>235.16300000000001</v>
      </c>
      <c r="N79" s="375">
        <v>197.60499999999999</v>
      </c>
      <c r="O79" s="375">
        <v>-31.125</v>
      </c>
      <c r="P79" s="375"/>
      <c r="Q79" s="375"/>
      <c r="R79" s="375"/>
      <c r="S79" s="375"/>
      <c r="T79" s="375"/>
      <c r="U79" s="375"/>
      <c r="V79" s="375"/>
      <c r="W79" s="375"/>
      <c r="X79" s="375"/>
      <c r="Y79" s="375"/>
    </row>
    <row r="80" spans="1:27" ht="12.75" customHeight="1" x14ac:dyDescent="0.25">
      <c r="A80" s="1"/>
      <c r="B80" s="1"/>
      <c r="C80" s="1"/>
      <c r="D80" s="1"/>
      <c r="E80" s="1" t="s">
        <v>313</v>
      </c>
      <c r="F80" s="33" t="s">
        <v>28</v>
      </c>
      <c r="G80" s="33"/>
      <c r="H80" s="375"/>
      <c r="I80" s="375">
        <v>-63.929000000000002</v>
      </c>
      <c r="J80" s="375">
        <v>-48.564999999999998</v>
      </c>
      <c r="K80" s="375">
        <v>-33.320999999999998</v>
      </c>
      <c r="L80" s="375">
        <v>-22.972000000000001</v>
      </c>
      <c r="M80" s="375">
        <v>-4.4450000000000003</v>
      </c>
      <c r="N80" s="375">
        <v>-10.435</v>
      </c>
      <c r="O80" s="375">
        <v>-7.45</v>
      </c>
      <c r="P80" s="375"/>
      <c r="Q80" s="375"/>
      <c r="R80" s="375"/>
      <c r="S80" s="375"/>
      <c r="T80" s="375"/>
      <c r="U80" s="375"/>
      <c r="V80" s="375"/>
      <c r="W80" s="375"/>
      <c r="X80" s="375"/>
      <c r="Y80" s="375"/>
    </row>
    <row r="81" spans="1:25" ht="12.75" customHeight="1" x14ac:dyDescent="0.25">
      <c r="A81" s="1"/>
      <c r="B81" s="1"/>
      <c r="C81" s="1"/>
      <c r="D81" s="1"/>
      <c r="E81" s="2" t="s">
        <v>314</v>
      </c>
      <c r="F81" s="33" t="s">
        <v>28</v>
      </c>
      <c r="G81" s="33"/>
      <c r="H81" s="182">
        <f t="shared" ref="H81:M81" si="61">SUM(H78:H80)</f>
        <v>0</v>
      </c>
      <c r="I81" s="182">
        <f t="shared" si="61"/>
        <v>1156.98</v>
      </c>
      <c r="J81" s="182">
        <f t="shared" si="61"/>
        <v>1155.972</v>
      </c>
      <c r="K81" s="182">
        <f t="shared" si="61"/>
        <v>1434.6070000000002</v>
      </c>
      <c r="L81" s="182">
        <f t="shared" si="61"/>
        <v>1651.018</v>
      </c>
      <c r="M81" s="182">
        <f t="shared" si="61"/>
        <v>1571.2740000000001</v>
      </c>
      <c r="N81" s="182">
        <f t="shared" ref="N81:Y81" si="62">SUM(N78:N80)</f>
        <v>1530.1970000000001</v>
      </c>
      <c r="O81" s="182">
        <f t="shared" si="62"/>
        <v>1303.8609999999999</v>
      </c>
      <c r="P81" s="182">
        <f t="shared" ref="P81" si="63">SUM(P78:P80)</f>
        <v>1342.4359999999999</v>
      </c>
      <c r="Q81" s="182">
        <f t="shared" si="62"/>
        <v>1342.4359999999999</v>
      </c>
      <c r="R81" s="182">
        <f t="shared" si="62"/>
        <v>1342.4359999999999</v>
      </c>
      <c r="S81" s="182">
        <f t="shared" si="62"/>
        <v>1342.4359999999999</v>
      </c>
      <c r="T81" s="182">
        <f t="shared" si="62"/>
        <v>1342.4359999999999</v>
      </c>
      <c r="U81" s="182">
        <f t="shared" si="62"/>
        <v>1342.4359999999999</v>
      </c>
      <c r="V81" s="182">
        <f t="shared" si="62"/>
        <v>1342.4359999999999</v>
      </c>
      <c r="W81" s="182">
        <f t="shared" si="62"/>
        <v>1342.4359999999999</v>
      </c>
      <c r="X81" s="182">
        <f t="shared" si="62"/>
        <v>1342.4359999999999</v>
      </c>
      <c r="Y81" s="182">
        <f t="shared" si="62"/>
        <v>1342.4359999999999</v>
      </c>
    </row>
    <row r="82" spans="1:25" ht="12.75" customHeight="1" x14ac:dyDescent="0.25">
      <c r="A82" s="1"/>
      <c r="B82" s="1"/>
      <c r="C82" s="1"/>
      <c r="D82" s="1"/>
      <c r="E82" s="206" t="s">
        <v>315</v>
      </c>
      <c r="F82" s="33"/>
      <c r="G82" s="33"/>
      <c r="H82" s="207"/>
      <c r="I82" s="207">
        <f t="shared" ref="I82:Y82" si="64">SUM(I54,I74)-I81</f>
        <v>0</v>
      </c>
      <c r="J82" s="207">
        <f t="shared" si="64"/>
        <v>0</v>
      </c>
      <c r="K82" s="207">
        <f t="shared" si="64"/>
        <v>0</v>
      </c>
      <c r="L82" s="207">
        <f t="shared" si="64"/>
        <v>0</v>
      </c>
      <c r="M82" s="207">
        <f t="shared" si="64"/>
        <v>0</v>
      </c>
      <c r="N82" s="207">
        <f t="shared" si="64"/>
        <v>0</v>
      </c>
      <c r="O82" s="207">
        <f t="shared" si="64"/>
        <v>0</v>
      </c>
      <c r="P82" s="207">
        <f t="shared" si="64"/>
        <v>81.233181691019354</v>
      </c>
      <c r="Q82" s="207">
        <f t="shared" si="64"/>
        <v>140.38619184785853</v>
      </c>
      <c r="R82" s="207">
        <f t="shared" si="64"/>
        <v>197.78926335566098</v>
      </c>
      <c r="S82" s="207">
        <f t="shared" si="64"/>
        <v>229.84142088632734</v>
      </c>
      <c r="T82" s="207">
        <f t="shared" si="64"/>
        <v>292.0302246784529</v>
      </c>
      <c r="U82" s="207">
        <f t="shared" si="64"/>
        <v>356.75210174473591</v>
      </c>
      <c r="V82" s="207">
        <f t="shared" si="64"/>
        <v>484.99523923160882</v>
      </c>
      <c r="W82" s="207">
        <f t="shared" si="64"/>
        <v>597.28247021195762</v>
      </c>
      <c r="X82" s="207">
        <f t="shared" si="64"/>
        <v>717.84681275508206</v>
      </c>
      <c r="Y82" s="207">
        <f t="shared" si="64"/>
        <v>786.22668790564171</v>
      </c>
    </row>
    <row r="83" spans="1:25" ht="12.75" customHeight="1" x14ac:dyDescent="0.25">
      <c r="A83" s="1"/>
      <c r="B83" s="1"/>
      <c r="C83" s="1"/>
      <c r="D83" s="1"/>
      <c r="E83" s="206"/>
      <c r="F83" s="33"/>
      <c r="G83" s="33"/>
      <c r="H83" s="208"/>
      <c r="I83" s="208"/>
      <c r="J83" s="208"/>
      <c r="K83" s="208"/>
      <c r="L83" s="208"/>
      <c r="M83" s="208"/>
      <c r="N83" s="208"/>
      <c r="O83" s="208"/>
      <c r="P83" s="208"/>
      <c r="Q83" s="208"/>
      <c r="R83" s="208"/>
      <c r="S83" s="208"/>
      <c r="T83" s="208"/>
      <c r="U83" s="208"/>
      <c r="V83" s="208"/>
      <c r="W83" s="208"/>
      <c r="X83" s="208"/>
      <c r="Y83" s="208"/>
    </row>
    <row r="84" spans="1:25" ht="12.75" customHeight="1" x14ac:dyDescent="0.25">
      <c r="A84" s="1"/>
      <c r="B84" s="1"/>
      <c r="C84" s="1"/>
      <c r="D84" s="1"/>
      <c r="E84" s="2" t="s">
        <v>316</v>
      </c>
      <c r="F84" s="33" t="s">
        <v>28</v>
      </c>
      <c r="G84" s="33"/>
      <c r="H84" s="39">
        <f t="shared" ref="H84:M84" si="65">H35+H68+H58+H66+H60</f>
        <v>-335.05200000000002</v>
      </c>
      <c r="I84" s="39">
        <f t="shared" si="65"/>
        <v>-432.49799999999999</v>
      </c>
      <c r="J84" s="39">
        <f t="shared" si="65"/>
        <v>-503.46600000000001</v>
      </c>
      <c r="K84" s="39">
        <f t="shared" si="65"/>
        <v>-583.68900000000008</v>
      </c>
      <c r="L84" s="39">
        <f t="shared" si="65"/>
        <v>-557.86199999999997</v>
      </c>
      <c r="M84" s="39">
        <f t="shared" si="65"/>
        <v>-601.78000000000009</v>
      </c>
      <c r="N84" s="39">
        <f>N35+N68+N58+N66+N60</f>
        <v>-446.35200000000003</v>
      </c>
      <c r="O84" s="39">
        <f t="shared" ref="O84:Y84" si="66">O35+O68+O58+O66+O60</f>
        <v>-670.38300000000004</v>
      </c>
      <c r="P84" s="39">
        <f t="shared" si="66"/>
        <v>-707.15311315677013</v>
      </c>
      <c r="Q84" s="39">
        <f t="shared" si="66"/>
        <v>-710.13375455225355</v>
      </c>
      <c r="R84" s="39">
        <f t="shared" si="66"/>
        <v>-715.32595915277739</v>
      </c>
      <c r="S84" s="39">
        <f t="shared" si="66"/>
        <v>-747.61656699005425</v>
      </c>
      <c r="T84" s="39">
        <f t="shared" si="66"/>
        <v>-751.61431175121174</v>
      </c>
      <c r="U84" s="39">
        <f t="shared" si="66"/>
        <v>-755.02823207488211</v>
      </c>
      <c r="V84" s="39">
        <f t="shared" si="66"/>
        <v>-748.23577909311371</v>
      </c>
      <c r="W84" s="39">
        <f t="shared" si="66"/>
        <v>-760.87229475455763</v>
      </c>
      <c r="X84" s="39">
        <f t="shared" si="66"/>
        <v>-768.87624440774835</v>
      </c>
      <c r="Y84" s="39">
        <f t="shared" si="66"/>
        <v>-777.70475515399664</v>
      </c>
    </row>
    <row r="85" spans="1:25" ht="12.75" customHeight="1" x14ac:dyDescent="0.25">
      <c r="A85" s="1"/>
      <c r="B85" s="1"/>
      <c r="C85" s="1"/>
      <c r="D85" s="1"/>
      <c r="E85" s="2" t="s">
        <v>317</v>
      </c>
      <c r="F85" s="33" t="s">
        <v>28</v>
      </c>
      <c r="G85" s="33"/>
      <c r="H85" s="39">
        <f t="shared" ref="H85:X85" si="67">H37+H39+H56</f>
        <v>-112.16999999999999</v>
      </c>
      <c r="I85" s="39">
        <f t="shared" si="67"/>
        <v>-162.77599999999998</v>
      </c>
      <c r="J85" s="39">
        <f t="shared" si="67"/>
        <v>-172.36</v>
      </c>
      <c r="K85" s="39">
        <f t="shared" si="67"/>
        <v>-172.96200000000002</v>
      </c>
      <c r="L85" s="39">
        <f t="shared" si="67"/>
        <v>-159.57299999999998</v>
      </c>
      <c r="M85" s="39">
        <f t="shared" si="67"/>
        <v>-153.84500000000003</v>
      </c>
      <c r="N85" s="39">
        <f t="shared" si="67"/>
        <v>-156.58200000000002</v>
      </c>
      <c r="O85" s="39">
        <f t="shared" si="67"/>
        <v>-131.54300000000001</v>
      </c>
      <c r="P85" s="39">
        <f t="shared" si="67"/>
        <v>-139.36775610753716</v>
      </c>
      <c r="Q85" s="39">
        <f t="shared" si="67"/>
        <v>-147.58435253660178</v>
      </c>
      <c r="R85" s="39">
        <f t="shared" si="67"/>
        <v>-156.21283351393208</v>
      </c>
      <c r="S85" s="39">
        <f t="shared" si="67"/>
        <v>-165.27384859248463</v>
      </c>
      <c r="T85" s="39">
        <f t="shared" si="67"/>
        <v>-174.78860874396031</v>
      </c>
      <c r="U85" s="39">
        <f t="shared" si="67"/>
        <v>-184.77882700539007</v>
      </c>
      <c r="V85" s="39">
        <f t="shared" si="67"/>
        <v>-195.26664082293442</v>
      </c>
      <c r="W85" s="39">
        <f t="shared" si="67"/>
        <v>-206.27451276131833</v>
      </c>
      <c r="X85" s="39">
        <f t="shared" si="67"/>
        <v>-217.82510569621979</v>
      </c>
      <c r="Y85" s="39">
        <f>Y37+Y39+Y56</f>
        <v>-229.94112796706139</v>
      </c>
    </row>
    <row r="86" spans="1:25" ht="12.75" customHeight="1" x14ac:dyDescent="0.25">
      <c r="A86" s="1"/>
      <c r="B86" s="1"/>
      <c r="C86" s="1"/>
      <c r="D86" s="1"/>
      <c r="E86" s="1" t="s">
        <v>318</v>
      </c>
      <c r="F86" s="33"/>
      <c r="G86" s="33"/>
      <c r="H86" s="39"/>
      <c r="I86" s="39">
        <f t="shared" ref="I86:Y86" si="68">H85-I85</f>
        <v>50.605999999999995</v>
      </c>
      <c r="J86" s="39">
        <f t="shared" si="68"/>
        <v>9.5840000000000316</v>
      </c>
      <c r="K86" s="39">
        <f t="shared" si="68"/>
        <v>0.60200000000000387</v>
      </c>
      <c r="L86" s="39">
        <f t="shared" si="68"/>
        <v>-13.389000000000038</v>
      </c>
      <c r="M86" s="39">
        <f t="shared" si="68"/>
        <v>-5.7279999999999518</v>
      </c>
      <c r="N86" s="39">
        <f t="shared" si="68"/>
        <v>2.7369999999999948</v>
      </c>
      <c r="O86" s="39">
        <f t="shared" si="68"/>
        <v>-25.039000000000016</v>
      </c>
      <c r="P86" s="39">
        <f t="shared" si="68"/>
        <v>7.824756107537155</v>
      </c>
      <c r="Q86" s="39">
        <f t="shared" si="68"/>
        <v>8.216596429064623</v>
      </c>
      <c r="R86" s="39">
        <f t="shared" si="68"/>
        <v>8.6284809773302982</v>
      </c>
      <c r="S86" s="39">
        <f t="shared" si="68"/>
        <v>9.0610150785525434</v>
      </c>
      <c r="T86" s="39">
        <f t="shared" si="68"/>
        <v>9.5147601514756843</v>
      </c>
      <c r="U86" s="39">
        <f t="shared" si="68"/>
        <v>9.9902182614297601</v>
      </c>
      <c r="V86" s="39">
        <f t="shared" si="68"/>
        <v>10.48781381754435</v>
      </c>
      <c r="W86" s="39">
        <f t="shared" si="68"/>
        <v>11.007871938383914</v>
      </c>
      <c r="X86" s="39">
        <f t="shared" si="68"/>
        <v>11.550592934901459</v>
      </c>
      <c r="Y86" s="39">
        <f t="shared" si="68"/>
        <v>12.116022270841597</v>
      </c>
    </row>
    <row r="87" spans="1:25" ht="12.75" customHeight="1" x14ac:dyDescent="0.25">
      <c r="A87" s="1"/>
      <c r="B87" s="1"/>
      <c r="C87" s="1"/>
      <c r="D87" s="1"/>
      <c r="E87" s="1"/>
      <c r="F87" s="33"/>
      <c r="G87" s="33"/>
      <c r="H87" s="39"/>
      <c r="I87" s="39"/>
      <c r="J87" s="39"/>
      <c r="K87" s="39"/>
      <c r="L87" s="39"/>
      <c r="M87" s="39"/>
      <c r="N87" s="39"/>
      <c r="O87" s="39"/>
      <c r="P87" s="39"/>
      <c r="Q87" s="39"/>
      <c r="R87" s="39"/>
      <c r="S87" s="39"/>
      <c r="T87" s="39"/>
      <c r="U87" s="39"/>
      <c r="V87" s="39"/>
      <c r="W87" s="39"/>
      <c r="X87" s="39"/>
      <c r="Y87" s="39"/>
    </row>
    <row r="88" spans="1:25" ht="12.75" customHeight="1" x14ac:dyDescent="0.25">
      <c r="A88" s="1"/>
      <c r="B88" s="1"/>
      <c r="C88" s="1"/>
      <c r="D88" s="1"/>
      <c r="E88" s="1"/>
      <c r="F88" s="33"/>
      <c r="G88" s="33"/>
      <c r="H88" s="39"/>
      <c r="I88" s="39"/>
      <c r="J88" s="39"/>
      <c r="K88" s="39"/>
      <c r="L88" s="39"/>
      <c r="M88" s="39"/>
      <c r="N88" s="39"/>
      <c r="O88" s="39"/>
      <c r="P88" s="39"/>
      <c r="Q88" s="39"/>
      <c r="R88" s="39"/>
      <c r="S88" s="39"/>
      <c r="T88" s="39"/>
      <c r="U88" s="39"/>
      <c r="V88" s="39"/>
      <c r="W88" s="39"/>
      <c r="X88" s="39"/>
      <c r="Y88" s="39"/>
    </row>
    <row r="89" spans="1:25" ht="12.75" customHeight="1" x14ac:dyDescent="0.25">
      <c r="A89" s="1"/>
      <c r="B89" s="1"/>
      <c r="C89" s="1"/>
      <c r="D89" s="1"/>
      <c r="E89" s="2"/>
      <c r="F89" s="33"/>
      <c r="G89" s="33"/>
      <c r="H89" s="84"/>
      <c r="I89" s="84"/>
      <c r="J89" s="84"/>
      <c r="K89" s="161"/>
      <c r="L89" s="161"/>
      <c r="M89" s="161"/>
      <c r="N89" s="161"/>
      <c r="O89" s="161"/>
      <c r="P89" s="161"/>
      <c r="Q89" s="161"/>
      <c r="R89" s="161"/>
      <c r="S89" s="161"/>
      <c r="T89" s="161"/>
      <c r="U89" s="161"/>
      <c r="V89" s="161"/>
      <c r="W89" s="161"/>
      <c r="X89" s="161"/>
      <c r="Y89" s="161"/>
    </row>
    <row r="90" spans="1:25" ht="11.25" customHeight="1" x14ac:dyDescent="0.25">
      <c r="A90" s="1"/>
      <c r="B90" s="1"/>
      <c r="C90" s="199" t="s">
        <v>319</v>
      </c>
      <c r="D90" s="200"/>
      <c r="E90" s="200"/>
      <c r="F90" s="201"/>
      <c r="G90" s="201"/>
      <c r="H90" s="209"/>
      <c r="I90" s="209"/>
      <c r="J90" s="209"/>
      <c r="K90" s="210"/>
      <c r="L90" s="210"/>
      <c r="M90" s="210"/>
      <c r="N90" s="210"/>
      <c r="O90" s="210"/>
      <c r="P90" s="210"/>
      <c r="Q90" s="210"/>
      <c r="R90" s="210"/>
      <c r="S90" s="210"/>
      <c r="T90" s="210"/>
      <c r="U90" s="210"/>
      <c r="V90" s="210"/>
      <c r="W90" s="210"/>
      <c r="X90" s="210"/>
      <c r="Y90" s="210"/>
    </row>
    <row r="91" spans="1:25" ht="11.25" customHeight="1" x14ac:dyDescent="0.25">
      <c r="A91" s="1"/>
      <c r="B91" s="1"/>
      <c r="C91" s="1"/>
      <c r="D91" s="1"/>
      <c r="E91" s="1"/>
      <c r="F91" s="33"/>
      <c r="G91" s="33"/>
      <c r="H91" s="84"/>
      <c r="I91" s="84"/>
      <c r="J91" s="84"/>
      <c r="K91" s="161"/>
      <c r="L91" s="161"/>
      <c r="M91" s="161"/>
      <c r="N91" s="161"/>
      <c r="O91" s="161"/>
      <c r="P91" s="161"/>
      <c r="Q91" s="161"/>
      <c r="R91" s="161"/>
      <c r="S91" s="161"/>
      <c r="T91" s="161"/>
      <c r="U91" s="161"/>
      <c r="V91" s="161"/>
      <c r="W91" s="161"/>
      <c r="X91" s="161"/>
      <c r="Y91" s="161"/>
    </row>
    <row r="92" spans="1:25" ht="11.25" customHeight="1" x14ac:dyDescent="0.25">
      <c r="A92" s="1"/>
      <c r="B92" s="1"/>
      <c r="C92" s="1"/>
      <c r="D92" s="1"/>
      <c r="E92" s="1" t="s">
        <v>151</v>
      </c>
      <c r="F92" s="33" t="s">
        <v>28</v>
      </c>
      <c r="G92" s="33"/>
      <c r="H92" s="39">
        <v>370.86900000000003</v>
      </c>
      <c r="I92" s="39">
        <v>411.02199999999999</v>
      </c>
      <c r="J92" s="39">
        <v>361.75</v>
      </c>
      <c r="K92" s="39">
        <v>174.85700000000003</v>
      </c>
      <c r="L92" s="39">
        <v>321.185</v>
      </c>
      <c r="M92" s="39">
        <v>140.27300000000002</v>
      </c>
      <c r="N92" s="39">
        <v>331.16499999999996</v>
      </c>
      <c r="O92" s="39">
        <v>317.23599999999999</v>
      </c>
      <c r="Q92" s="39"/>
      <c r="R92" s="39"/>
      <c r="S92" s="39"/>
      <c r="T92" s="39"/>
      <c r="U92" s="39"/>
      <c r="V92" s="39"/>
      <c r="W92" s="39"/>
      <c r="X92" s="39"/>
      <c r="Y92" s="39"/>
    </row>
    <row r="93" spans="1:25" ht="11.25" customHeight="1" x14ac:dyDescent="0.25">
      <c r="A93" s="1"/>
      <c r="B93" s="1"/>
      <c r="C93" s="1"/>
      <c r="D93" s="1"/>
      <c r="E93" s="1" t="s">
        <v>318</v>
      </c>
      <c r="F93" s="33" t="s">
        <v>28</v>
      </c>
      <c r="G93" s="33"/>
      <c r="H93" s="196">
        <v>0</v>
      </c>
      <c r="I93" s="196">
        <v>0</v>
      </c>
      <c r="J93" s="196">
        <v>0</v>
      </c>
      <c r="K93" s="196">
        <v>0</v>
      </c>
      <c r="L93" s="196">
        <v>0</v>
      </c>
      <c r="M93" s="196">
        <v>0</v>
      </c>
      <c r="N93" s="196">
        <v>0</v>
      </c>
      <c r="O93" s="49">
        <v>0</v>
      </c>
      <c r="Q93" s="49"/>
      <c r="R93" s="49"/>
      <c r="S93" s="49"/>
      <c r="T93" s="49"/>
      <c r="U93" s="49"/>
      <c r="V93" s="49"/>
      <c r="W93" s="49"/>
      <c r="X93" s="49"/>
      <c r="Y93" s="49"/>
    </row>
    <row r="94" spans="1:25" ht="11.25" customHeight="1" x14ac:dyDescent="0.25">
      <c r="A94" s="1"/>
      <c r="B94" s="1"/>
      <c r="C94" s="1"/>
      <c r="D94" s="1"/>
      <c r="E94" s="1" t="s">
        <v>320</v>
      </c>
      <c r="F94" s="33"/>
      <c r="G94" s="33"/>
      <c r="H94" s="196">
        <v>0</v>
      </c>
      <c r="I94" s="196">
        <v>0</v>
      </c>
      <c r="J94" s="196">
        <v>0</v>
      </c>
      <c r="K94" s="196">
        <v>0</v>
      </c>
      <c r="L94" s="196">
        <v>0</v>
      </c>
      <c r="M94" s="196">
        <v>0</v>
      </c>
      <c r="N94" s="196">
        <v>0</v>
      </c>
      <c r="O94" s="49">
        <v>0</v>
      </c>
      <c r="Q94" s="49"/>
      <c r="R94" s="49"/>
      <c r="S94" s="49"/>
      <c r="T94" s="49"/>
      <c r="U94" s="49"/>
      <c r="V94" s="49"/>
      <c r="W94" s="49"/>
      <c r="X94" s="49"/>
      <c r="Y94" s="49"/>
    </row>
    <row r="95" spans="1:25" ht="11.25" customHeight="1" x14ac:dyDescent="0.25">
      <c r="A95" s="1"/>
      <c r="B95" s="1"/>
      <c r="C95" s="1"/>
      <c r="D95" s="1"/>
      <c r="E95" s="1" t="s">
        <v>321</v>
      </c>
      <c r="F95" s="33" t="s">
        <v>28</v>
      </c>
      <c r="G95" s="33"/>
      <c r="H95" s="196">
        <v>-91.344999999999999</v>
      </c>
      <c r="I95" s="196">
        <v>-121.93299999999999</v>
      </c>
      <c r="J95" s="196">
        <v>-109.42599999999999</v>
      </c>
      <c r="K95" s="196">
        <v>-82.045000000000002</v>
      </c>
      <c r="L95" s="196">
        <v>-61.643000000000001</v>
      </c>
      <c r="M95" s="196">
        <v>-67.376999999999995</v>
      </c>
      <c r="N95" s="196">
        <v>-53.372</v>
      </c>
      <c r="O95" s="49">
        <f>-59.465-54.672</f>
        <v>-114.137</v>
      </c>
      <c r="Q95" s="49"/>
      <c r="R95" s="49"/>
      <c r="S95" s="49"/>
      <c r="T95" s="49"/>
      <c r="U95" s="49"/>
      <c r="V95" s="49"/>
      <c r="W95" s="49"/>
      <c r="X95" s="49"/>
      <c r="Y95" s="49"/>
    </row>
    <row r="96" spans="1:25" ht="11.25" customHeight="1" x14ac:dyDescent="0.25">
      <c r="A96" s="1"/>
      <c r="B96" s="1"/>
      <c r="C96" s="1"/>
      <c r="D96" s="1"/>
      <c r="E96" s="1" t="s">
        <v>322</v>
      </c>
      <c r="F96" s="33" t="s">
        <v>28</v>
      </c>
      <c r="G96" s="33"/>
      <c r="H96" s="196">
        <v>0</v>
      </c>
      <c r="I96" s="196">
        <v>0</v>
      </c>
      <c r="J96" s="196">
        <v>0</v>
      </c>
      <c r="K96" s="196">
        <v>27.353999999999999</v>
      </c>
      <c r="L96" s="196">
        <v>28.643000000000001</v>
      </c>
      <c r="M96" s="196">
        <v>18.225000000000001</v>
      </c>
      <c r="N96" s="196">
        <v>2.3040000000000003</v>
      </c>
      <c r="O96" s="161">
        <v>0.47499999999999998</v>
      </c>
      <c r="Q96" s="161"/>
      <c r="R96" s="161"/>
      <c r="S96" s="161"/>
      <c r="T96" s="161"/>
      <c r="U96" s="161"/>
      <c r="V96" s="161"/>
      <c r="W96" s="161"/>
      <c r="X96" s="161"/>
      <c r="Y96" s="161"/>
    </row>
    <row r="97" spans="1:27" ht="11.25" customHeight="1" x14ac:dyDescent="0.25">
      <c r="A97" s="1"/>
      <c r="B97" s="1"/>
      <c r="C97" s="1"/>
      <c r="D97" s="1"/>
      <c r="E97" s="2" t="s">
        <v>323</v>
      </c>
      <c r="F97" s="33" t="s">
        <v>28</v>
      </c>
      <c r="G97" s="33"/>
      <c r="H97" s="182">
        <f t="shared" ref="H97:N97" si="69">SUM(H92:H96)</f>
        <v>279.524</v>
      </c>
      <c r="I97" s="182">
        <f t="shared" si="69"/>
        <v>289.089</v>
      </c>
      <c r="J97" s="182">
        <f t="shared" si="69"/>
        <v>252.32400000000001</v>
      </c>
      <c r="K97" s="182">
        <f t="shared" si="69"/>
        <v>120.16600000000003</v>
      </c>
      <c r="L97" s="182">
        <f t="shared" si="69"/>
        <v>288.18500000000006</v>
      </c>
      <c r="M97" s="182">
        <f t="shared" si="69"/>
        <v>91.121000000000038</v>
      </c>
      <c r="N97" s="182">
        <f t="shared" si="69"/>
        <v>280.09699999999992</v>
      </c>
      <c r="O97" s="182">
        <f>SUM(O92:O96)</f>
        <v>203.57399999999998</v>
      </c>
      <c r="Q97" s="182"/>
      <c r="R97" s="182"/>
      <c r="S97" s="182"/>
      <c r="T97" s="182"/>
      <c r="U97" s="182"/>
      <c r="V97" s="182"/>
      <c r="W97" s="182"/>
      <c r="X97" s="182"/>
      <c r="Y97" s="182"/>
    </row>
    <row r="98" spans="1:27" ht="11.25" customHeight="1" x14ac:dyDescent="0.25">
      <c r="A98" s="1"/>
      <c r="B98" s="1"/>
      <c r="C98" s="1"/>
      <c r="D98" s="1"/>
      <c r="E98" s="2"/>
      <c r="F98" s="33"/>
      <c r="G98" s="33"/>
      <c r="H98" s="84"/>
      <c r="I98" s="84"/>
      <c r="J98" s="84"/>
      <c r="K98" s="161"/>
      <c r="L98" s="161"/>
      <c r="M98" s="161"/>
      <c r="N98" s="161"/>
      <c r="O98" s="161"/>
      <c r="Q98" s="161"/>
      <c r="R98" s="161"/>
      <c r="S98" s="161"/>
      <c r="T98" s="161"/>
      <c r="U98" s="161"/>
      <c r="V98" s="161"/>
      <c r="W98" s="161"/>
      <c r="X98" s="161"/>
      <c r="Y98" s="161"/>
    </row>
    <row r="99" spans="1:27" ht="11.25" customHeight="1" x14ac:dyDescent="0.25">
      <c r="A99" s="1"/>
      <c r="B99" s="1"/>
      <c r="C99" s="1"/>
      <c r="D99" s="1"/>
      <c r="E99" s="1" t="s">
        <v>324</v>
      </c>
      <c r="F99" s="33" t="s">
        <v>28</v>
      </c>
      <c r="G99" s="33"/>
      <c r="H99" s="196">
        <v>0</v>
      </c>
      <c r="I99" s="196">
        <v>0</v>
      </c>
      <c r="J99" s="196">
        <f>197.065 - 12.204 + 40</f>
        <v>224.86099999999999</v>
      </c>
      <c r="K99" s="196">
        <v>128.946</v>
      </c>
      <c r="L99" s="196">
        <v>0</v>
      </c>
      <c r="M99" s="196">
        <v>-38.886000000000003</v>
      </c>
      <c r="N99" s="196">
        <v>7.8120000000000003</v>
      </c>
      <c r="O99" s="161">
        <v>0</v>
      </c>
      <c r="Q99" s="161"/>
      <c r="R99" s="161"/>
      <c r="S99" s="161"/>
      <c r="T99" s="161"/>
      <c r="U99" s="161"/>
      <c r="V99" s="161"/>
      <c r="W99" s="161"/>
      <c r="X99" s="161"/>
      <c r="Y99" s="161"/>
    </row>
    <row r="100" spans="1:27" ht="11.25" customHeight="1" x14ac:dyDescent="0.25">
      <c r="A100" s="1"/>
      <c r="B100" s="1"/>
      <c r="C100" s="1"/>
      <c r="D100" s="1"/>
      <c r="E100" s="1" t="s">
        <v>325</v>
      </c>
      <c r="F100" s="33" t="s">
        <v>28</v>
      </c>
      <c r="G100" s="33"/>
      <c r="H100" s="196">
        <v>-3.97</v>
      </c>
      <c r="I100" s="196">
        <v>-8.5890000000000004</v>
      </c>
      <c r="J100" s="196">
        <v>-29.129000000000001</v>
      </c>
      <c r="K100" s="196">
        <v>-20.515000000000001</v>
      </c>
      <c r="L100" s="196">
        <v>-5.7990000000000004</v>
      </c>
      <c r="M100" s="196">
        <v>-11.411</v>
      </c>
      <c r="N100" s="196">
        <v>-8.1129999999999995</v>
      </c>
      <c r="O100" s="49">
        <v>-7.0469999999999997</v>
      </c>
      <c r="P100" s="49">
        <f>O100*(1+(P18/O18-1))</f>
        <v>-6.9878979677338027</v>
      </c>
      <c r="Q100" s="49">
        <f t="shared" ref="Q100:Y100" si="70">P100*(1+10%)</f>
        <v>-7.6866877645071838</v>
      </c>
      <c r="R100" s="49">
        <f t="shared" si="70"/>
        <v>-8.4553565409579026</v>
      </c>
      <c r="S100" s="49">
        <f t="shared" si="70"/>
        <v>-9.3008921950536934</v>
      </c>
      <c r="T100" s="49">
        <f t="shared" si="70"/>
        <v>-10.230981414559064</v>
      </c>
      <c r="U100" s="49">
        <f t="shared" si="70"/>
        <v>-11.254079556014972</v>
      </c>
      <c r="V100" s="49">
        <f t="shared" si="70"/>
        <v>-12.379487511616469</v>
      </c>
      <c r="W100" s="49">
        <f t="shared" si="70"/>
        <v>-13.617436262778117</v>
      </c>
      <c r="X100" s="49">
        <f t="shared" si="70"/>
        <v>-14.97917988905593</v>
      </c>
      <c r="Y100" s="49">
        <f t="shared" si="70"/>
        <v>-16.477097877961523</v>
      </c>
    </row>
    <row r="101" spans="1:27" ht="11.25" customHeight="1" x14ac:dyDescent="0.25">
      <c r="A101" s="1"/>
      <c r="B101" s="1"/>
      <c r="C101" s="1"/>
      <c r="D101" s="1"/>
      <c r="E101" s="1" t="s">
        <v>326</v>
      </c>
      <c r="F101" s="33" t="s">
        <v>28</v>
      </c>
      <c r="G101" s="33"/>
      <c r="H101" s="196">
        <v>-154.61699999999999</v>
      </c>
      <c r="I101" s="196">
        <f>-206.466</f>
        <v>-206.46600000000001</v>
      </c>
      <c r="J101" s="196">
        <f>-303.651</f>
        <v>-303.65100000000001</v>
      </c>
      <c r="K101" s="196">
        <v>-326.87700000000001</v>
      </c>
      <c r="L101" s="196">
        <v>-171.673</v>
      </c>
      <c r="M101" s="196">
        <v>-100.065</v>
      </c>
      <c r="N101" s="196">
        <v>-254.74600000000001</v>
      </c>
      <c r="O101" s="49">
        <v>-303.68900000000002</v>
      </c>
      <c r="P101" s="49">
        <f>(-76-70-10)*(1+$AA$101)</f>
        <v>-156</v>
      </c>
      <c r="Q101" s="49">
        <f>(Capex!I42+Capex!I58)*(1+$AA$101)</f>
        <v>-61.089999999999996</v>
      </c>
      <c r="R101" s="49">
        <f>(Capex!I42+Capex!I58)*(1+$AA$101)</f>
        <v>-61.089999999999996</v>
      </c>
      <c r="S101" s="49">
        <f>(Capex!J42+Capex!J58)*(1+$AA$101)</f>
        <v>-62.311799999999998</v>
      </c>
      <c r="T101" s="49">
        <f>(Capex!K42+Capex!K58)*(1+$AA$101)</f>
        <v>-63.558036000000001</v>
      </c>
      <c r="U101" s="49">
        <f>(Capex!L42+Capex!L58)*(1+$AA$101)</f>
        <v>-64.829196719999999</v>
      </c>
      <c r="V101" s="49">
        <f>(Capex!M42+Capex!M58)*(1+$AA$101)</f>
        <v>-117.3757806544</v>
      </c>
      <c r="W101" s="49">
        <f>(Capex!N42+Capex!N58)*(1+$AA$101)</f>
        <v>-119.97954626748799</v>
      </c>
      <c r="X101" s="49">
        <f>(Capex!O42+Capex!O58)*(1+$AA$101)</f>
        <v>-122.64179344283775</v>
      </c>
      <c r="Y101" s="49">
        <f>(Capex!P42+Capex!P58)*(1+$AA$101)</f>
        <v>-70.173207436694526</v>
      </c>
      <c r="AA101" s="572">
        <v>0</v>
      </c>
    </row>
    <row r="102" spans="1:27" ht="11.25" customHeight="1" x14ac:dyDescent="0.25">
      <c r="A102" s="1"/>
      <c r="B102" s="1"/>
      <c r="C102" s="1"/>
      <c r="D102" s="1"/>
      <c r="E102" s="1" t="s">
        <v>327</v>
      </c>
      <c r="F102" s="33" t="s">
        <v>28</v>
      </c>
      <c r="G102" s="33"/>
      <c r="H102" s="196">
        <v>0</v>
      </c>
      <c r="I102" s="196">
        <f>-2.637 -36.099</f>
        <v>-38.735999999999997</v>
      </c>
      <c r="J102" s="196">
        <v>-8.5640000000000001</v>
      </c>
      <c r="K102" s="196">
        <f>106-26.638+39.815</f>
        <v>119.17699999999999</v>
      </c>
      <c r="L102" s="196">
        <f>30.533-108.04</f>
        <v>-77.507000000000005</v>
      </c>
      <c r="M102" s="196">
        <f>231.177-112.494</f>
        <v>118.68299999999999</v>
      </c>
      <c r="N102" s="196">
        <f>299.067-95.456</f>
        <v>203.61099999999999</v>
      </c>
      <c r="O102" s="161">
        <f>-7.859-0.817</f>
        <v>-8.6760000000000002</v>
      </c>
      <c r="P102" s="161"/>
      <c r="Q102" s="161"/>
      <c r="R102" s="161"/>
      <c r="S102" s="161"/>
      <c r="T102" s="161"/>
      <c r="U102" s="161"/>
      <c r="V102" s="161"/>
      <c r="W102" s="161"/>
      <c r="X102" s="161"/>
      <c r="Y102" s="161"/>
    </row>
    <row r="103" spans="1:27" ht="11.25" customHeight="1" x14ac:dyDescent="0.25">
      <c r="A103" s="1"/>
      <c r="B103" s="1"/>
      <c r="C103" s="1"/>
      <c r="D103" s="1"/>
      <c r="E103" s="2" t="s">
        <v>328</v>
      </c>
      <c r="F103" s="33" t="s">
        <v>28</v>
      </c>
      <c r="G103" s="33"/>
      <c r="H103" s="182">
        <f t="shared" ref="H103:N103" si="71">SUM(H99:H102)</f>
        <v>-158.58699999999999</v>
      </c>
      <c r="I103" s="182">
        <f t="shared" si="71"/>
        <v>-253.791</v>
      </c>
      <c r="J103" s="182">
        <f t="shared" si="71"/>
        <v>-116.483</v>
      </c>
      <c r="K103" s="182">
        <f t="shared" si="71"/>
        <v>-99.269000000000034</v>
      </c>
      <c r="L103" s="182">
        <f t="shared" si="71"/>
        <v>-254.97900000000001</v>
      </c>
      <c r="M103" s="182">
        <f t="shared" si="71"/>
        <v>-31.679000000000002</v>
      </c>
      <c r="N103" s="182">
        <f t="shared" si="71"/>
        <v>-51.436000000000007</v>
      </c>
      <c r="O103" s="182">
        <f t="shared" ref="O103" si="72">SUM(O99:O102)</f>
        <v>-319.41200000000003</v>
      </c>
      <c r="P103" s="182"/>
      <c r="Q103" s="182"/>
      <c r="R103" s="182"/>
      <c r="S103" s="182"/>
      <c r="T103" s="182"/>
      <c r="U103" s="182"/>
      <c r="V103" s="182"/>
      <c r="W103" s="182"/>
      <c r="X103" s="182"/>
      <c r="Y103" s="182"/>
    </row>
    <row r="104" spans="1:27" ht="11.25" customHeight="1" x14ac:dyDescent="0.25">
      <c r="A104" s="1"/>
      <c r="B104" s="1"/>
      <c r="C104" s="1"/>
      <c r="D104" s="1"/>
      <c r="E104" s="1"/>
      <c r="F104" s="33"/>
      <c r="G104" s="33"/>
      <c r="H104" s="84"/>
      <c r="I104" s="84"/>
      <c r="J104" s="84"/>
      <c r="K104" s="161"/>
      <c r="L104" s="161"/>
      <c r="M104" s="161"/>
      <c r="N104" s="161"/>
      <c r="O104" s="161"/>
      <c r="P104" s="161"/>
      <c r="Q104" s="161"/>
      <c r="R104" s="161"/>
      <c r="S104" s="161"/>
      <c r="T104" s="161"/>
      <c r="U104" s="161"/>
      <c r="V104" s="161"/>
      <c r="W104" s="161"/>
      <c r="X104" s="161"/>
      <c r="Y104" s="161"/>
    </row>
    <row r="105" spans="1:27" ht="11.25" customHeight="1" x14ac:dyDescent="0.25">
      <c r="A105" s="1"/>
      <c r="B105" s="1"/>
      <c r="C105" s="1"/>
      <c r="D105" s="1"/>
      <c r="E105" s="1" t="s">
        <v>329</v>
      </c>
      <c r="F105" s="33" t="s">
        <v>28</v>
      </c>
      <c r="G105" s="33"/>
      <c r="H105" s="196">
        <f>10 -38.972</f>
        <v>-28.972000000000001</v>
      </c>
      <c r="I105" s="196">
        <f>206.956 - 112.459</f>
        <v>94.496999999999986</v>
      </c>
      <c r="J105" s="196">
        <v>28</v>
      </c>
      <c r="K105" s="196">
        <f>45.814-34.127</f>
        <v>11.686999999999998</v>
      </c>
      <c r="L105" s="196">
        <f>208.031-267.447</f>
        <v>-59.415999999999997</v>
      </c>
      <c r="M105" s="196">
        <f>224.429-194.46</f>
        <v>29.968999999999994</v>
      </c>
      <c r="N105" s="196">
        <f>148.999-98</f>
        <v>50.998999999999995</v>
      </c>
      <c r="O105" s="375">
        <f>110-75.814</f>
        <v>34.186000000000007</v>
      </c>
      <c r="P105" s="211"/>
      <c r="Q105" s="211"/>
      <c r="R105" s="39"/>
      <c r="S105" s="211"/>
      <c r="T105" s="211"/>
      <c r="U105" s="211"/>
      <c r="V105" s="211"/>
      <c r="W105" s="211"/>
      <c r="X105" s="211"/>
      <c r="Y105" s="211"/>
    </row>
    <row r="106" spans="1:27" ht="11.25" customHeight="1" x14ac:dyDescent="0.25">
      <c r="A106" s="1"/>
      <c r="B106" s="1"/>
      <c r="C106" s="1"/>
      <c r="D106" s="1"/>
      <c r="E106" s="1" t="s">
        <v>330</v>
      </c>
      <c r="F106" s="33" t="s">
        <v>28</v>
      </c>
      <c r="G106" s="33"/>
      <c r="H106" s="196">
        <v>-89.614000000000004</v>
      </c>
      <c r="I106" s="196">
        <v>-85.081999999999994</v>
      </c>
      <c r="J106" s="196">
        <v>-127.098</v>
      </c>
      <c r="K106" s="196">
        <v>-133.28800000000001</v>
      </c>
      <c r="L106" s="196">
        <v>0</v>
      </c>
      <c r="M106" s="196">
        <v>-53.082000000000001</v>
      </c>
      <c r="N106" s="196">
        <v>-45.533000000000001</v>
      </c>
      <c r="O106" s="375">
        <v>-85.382000000000005</v>
      </c>
      <c r="P106" s="49"/>
      <c r="Q106" s="49"/>
      <c r="R106" s="49"/>
      <c r="S106" s="49"/>
      <c r="T106" s="49"/>
      <c r="U106" s="49"/>
      <c r="V106" s="49"/>
      <c r="W106" s="49"/>
      <c r="X106" s="49"/>
      <c r="Y106" s="49"/>
    </row>
    <row r="107" spans="1:27" ht="11.25" customHeight="1" x14ac:dyDescent="0.25">
      <c r="A107" s="1"/>
      <c r="B107" s="1"/>
      <c r="C107" s="1"/>
      <c r="D107" s="1"/>
      <c r="E107" s="1" t="s">
        <v>331</v>
      </c>
      <c r="F107" s="33" t="s">
        <v>28</v>
      </c>
      <c r="G107" s="33"/>
      <c r="H107" s="196">
        <v>0</v>
      </c>
      <c r="I107" s="196">
        <v>0</v>
      </c>
      <c r="J107" s="196">
        <v>0</v>
      </c>
      <c r="K107" s="196">
        <f>-0.469</f>
        <v>-0.46899999999999997</v>
      </c>
      <c r="L107" s="196">
        <f>-2.879-3.69</f>
        <v>-6.569</v>
      </c>
      <c r="M107" s="196">
        <f>-3.177-6.169</f>
        <v>-9.3460000000000001</v>
      </c>
      <c r="N107" s="196">
        <f>-3.729-6.378</f>
        <v>-10.106999999999999</v>
      </c>
      <c r="O107" s="375">
        <f>-6.523-4.126</f>
        <v>-10.649000000000001</v>
      </c>
      <c r="P107" s="49"/>
      <c r="Q107" s="49"/>
      <c r="R107" s="49"/>
      <c r="S107" s="49"/>
      <c r="T107" s="49"/>
      <c r="U107" s="49"/>
      <c r="V107" s="49"/>
      <c r="W107" s="49"/>
      <c r="X107" s="49"/>
      <c r="Y107" s="49"/>
    </row>
    <row r="108" spans="1:27" ht="11.25" customHeight="1" x14ac:dyDescent="0.25">
      <c r="A108" s="1"/>
      <c r="B108" s="1"/>
      <c r="C108" s="1"/>
      <c r="D108" s="1"/>
      <c r="E108" s="1" t="s">
        <v>332</v>
      </c>
      <c r="F108" s="33" t="s">
        <v>28</v>
      </c>
      <c r="G108" s="33"/>
      <c r="H108" s="196">
        <f>- 5.028 - 0.192 - 30.713</f>
        <v>-35.933</v>
      </c>
      <c r="I108" s="196">
        <f>9.736 + 0.228 -35.449</f>
        <v>-25.484999999999999</v>
      </c>
      <c r="J108" s="196">
        <f>-37.274 - 37.787 + 0.397 + 3.54</f>
        <v>-71.123999999999995</v>
      </c>
      <c r="K108" s="196">
        <f>157.594- 2.327 -41.444</f>
        <v>113.82299999999999</v>
      </c>
      <c r="L108" s="196">
        <f>46.683 + 17.669-35.857</f>
        <v>28.495000000000005</v>
      </c>
      <c r="M108" s="196">
        <f>-2.531+0.041-25.735</f>
        <v>-28.225000000000001</v>
      </c>
      <c r="N108" s="196">
        <f>0.632+0.025-28.362</f>
        <v>-27.704999999999998</v>
      </c>
      <c r="O108" s="375">
        <f>-9.118+0.029+2.295</f>
        <v>-6.7940000000000005</v>
      </c>
      <c r="P108" s="161"/>
      <c r="Q108" s="161"/>
      <c r="R108" s="49"/>
      <c r="S108" s="161"/>
      <c r="T108" s="161"/>
      <c r="U108" s="161"/>
      <c r="V108" s="161"/>
      <c r="W108" s="161"/>
      <c r="X108" s="161"/>
      <c r="Y108" s="161"/>
    </row>
    <row r="109" spans="1:27" ht="11.25" customHeight="1" x14ac:dyDescent="0.25">
      <c r="A109" s="1"/>
      <c r="B109" s="1"/>
      <c r="C109" s="1"/>
      <c r="D109" s="1"/>
      <c r="E109" s="2" t="s">
        <v>333</v>
      </c>
      <c r="F109" s="33" t="s">
        <v>28</v>
      </c>
      <c r="G109" s="33"/>
      <c r="H109" s="182">
        <f t="shared" ref="H109:N109" si="73">SUM(H105:H108)</f>
        <v>-154.51900000000001</v>
      </c>
      <c r="I109" s="182">
        <f t="shared" si="73"/>
        <v>-16.070000000000007</v>
      </c>
      <c r="J109" s="182">
        <f t="shared" si="73"/>
        <v>-170.22199999999998</v>
      </c>
      <c r="K109" s="182">
        <f t="shared" si="73"/>
        <v>-8.2470000000000141</v>
      </c>
      <c r="L109" s="182">
        <f t="shared" si="73"/>
        <v>-37.489999999999995</v>
      </c>
      <c r="M109" s="182">
        <f t="shared" si="73"/>
        <v>-60.684000000000005</v>
      </c>
      <c r="N109" s="182">
        <f t="shared" si="73"/>
        <v>-32.346000000000004</v>
      </c>
      <c r="O109" s="182">
        <f t="shared" ref="O109" si="74">SUM(O105:O108)</f>
        <v>-68.638999999999996</v>
      </c>
      <c r="P109" s="182"/>
      <c r="Q109" s="182"/>
      <c r="R109" s="161"/>
      <c r="S109" s="182"/>
      <c r="T109" s="182"/>
      <c r="U109" s="182"/>
      <c r="V109" s="182"/>
      <c r="W109" s="182"/>
      <c r="X109" s="182"/>
      <c r="Y109" s="182"/>
    </row>
    <row r="110" spans="1:27" ht="11.25" customHeight="1" x14ac:dyDescent="0.25">
      <c r="A110" s="1"/>
      <c r="B110" s="1"/>
      <c r="C110" s="1"/>
      <c r="D110" s="1"/>
      <c r="E110" s="1"/>
      <c r="F110" s="33"/>
      <c r="G110" s="33"/>
      <c r="H110" s="84"/>
      <c r="I110" s="84"/>
      <c r="J110" s="39"/>
      <c r="K110" s="49"/>
      <c r="L110" s="49"/>
      <c r="M110" s="49"/>
      <c r="N110" s="49"/>
      <c r="O110" s="49"/>
      <c r="P110" s="49"/>
      <c r="Q110" s="49"/>
      <c r="R110" s="182"/>
      <c r="S110" s="49"/>
      <c r="T110" s="49"/>
      <c r="U110" s="49"/>
      <c r="V110" s="49"/>
      <c r="W110" s="49"/>
      <c r="X110" s="49"/>
      <c r="Y110" s="49"/>
    </row>
    <row r="111" spans="1:27" ht="11.25" customHeight="1" x14ac:dyDescent="0.25">
      <c r="A111" s="1"/>
      <c r="B111" s="1"/>
      <c r="C111" s="1"/>
      <c r="D111" s="1"/>
      <c r="E111" s="2" t="s">
        <v>334</v>
      </c>
      <c r="F111" s="33" t="s">
        <v>28</v>
      </c>
      <c r="G111" s="33"/>
      <c r="H111" s="182">
        <f t="shared" ref="H111:O111" si="75">H97+H103+H109</f>
        <v>-33.581999999999994</v>
      </c>
      <c r="I111" s="182">
        <f t="shared" si="75"/>
        <v>19.227999999999994</v>
      </c>
      <c r="J111" s="182">
        <f t="shared" si="75"/>
        <v>-34.380999999999972</v>
      </c>
      <c r="K111" s="182">
        <f t="shared" si="75"/>
        <v>12.649999999999977</v>
      </c>
      <c r="L111" s="182">
        <f t="shared" si="75"/>
        <v>-4.2839999999999492</v>
      </c>
      <c r="M111" s="212">
        <f t="shared" si="75"/>
        <v>-1.2419999999999689</v>
      </c>
      <c r="N111" s="182">
        <f t="shared" si="75"/>
        <v>196.31499999999991</v>
      </c>
      <c r="O111" s="182">
        <f t="shared" si="75"/>
        <v>-184.47700000000003</v>
      </c>
      <c r="P111" s="182"/>
      <c r="Q111" s="182"/>
      <c r="R111" s="161"/>
      <c r="S111" s="182"/>
      <c r="T111" s="182"/>
      <c r="U111" s="182"/>
      <c r="V111" s="182"/>
      <c r="W111" s="182"/>
      <c r="X111" s="182"/>
      <c r="Y111" s="182"/>
      <c r="Z111" s="213" t="s">
        <v>261</v>
      </c>
    </row>
    <row r="112" spans="1:27" ht="11.25" customHeight="1" x14ac:dyDescent="0.25">
      <c r="A112" s="1"/>
      <c r="B112" s="1"/>
      <c r="C112" s="1"/>
      <c r="D112" s="1"/>
      <c r="E112" s="1" t="s">
        <v>335</v>
      </c>
      <c r="F112" s="33" t="s">
        <v>28</v>
      </c>
      <c r="G112" s="33"/>
      <c r="H112" s="196">
        <v>90.308999999999997</v>
      </c>
      <c r="I112" s="39">
        <f t="shared" ref="I112:N112" si="76">H113</f>
        <v>56.727000000000004</v>
      </c>
      <c r="J112" s="39">
        <f t="shared" si="76"/>
        <v>75.954999999999998</v>
      </c>
      <c r="K112" s="39">
        <f t="shared" si="76"/>
        <v>41.574000000000026</v>
      </c>
      <c r="L112" s="39">
        <f t="shared" si="76"/>
        <v>54.224000000000004</v>
      </c>
      <c r="M112" s="39">
        <f t="shared" si="76"/>
        <v>49.940000000000055</v>
      </c>
      <c r="N112" s="39">
        <f t="shared" si="76"/>
        <v>48.698000000000086</v>
      </c>
      <c r="O112" s="39">
        <f>N113</f>
        <v>245.01300000000001</v>
      </c>
      <c r="P112" s="39"/>
      <c r="Q112" s="39"/>
      <c r="R112" s="161"/>
      <c r="S112" s="39"/>
      <c r="T112" s="39"/>
      <c r="U112" s="39"/>
      <c r="V112" s="39"/>
      <c r="W112" s="39"/>
      <c r="X112" s="39"/>
      <c r="Y112" s="39"/>
    </row>
    <row r="113" spans="1:37" ht="11.25" customHeight="1" x14ac:dyDescent="0.25">
      <c r="A113" s="1"/>
      <c r="B113" s="1"/>
      <c r="C113" s="1"/>
      <c r="D113" s="1"/>
      <c r="E113" s="2" t="s">
        <v>336</v>
      </c>
      <c r="F113" s="33" t="s">
        <v>28</v>
      </c>
      <c r="G113" s="33"/>
      <c r="H113" s="182">
        <f t="shared" ref="H113:N113" si="77">SUM(H111:H112)</f>
        <v>56.727000000000004</v>
      </c>
      <c r="I113" s="182">
        <f t="shared" si="77"/>
        <v>75.954999999999998</v>
      </c>
      <c r="J113" s="182">
        <f t="shared" si="77"/>
        <v>41.574000000000026</v>
      </c>
      <c r="K113" s="182">
        <f t="shared" si="77"/>
        <v>54.224000000000004</v>
      </c>
      <c r="L113" s="182">
        <f t="shared" si="77"/>
        <v>49.940000000000055</v>
      </c>
      <c r="M113" s="182">
        <f t="shared" si="77"/>
        <v>48.698000000000086</v>
      </c>
      <c r="N113" s="182">
        <f t="shared" si="77"/>
        <v>245.01300000000001</v>
      </c>
      <c r="O113" s="182">
        <f t="shared" ref="O113" si="78">SUM(O111:O112)</f>
        <v>60.535999999999973</v>
      </c>
      <c r="P113" s="182"/>
      <c r="Q113" s="182"/>
      <c r="R113" s="182"/>
      <c r="S113" s="182"/>
      <c r="T113" s="182"/>
      <c r="U113" s="182"/>
      <c r="V113" s="182"/>
      <c r="W113" s="182"/>
      <c r="X113" s="182"/>
      <c r="Y113" s="182"/>
    </row>
    <row r="114" spans="1:37" ht="11.25" customHeight="1" x14ac:dyDescent="0.25">
      <c r="A114" s="1"/>
      <c r="B114" s="1"/>
      <c r="C114" s="1"/>
      <c r="D114" s="1"/>
      <c r="E114" s="206" t="s">
        <v>337</v>
      </c>
      <c r="F114" s="33"/>
      <c r="G114" s="33"/>
      <c r="H114" s="207">
        <f t="shared" ref="H114:O114" si="79">H113-H35</f>
        <v>0</v>
      </c>
      <c r="I114" s="207">
        <f t="shared" si="79"/>
        <v>0</v>
      </c>
      <c r="J114" s="207">
        <f t="shared" si="79"/>
        <v>0</v>
      </c>
      <c r="K114" s="207">
        <f t="shared" si="79"/>
        <v>0</v>
      </c>
      <c r="L114" s="207">
        <f t="shared" si="79"/>
        <v>5.6843418860808015E-14</v>
      </c>
      <c r="M114" s="207">
        <f t="shared" si="79"/>
        <v>8.5265128291212022E-14</v>
      </c>
      <c r="N114" s="207">
        <f t="shared" si="79"/>
        <v>0</v>
      </c>
      <c r="O114" s="207">
        <f t="shared" si="79"/>
        <v>-1.0000000000026432E-2</v>
      </c>
      <c r="P114" s="207"/>
      <c r="Q114" s="207"/>
      <c r="R114" s="207"/>
      <c r="S114" s="207"/>
      <c r="T114" s="207"/>
      <c r="U114" s="207"/>
      <c r="V114" s="207"/>
      <c r="W114" s="207"/>
      <c r="X114" s="207"/>
      <c r="Y114" s="207"/>
    </row>
    <row r="115" spans="1:37" ht="12.75" customHeight="1" x14ac:dyDescent="0.25">
      <c r="A115" s="1"/>
      <c r="B115" s="1"/>
      <c r="C115" s="1"/>
      <c r="D115" s="1"/>
      <c r="E115" s="1"/>
      <c r="F115" s="33"/>
      <c r="G115" s="33"/>
      <c r="H115" s="84"/>
      <c r="I115" s="84"/>
      <c r="J115" s="84"/>
      <c r="K115" s="161"/>
      <c r="L115" s="161"/>
      <c r="M115" s="161"/>
      <c r="N115" s="161"/>
      <c r="O115" s="161"/>
      <c r="P115" s="161"/>
      <c r="Q115" s="161"/>
      <c r="R115" s="161"/>
      <c r="S115" s="161"/>
      <c r="T115" s="161"/>
      <c r="U115" s="161"/>
      <c r="V115" s="161"/>
      <c r="W115" s="161"/>
      <c r="X115" s="161"/>
      <c r="Y115" s="161"/>
    </row>
    <row r="116" spans="1:37" ht="11.25" customHeight="1" x14ac:dyDescent="0.25">
      <c r="A116" s="1"/>
      <c r="B116" s="1"/>
      <c r="C116" s="1"/>
      <c r="D116" s="1"/>
      <c r="E116" s="2" t="s">
        <v>338</v>
      </c>
      <c r="F116" s="33"/>
      <c r="G116" s="33"/>
      <c r="H116" s="83"/>
      <c r="I116" s="83"/>
      <c r="J116" s="182"/>
      <c r="K116" s="182"/>
      <c r="L116" s="182"/>
      <c r="M116" s="182"/>
      <c r="N116" s="182"/>
      <c r="O116" s="182"/>
      <c r="P116" s="182"/>
      <c r="Q116" s="182"/>
      <c r="R116" s="182"/>
      <c r="S116" s="182"/>
      <c r="T116" s="182"/>
      <c r="U116" s="182"/>
      <c r="V116" s="182"/>
      <c r="W116" s="182"/>
      <c r="X116" s="182"/>
      <c r="Y116" s="182"/>
    </row>
    <row r="117" spans="1:37" ht="11.25" customHeight="1" x14ac:dyDescent="0.25">
      <c r="A117" s="1"/>
      <c r="B117" s="1"/>
      <c r="C117" s="1"/>
      <c r="D117" s="1"/>
      <c r="E117" s="1" t="s">
        <v>339</v>
      </c>
      <c r="F117" s="33" t="s">
        <v>28</v>
      </c>
      <c r="G117" s="33"/>
      <c r="H117" s="39">
        <f t="shared" ref="H117:O117" si="80">H97+H107</f>
        <v>279.524</v>
      </c>
      <c r="I117" s="39">
        <f t="shared" si="80"/>
        <v>289.089</v>
      </c>
      <c r="J117" s="39">
        <f t="shared" si="80"/>
        <v>252.32400000000001</v>
      </c>
      <c r="K117" s="39">
        <f t="shared" si="80"/>
        <v>119.69700000000003</v>
      </c>
      <c r="L117" s="39">
        <f t="shared" si="80"/>
        <v>281.61600000000004</v>
      </c>
      <c r="M117" s="39">
        <f t="shared" si="80"/>
        <v>81.775000000000034</v>
      </c>
      <c r="N117" s="39">
        <f t="shared" si="80"/>
        <v>269.9899999999999</v>
      </c>
      <c r="O117" s="39">
        <f t="shared" si="80"/>
        <v>192.92499999999998</v>
      </c>
      <c r="P117" s="39"/>
      <c r="Q117" s="39"/>
      <c r="R117" s="39"/>
      <c r="S117" s="39"/>
      <c r="T117" s="39"/>
      <c r="U117" s="39"/>
      <c r="V117" s="39"/>
      <c r="W117" s="39"/>
      <c r="X117" s="39"/>
      <c r="Y117" s="39"/>
    </row>
    <row r="118" spans="1:37" ht="11.25" customHeight="1" x14ac:dyDescent="0.25">
      <c r="A118" s="1"/>
      <c r="B118" s="1"/>
      <c r="C118" s="1"/>
      <c r="D118" s="1"/>
      <c r="E118" s="1" t="s">
        <v>326</v>
      </c>
      <c r="F118" s="33" t="s">
        <v>28</v>
      </c>
      <c r="G118" s="33"/>
      <c r="H118" s="39">
        <f t="shared" ref="H118:O118" si="81">SUM(H100:H101)</f>
        <v>-158.58699999999999</v>
      </c>
      <c r="I118" s="39">
        <f t="shared" si="81"/>
        <v>-215.05500000000001</v>
      </c>
      <c r="J118" s="39">
        <f t="shared" si="81"/>
        <v>-332.78000000000003</v>
      </c>
      <c r="K118" s="39">
        <f t="shared" si="81"/>
        <v>-347.392</v>
      </c>
      <c r="L118" s="39">
        <f t="shared" si="81"/>
        <v>-177.47200000000001</v>
      </c>
      <c r="M118" s="39">
        <f t="shared" si="81"/>
        <v>-111.476</v>
      </c>
      <c r="N118" s="39">
        <f t="shared" si="81"/>
        <v>-262.85900000000004</v>
      </c>
      <c r="O118" s="39">
        <f t="shared" si="81"/>
        <v>-310.73600000000005</v>
      </c>
      <c r="P118" s="39"/>
      <c r="Q118" s="39"/>
      <c r="R118" s="39"/>
      <c r="S118" s="39"/>
      <c r="T118" s="39"/>
      <c r="U118" s="39"/>
      <c r="V118" s="39"/>
      <c r="W118" s="39"/>
      <c r="X118" s="39"/>
      <c r="Y118" s="39"/>
    </row>
    <row r="119" spans="1:37" ht="11.25" customHeight="1" x14ac:dyDescent="0.25">
      <c r="A119" s="2"/>
      <c r="B119" s="2"/>
      <c r="C119" s="2"/>
      <c r="D119" s="2"/>
      <c r="E119" s="2" t="s">
        <v>340</v>
      </c>
      <c r="F119" s="193" t="s">
        <v>28</v>
      </c>
      <c r="G119" s="193"/>
      <c r="H119" s="182">
        <f t="shared" ref="H119:O119" si="82">SUM(H117:H118)</f>
        <v>120.93700000000001</v>
      </c>
      <c r="I119" s="182">
        <f t="shared" si="82"/>
        <v>74.033999999999992</v>
      </c>
      <c r="J119" s="182">
        <f t="shared" si="82"/>
        <v>-80.456000000000017</v>
      </c>
      <c r="K119" s="182">
        <f t="shared" si="82"/>
        <v>-227.69499999999996</v>
      </c>
      <c r="L119" s="182">
        <f t="shared" si="82"/>
        <v>104.14400000000003</v>
      </c>
      <c r="M119" s="182">
        <f t="shared" si="82"/>
        <v>-29.700999999999965</v>
      </c>
      <c r="N119" s="182">
        <f t="shared" si="82"/>
        <v>7.1309999999998581</v>
      </c>
      <c r="O119" s="182">
        <f t="shared" si="82"/>
        <v>-117.81100000000006</v>
      </c>
      <c r="P119" s="182"/>
      <c r="Q119" s="182"/>
      <c r="R119" s="182"/>
      <c r="S119" s="182"/>
      <c r="T119" s="182"/>
      <c r="U119" s="182"/>
      <c r="V119" s="182"/>
      <c r="W119" s="182"/>
      <c r="X119" s="182"/>
      <c r="Y119" s="182"/>
      <c r="Z119" s="194"/>
      <c r="AA119" s="194"/>
      <c r="AB119" s="194"/>
      <c r="AC119" s="194"/>
      <c r="AD119" s="194"/>
      <c r="AE119" s="194"/>
      <c r="AF119" s="194"/>
      <c r="AG119" s="194"/>
      <c r="AH119" s="194"/>
      <c r="AI119" s="194"/>
      <c r="AJ119" s="194"/>
      <c r="AK119" s="194"/>
    </row>
    <row r="120" spans="1:37" ht="12.75" customHeight="1" x14ac:dyDescent="0.25">
      <c r="A120" s="1"/>
      <c r="B120" s="1"/>
      <c r="C120" s="1"/>
      <c r="D120" s="1"/>
      <c r="E120" s="1" t="s">
        <v>341</v>
      </c>
      <c r="F120" s="33" t="s">
        <v>28</v>
      </c>
      <c r="G120" s="33"/>
      <c r="H120" s="39">
        <f t="shared" ref="H120:N120" si="83">G66 - H66</f>
        <v>0</v>
      </c>
      <c r="I120" s="39">
        <f t="shared" si="83"/>
        <v>0</v>
      </c>
      <c r="J120" s="39">
        <f t="shared" si="83"/>
        <v>0</v>
      </c>
      <c r="K120" s="39">
        <f t="shared" si="83"/>
        <v>52.188000000000002</v>
      </c>
      <c r="L120" s="39">
        <f t="shared" si="83"/>
        <v>63.605000000000004</v>
      </c>
      <c r="M120" s="39">
        <f t="shared" si="83"/>
        <v>1.7369999999999948</v>
      </c>
      <c r="N120" s="39">
        <f t="shared" si="83"/>
        <v>-0.68999999999999773</v>
      </c>
      <c r="O120" s="39">
        <f>N86 - O86</f>
        <v>27.77600000000001</v>
      </c>
      <c r="P120" s="39"/>
      <c r="Q120" s="39"/>
      <c r="R120" s="39"/>
      <c r="S120" s="39"/>
      <c r="T120" s="39"/>
      <c r="U120" s="39"/>
      <c r="V120" s="39"/>
      <c r="W120" s="39"/>
      <c r="X120" s="39"/>
      <c r="Y120" s="39"/>
    </row>
    <row r="121" spans="1:37" ht="12.75" customHeight="1" x14ac:dyDescent="0.25">
      <c r="A121" s="2"/>
      <c r="B121" s="2"/>
      <c r="C121" s="2"/>
      <c r="D121" s="2"/>
      <c r="E121" s="2" t="s">
        <v>342</v>
      </c>
      <c r="F121" s="193" t="s">
        <v>28</v>
      </c>
      <c r="G121" s="193"/>
      <c r="H121" s="171">
        <f t="shared" ref="H121:N121" si="84">SUM(H119:H120)</f>
        <v>120.93700000000001</v>
      </c>
      <c r="I121" s="171">
        <f t="shared" si="84"/>
        <v>74.033999999999992</v>
      </c>
      <c r="J121" s="171">
        <f t="shared" si="84"/>
        <v>-80.456000000000017</v>
      </c>
      <c r="K121" s="171">
        <f t="shared" si="84"/>
        <v>-175.50699999999995</v>
      </c>
      <c r="L121" s="171">
        <f t="shared" si="84"/>
        <v>167.74900000000002</v>
      </c>
      <c r="M121" s="171">
        <f t="shared" si="84"/>
        <v>-27.96399999999997</v>
      </c>
      <c r="N121" s="171">
        <f t="shared" si="84"/>
        <v>6.4409999999998604</v>
      </c>
      <c r="O121" s="171">
        <f t="shared" ref="O121" si="85">SUM(O119:O120)</f>
        <v>-90.035000000000053</v>
      </c>
      <c r="P121" s="171"/>
      <c r="Q121" s="171"/>
      <c r="R121" s="171"/>
      <c r="S121" s="171"/>
      <c r="T121" s="171"/>
      <c r="U121" s="171"/>
      <c r="V121" s="171"/>
      <c r="W121" s="171"/>
      <c r="X121" s="171"/>
      <c r="Y121" s="171"/>
      <c r="Z121" s="194"/>
      <c r="AA121" s="194"/>
      <c r="AB121" s="194"/>
      <c r="AC121" s="194"/>
      <c r="AD121" s="194"/>
      <c r="AE121" s="194"/>
      <c r="AF121" s="194"/>
      <c r="AG121" s="194"/>
      <c r="AH121" s="194"/>
      <c r="AI121" s="194"/>
      <c r="AJ121" s="194"/>
      <c r="AK121" s="194"/>
    </row>
    <row r="122" spans="1:37" ht="12.75" customHeight="1" x14ac:dyDescent="0.25">
      <c r="A122" s="2"/>
      <c r="B122" s="2"/>
      <c r="C122" s="2"/>
      <c r="D122" s="2"/>
      <c r="E122" s="2"/>
      <c r="F122" s="193"/>
      <c r="G122" s="193"/>
      <c r="H122" s="83"/>
      <c r="I122" s="83"/>
      <c r="J122" s="83"/>
      <c r="K122" s="171"/>
      <c r="L122" s="171"/>
      <c r="M122" s="171"/>
      <c r="N122" s="171"/>
      <c r="O122" s="171"/>
      <c r="P122" s="171"/>
      <c r="Q122" s="171"/>
      <c r="R122" s="171"/>
      <c r="S122" s="171"/>
      <c r="T122" s="171"/>
      <c r="U122" s="171"/>
      <c r="V122" s="171"/>
      <c r="W122" s="171"/>
      <c r="X122" s="171"/>
      <c r="Y122" s="171"/>
      <c r="Z122" s="194"/>
      <c r="AA122" s="194"/>
      <c r="AB122" s="194"/>
      <c r="AC122" s="194"/>
      <c r="AD122" s="194"/>
      <c r="AE122" s="194"/>
      <c r="AF122" s="194"/>
      <c r="AG122" s="194"/>
      <c r="AH122" s="194"/>
      <c r="AI122" s="194"/>
      <c r="AJ122" s="194"/>
      <c r="AK122" s="194"/>
    </row>
    <row r="123" spans="1:37" ht="12.75" customHeight="1" x14ac:dyDescent="0.25">
      <c r="A123" s="2"/>
      <c r="B123" s="2"/>
      <c r="C123" s="2"/>
      <c r="D123" s="2"/>
      <c r="E123" s="2" t="s">
        <v>317</v>
      </c>
      <c r="F123" s="193"/>
      <c r="G123" s="193"/>
      <c r="H123" s="83"/>
      <c r="I123" s="83"/>
      <c r="J123" s="83"/>
      <c r="K123" s="171"/>
      <c r="L123" s="171"/>
      <c r="M123" s="171"/>
      <c r="N123" s="171"/>
      <c r="O123" s="171"/>
      <c r="P123" s="171"/>
      <c r="Q123" s="171"/>
      <c r="R123" s="171"/>
      <c r="S123" s="171"/>
      <c r="T123" s="171"/>
      <c r="U123" s="171"/>
      <c r="V123" s="171"/>
      <c r="W123" s="171"/>
      <c r="X123" s="171"/>
      <c r="Y123" s="171"/>
      <c r="Z123" s="194"/>
      <c r="AA123" s="194"/>
      <c r="AB123" s="194"/>
      <c r="AC123" s="194"/>
      <c r="AD123" s="194"/>
      <c r="AE123" s="194"/>
      <c r="AF123" s="194"/>
      <c r="AG123" s="194"/>
      <c r="AH123" s="194"/>
      <c r="AI123" s="194"/>
      <c r="AJ123" s="194"/>
      <c r="AK123" s="194"/>
    </row>
    <row r="124" spans="1:37" ht="12.75" customHeight="1" x14ac:dyDescent="0.25">
      <c r="A124" s="2"/>
      <c r="B124" s="2"/>
      <c r="C124" s="2"/>
      <c r="D124" s="2"/>
      <c r="E124" s="1" t="s">
        <v>343</v>
      </c>
      <c r="F124" s="193"/>
      <c r="G124" s="193"/>
      <c r="H124" s="214">
        <v>60.603000000000002</v>
      </c>
      <c r="I124" s="214">
        <v>55.939</v>
      </c>
      <c r="J124" s="214">
        <v>50.826000000000001</v>
      </c>
      <c r="K124" s="204">
        <v>39.295000000000002</v>
      </c>
      <c r="L124" s="204">
        <v>36.421999999999997</v>
      </c>
      <c r="M124" s="204">
        <v>33.828000000000003</v>
      </c>
      <c r="N124" s="204">
        <v>32.777999999999999</v>
      </c>
      <c r="O124" s="379">
        <f>O37</f>
        <v>86.878</v>
      </c>
      <c r="P124" s="379">
        <f>P37</f>
        <v>90.60982682933107</v>
      </c>
      <c r="Q124" s="379">
        <f t="shared" ref="Q124:Y124" si="86">Q37</f>
        <v>94.641973037960554</v>
      </c>
      <c r="R124" s="379">
        <f t="shared" si="86"/>
        <v>98.999800548293365</v>
      </c>
      <c r="S124" s="379">
        <f t="shared" si="86"/>
        <v>103.71127052653102</v>
      </c>
      <c r="T124" s="379">
        <f t="shared" si="86"/>
        <v>108.80722786640759</v>
      </c>
      <c r="U124" s="379">
        <f t="shared" si="86"/>
        <v>114.32172017401156</v>
      </c>
      <c r="V124" s="379">
        <f t="shared" si="86"/>
        <v>120.29235569324715</v>
      </c>
      <c r="W124" s="379">
        <f t="shared" si="86"/>
        <v>126.76070522341442</v>
      </c>
      <c r="X124" s="379">
        <f t="shared" si="86"/>
        <v>133.77275378104679</v>
      </c>
      <c r="Y124" s="379">
        <f t="shared" si="86"/>
        <v>141.37940856109179</v>
      </c>
      <c r="Z124" s="194"/>
      <c r="AA124" s="194"/>
      <c r="AB124" s="194"/>
      <c r="AC124" s="194"/>
      <c r="AD124" s="194"/>
      <c r="AE124" s="194"/>
      <c r="AF124" s="194"/>
      <c r="AG124" s="194"/>
      <c r="AH124" s="194"/>
      <c r="AI124" s="194"/>
      <c r="AJ124" s="194"/>
      <c r="AK124" s="194"/>
    </row>
    <row r="125" spans="1:37" ht="12.75" customHeight="1" x14ac:dyDescent="0.25">
      <c r="A125" s="1"/>
      <c r="B125" s="1"/>
      <c r="C125" s="1"/>
      <c r="D125" s="1"/>
      <c r="E125" s="1" t="s">
        <v>344</v>
      </c>
      <c r="F125" s="33"/>
      <c r="G125" s="33"/>
      <c r="H125" s="214">
        <v>80.730999999999995</v>
      </c>
      <c r="I125" s="214">
        <v>77.766999999999996</v>
      </c>
      <c r="J125" s="214">
        <v>79</v>
      </c>
      <c r="K125" s="214">
        <v>94.009</v>
      </c>
      <c r="L125" s="214">
        <v>83.71</v>
      </c>
      <c r="M125" s="214">
        <v>100.682</v>
      </c>
      <c r="N125" s="214">
        <v>90.108000000000004</v>
      </c>
      <c r="O125" s="384">
        <f>O56</f>
        <v>-226.79599999999999</v>
      </c>
      <c r="P125" s="384">
        <f>P56</f>
        <v>-238.53076806747288</v>
      </c>
      <c r="Q125" s="384">
        <f t="shared" ref="Q125:Y125" si="87">Q56</f>
        <v>-250.96391667957994</v>
      </c>
      <c r="R125" s="384">
        <f t="shared" si="87"/>
        <v>-264.14108911196314</v>
      </c>
      <c r="S125" s="384">
        <f t="shared" si="87"/>
        <v>-278.11114375912393</v>
      </c>
      <c r="T125" s="384">
        <f t="shared" si="87"/>
        <v>-292.92639521656076</v>
      </c>
      <c r="U125" s="384">
        <f t="shared" si="87"/>
        <v>-308.64287444451804</v>
      </c>
      <c r="V125" s="384">
        <f t="shared" si="87"/>
        <v>-325.32060959752357</v>
      </c>
      <c r="W125" s="384">
        <f t="shared" si="87"/>
        <v>-343.02392924117316</v>
      </c>
      <c r="X125" s="384">
        <f t="shared" si="87"/>
        <v>-361.82178982726867</v>
      </c>
      <c r="Y125" s="384">
        <f t="shared" si="87"/>
        <v>-381.78812946159229</v>
      </c>
    </row>
    <row r="126" spans="1:37" ht="12.75" customHeight="1" x14ac:dyDescent="0.25">
      <c r="A126" s="1"/>
      <c r="B126" s="1"/>
      <c r="C126" s="1"/>
      <c r="D126" s="1"/>
      <c r="E126" s="2" t="s">
        <v>345</v>
      </c>
      <c r="F126" s="33"/>
      <c r="G126" s="33"/>
      <c r="H126" s="215">
        <f t="shared" ref="H126:Y126" si="88">H124-H125</f>
        <v>-20.127999999999993</v>
      </c>
      <c r="I126" s="215">
        <f t="shared" si="88"/>
        <v>-21.827999999999996</v>
      </c>
      <c r="J126" s="215">
        <f t="shared" si="88"/>
        <v>-28.173999999999999</v>
      </c>
      <c r="K126" s="215">
        <f t="shared" si="88"/>
        <v>-54.713999999999999</v>
      </c>
      <c r="L126" s="215">
        <f t="shared" si="88"/>
        <v>-47.287999999999997</v>
      </c>
      <c r="M126" s="215">
        <f t="shared" si="88"/>
        <v>-66.853999999999999</v>
      </c>
      <c r="N126" s="215">
        <f t="shared" si="88"/>
        <v>-57.330000000000005</v>
      </c>
      <c r="O126" s="215">
        <f t="shared" si="88"/>
        <v>313.67399999999998</v>
      </c>
      <c r="P126" s="215">
        <f t="shared" si="88"/>
        <v>329.14059489680392</v>
      </c>
      <c r="Q126" s="215">
        <f t="shared" si="88"/>
        <v>345.60588971754049</v>
      </c>
      <c r="R126" s="215">
        <f t="shared" si="88"/>
        <v>363.14088966025651</v>
      </c>
      <c r="S126" s="215">
        <f t="shared" si="88"/>
        <v>381.82241428565499</v>
      </c>
      <c r="T126" s="215">
        <f t="shared" si="88"/>
        <v>401.73362308296834</v>
      </c>
      <c r="U126" s="215">
        <f t="shared" si="88"/>
        <v>422.96459461852959</v>
      </c>
      <c r="V126" s="215">
        <f t="shared" si="88"/>
        <v>445.61296529077072</v>
      </c>
      <c r="W126" s="215">
        <f t="shared" si="88"/>
        <v>469.78463446458761</v>
      </c>
      <c r="X126" s="215">
        <f t="shared" si="88"/>
        <v>495.59454360831546</v>
      </c>
      <c r="Y126" s="215">
        <f t="shared" si="88"/>
        <v>523.16753802268408</v>
      </c>
    </row>
    <row r="127" spans="1:37" ht="12.75" customHeight="1" x14ac:dyDescent="0.25">
      <c r="A127" s="1"/>
      <c r="B127" s="1"/>
      <c r="C127" s="1"/>
      <c r="D127" s="1"/>
      <c r="E127" s="1" t="s">
        <v>318</v>
      </c>
      <c r="F127" s="33"/>
      <c r="G127" s="33"/>
      <c r="H127" s="214"/>
      <c r="I127" s="214">
        <f t="shared" ref="I127:P127" si="89">H126-I126</f>
        <v>1.7000000000000028</v>
      </c>
      <c r="J127" s="214">
        <f t="shared" si="89"/>
        <v>6.3460000000000036</v>
      </c>
      <c r="K127" s="214">
        <f t="shared" si="89"/>
        <v>26.54</v>
      </c>
      <c r="L127" s="214">
        <f t="shared" si="89"/>
        <v>-7.4260000000000019</v>
      </c>
      <c r="M127" s="214">
        <f t="shared" si="89"/>
        <v>19.566000000000003</v>
      </c>
      <c r="N127" s="214">
        <f t="shared" si="89"/>
        <v>-9.5239999999999938</v>
      </c>
      <c r="O127" s="384">
        <f t="shared" si="89"/>
        <v>-371.00399999999996</v>
      </c>
      <c r="P127" s="384">
        <f t="shared" si="89"/>
        <v>-15.46659489680394</v>
      </c>
      <c r="Q127" s="384">
        <f t="shared" ref="Q127" si="90">P126-Q126</f>
        <v>-16.465294820736574</v>
      </c>
      <c r="R127" s="384">
        <f t="shared" ref="R127" si="91">Q126-R126</f>
        <v>-17.534999942716013</v>
      </c>
      <c r="S127" s="384">
        <f t="shared" ref="S127" si="92">R126-S126</f>
        <v>-18.681524625398481</v>
      </c>
      <c r="T127" s="384">
        <f t="shared" ref="T127" si="93">S126-T126</f>
        <v>-19.91120879731335</v>
      </c>
      <c r="U127" s="384">
        <f t="shared" ref="U127" si="94">T126-U126</f>
        <v>-21.230971535561252</v>
      </c>
      <c r="V127" s="384">
        <f t="shared" ref="V127" si="95">U126-V126</f>
        <v>-22.648370672241128</v>
      </c>
      <c r="W127" s="384">
        <f t="shared" ref="W127" si="96">V126-W126</f>
        <v>-24.171669173816895</v>
      </c>
      <c r="X127" s="384">
        <f t="shared" ref="X127" si="97">W126-X126</f>
        <v>-25.80990914372785</v>
      </c>
      <c r="Y127" s="384">
        <f t="shared" ref="Y127" si="98">X126-Y126</f>
        <v>-27.572994414368623</v>
      </c>
    </row>
    <row r="128" spans="1:37" ht="12.75" customHeight="1" x14ac:dyDescent="0.25">
      <c r="A128" s="1"/>
      <c r="B128" s="1"/>
      <c r="C128" s="1"/>
      <c r="D128" s="1"/>
      <c r="E128" s="1"/>
      <c r="F128" s="33"/>
      <c r="G128" s="33"/>
      <c r="H128" s="39"/>
      <c r="I128" s="39"/>
      <c r="J128" s="39"/>
      <c r="K128" s="39"/>
      <c r="L128" s="39"/>
      <c r="M128" s="39"/>
      <c r="N128" s="39"/>
      <c r="O128" s="39"/>
      <c r="P128" s="39">
        <f>P126-O126</f>
        <v>15.46659489680394</v>
      </c>
      <c r="Q128" s="39">
        <f t="shared" ref="Q128:Y128" si="99">Q126-P126</f>
        <v>16.465294820736574</v>
      </c>
      <c r="R128" s="39">
        <f t="shared" si="99"/>
        <v>17.534999942716013</v>
      </c>
      <c r="S128" s="39">
        <f t="shared" si="99"/>
        <v>18.681524625398481</v>
      </c>
      <c r="T128" s="39">
        <f t="shared" si="99"/>
        <v>19.91120879731335</v>
      </c>
      <c r="U128" s="39">
        <f t="shared" si="99"/>
        <v>21.230971535561252</v>
      </c>
      <c r="V128" s="39">
        <f t="shared" si="99"/>
        <v>22.648370672241128</v>
      </c>
      <c r="W128" s="39">
        <f t="shared" si="99"/>
        <v>24.171669173816895</v>
      </c>
      <c r="X128" s="39">
        <f t="shared" si="99"/>
        <v>25.80990914372785</v>
      </c>
      <c r="Y128" s="39">
        <f t="shared" si="99"/>
        <v>27.572994414368623</v>
      </c>
    </row>
    <row r="129" spans="1:37" ht="12.75" customHeight="1" x14ac:dyDescent="0.25">
      <c r="A129" s="1"/>
      <c r="B129" s="1"/>
      <c r="C129" s="1"/>
      <c r="D129" s="1"/>
      <c r="E129" s="1" t="s">
        <v>346</v>
      </c>
      <c r="F129" s="33"/>
      <c r="G129" s="33"/>
      <c r="H129" s="385">
        <f t="shared" ref="H129:N129" si="100">(H37/H18)*365</f>
        <v>7.7532387289080535</v>
      </c>
      <c r="I129" s="385">
        <f t="shared" si="100"/>
        <v>9.6444967608059784</v>
      </c>
      <c r="J129" s="385">
        <f t="shared" si="100"/>
        <v>20.324874776608702</v>
      </c>
      <c r="K129" s="385">
        <f t="shared" si="100"/>
        <v>18.773477528890041</v>
      </c>
      <c r="L129" s="385">
        <f t="shared" si="100"/>
        <v>15.442204570036141</v>
      </c>
      <c r="M129" s="385">
        <f t="shared" si="100"/>
        <v>15.003024004227239</v>
      </c>
      <c r="N129" s="385">
        <f t="shared" si="100"/>
        <v>20.641315460701605</v>
      </c>
      <c r="O129" s="385">
        <f>(O37/O18)*365</f>
        <v>34.432562577347589</v>
      </c>
      <c r="P129" s="216"/>
      <c r="Q129" s="216"/>
      <c r="R129" s="216"/>
      <c r="S129" s="216"/>
      <c r="T129" s="216"/>
      <c r="U129" s="216"/>
      <c r="V129" s="216"/>
      <c r="W129" s="216"/>
      <c r="X129" s="216"/>
      <c r="Y129" s="216"/>
    </row>
    <row r="130" spans="1:37" ht="12.75" customHeight="1" x14ac:dyDescent="0.25">
      <c r="A130" s="1"/>
      <c r="B130" s="1"/>
      <c r="C130" s="1"/>
      <c r="D130" s="1"/>
      <c r="E130" s="1" t="s">
        <v>347</v>
      </c>
      <c r="F130" s="33"/>
      <c r="G130" s="33"/>
      <c r="H130" s="385">
        <f t="shared" ref="H130:N130" si="101">(H56/H19)*365</f>
        <v>80.263244758532622</v>
      </c>
      <c r="I130" s="385">
        <f t="shared" si="101"/>
        <v>107.38652672375957</v>
      </c>
      <c r="J130" s="385">
        <f t="shared" si="101"/>
        <v>124.68814067477047</v>
      </c>
      <c r="K130" s="385">
        <f t="shared" si="101"/>
        <v>123.52965495988491</v>
      </c>
      <c r="L130" s="385">
        <f t="shared" si="101"/>
        <v>113.82242603356707</v>
      </c>
      <c r="M130" s="385">
        <f t="shared" si="101"/>
        <v>126.88063930891946</v>
      </c>
      <c r="N130" s="385">
        <f t="shared" si="101"/>
        <v>110.0372029728881</v>
      </c>
      <c r="O130" s="385">
        <f>(O56/O19)*365</f>
        <v>128.81014694991188</v>
      </c>
      <c r="P130" s="216"/>
      <c r="Q130" s="216"/>
      <c r="R130" s="216"/>
      <c r="S130" s="216"/>
      <c r="T130" s="216"/>
      <c r="U130" s="216"/>
      <c r="V130" s="216"/>
      <c r="W130" s="216"/>
      <c r="X130" s="216"/>
      <c r="Y130" s="216"/>
    </row>
    <row r="131" spans="1:37" ht="12.75" customHeight="1" x14ac:dyDescent="0.25">
      <c r="A131" s="1"/>
      <c r="B131" s="1"/>
      <c r="C131" s="1"/>
      <c r="D131" s="1"/>
      <c r="E131" s="1"/>
      <c r="F131" s="33"/>
      <c r="G131" s="33"/>
      <c r="H131" s="217"/>
      <c r="I131" s="217"/>
      <c r="J131" s="217"/>
      <c r="K131" s="217"/>
      <c r="L131" s="217"/>
      <c r="M131" s="217"/>
      <c r="N131" s="217"/>
      <c r="O131" s="218"/>
      <c r="P131" s="218"/>
      <c r="Q131" s="218"/>
      <c r="R131" s="218"/>
      <c r="S131" s="218"/>
      <c r="T131" s="218"/>
      <c r="U131" s="218"/>
      <c r="V131" s="218"/>
      <c r="W131" s="218"/>
      <c r="X131" s="218"/>
      <c r="Y131" s="218"/>
    </row>
    <row r="132" spans="1:37" ht="12.75" customHeight="1" x14ac:dyDescent="0.25">
      <c r="A132" s="1"/>
      <c r="B132" s="1"/>
      <c r="C132" s="1"/>
      <c r="D132" s="1"/>
      <c r="E132" s="2" t="s">
        <v>326</v>
      </c>
      <c r="F132" s="33"/>
      <c r="G132" s="33"/>
      <c r="H132" s="196">
        <f t="shared" ref="H132:N132" si="102">-H101</f>
        <v>154.61699999999999</v>
      </c>
      <c r="I132" s="196">
        <f t="shared" si="102"/>
        <v>206.46600000000001</v>
      </c>
      <c r="J132" s="196">
        <f t="shared" si="102"/>
        <v>303.65100000000001</v>
      </c>
      <c r="K132" s="196">
        <f t="shared" si="102"/>
        <v>326.87700000000001</v>
      </c>
      <c r="L132" s="196">
        <f t="shared" si="102"/>
        <v>171.673</v>
      </c>
      <c r="M132" s="196">
        <f t="shared" si="102"/>
        <v>100.065</v>
      </c>
      <c r="N132" s="196">
        <f t="shared" si="102"/>
        <v>254.74600000000001</v>
      </c>
      <c r="O132" s="375">
        <f>-O101</f>
        <v>303.68900000000002</v>
      </c>
      <c r="P132" s="39"/>
      <c r="Q132" s="39"/>
      <c r="R132" s="39"/>
      <c r="S132" s="39"/>
      <c r="T132" s="39"/>
      <c r="U132" s="39"/>
      <c r="V132" s="39"/>
      <c r="W132" s="39"/>
      <c r="X132" s="39"/>
      <c r="Y132" s="39"/>
    </row>
    <row r="133" spans="1:37" ht="12.75" customHeight="1" x14ac:dyDescent="0.25">
      <c r="A133" s="1"/>
      <c r="B133" s="1"/>
      <c r="C133" s="1"/>
      <c r="D133" s="1"/>
      <c r="E133" s="1" t="s">
        <v>348</v>
      </c>
      <c r="F133" s="33"/>
      <c r="G133" s="33"/>
      <c r="H133" s="217">
        <v>55</v>
      </c>
      <c r="I133" s="217">
        <v>64</v>
      </c>
      <c r="J133" s="196">
        <v>75</v>
      </c>
      <c r="K133" s="196">
        <v>72</v>
      </c>
      <c r="L133" s="196">
        <v>58</v>
      </c>
      <c r="M133" s="196">
        <v>33</v>
      </c>
      <c r="N133" s="196">
        <v>48</v>
      </c>
      <c r="O133" s="211">
        <v>64.2</v>
      </c>
      <c r="P133" s="39"/>
      <c r="Q133" s="39"/>
      <c r="R133" s="39"/>
      <c r="S133" s="39"/>
      <c r="T133" s="39"/>
      <c r="U133" s="39"/>
      <c r="V133" s="39"/>
      <c r="W133" s="39"/>
      <c r="X133" s="39"/>
      <c r="Y133" s="39"/>
      <c r="Z133" s="192"/>
    </row>
    <row r="134" spans="1:37" ht="12.75" customHeight="1" x14ac:dyDescent="0.25">
      <c r="A134" s="1"/>
      <c r="B134" s="1"/>
      <c r="C134" s="1"/>
      <c r="D134" s="1"/>
      <c r="E134" s="1" t="s">
        <v>349</v>
      </c>
      <c r="F134" s="33"/>
      <c r="G134" s="33"/>
      <c r="H134" s="196">
        <f t="shared" ref="H134:M134" si="103">H132 -H133</f>
        <v>99.61699999999999</v>
      </c>
      <c r="I134" s="196">
        <f t="shared" si="103"/>
        <v>142.46600000000001</v>
      </c>
      <c r="J134" s="196">
        <f t="shared" si="103"/>
        <v>228.65100000000001</v>
      </c>
      <c r="K134" s="196">
        <f t="shared" si="103"/>
        <v>254.87700000000001</v>
      </c>
      <c r="L134" s="196">
        <f t="shared" si="103"/>
        <v>113.673</v>
      </c>
      <c r="M134" s="196">
        <f t="shared" si="103"/>
        <v>67.064999999999998</v>
      </c>
      <c r="N134" s="196">
        <f>N132-N133</f>
        <v>206.74600000000001</v>
      </c>
      <c r="O134" s="375">
        <f>O132-O133</f>
        <v>239.48900000000003</v>
      </c>
      <c r="P134" s="211"/>
      <c r="Q134" s="211"/>
      <c r="R134" s="211"/>
      <c r="S134" s="211"/>
      <c r="T134" s="211"/>
      <c r="U134" s="211"/>
      <c r="V134" s="211"/>
      <c r="W134" s="211"/>
      <c r="X134" s="211"/>
      <c r="Y134" s="211"/>
    </row>
    <row r="135" spans="1:37" ht="12.75" customHeight="1" x14ac:dyDescent="0.25">
      <c r="A135" s="1"/>
      <c r="B135" s="1"/>
      <c r="C135" s="1"/>
      <c r="D135" s="1"/>
      <c r="E135" s="1" t="s">
        <v>350</v>
      </c>
      <c r="F135" s="33"/>
      <c r="G135" s="33"/>
      <c r="H135" s="196">
        <f t="shared" ref="H135:N135" si="104">-H100</f>
        <v>3.97</v>
      </c>
      <c r="I135" s="196">
        <f t="shared" si="104"/>
        <v>8.5890000000000004</v>
      </c>
      <c r="J135" s="196">
        <f t="shared" si="104"/>
        <v>29.129000000000001</v>
      </c>
      <c r="K135" s="196">
        <f t="shared" si="104"/>
        <v>20.515000000000001</v>
      </c>
      <c r="L135" s="196">
        <f t="shared" si="104"/>
        <v>5.7990000000000004</v>
      </c>
      <c r="M135" s="196">
        <f t="shared" si="104"/>
        <v>11.411</v>
      </c>
      <c r="N135" s="196">
        <f t="shared" si="104"/>
        <v>8.1129999999999995</v>
      </c>
      <c r="O135" s="375">
        <f>-O100</f>
        <v>7.0469999999999997</v>
      </c>
      <c r="P135" s="211"/>
      <c r="Q135" s="211"/>
      <c r="R135" s="211"/>
      <c r="S135" s="211"/>
      <c r="T135" s="211"/>
      <c r="U135" s="211"/>
      <c r="V135" s="211"/>
      <c r="W135" s="211"/>
      <c r="X135" s="211"/>
      <c r="Y135" s="211"/>
    </row>
    <row r="136" spans="1:37" ht="12.75" customHeight="1" x14ac:dyDescent="0.25">
      <c r="A136" s="1"/>
      <c r="B136" s="1"/>
      <c r="C136" s="1"/>
      <c r="D136" s="1"/>
      <c r="E136" s="1" t="s">
        <v>351</v>
      </c>
      <c r="F136" s="33"/>
      <c r="G136" s="33"/>
      <c r="H136" s="219">
        <f t="shared" ref="H136:O136" si="105">H132 / H18</f>
        <v>0.18915715318869308</v>
      </c>
      <c r="I136" s="219">
        <f t="shared" si="105"/>
        <v>0.23335081398029811</v>
      </c>
      <c r="J136" s="219">
        <f t="shared" si="105"/>
        <v>0.34302397827427827</v>
      </c>
      <c r="K136" s="219">
        <f t="shared" si="105"/>
        <v>0.39791375778019356</v>
      </c>
      <c r="L136" s="219">
        <f t="shared" si="105"/>
        <v>0.21742373774345278</v>
      </c>
      <c r="M136" s="219">
        <f t="shared" si="105"/>
        <v>0.15926156999933153</v>
      </c>
      <c r="N136" s="219">
        <f t="shared" si="105"/>
        <v>0.28340410667064198</v>
      </c>
      <c r="O136" s="386">
        <f t="shared" si="105"/>
        <v>0.32975829423380076</v>
      </c>
      <c r="P136" s="219"/>
      <c r="Q136" s="219"/>
      <c r="R136" s="219"/>
      <c r="S136" s="219"/>
      <c r="T136" s="219"/>
      <c r="U136" s="219"/>
      <c r="V136" s="219"/>
      <c r="W136" s="219"/>
      <c r="X136" s="219"/>
      <c r="Y136" s="219"/>
    </row>
    <row r="137" spans="1:37" ht="12.75" customHeight="1" x14ac:dyDescent="0.25">
      <c r="A137" s="1"/>
      <c r="B137" s="1"/>
      <c r="C137" s="1"/>
      <c r="D137" s="1"/>
      <c r="E137" s="1" t="s">
        <v>352</v>
      </c>
      <c r="F137" s="33"/>
      <c r="G137" s="33"/>
      <c r="H137" s="219">
        <f t="shared" ref="H137:O137" si="106">H133 / H18</f>
        <v>6.7286543041050598E-2</v>
      </c>
      <c r="I137" s="219">
        <f t="shared" si="106"/>
        <v>7.2333711578366794E-2</v>
      </c>
      <c r="J137" s="219">
        <f t="shared" si="106"/>
        <v>8.4724892625319431E-2</v>
      </c>
      <c r="K137" s="219">
        <f t="shared" si="106"/>
        <v>8.7647006550396436E-2</v>
      </c>
      <c r="L137" s="219">
        <f t="shared" si="106"/>
        <v>7.3456960553612158E-2</v>
      </c>
      <c r="M137" s="219">
        <f t="shared" si="106"/>
        <v>5.252217868363504E-2</v>
      </c>
      <c r="N137" s="219">
        <f t="shared" si="106"/>
        <v>5.3399845807945226E-2</v>
      </c>
      <c r="O137" s="386">
        <f t="shared" si="106"/>
        <v>6.9711061282463335E-2</v>
      </c>
      <c r="P137" s="220"/>
      <c r="Q137" s="220"/>
      <c r="R137" s="220"/>
      <c r="S137" s="220"/>
      <c r="T137" s="220"/>
      <c r="U137" s="220"/>
      <c r="V137" s="220"/>
      <c r="W137" s="220"/>
      <c r="X137" s="220"/>
      <c r="Y137" s="220"/>
    </row>
    <row r="138" spans="1:37" ht="12.75" customHeight="1" x14ac:dyDescent="0.25">
      <c r="A138" s="1"/>
      <c r="B138" s="1"/>
      <c r="C138" s="1"/>
      <c r="D138" s="1"/>
      <c r="E138" s="1" t="s">
        <v>350</v>
      </c>
      <c r="F138" s="33"/>
      <c r="G138" s="33"/>
      <c r="H138" s="219">
        <f t="shared" ref="H138:O138" si="107">H135 / H18</f>
        <v>4.8568650158721987E-3</v>
      </c>
      <c r="I138" s="219">
        <f t="shared" si="107"/>
        <v>9.7074101366655067E-3</v>
      </c>
      <c r="J138" s="219">
        <f t="shared" si="107"/>
        <v>3.2906018630439064E-2</v>
      </c>
      <c r="K138" s="219">
        <f t="shared" si="107"/>
        <v>2.4973310269185874E-2</v>
      </c>
      <c r="L138" s="219">
        <f t="shared" si="107"/>
        <v>7.3444295560413271E-3</v>
      </c>
      <c r="M138" s="219">
        <f t="shared" si="107"/>
        <v>1.8161532756332102E-2</v>
      </c>
      <c r="N138" s="219">
        <f t="shared" si="107"/>
        <v>9.0256864383304082E-3</v>
      </c>
      <c r="O138" s="386">
        <f t="shared" si="107"/>
        <v>7.6519291099302039E-3</v>
      </c>
      <c r="P138" s="220"/>
      <c r="Q138" s="220"/>
      <c r="R138" s="220"/>
      <c r="S138" s="220"/>
      <c r="T138" s="220"/>
      <c r="U138" s="220"/>
      <c r="V138" s="220"/>
      <c r="W138" s="220"/>
      <c r="X138" s="220"/>
      <c r="Y138" s="220"/>
    </row>
    <row r="139" spans="1:37" ht="10.5" customHeight="1" x14ac:dyDescent="0.25">
      <c r="A139" s="1"/>
      <c r="B139" s="1"/>
      <c r="C139" s="1"/>
      <c r="D139" s="1"/>
      <c r="E139" s="1"/>
      <c r="F139" s="33"/>
      <c r="G139" s="33"/>
      <c r="H139" s="41"/>
      <c r="I139" s="41"/>
      <c r="J139" s="41"/>
      <c r="K139" s="41"/>
      <c r="L139" s="41"/>
      <c r="M139" s="41"/>
      <c r="N139" s="41"/>
      <c r="O139" s="41"/>
      <c r="P139" s="41"/>
      <c r="Q139" s="41"/>
      <c r="R139" s="41"/>
      <c r="S139" s="41"/>
      <c r="T139" s="41"/>
      <c r="U139" s="41"/>
      <c r="V139" s="41"/>
      <c r="W139" s="41"/>
      <c r="X139" s="41"/>
      <c r="Y139" s="41"/>
      <c r="Z139" s="1"/>
      <c r="AA139" s="1"/>
      <c r="AB139" s="1"/>
      <c r="AC139" s="1"/>
      <c r="AD139" s="1"/>
      <c r="AE139" s="1"/>
      <c r="AF139" s="1"/>
      <c r="AG139" s="1"/>
      <c r="AH139" s="1"/>
      <c r="AI139" s="1"/>
      <c r="AJ139" s="1"/>
      <c r="AK139" s="1"/>
    </row>
    <row r="140" spans="1:37" ht="11.25" customHeight="1" x14ac:dyDescent="0.25">
      <c r="A140" s="1"/>
      <c r="B140" s="1"/>
      <c r="C140" s="199" t="s">
        <v>353</v>
      </c>
      <c r="D140" s="200"/>
      <c r="E140" s="200"/>
      <c r="F140" s="201"/>
      <c r="G140" s="201"/>
      <c r="H140" s="209"/>
      <c r="I140" s="209"/>
      <c r="J140" s="209"/>
      <c r="K140" s="210"/>
      <c r="L140" s="210"/>
      <c r="M140" s="210"/>
      <c r="N140" s="210"/>
      <c r="O140" s="210"/>
      <c r="P140" s="210"/>
      <c r="Q140" s="210"/>
      <c r="R140" s="210"/>
      <c r="S140" s="210"/>
      <c r="T140" s="210"/>
      <c r="U140" s="210"/>
      <c r="V140" s="210"/>
      <c r="W140" s="210"/>
      <c r="X140" s="210"/>
      <c r="Y140" s="210"/>
    </row>
    <row r="141" spans="1:37" ht="11.25" customHeight="1" x14ac:dyDescent="0.25">
      <c r="A141" s="1"/>
      <c r="B141" s="1"/>
      <c r="C141" s="1"/>
      <c r="D141" s="1"/>
      <c r="E141" s="1"/>
      <c r="F141" s="33"/>
      <c r="G141" s="33"/>
      <c r="H141" s="84"/>
      <c r="I141" s="84"/>
      <c r="J141" s="84"/>
      <c r="K141" s="84"/>
      <c r="L141" s="84"/>
      <c r="M141" s="84"/>
      <c r="N141" s="84"/>
      <c r="O141" s="84"/>
      <c r="P141" s="84"/>
      <c r="Q141" s="84"/>
      <c r="R141" s="84"/>
      <c r="S141" s="84"/>
      <c r="T141" s="84"/>
      <c r="U141" s="84"/>
      <c r="V141" s="84"/>
      <c r="W141" s="84"/>
      <c r="X141" s="84"/>
      <c r="Y141" s="84"/>
    </row>
    <row r="142" spans="1:37" ht="11.25" customHeight="1" x14ac:dyDescent="0.25">
      <c r="A142" s="1"/>
      <c r="B142" s="1"/>
      <c r="C142" s="1"/>
      <c r="D142" s="1"/>
      <c r="E142" s="2" t="s">
        <v>354</v>
      </c>
      <c r="F142" s="193" t="s">
        <v>28</v>
      </c>
      <c r="G142" s="193"/>
      <c r="H142" s="182">
        <f t="shared" ref="H142:Y142" si="108">SUM(H143:H146)</f>
        <v>-95.049000000000007</v>
      </c>
      <c r="I142" s="182">
        <f t="shared" si="108"/>
        <v>-94.37700000000001</v>
      </c>
      <c r="J142" s="182">
        <f t="shared" si="108"/>
        <v>-84.697999999999993</v>
      </c>
      <c r="K142" s="182">
        <f t="shared" si="108"/>
        <v>-86.56</v>
      </c>
      <c r="L142" s="182">
        <f t="shared" si="108"/>
        <v>-91.413000000000011</v>
      </c>
      <c r="M142" s="182">
        <f t="shared" si="108"/>
        <v>-94.66</v>
      </c>
      <c r="N142" s="182">
        <f t="shared" si="108"/>
        <v>-90.671999999999997</v>
      </c>
      <c r="O142" s="182">
        <f t="shared" si="108"/>
        <v>-98.5</v>
      </c>
      <c r="P142" s="182">
        <f t="shared" si="108"/>
        <v>-105.23866072233976</v>
      </c>
      <c r="Q142" s="182">
        <f t="shared" si="108"/>
        <v>-102.49822768763222</v>
      </c>
      <c r="R142" s="182">
        <f t="shared" si="108"/>
        <v>-99.558990523586246</v>
      </c>
      <c r="S142" s="182">
        <f t="shared" si="108"/>
        <v>-101.10501915199073</v>
      </c>
      <c r="T142" s="182">
        <f t="shared" si="108"/>
        <v>-102.32260198065119</v>
      </c>
      <c r="U142" s="182">
        <f t="shared" si="108"/>
        <v>-102.98108667135247</v>
      </c>
      <c r="V142" s="182">
        <f t="shared" si="108"/>
        <v>-102.81036787503595</v>
      </c>
      <c r="W142" s="182">
        <f t="shared" si="108"/>
        <v>-102.47293339066545</v>
      </c>
      <c r="X142" s="182">
        <f t="shared" si="108"/>
        <v>-102.37348600040674</v>
      </c>
      <c r="Y142" s="182">
        <f t="shared" si="108"/>
        <v>-102.01533916016513</v>
      </c>
    </row>
    <row r="143" spans="1:37" ht="11.25" customHeight="1" x14ac:dyDescent="0.25">
      <c r="A143" s="1"/>
      <c r="B143" s="1"/>
      <c r="C143" s="1"/>
      <c r="D143" s="1"/>
      <c r="E143" s="1" t="s">
        <v>355</v>
      </c>
      <c r="F143" s="33"/>
      <c r="G143" s="33"/>
      <c r="H143" s="196">
        <v>-50.817</v>
      </c>
      <c r="I143" s="196">
        <v>-50.384999999999998</v>
      </c>
      <c r="J143" s="196">
        <v>-47.412999999999997</v>
      </c>
      <c r="K143" s="196">
        <v>-46.073</v>
      </c>
      <c r="L143" s="196">
        <v>-45.514000000000003</v>
      </c>
      <c r="M143" s="196">
        <v>-42.45</v>
      </c>
      <c r="N143" s="196">
        <v>-38.024999999999999</v>
      </c>
      <c r="O143" s="39">
        <v>-45</v>
      </c>
      <c r="P143" s="39">
        <f>'&gt;&gt; SKC segments'!P74</f>
        <v>-49.922125000000001</v>
      </c>
      <c r="Q143" s="39">
        <f>'&gt;&gt; SKC segments'!Q74</f>
        <v>-49.922125000000001</v>
      </c>
      <c r="R143" s="39">
        <f>'&gt;&gt; SKC segments'!R74</f>
        <v>-49.922125000000001</v>
      </c>
      <c r="S143" s="39">
        <f>'&gt;&gt; SKC segments'!S74</f>
        <v>-49.922125000000001</v>
      </c>
      <c r="T143" s="39">
        <f>'&gt;&gt; SKC segments'!T74</f>
        <v>-49.922125000000001</v>
      </c>
      <c r="U143" s="39">
        <f>'&gt;&gt; SKC segments'!U74</f>
        <v>-49.922125000000001</v>
      </c>
      <c r="V143" s="39">
        <f>'&gt;&gt; SKC segments'!V74</f>
        <v>-49.922125000000001</v>
      </c>
      <c r="W143" s="39">
        <f>'&gt;&gt; SKC segments'!W74</f>
        <v>-49.922125000000001</v>
      </c>
      <c r="X143" s="39">
        <f>'&gt;&gt; SKC segments'!X74</f>
        <v>-49.922125000000001</v>
      </c>
      <c r="Y143" s="39">
        <f>'&gt;&gt; SKC segments'!Y74</f>
        <v>-49.922125000000001</v>
      </c>
    </row>
    <row r="144" spans="1:37" ht="11.25" customHeight="1" x14ac:dyDescent="0.25">
      <c r="A144" s="1"/>
      <c r="B144" s="1"/>
      <c r="C144" s="1"/>
      <c r="D144" s="1"/>
      <c r="E144" s="1" t="s">
        <v>356</v>
      </c>
      <c r="F144" s="33"/>
      <c r="G144" s="33"/>
      <c r="H144" s="196">
        <v>-5.69</v>
      </c>
      <c r="I144" s="196">
        <v>-5.4009999999999998</v>
      </c>
      <c r="J144" s="196">
        <v>-5.39</v>
      </c>
      <c r="K144" s="196">
        <v>-6.1589999999999998</v>
      </c>
      <c r="L144" s="196">
        <v>-5.8869999999999996</v>
      </c>
      <c r="M144" s="196">
        <v>-5.923</v>
      </c>
      <c r="N144" s="196">
        <v>-5.3929999999999998</v>
      </c>
      <c r="O144" s="39">
        <v>-5.5</v>
      </c>
      <c r="P144" s="39">
        <f>'&gt;&gt; SKC segments'!P75</f>
        <v>-5.5113750000000001</v>
      </c>
      <c r="Q144" s="39">
        <f>'&gt;&gt; SKC segments'!Q75</f>
        <v>-5.4890468749999997</v>
      </c>
      <c r="R144" s="39">
        <f>'&gt;&gt; SKC segments'!R75</f>
        <v>-5.5000527343750001</v>
      </c>
      <c r="S144" s="39">
        <f>'&gt;&gt; SKC segments'!S75</f>
        <v>-5.5125593261718748</v>
      </c>
      <c r="T144" s="39">
        <f>'&gt;&gt; SKC segments'!T75</f>
        <v>-5.4766292419433595</v>
      </c>
      <c r="U144" s="39">
        <f>'&gt;&gt; SKC segments'!U75</f>
        <v>-5.4862078971862784</v>
      </c>
      <c r="V144" s="39">
        <f>'&gt;&gt; SKC segments'!V75</f>
        <v>-5.4594838843345634</v>
      </c>
      <c r="W144" s="39">
        <f>'&gt;&gt; SKC segments'!W75</f>
        <v>-5.4794193698763838</v>
      </c>
      <c r="X144" s="39">
        <f>'&gt;&gt; SKC segments'!X75</f>
        <v>-5.4893467911109326</v>
      </c>
      <c r="Y144" s="39">
        <f>'&gt;&gt; SKC segments'!Y75</f>
        <v>-5.486593264999799</v>
      </c>
    </row>
    <row r="145" spans="1:37" ht="11.25" customHeight="1" x14ac:dyDescent="0.25">
      <c r="A145" s="1"/>
      <c r="B145" s="1"/>
      <c r="C145" s="1"/>
      <c r="D145" s="1"/>
      <c r="E145" s="1" t="s">
        <v>266</v>
      </c>
      <c r="F145" s="33"/>
      <c r="G145" s="33"/>
      <c r="H145" s="196">
        <v>-17.809000000000001</v>
      </c>
      <c r="I145" s="196">
        <v>-18.286999999999999</v>
      </c>
      <c r="J145" s="196">
        <v>-17.687000000000001</v>
      </c>
      <c r="K145" s="196">
        <v>-19.09</v>
      </c>
      <c r="L145" s="196">
        <v>-22.794</v>
      </c>
      <c r="M145" s="196">
        <v>-33.055</v>
      </c>
      <c r="N145" s="196">
        <v>-33.624000000000002</v>
      </c>
      <c r="O145" s="39">
        <v>-33</v>
      </c>
      <c r="P145" s="39">
        <f>'&gt;&gt; SKC segments'!P76</f>
        <v>-32.474160722339754</v>
      </c>
      <c r="Q145" s="39">
        <f>'&gt;&gt; SKC segments'!Q76</f>
        <v>-30.181305812632221</v>
      </c>
      <c r="R145" s="39">
        <f>'&gt;&gt; SKC segments'!R76</f>
        <v>-27.655844039211249</v>
      </c>
      <c r="S145" s="39">
        <f>'&gt;&gt; SKC segments'!S76</f>
        <v>-28.902994982068861</v>
      </c>
      <c r="T145" s="39">
        <f>'&gt;&gt; SKC segments'!T76</f>
        <v>-30.135590414489087</v>
      </c>
      <c r="U145" s="39">
        <f>'&gt;&gt; SKC segments'!U76</f>
        <v>-31.085964284420115</v>
      </c>
      <c r="V145" s="39">
        <f>'&gt;&gt; SKC segments'!V76</f>
        <v>-30.843620814737029</v>
      </c>
      <c r="W145" s="39">
        <f>'&gt;&gt; SKC segments'!W76</f>
        <v>-30.500608572829162</v>
      </c>
      <c r="X145" s="39">
        <f>'&gt;&gt; SKC segments'!X76</f>
        <v>-30.222511205340933</v>
      </c>
      <c r="Y145" s="39">
        <f>'&gt;&gt; SKC segments'!Y76</f>
        <v>-29.941055015716078</v>
      </c>
    </row>
    <row r="146" spans="1:37" ht="11.25" customHeight="1" x14ac:dyDescent="0.25">
      <c r="A146" s="1"/>
      <c r="B146" s="1"/>
      <c r="C146" s="1"/>
      <c r="D146" s="1"/>
      <c r="E146" s="1" t="s">
        <v>357</v>
      </c>
      <c r="F146" s="33"/>
      <c r="G146" s="33"/>
      <c r="H146" s="196">
        <f>-6.924-13.809</f>
        <v>-20.733000000000001</v>
      </c>
      <c r="I146" s="196">
        <f>-6.789-13.515</f>
        <v>-20.304000000000002</v>
      </c>
      <c r="J146" s="196">
        <f>-9.497 - 4.711</f>
        <v>-14.208</v>
      </c>
      <c r="K146" s="196">
        <v>-15.238</v>
      </c>
      <c r="L146" s="196">
        <v>-17.218</v>
      </c>
      <c r="M146" s="196">
        <v>-13.231999999999999</v>
      </c>
      <c r="N146" s="196">
        <v>-13.63</v>
      </c>
      <c r="O146" s="39">
        <v>-15</v>
      </c>
      <c r="P146" s="39">
        <f>'&gt;&gt; SKC segments'!P77</f>
        <v>-17.331</v>
      </c>
      <c r="Q146" s="39">
        <f>'&gt;&gt; SKC segments'!Q77</f>
        <v>-16.905749999999998</v>
      </c>
      <c r="R146" s="39">
        <f>'&gt;&gt; SKC segments'!R77</f>
        <v>-16.480968749999999</v>
      </c>
      <c r="S146" s="39">
        <f>'&gt;&gt; SKC segments'!S77</f>
        <v>-16.767339843749998</v>
      </c>
      <c r="T146" s="39">
        <f>'&gt;&gt; SKC segments'!T77</f>
        <v>-16.788257324218751</v>
      </c>
      <c r="U146" s="39">
        <f>'&gt;&gt; SKC segments'!U77</f>
        <v>-16.486789489746094</v>
      </c>
      <c r="V146" s="39">
        <f>'&gt;&gt; SKC segments'!V77</f>
        <v>-16.585138175964353</v>
      </c>
      <c r="W146" s="39">
        <f>'&gt;&gt; SKC segments'!W77</f>
        <v>-16.570780447959898</v>
      </c>
      <c r="X146" s="39">
        <f>'&gt;&gt; SKC segments'!X77</f>
        <v>-16.739503003954884</v>
      </c>
      <c r="Y146" s="39">
        <f>'&gt;&gt; SKC segments'!Y77</f>
        <v>-16.665565879449247</v>
      </c>
    </row>
    <row r="147" spans="1:37" ht="11.25" customHeight="1" x14ac:dyDescent="0.25">
      <c r="A147" s="1"/>
      <c r="B147" s="1"/>
      <c r="C147" s="1"/>
      <c r="D147" s="1"/>
      <c r="E147" s="1"/>
      <c r="F147" s="33"/>
      <c r="G147" s="33"/>
      <c r="H147" s="196"/>
      <c r="I147" s="196"/>
      <c r="J147" s="196"/>
      <c r="K147" s="196"/>
      <c r="L147" s="196"/>
      <c r="M147" s="196"/>
      <c r="N147" s="196"/>
      <c r="O147" s="39"/>
      <c r="P147" s="39"/>
      <c r="Q147" s="39"/>
      <c r="R147" s="39"/>
      <c r="S147" s="39"/>
      <c r="T147" s="39"/>
      <c r="U147" s="39"/>
      <c r="V147" s="39"/>
      <c r="W147" s="39"/>
      <c r="X147" s="39"/>
      <c r="Y147" s="39"/>
    </row>
    <row r="148" spans="1:37" ht="11.25" customHeight="1" x14ac:dyDescent="0.25">
      <c r="A148" s="1"/>
      <c r="B148" s="1"/>
      <c r="C148" s="1"/>
      <c r="D148" s="1"/>
      <c r="E148" s="1" t="s">
        <v>358</v>
      </c>
      <c r="F148" s="33"/>
      <c r="G148" s="33"/>
      <c r="H148" s="39">
        <f t="shared" ref="H148:Y148" si="109">H142 -H149 + H151</f>
        <v>-82.766000000000005</v>
      </c>
      <c r="I148" s="39">
        <f t="shared" si="109"/>
        <v>-82.429000000000002</v>
      </c>
      <c r="J148" s="39">
        <f t="shared" si="109"/>
        <v>-71.448999999999998</v>
      </c>
      <c r="K148" s="39">
        <f t="shared" si="109"/>
        <v>-67.459000000000003</v>
      </c>
      <c r="L148" s="39">
        <f t="shared" si="109"/>
        <v>-73.15100000000001</v>
      </c>
      <c r="M148" s="39">
        <f t="shared" si="109"/>
        <v>-75.490999999999985</v>
      </c>
      <c r="N148" s="39">
        <f t="shared" si="109"/>
        <v>-71.033999999999992</v>
      </c>
      <c r="O148" s="39">
        <f t="shared" si="109"/>
        <v>-79.045999999999992</v>
      </c>
      <c r="P148" s="39">
        <f t="shared" si="109"/>
        <v>-88.600660722339768</v>
      </c>
      <c r="Q148" s="39">
        <f t="shared" si="109"/>
        <v>-85.31585268763223</v>
      </c>
      <c r="R148" s="39">
        <f t="shared" si="109"/>
        <v>-81.722318648586253</v>
      </c>
      <c r="S148" s="39">
        <f t="shared" si="109"/>
        <v>-82.69488829261573</v>
      </c>
      <c r="T148" s="39">
        <f t="shared" si="109"/>
        <v>-83.998829763854303</v>
      </c>
      <c r="U148" s="39">
        <f t="shared" si="109"/>
        <v>-84.649592927455984</v>
      </c>
      <c r="V148" s="39">
        <f t="shared" si="109"/>
        <v>-84.583562413152407</v>
      </c>
      <c r="W148" s="39">
        <f t="shared" si="109"/>
        <v>-84.422527246046471</v>
      </c>
      <c r="X148" s="39">
        <f t="shared" si="109"/>
        <v>-84.498529087710381</v>
      </c>
      <c r="Y148" s="39">
        <f t="shared" si="109"/>
        <v>-83.985762633381725</v>
      </c>
    </row>
    <row r="149" spans="1:37" ht="11.25" customHeight="1" x14ac:dyDescent="0.25">
      <c r="A149" s="1"/>
      <c r="B149" s="1"/>
      <c r="C149" s="1"/>
      <c r="D149" s="1"/>
      <c r="E149" s="1" t="s">
        <v>359</v>
      </c>
      <c r="F149" s="33"/>
      <c r="G149" s="33"/>
      <c r="H149" s="196">
        <v>0</v>
      </c>
      <c r="I149" s="196">
        <v>0</v>
      </c>
      <c r="J149" s="196">
        <v>0</v>
      </c>
      <c r="K149" s="196">
        <v>-1.1140000000000001</v>
      </c>
      <c r="L149" s="196">
        <v>-1.8939999999999999</v>
      </c>
      <c r="M149" s="196">
        <v>-5.968</v>
      </c>
      <c r="N149" s="196">
        <v>-6.3090000000000002</v>
      </c>
      <c r="O149" s="39">
        <v>-6</v>
      </c>
      <c r="P149" s="39">
        <f>AVERAGE(H149:O149)</f>
        <v>-2.660625</v>
      </c>
      <c r="Q149" s="39">
        <f t="shared" ref="Q149:Y149" si="110">AVERAGE(I149:P149)</f>
        <v>-2.993203125</v>
      </c>
      <c r="R149" s="39">
        <f t="shared" si="110"/>
        <v>-3.3673535156250001</v>
      </c>
      <c r="S149" s="39">
        <f t="shared" si="110"/>
        <v>-3.7882727050781249</v>
      </c>
      <c r="T149" s="39">
        <f t="shared" si="110"/>
        <v>-4.1225567932128904</v>
      </c>
      <c r="U149" s="39">
        <f t="shared" si="110"/>
        <v>-4.4011263923645023</v>
      </c>
      <c r="V149" s="39">
        <f t="shared" si="110"/>
        <v>-4.2052671914100648</v>
      </c>
      <c r="W149" s="39">
        <f t="shared" si="110"/>
        <v>-3.9423005903363229</v>
      </c>
      <c r="X149" s="39">
        <f t="shared" si="110"/>
        <v>-3.6850881641283637</v>
      </c>
      <c r="Y149" s="39">
        <f t="shared" si="110"/>
        <v>-3.8131460596444087</v>
      </c>
    </row>
    <row r="150" spans="1:37" ht="11.25" customHeight="1" x14ac:dyDescent="0.25">
      <c r="A150" s="1"/>
      <c r="B150" s="1"/>
      <c r="C150" s="1"/>
      <c r="D150" s="1"/>
      <c r="E150" s="1"/>
      <c r="F150" s="33"/>
      <c r="G150" s="33"/>
      <c r="H150" s="196"/>
      <c r="I150" s="196"/>
      <c r="J150" s="196"/>
      <c r="K150" s="196"/>
      <c r="L150" s="196"/>
      <c r="M150" s="196"/>
      <c r="N150" s="196"/>
      <c r="O150" s="39"/>
      <c r="P150" s="39"/>
      <c r="Q150" s="39"/>
      <c r="R150" s="39"/>
      <c r="S150" s="39"/>
      <c r="T150" s="39"/>
      <c r="U150" s="39"/>
      <c r="V150" s="39"/>
      <c r="W150" s="39"/>
      <c r="X150" s="39"/>
      <c r="Y150" s="39"/>
    </row>
    <row r="151" spans="1:37" ht="11.25" customHeight="1" x14ac:dyDescent="0.25">
      <c r="A151" s="1"/>
      <c r="B151" s="1"/>
      <c r="C151" s="1"/>
      <c r="D151" s="1"/>
      <c r="E151" s="2" t="s">
        <v>360</v>
      </c>
      <c r="F151" s="33"/>
      <c r="G151" s="33"/>
      <c r="H151" s="221">
        <f t="shared" ref="H151:N151" si="111">SUM(H152:H154)</f>
        <v>12.283000000000001</v>
      </c>
      <c r="I151" s="221">
        <f t="shared" si="111"/>
        <v>11.948</v>
      </c>
      <c r="J151" s="221">
        <f t="shared" si="111"/>
        <v>13.248999999999999</v>
      </c>
      <c r="K151" s="221">
        <f t="shared" si="111"/>
        <v>17.987000000000002</v>
      </c>
      <c r="L151" s="221">
        <f t="shared" si="111"/>
        <v>16.368000000000002</v>
      </c>
      <c r="M151" s="221">
        <f t="shared" si="111"/>
        <v>13.201000000000001</v>
      </c>
      <c r="N151" s="221">
        <f t="shared" si="111"/>
        <v>13.329000000000001</v>
      </c>
      <c r="O151" s="221">
        <f>SUM(O152:O154)</f>
        <v>13.454000000000001</v>
      </c>
      <c r="P151" s="221">
        <f t="shared" ref="P151:Y151" si="112">SUM(P152:P154)</f>
        <v>13.977374999999999</v>
      </c>
      <c r="Q151" s="221">
        <f t="shared" si="112"/>
        <v>14.189171875</v>
      </c>
      <c r="R151" s="221">
        <f t="shared" si="112"/>
        <v>14.469318359374999</v>
      </c>
      <c r="S151" s="221">
        <f t="shared" si="112"/>
        <v>14.621858154296875</v>
      </c>
      <c r="T151" s="221">
        <f t="shared" si="112"/>
        <v>14.201215423583987</v>
      </c>
      <c r="U151" s="221">
        <f t="shared" si="112"/>
        <v>13.930367351531981</v>
      </c>
      <c r="V151" s="221">
        <f t="shared" si="112"/>
        <v>14.02153827047348</v>
      </c>
      <c r="W151" s="221">
        <f t="shared" si="112"/>
        <v>14.108105554282664</v>
      </c>
      <c r="X151" s="221">
        <f t="shared" si="112"/>
        <v>14.189868748567996</v>
      </c>
      <c r="Y151" s="221">
        <f t="shared" si="112"/>
        <v>14.216430467138997</v>
      </c>
    </row>
    <row r="152" spans="1:37" ht="11.25" customHeight="1" x14ac:dyDescent="0.25">
      <c r="A152" s="1"/>
      <c r="B152" s="1"/>
      <c r="C152" s="1"/>
      <c r="D152" s="1"/>
      <c r="E152" s="1" t="s">
        <v>361</v>
      </c>
      <c r="F152" s="33"/>
      <c r="G152" s="33"/>
      <c r="H152" s="196">
        <v>5.5330000000000004</v>
      </c>
      <c r="I152" s="196">
        <v>5.7859999999999996</v>
      </c>
      <c r="J152" s="196">
        <v>5.556</v>
      </c>
      <c r="K152" s="196">
        <v>5.5069999999999997</v>
      </c>
      <c r="L152" s="196">
        <v>2.629</v>
      </c>
      <c r="M152" s="196">
        <v>2.6219999999999999</v>
      </c>
      <c r="N152" s="196">
        <v>2.7120000000000002</v>
      </c>
      <c r="O152" s="196">
        <v>2.802</v>
      </c>
      <c r="P152" s="196">
        <f>AVERAGE(H152:O152)</f>
        <v>4.1433749999999998</v>
      </c>
      <c r="Q152" s="196">
        <f t="shared" ref="Q152:Y154" si="113">AVERAGE(I152:P152)</f>
        <v>3.9696718749999995</v>
      </c>
      <c r="R152" s="196">
        <f t="shared" si="113"/>
        <v>3.7426308593749997</v>
      </c>
      <c r="S152" s="196">
        <f t="shared" si="113"/>
        <v>3.5159597167968748</v>
      </c>
      <c r="T152" s="196">
        <f t="shared" si="113"/>
        <v>3.2670796813964844</v>
      </c>
      <c r="U152" s="196">
        <f t="shared" si="113"/>
        <v>3.3468396415710444</v>
      </c>
      <c r="V152" s="196">
        <f t="shared" si="113"/>
        <v>3.4374445967674254</v>
      </c>
      <c r="W152" s="196">
        <f t="shared" si="113"/>
        <v>3.5281251713633535</v>
      </c>
      <c r="X152" s="196">
        <f t="shared" si="113"/>
        <v>3.6188908177837722</v>
      </c>
      <c r="Y152" s="196">
        <f t="shared" si="113"/>
        <v>3.5533302950067442</v>
      </c>
    </row>
    <row r="153" spans="1:37" ht="11.25" customHeight="1" x14ac:dyDescent="0.25">
      <c r="A153" s="1"/>
      <c r="B153" s="1"/>
      <c r="C153" s="1"/>
      <c r="D153" s="1"/>
      <c r="E153" s="1" t="s">
        <v>362</v>
      </c>
      <c r="F153" s="33"/>
      <c r="G153" s="33"/>
      <c r="H153" s="196">
        <v>6.75</v>
      </c>
      <c r="I153" s="196">
        <v>6.1619999999999999</v>
      </c>
      <c r="J153" s="196">
        <v>7.6929999999999996</v>
      </c>
      <c r="K153" s="196">
        <v>12.48</v>
      </c>
      <c r="L153" s="196">
        <v>13.666</v>
      </c>
      <c r="M153" s="196">
        <v>10.455</v>
      </c>
      <c r="N153" s="196">
        <v>10.49</v>
      </c>
      <c r="O153" s="196">
        <v>10.525</v>
      </c>
      <c r="P153" s="196">
        <f t="shared" ref="P153:P154" si="114">AVERAGE(H153:O153)</f>
        <v>9.7776249999999987</v>
      </c>
      <c r="Q153" s="196">
        <f t="shared" si="113"/>
        <v>10.156078125000001</v>
      </c>
      <c r="R153" s="196">
        <f t="shared" si="113"/>
        <v>10.655337890624999</v>
      </c>
      <c r="S153" s="196">
        <f t="shared" si="113"/>
        <v>11.025630126953125</v>
      </c>
      <c r="T153" s="196">
        <f t="shared" si="113"/>
        <v>10.843833892822268</v>
      </c>
      <c r="U153" s="196">
        <f t="shared" si="113"/>
        <v>10.491063129425047</v>
      </c>
      <c r="V153" s="196">
        <f t="shared" si="113"/>
        <v>10.49557102060318</v>
      </c>
      <c r="W153" s="196">
        <f t="shared" si="113"/>
        <v>10.496267398178578</v>
      </c>
      <c r="X153" s="196">
        <f t="shared" si="113"/>
        <v>10.492675822950899</v>
      </c>
      <c r="Y153" s="196">
        <f t="shared" si="113"/>
        <v>10.582057175819761</v>
      </c>
    </row>
    <row r="154" spans="1:37" ht="11.25" customHeight="1" x14ac:dyDescent="0.25">
      <c r="A154" s="1"/>
      <c r="B154" s="1"/>
      <c r="C154" s="1"/>
      <c r="D154" s="1"/>
      <c r="E154" s="1" t="s">
        <v>363</v>
      </c>
      <c r="F154" s="33"/>
      <c r="G154" s="33"/>
      <c r="H154" s="196">
        <v>0</v>
      </c>
      <c r="I154" s="196">
        <v>0</v>
      </c>
      <c r="J154" s="196">
        <v>0</v>
      </c>
      <c r="K154" s="196">
        <v>0</v>
      </c>
      <c r="L154" s="196">
        <v>7.2999999999999995E-2</v>
      </c>
      <c r="M154" s="196">
        <v>0.124</v>
      </c>
      <c r="N154" s="196">
        <v>0.127</v>
      </c>
      <c r="O154" s="196">
        <v>0.127</v>
      </c>
      <c r="P154" s="196">
        <f t="shared" si="114"/>
        <v>5.6375000000000001E-2</v>
      </c>
      <c r="Q154" s="196">
        <f t="shared" si="113"/>
        <v>6.3421875000000003E-2</v>
      </c>
      <c r="R154" s="196">
        <f t="shared" si="113"/>
        <v>7.1349609374999998E-2</v>
      </c>
      <c r="S154" s="196">
        <f t="shared" si="113"/>
        <v>8.0268310546874999E-2</v>
      </c>
      <c r="T154" s="196">
        <f t="shared" si="113"/>
        <v>9.0301849365234374E-2</v>
      </c>
      <c r="U154" s="196">
        <f t="shared" si="113"/>
        <v>9.2464580535888671E-2</v>
      </c>
      <c r="V154" s="196">
        <f t="shared" si="113"/>
        <v>8.8522653102874757E-2</v>
      </c>
      <c r="W154" s="196">
        <f t="shared" si="113"/>
        <v>8.3712984740734103E-2</v>
      </c>
      <c r="X154" s="196">
        <f t="shared" si="113"/>
        <v>7.8302107833325862E-2</v>
      </c>
      <c r="Y154" s="196">
        <f t="shared" si="113"/>
        <v>8.1042996312491594E-2</v>
      </c>
    </row>
    <row r="155" spans="1:37" ht="11.25" customHeight="1" x14ac:dyDescent="0.25">
      <c r="A155" s="1"/>
      <c r="B155" s="1"/>
      <c r="C155" s="1"/>
      <c r="D155" s="1"/>
      <c r="E155" s="1"/>
      <c r="F155" s="33"/>
      <c r="G155" s="33"/>
      <c r="H155" s="196"/>
      <c r="I155" s="196"/>
      <c r="J155" s="196"/>
      <c r="K155" s="196"/>
      <c r="L155" s="196"/>
      <c r="M155" s="196"/>
      <c r="N155" s="196"/>
      <c r="O155" s="39"/>
      <c r="P155" s="39"/>
      <c r="Q155" s="39"/>
      <c r="R155" s="39"/>
      <c r="S155" s="39"/>
      <c r="T155" s="39"/>
      <c r="U155" s="39"/>
      <c r="V155" s="39"/>
      <c r="W155" s="39"/>
      <c r="X155" s="39"/>
      <c r="Y155" s="39"/>
    </row>
    <row r="156" spans="1:37" ht="12.75" customHeight="1" x14ac:dyDescent="0.25">
      <c r="A156" s="2"/>
      <c r="B156" s="2"/>
      <c r="C156" s="2"/>
      <c r="D156" s="2"/>
      <c r="E156" s="42" t="s">
        <v>364</v>
      </c>
      <c r="F156" s="193"/>
      <c r="G156" s="68"/>
      <c r="H156" s="182"/>
      <c r="I156" s="182"/>
      <c r="J156" s="182"/>
      <c r="K156" s="182"/>
      <c r="L156" s="182"/>
      <c r="M156" s="182"/>
      <c r="N156" s="182"/>
      <c r="O156" s="182"/>
      <c r="P156" s="182"/>
      <c r="Q156" s="182"/>
      <c r="R156" s="182"/>
      <c r="S156" s="182"/>
      <c r="T156" s="182"/>
      <c r="U156" s="182"/>
      <c r="V156" s="182"/>
      <c r="W156" s="182"/>
      <c r="X156" s="182"/>
      <c r="Y156" s="182"/>
      <c r="Z156" s="194" t="s">
        <v>365</v>
      </c>
      <c r="AA156" s="194"/>
      <c r="AB156" s="194"/>
      <c r="AC156" s="194"/>
      <c r="AD156" s="194"/>
      <c r="AE156" s="194"/>
      <c r="AF156" s="194"/>
      <c r="AG156" s="194"/>
      <c r="AH156" s="194"/>
      <c r="AI156" s="194"/>
      <c r="AJ156" s="194"/>
      <c r="AK156" s="194"/>
    </row>
    <row r="157" spans="1:37" ht="12.75" customHeight="1" x14ac:dyDescent="0.25">
      <c r="A157" s="2"/>
      <c r="B157" s="2"/>
      <c r="C157" s="2"/>
      <c r="D157" s="2"/>
      <c r="E157" s="1" t="s">
        <v>355</v>
      </c>
      <c r="F157" s="33" t="s">
        <v>8</v>
      </c>
      <c r="G157" s="68"/>
      <c r="H157" s="222">
        <f>-H143 / '&gt;&gt; SKC segments'!H18</f>
        <v>9.8742043043346467E-2</v>
      </c>
      <c r="I157" s="222">
        <f>-I143 / '&gt;&gt; SKC segments'!I18</f>
        <v>9.4882181132032825E-2</v>
      </c>
      <c r="J157" s="222">
        <f>-J143 / '&gt;&gt; SKC segments'!J18</f>
        <v>8.6158459022351447E-2</v>
      </c>
      <c r="K157" s="222">
        <f>-K143 / '&gt;&gt; SKC segments'!K18</f>
        <v>0.10218008427589265</v>
      </c>
      <c r="L157" s="222">
        <f>-L143 / '&gt;&gt; SKC segments'!L18</f>
        <v>0.10422806788541646</v>
      </c>
      <c r="M157" s="222">
        <f>-M143 / '&gt;&gt; SKC segments'!M18</f>
        <v>0.14302560646900273</v>
      </c>
      <c r="N157" s="222">
        <f>-N143 / '&gt;&gt; SKC segments'!N18</f>
        <v>7.4398356486010564E-2</v>
      </c>
      <c r="O157" s="222">
        <f>-O143 / '&gt;&gt; SKC segments'!O18</f>
        <v>8.1922446750409619E-2</v>
      </c>
      <c r="P157" s="222">
        <f>-P143 / '&gt;&gt; SKC segments'!P18</f>
        <v>9.1732358904127537E-2</v>
      </c>
      <c r="Q157" s="474">
        <f>-Q143 / '&gt;&gt; SKC segments'!Q18</f>
        <v>9.6815154516229587E-2</v>
      </c>
      <c r="R157" s="474">
        <f>-R143 / '&gt;&gt; SKC segments'!R18</f>
        <v>9.4916818153166257E-2</v>
      </c>
      <c r="S157" s="474">
        <f>-S143 / '&gt;&gt; SKC segments'!S18</f>
        <v>9.3055704071731637E-2</v>
      </c>
      <c r="T157" s="474">
        <f>-T143 / '&gt;&gt; SKC segments'!T18</f>
        <v>9.1231082423266316E-2</v>
      </c>
      <c r="U157" s="474">
        <f>-U143 / '&gt;&gt; SKC segments'!U18</f>
        <v>8.9442237669868932E-2</v>
      </c>
      <c r="V157" s="474">
        <f>-V143 / '&gt;&gt; SKC segments'!V18</f>
        <v>8.768846830379308E-2</v>
      </c>
      <c r="W157" s="474">
        <f>-W143 / '&gt;&gt; SKC segments'!W18</f>
        <v>8.5969086572346171E-2</v>
      </c>
      <c r="X157" s="474">
        <f>-X143 / '&gt;&gt; SKC segments'!X18</f>
        <v>8.4283418208182512E-2</v>
      </c>
      <c r="Y157" s="474">
        <f>-Y143 / '&gt;&gt; SKC segments'!Y18</f>
        <v>8.2630802164884817E-2</v>
      </c>
      <c r="Z157" s="223">
        <f t="shared" ref="Z157:Z161" si="115">AVERAGE(H157:J157)</f>
        <v>9.3260894399243566E-2</v>
      </c>
      <c r="AA157" s="194"/>
      <c r="AB157" s="194"/>
      <c r="AC157" s="194"/>
      <c r="AD157" s="194"/>
      <c r="AE157" s="194"/>
      <c r="AF157" s="194"/>
      <c r="AG157" s="194"/>
      <c r="AH157" s="194"/>
      <c r="AI157" s="194"/>
      <c r="AJ157" s="194"/>
      <c r="AK157" s="194"/>
    </row>
    <row r="158" spans="1:37" ht="12.75" customHeight="1" x14ac:dyDescent="0.25">
      <c r="A158" s="2"/>
      <c r="B158" s="2"/>
      <c r="C158" s="2"/>
      <c r="D158" s="2"/>
      <c r="E158" s="1" t="s">
        <v>356</v>
      </c>
      <c r="F158" s="33" t="s">
        <v>8</v>
      </c>
      <c r="G158" s="68"/>
      <c r="H158" s="222">
        <f>-H144 / '&gt;&gt; SKC segments'!H19</f>
        <v>9.0174326465927102E-2</v>
      </c>
      <c r="I158" s="222">
        <f>-I144 / '&gt;&gt; SKC segments'!I19</f>
        <v>8.2649813307216741E-2</v>
      </c>
      <c r="J158" s="222">
        <f>-J144 / '&gt;&gt; SKC segments'!J19</f>
        <v>8.1174698795180716E-2</v>
      </c>
      <c r="K158" s="222">
        <f>-K144 / '&gt;&gt; SKC segments'!K19</f>
        <v>9.9019292604501596E-2</v>
      </c>
      <c r="L158" s="222">
        <f>-L144 / '&gt;&gt; SKC segments'!L19</f>
        <v>7.6744580166603654E-2</v>
      </c>
      <c r="M158" s="222">
        <f>-M144 / '&gt;&gt; SKC segments'!M19</f>
        <v>0.10043238660449341</v>
      </c>
      <c r="N158" s="222">
        <f>-N144 / '&gt;&gt; SKC segments'!N19</f>
        <v>6.9848465224711831E-2</v>
      </c>
      <c r="O158" s="222">
        <f>-O144 / '&gt;&gt; SKC segments'!O19</f>
        <v>7.1428571428571425E-2</v>
      </c>
      <c r="P158" s="222">
        <f>-P144 / '&gt;&gt; SKC segments'!P19</f>
        <v>6.5482079409744695E-2</v>
      </c>
      <c r="Q158" s="474">
        <f>-Q144 / '&gt;&gt; SKC segments'!Q19</f>
        <v>6.3938032500974767E-2</v>
      </c>
      <c r="R158" s="474">
        <f>-R144 / '&gt;&gt; SKC segments'!R19</f>
        <v>6.2810031360924959E-2</v>
      </c>
      <c r="S158" s="474">
        <f>-S144 / '&gt;&gt; SKC segments'!S19</f>
        <v>6.1718485628580025E-2</v>
      </c>
      <c r="T158" s="474">
        <f>-T144 / '&gt;&gt; SKC segments'!T19</f>
        <v>6.0113934552618688E-2</v>
      </c>
      <c r="U158" s="474">
        <f>-U144 / '&gt;&gt; SKC segments'!U19</f>
        <v>5.90383080010927E-2</v>
      </c>
      <c r="V158" s="474">
        <f>-V144 / '&gt;&gt; SKC segments'!V19</f>
        <v>5.7598749933867419E-2</v>
      </c>
      <c r="W158" s="474">
        <f>-W144 / '&gt;&gt; SKC segments'!W19</f>
        <v>5.667556242132165E-2</v>
      </c>
      <c r="X158" s="474">
        <f>-X144 / '&gt;&gt; SKC segments'!X19</f>
        <v>5.5664946305896149E-2</v>
      </c>
      <c r="Y158" s="474">
        <f>-Y144 / '&gt;&gt; SKC segments'!Y19</f>
        <v>5.4546102020997786E-2</v>
      </c>
      <c r="Z158" s="223">
        <f t="shared" si="115"/>
        <v>8.4666279522774848E-2</v>
      </c>
      <c r="AA158" s="194"/>
      <c r="AB158" s="194"/>
      <c r="AC158" s="194"/>
      <c r="AD158" s="194"/>
      <c r="AE158" s="194"/>
      <c r="AF158" s="194"/>
      <c r="AG158" s="194"/>
      <c r="AH158" s="194"/>
      <c r="AI158" s="194"/>
      <c r="AJ158" s="194"/>
      <c r="AK158" s="194"/>
    </row>
    <row r="159" spans="1:37" ht="12.75" customHeight="1" x14ac:dyDescent="0.25">
      <c r="A159" s="2"/>
      <c r="B159" s="2"/>
      <c r="C159" s="2"/>
      <c r="D159" s="2"/>
      <c r="E159" s="1" t="s">
        <v>266</v>
      </c>
      <c r="F159" s="33" t="s">
        <v>8</v>
      </c>
      <c r="G159" s="68"/>
      <c r="H159" s="222">
        <f>-H145 / '&gt;&gt; SKC segments'!H20</f>
        <v>0.12296426223899291</v>
      </c>
      <c r="I159" s="222">
        <f>-I145 / '&gt;&gt; SKC segments'!I20</f>
        <v>0.12240622238881899</v>
      </c>
      <c r="J159" s="222">
        <f>-J145 / '&gt;&gt; SKC segments'!J20</f>
        <v>0.12122520596016506</v>
      </c>
      <c r="K159" s="222">
        <f>-K145 / '&gt;&gt; SKC segments'!K20</f>
        <v>0.16157974032129738</v>
      </c>
      <c r="L159" s="222">
        <f>-L145 / '&gt;&gt; SKC segments'!L20</f>
        <v>0.11576905105336936</v>
      </c>
      <c r="M159" s="222">
        <f>-M145 / '&gt;&gt; SKC segments'!M20</f>
        <v>0.17992053124319618</v>
      </c>
      <c r="N159" s="222">
        <f>-N145 / '&gt;&gt; SKC segments'!N20</f>
        <v>0.13919004508028765</v>
      </c>
      <c r="O159" s="222">
        <f>-O145 / '&gt;&gt; SKC segments'!O20</f>
        <v>0.13660693218086759</v>
      </c>
      <c r="P159" s="222">
        <f>-P145 / '&gt;&gt; SKC segments'!P20</f>
        <v>0.14235725825412709</v>
      </c>
      <c r="Q159" s="474">
        <f>-Q145 / '&gt;&gt; SKC segments'!Q20</f>
        <v>0.13854036693640645</v>
      </c>
      <c r="R159" s="474">
        <f>-R145 / '&gt;&gt; SKC segments'!R20</f>
        <v>0.12445864067457574</v>
      </c>
      <c r="S159" s="474">
        <f>-S145 / '&gt;&gt; SKC segments'!S20</f>
        <v>0.12752073630413435</v>
      </c>
      <c r="T159" s="474">
        <f>-T145 / '&gt;&gt; SKC segments'!T20</f>
        <v>0.13035193937376943</v>
      </c>
      <c r="U159" s="474">
        <f>-U145 / '&gt;&gt; SKC segments'!U20</f>
        <v>0.13182627011764622</v>
      </c>
      <c r="V159" s="474">
        <f>-V145 / '&gt;&gt; SKC segments'!V20</f>
        <v>0.12823388627363747</v>
      </c>
      <c r="W159" s="474">
        <f>-W145 / '&gt;&gt; SKC segments'!W20</f>
        <v>0.12432136846306638</v>
      </c>
      <c r="X159" s="474">
        <f>-X145 / '&gt;&gt; SKC segments'!X20</f>
        <v>0.12077238774248716</v>
      </c>
      <c r="Y159" s="474">
        <f>-Y145 / '&gt;&gt; SKC segments'!Y20</f>
        <v>0.11730162617723761</v>
      </c>
      <c r="Z159" s="223">
        <f t="shared" si="115"/>
        <v>0.12219856352932566</v>
      </c>
      <c r="AA159" s="194"/>
      <c r="AB159" s="194"/>
      <c r="AC159" s="194"/>
      <c r="AD159" s="194"/>
      <c r="AE159" s="194"/>
      <c r="AF159" s="194"/>
      <c r="AG159" s="194"/>
      <c r="AH159" s="194"/>
      <c r="AI159" s="194"/>
      <c r="AJ159" s="194"/>
      <c r="AK159" s="194"/>
    </row>
    <row r="160" spans="1:37" ht="12.75" customHeight="1" x14ac:dyDescent="0.25">
      <c r="A160" s="2"/>
      <c r="B160" s="2"/>
      <c r="C160" s="2"/>
      <c r="D160" s="2"/>
      <c r="E160" s="1" t="s">
        <v>357</v>
      </c>
      <c r="F160" s="33" t="s">
        <v>8</v>
      </c>
      <c r="G160" s="68"/>
      <c r="H160" s="222">
        <f t="shared" ref="H160:N160" si="116">-H146 / H18</f>
        <v>2.5364579943092765E-2</v>
      </c>
      <c r="I160" s="222">
        <f t="shared" si="116"/>
        <v>2.2947869998236867E-2</v>
      </c>
      <c r="J160" s="222">
        <f t="shared" si="116"/>
        <v>1.6050283658940512E-2</v>
      </c>
      <c r="K160" s="222">
        <f t="shared" si="116"/>
        <v>1.8549515080763065E-2</v>
      </c>
      <c r="L160" s="222">
        <f t="shared" si="116"/>
        <v>2.1806585289863695E-2</v>
      </c>
      <c r="M160" s="222">
        <f t="shared" si="116"/>
        <v>2.105980207096542E-2</v>
      </c>
      <c r="N160" s="222">
        <f t="shared" si="116"/>
        <v>1.5163331215881115E-2</v>
      </c>
      <c r="O160" s="222">
        <f t="shared" ref="O160:Y160" si="117">-O146 / O18</f>
        <v>1.6287631140762461E-2</v>
      </c>
      <c r="P160" s="222">
        <f t="shared" si="117"/>
        <v>1.8977893497664794E-2</v>
      </c>
      <c r="Q160" s="474">
        <f t="shared" si="117"/>
        <v>1.9272365216629072E-2</v>
      </c>
      <c r="R160" s="474">
        <f t="shared" si="117"/>
        <v>1.8419724862949849E-2</v>
      </c>
      <c r="S160" s="474">
        <f t="shared" si="117"/>
        <v>1.8372336786132017E-2</v>
      </c>
      <c r="T160" s="474">
        <f t="shared" si="117"/>
        <v>1.8034565217381709E-2</v>
      </c>
      <c r="U160" s="474">
        <f t="shared" si="117"/>
        <v>1.736344838292311E-2</v>
      </c>
      <c r="V160" s="474">
        <f t="shared" si="117"/>
        <v>1.7124535886872849E-2</v>
      </c>
      <c r="W160" s="474">
        <f t="shared" si="117"/>
        <v>1.6774226669724886E-2</v>
      </c>
      <c r="X160" s="474">
        <f t="shared" si="117"/>
        <v>1.6612765393401913E-2</v>
      </c>
      <c r="Y160" s="474">
        <f t="shared" si="117"/>
        <v>1.6215086332725906E-2</v>
      </c>
      <c r="Z160" s="223">
        <f t="shared" si="115"/>
        <v>2.1454244533423383E-2</v>
      </c>
      <c r="AA160" s="194"/>
      <c r="AB160" s="194"/>
      <c r="AC160" s="194"/>
      <c r="AD160" s="194"/>
      <c r="AE160" s="194"/>
      <c r="AF160" s="194"/>
      <c r="AG160" s="194"/>
      <c r="AH160" s="194"/>
      <c r="AI160" s="194"/>
      <c r="AJ160" s="194"/>
      <c r="AK160" s="194"/>
    </row>
    <row r="161" spans="1:37" ht="12.75" customHeight="1" x14ac:dyDescent="0.25">
      <c r="A161" s="2"/>
      <c r="B161" s="2"/>
      <c r="C161" s="2"/>
      <c r="D161" s="2"/>
      <c r="E161" s="2" t="s">
        <v>366</v>
      </c>
      <c r="F161" s="33" t="s">
        <v>8</v>
      </c>
      <c r="G161" s="224"/>
      <c r="H161" s="225">
        <f t="shared" ref="H161:N161" si="118">-H142 / H18</f>
        <v>0.11628215690016035</v>
      </c>
      <c r="I161" s="225">
        <f t="shared" si="118"/>
        <v>0.10666622965049255</v>
      </c>
      <c r="J161" s="225">
        <f t="shared" si="118"/>
        <v>9.5680386074390722E-2</v>
      </c>
      <c r="K161" s="225">
        <f t="shared" si="118"/>
        <v>0.10537117898614327</v>
      </c>
      <c r="L161" s="225">
        <f t="shared" si="118"/>
        <v>0.11577450232909223</v>
      </c>
      <c r="M161" s="225">
        <f t="shared" si="118"/>
        <v>0.150659073763421</v>
      </c>
      <c r="N161" s="225">
        <f t="shared" si="118"/>
        <v>0.10087230873120853</v>
      </c>
      <c r="O161" s="225">
        <f t="shared" ref="O161:Y161" si="119">-O142 / O18</f>
        <v>0.10695544449100683</v>
      </c>
      <c r="P161" s="225">
        <f t="shared" si="119"/>
        <v>0.11523905689374203</v>
      </c>
      <c r="Q161" s="475">
        <f t="shared" si="119"/>
        <v>0.11684682892230457</v>
      </c>
      <c r="R161" s="475">
        <f t="shared" si="119"/>
        <v>0.11127071720692937</v>
      </c>
      <c r="S161" s="475">
        <f t="shared" si="119"/>
        <v>0.11078295543231892</v>
      </c>
      <c r="T161" s="475">
        <f t="shared" si="119"/>
        <v>0.1099187130024598</v>
      </c>
      <c r="U161" s="475">
        <f t="shared" si="119"/>
        <v>0.10845694269023494</v>
      </c>
      <c r="V161" s="475">
        <f t="shared" si="119"/>
        <v>0.10615406489468591</v>
      </c>
      <c r="W161" s="475">
        <f t="shared" si="119"/>
        <v>0.1037310353368579</v>
      </c>
      <c r="X161" s="475">
        <f t="shared" si="119"/>
        <v>0.10159839901027304</v>
      </c>
      <c r="Y161" s="475">
        <f t="shared" si="119"/>
        <v>9.9257807608214149E-2</v>
      </c>
      <c r="Z161" s="223">
        <f t="shared" si="115"/>
        <v>0.10620959087501454</v>
      </c>
      <c r="AA161" s="194"/>
      <c r="AB161" s="194"/>
      <c r="AC161" s="194"/>
      <c r="AD161" s="194"/>
      <c r="AE161" s="194"/>
      <c r="AF161" s="194"/>
      <c r="AG161" s="194"/>
      <c r="AH161" s="194"/>
      <c r="AI161" s="194"/>
      <c r="AJ161" s="194"/>
      <c r="AK161" s="194"/>
    </row>
    <row r="162" spans="1:37" ht="12.75" customHeight="1" x14ac:dyDescent="0.25">
      <c r="A162" s="2"/>
      <c r="B162" s="2"/>
      <c r="C162" s="2"/>
      <c r="D162" s="2"/>
      <c r="E162" s="2"/>
      <c r="F162" s="33"/>
      <c r="G162" s="224"/>
      <c r="H162" s="226"/>
      <c r="I162" s="226"/>
      <c r="J162" s="226"/>
      <c r="K162" s="226"/>
      <c r="L162" s="226"/>
      <c r="M162" s="226"/>
      <c r="N162" s="226"/>
      <c r="O162" s="226"/>
      <c r="P162" s="226"/>
      <c r="Q162" s="226"/>
      <c r="R162" s="226"/>
      <c r="S162" s="226"/>
      <c r="T162" s="226"/>
      <c r="U162" s="226"/>
      <c r="V162" s="226"/>
      <c r="W162" s="226"/>
      <c r="X162" s="226"/>
      <c r="Y162" s="226"/>
      <c r="Z162" s="194"/>
      <c r="AA162" s="194"/>
      <c r="AB162" s="194"/>
      <c r="AC162" s="194"/>
      <c r="AD162" s="194"/>
      <c r="AE162" s="194"/>
      <c r="AF162" s="194"/>
      <c r="AG162" s="194"/>
      <c r="AH162" s="194"/>
      <c r="AI162" s="194"/>
      <c r="AJ162" s="194"/>
      <c r="AK162" s="194"/>
    </row>
    <row r="163" spans="1:37" ht="11.25" customHeight="1" x14ac:dyDescent="0.25">
      <c r="A163" s="1"/>
      <c r="B163" s="1"/>
      <c r="C163" s="1"/>
      <c r="D163" s="1"/>
      <c r="E163" s="1" t="s">
        <v>367</v>
      </c>
      <c r="F163" s="33" t="s">
        <v>8</v>
      </c>
      <c r="G163" s="33"/>
      <c r="H163" s="227">
        <f t="shared" ref="H163:N163" si="120">-H106 / H30</f>
        <v>15.385385124395841</v>
      </c>
      <c r="I163" s="227">
        <f t="shared" si="120"/>
        <v>1.4822265906732701</v>
      </c>
      <c r="J163" s="227">
        <f t="shared" si="120"/>
        <v>1.7803253998581337</v>
      </c>
      <c r="K163" s="227">
        <f t="shared" si="120"/>
        <v>16.594538871818731</v>
      </c>
      <c r="L163" s="227">
        <f t="shared" si="120"/>
        <v>0</v>
      </c>
      <c r="M163" s="227">
        <f t="shared" si="120"/>
        <v>-1.2406383016516618</v>
      </c>
      <c r="N163" s="227">
        <f t="shared" si="120"/>
        <v>4.4464430799037542</v>
      </c>
      <c r="O163" s="228">
        <v>0</v>
      </c>
      <c r="P163" s="228">
        <v>0</v>
      </c>
      <c r="Q163" s="476">
        <v>0.7</v>
      </c>
      <c r="R163" s="228">
        <v>0.61344073620152539</v>
      </c>
      <c r="S163" s="228">
        <v>0.61344073620152539</v>
      </c>
      <c r="T163" s="228">
        <v>0.61344073620152539</v>
      </c>
      <c r="U163" s="228">
        <v>0.61344073620152539</v>
      </c>
      <c r="V163" s="228">
        <v>0.61344073620152539</v>
      </c>
      <c r="W163" s="228">
        <v>0.61344073620152539</v>
      </c>
      <c r="X163" s="228">
        <v>0.61344073620152539</v>
      </c>
      <c r="Y163" s="228">
        <v>0.61344073620152539</v>
      </c>
      <c r="Z163" s="192" t="s">
        <v>368</v>
      </c>
    </row>
    <row r="164" spans="1:37" ht="11.25" customHeight="1" x14ac:dyDescent="0.25">
      <c r="A164" s="1"/>
      <c r="B164" s="1"/>
      <c r="C164" s="1"/>
      <c r="D164" s="1"/>
      <c r="E164" s="1"/>
      <c r="F164" s="33"/>
      <c r="G164" s="33"/>
      <c r="H164" s="84"/>
      <c r="I164" s="84"/>
      <c r="J164" s="84"/>
      <c r="K164" s="84"/>
      <c r="L164" s="84"/>
      <c r="M164" s="84"/>
      <c r="N164" s="84"/>
      <c r="O164" s="84"/>
      <c r="P164" s="84"/>
      <c r="Q164" s="84"/>
      <c r="R164" s="84"/>
      <c r="S164" s="84"/>
      <c r="T164" s="84"/>
      <c r="U164" s="84"/>
      <c r="V164" s="84"/>
      <c r="W164" s="84"/>
      <c r="X164" s="84"/>
      <c r="Y164" s="84"/>
    </row>
    <row r="165" spans="1:37" ht="11.25" customHeight="1" x14ac:dyDescent="0.25">
      <c r="A165" s="1"/>
      <c r="B165" s="1"/>
      <c r="C165" s="1"/>
      <c r="D165" s="1" t="s">
        <v>369</v>
      </c>
      <c r="E165" s="1"/>
      <c r="F165" s="33"/>
      <c r="G165" s="33"/>
      <c r="H165" s="84"/>
      <c r="I165" s="84"/>
      <c r="J165" s="84"/>
      <c r="K165" s="84"/>
      <c r="L165" s="84"/>
      <c r="M165" s="84"/>
      <c r="N165" s="84"/>
      <c r="O165" s="84"/>
      <c r="P165" s="84"/>
      <c r="Q165" s="84"/>
      <c r="R165" s="84"/>
      <c r="S165" s="84"/>
      <c r="T165" s="84"/>
      <c r="U165" s="84"/>
      <c r="V165" s="84"/>
      <c r="W165" s="84"/>
      <c r="X165" s="84"/>
      <c r="Y165" s="84"/>
    </row>
    <row r="166" spans="1:37" ht="11.25" customHeight="1" x14ac:dyDescent="0.25">
      <c r="A166" s="1"/>
      <c r="B166" s="1"/>
      <c r="C166" s="1"/>
      <c r="D166" s="1" t="s">
        <v>370</v>
      </c>
      <c r="E166" s="1"/>
      <c r="F166" s="33"/>
      <c r="G166" s="33"/>
      <c r="H166" s="84"/>
      <c r="I166" s="84"/>
      <c r="J166" s="84"/>
      <c r="K166" s="39"/>
      <c r="L166" s="39"/>
      <c r="M166" s="39"/>
      <c r="N166" s="39"/>
      <c r="O166" s="39"/>
      <c r="P166" s="39"/>
      <c r="Q166" s="39"/>
      <c r="R166" s="39"/>
      <c r="S166" s="39"/>
      <c r="T166" s="39"/>
      <c r="U166" s="39"/>
      <c r="V166" s="39"/>
      <c r="W166" s="39"/>
      <c r="X166" s="39"/>
      <c r="Y166" s="39"/>
    </row>
    <row r="167" spans="1:37" ht="11.25" customHeight="1" x14ac:dyDescent="0.25">
      <c r="A167" s="1"/>
      <c r="B167" s="1"/>
      <c r="C167" s="1"/>
      <c r="D167" s="17" t="s">
        <v>371</v>
      </c>
      <c r="E167" s="1"/>
      <c r="F167" s="33"/>
      <c r="G167" s="33"/>
      <c r="H167" s="84"/>
      <c r="I167" s="84"/>
      <c r="J167" s="84"/>
      <c r="K167" s="39"/>
      <c r="L167" s="39"/>
      <c r="M167" s="39"/>
      <c r="N167" s="39"/>
      <c r="O167" s="39"/>
      <c r="P167" s="39"/>
      <c r="Q167" s="39"/>
      <c r="R167" s="39"/>
      <c r="S167" s="39"/>
      <c r="T167" s="39"/>
      <c r="U167" s="39"/>
      <c r="V167" s="39"/>
      <c r="W167" s="39"/>
      <c r="X167" s="39"/>
      <c r="Y167" s="39"/>
    </row>
    <row r="168" spans="1:37" ht="11.25" customHeight="1" x14ac:dyDescent="0.25">
      <c r="A168" s="1"/>
      <c r="B168" s="1"/>
      <c r="C168" s="1"/>
      <c r="D168" s="1"/>
      <c r="E168" s="1" t="s">
        <v>372</v>
      </c>
      <c r="F168" s="33" t="s">
        <v>28</v>
      </c>
      <c r="G168" s="33"/>
      <c r="H168" s="84"/>
      <c r="I168" s="84"/>
      <c r="J168" s="84"/>
      <c r="K168" s="39"/>
      <c r="L168" s="39">
        <f>K42</f>
        <v>-7.1549759215780995E-3</v>
      </c>
      <c r="M168" s="39">
        <f>L42</f>
        <v>0.63139634235804865</v>
      </c>
      <c r="N168" s="39">
        <f>M42</f>
        <v>0.29038486972622657</v>
      </c>
      <c r="O168" s="39"/>
      <c r="P168" s="39"/>
      <c r="Q168" s="39"/>
      <c r="R168" s="39"/>
      <c r="S168" s="39"/>
      <c r="T168" s="39"/>
      <c r="U168" s="39"/>
      <c r="V168" s="39"/>
      <c r="W168" s="39"/>
      <c r="X168" s="39"/>
      <c r="Y168" s="39"/>
    </row>
    <row r="169" spans="1:37" ht="11.25" customHeight="1" x14ac:dyDescent="0.25">
      <c r="A169" s="1"/>
      <c r="B169" s="1"/>
      <c r="C169" s="1"/>
      <c r="D169" s="1" t="s">
        <v>91</v>
      </c>
      <c r="E169" s="1" t="s">
        <v>373</v>
      </c>
      <c r="F169" s="33" t="s">
        <v>28</v>
      </c>
      <c r="G169" s="33"/>
      <c r="H169" s="84"/>
      <c r="I169" s="84"/>
      <c r="J169" s="84"/>
      <c r="K169" s="39"/>
      <c r="L169" s="39">
        <v>0</v>
      </c>
      <c r="M169" s="39"/>
      <c r="N169" s="39"/>
      <c r="O169" s="39"/>
      <c r="P169" s="39"/>
      <c r="Q169" s="39"/>
      <c r="R169" s="39"/>
      <c r="S169" s="39"/>
      <c r="T169" s="39"/>
      <c r="U169" s="39"/>
      <c r="V169" s="39"/>
      <c r="W169" s="39"/>
      <c r="X169" s="39"/>
      <c r="Y169" s="39"/>
    </row>
    <row r="170" spans="1:37" ht="11.25" customHeight="1" x14ac:dyDescent="0.25">
      <c r="A170" s="1"/>
      <c r="B170" s="1"/>
      <c r="C170" s="1"/>
      <c r="D170" s="1" t="s">
        <v>93</v>
      </c>
      <c r="E170" s="1" t="s">
        <v>374</v>
      </c>
      <c r="F170" s="33" t="s">
        <v>28</v>
      </c>
      <c r="G170" s="33"/>
      <c r="H170" s="84"/>
      <c r="I170" s="84"/>
      <c r="J170" s="84"/>
      <c r="K170" s="39"/>
      <c r="L170" s="39">
        <f>L22</f>
        <v>-1.8939999999999999</v>
      </c>
      <c r="M170" s="39">
        <f>M22</f>
        <v>-5.968</v>
      </c>
      <c r="N170" s="39">
        <f>N22</f>
        <v>-6.3090000000000002</v>
      </c>
      <c r="O170" s="39"/>
      <c r="P170" s="39"/>
      <c r="Q170" s="39"/>
      <c r="R170" s="39"/>
      <c r="S170" s="39"/>
      <c r="T170" s="39"/>
      <c r="U170" s="39"/>
      <c r="V170" s="39"/>
      <c r="W170" s="39"/>
      <c r="X170" s="39"/>
      <c r="Y170" s="39"/>
    </row>
    <row r="171" spans="1:37" ht="11.25" customHeight="1" x14ac:dyDescent="0.25">
      <c r="A171" s="1"/>
      <c r="B171" s="1"/>
      <c r="C171" s="1"/>
      <c r="D171" s="1" t="s">
        <v>375</v>
      </c>
      <c r="E171" s="1" t="s">
        <v>376</v>
      </c>
      <c r="F171" s="33" t="s">
        <v>28</v>
      </c>
      <c r="G171" s="33"/>
      <c r="H171" s="84"/>
      <c r="I171" s="84"/>
      <c r="J171" s="84"/>
      <c r="K171" s="39"/>
      <c r="L171" s="39">
        <f t="shared" ref="L171:N171" si="121">L172-L168-L169-L170</f>
        <v>2.5325513182796264</v>
      </c>
      <c r="M171" s="39">
        <f t="shared" si="121"/>
        <v>5.6269885273681783</v>
      </c>
      <c r="N171" s="39">
        <f t="shared" si="121"/>
        <v>5.0764795502561446</v>
      </c>
      <c r="O171" s="39"/>
      <c r="P171" s="39"/>
      <c r="Q171" s="39"/>
      <c r="R171" s="39"/>
      <c r="S171" s="39"/>
      <c r="T171" s="39"/>
      <c r="U171" s="39"/>
      <c r="V171" s="39"/>
      <c r="W171" s="39"/>
      <c r="X171" s="39"/>
      <c r="Y171" s="39"/>
    </row>
    <row r="172" spans="1:37" ht="11.25" customHeight="1" x14ac:dyDescent="0.25">
      <c r="A172" s="1"/>
      <c r="B172" s="1"/>
      <c r="C172" s="1"/>
      <c r="D172" s="1"/>
      <c r="E172" s="1" t="s">
        <v>377</v>
      </c>
      <c r="F172" s="33" t="s">
        <v>28</v>
      </c>
      <c r="G172" s="33"/>
      <c r="H172" s="84"/>
      <c r="I172" s="84"/>
      <c r="J172" s="84"/>
      <c r="K172" s="39"/>
      <c r="L172" s="39">
        <f>L42</f>
        <v>0.63139634235804865</v>
      </c>
      <c r="M172" s="39">
        <f>M42</f>
        <v>0.29038486972622657</v>
      </c>
      <c r="N172" s="39">
        <f>N42</f>
        <v>-0.94213558001762909</v>
      </c>
      <c r="O172" s="39"/>
      <c r="P172" s="39"/>
      <c r="Q172" s="39"/>
      <c r="R172" s="39"/>
      <c r="S172" s="39"/>
      <c r="T172" s="39"/>
      <c r="U172" s="39"/>
      <c r="V172" s="39"/>
      <c r="W172" s="39"/>
      <c r="X172" s="39"/>
      <c r="Y172" s="39"/>
    </row>
    <row r="173" spans="1:37" ht="11.25" customHeight="1" x14ac:dyDescent="0.25">
      <c r="A173" s="1"/>
      <c r="B173" s="1"/>
      <c r="C173" s="1"/>
      <c r="D173" s="1"/>
      <c r="E173" s="1"/>
      <c r="F173" s="33"/>
      <c r="G173" s="33"/>
      <c r="H173" s="84"/>
      <c r="I173" s="84"/>
      <c r="J173" s="84"/>
      <c r="K173" s="39"/>
      <c r="L173" s="39"/>
      <c r="M173" s="39"/>
      <c r="N173" s="39"/>
      <c r="O173" s="39"/>
      <c r="P173" s="39"/>
      <c r="Q173" s="39"/>
      <c r="R173" s="39"/>
      <c r="S173" s="39"/>
      <c r="T173" s="39"/>
      <c r="U173" s="39"/>
      <c r="V173" s="39"/>
      <c r="W173" s="39"/>
      <c r="X173" s="39"/>
      <c r="Y173" s="39"/>
    </row>
    <row r="174" spans="1:37" ht="11.25" customHeight="1" x14ac:dyDescent="0.25">
      <c r="A174" s="1"/>
      <c r="B174" s="1"/>
      <c r="C174" s="1"/>
      <c r="D174" s="17" t="s">
        <v>378</v>
      </c>
      <c r="E174" s="1"/>
      <c r="F174" s="33"/>
      <c r="G174" s="33"/>
      <c r="H174" s="84"/>
      <c r="I174" s="84"/>
      <c r="J174" s="84"/>
      <c r="K174" s="39"/>
      <c r="L174" s="39"/>
      <c r="M174" s="39"/>
      <c r="N174" s="39"/>
      <c r="O174" s="39"/>
      <c r="P174" s="39"/>
      <c r="Q174" s="39"/>
      <c r="R174" s="39"/>
      <c r="S174" s="39"/>
      <c r="T174" s="39"/>
      <c r="U174" s="39"/>
      <c r="V174" s="39"/>
      <c r="W174" s="39"/>
      <c r="X174" s="39"/>
      <c r="Y174" s="39"/>
    </row>
    <row r="175" spans="1:37" ht="11.25" customHeight="1" x14ac:dyDescent="0.25">
      <c r="A175" s="1"/>
      <c r="B175" s="1"/>
      <c r="C175" s="1"/>
      <c r="D175" s="1"/>
      <c r="E175" s="1" t="s">
        <v>379</v>
      </c>
      <c r="F175" s="33" t="s">
        <v>28</v>
      </c>
      <c r="G175" s="33"/>
      <c r="H175" s="84"/>
      <c r="I175" s="84"/>
      <c r="J175" s="84"/>
      <c r="K175" s="39"/>
      <c r="L175" s="39">
        <f>-SUM(K52,K49)</f>
        <v>-54.25928042650861</v>
      </c>
      <c r="M175" s="39">
        <f>-SUM(L52,L49)</f>
        <v>-126.87994447729231</v>
      </c>
      <c r="N175" s="39">
        <f>-SUM(M52,M49)</f>
        <v>-125.9996849377396</v>
      </c>
      <c r="O175" s="39"/>
      <c r="P175" s="39"/>
      <c r="Q175" s="39"/>
      <c r="R175" s="39"/>
      <c r="S175" s="39"/>
      <c r="T175" s="39"/>
      <c r="U175" s="39"/>
      <c r="V175" s="39"/>
      <c r="W175" s="39"/>
      <c r="X175" s="39"/>
      <c r="Y175" s="39"/>
    </row>
    <row r="176" spans="1:37" ht="11.25" customHeight="1" x14ac:dyDescent="0.25">
      <c r="A176" s="1"/>
      <c r="B176" s="1"/>
      <c r="C176" s="1"/>
      <c r="D176" s="1" t="s">
        <v>91</v>
      </c>
      <c r="E176" s="1" t="s">
        <v>373</v>
      </c>
      <c r="F176" s="33" t="s">
        <v>28</v>
      </c>
      <c r="G176" s="33"/>
      <c r="H176" s="84"/>
      <c r="I176" s="84"/>
      <c r="J176" s="84"/>
      <c r="K176" s="39"/>
      <c r="L176" s="39">
        <f t="shared" ref="L176:N176" si="122">L169</f>
        <v>0</v>
      </c>
      <c r="M176" s="39">
        <f t="shared" si="122"/>
        <v>0</v>
      </c>
      <c r="N176" s="39">
        <f t="shared" si="122"/>
        <v>0</v>
      </c>
      <c r="O176" s="39"/>
      <c r="P176" s="39"/>
      <c r="Q176" s="39"/>
      <c r="R176" s="39"/>
      <c r="S176" s="39"/>
      <c r="T176" s="39"/>
      <c r="U176" s="39"/>
      <c r="V176" s="39"/>
      <c r="W176" s="39"/>
      <c r="X176" s="39"/>
      <c r="Y176" s="39"/>
    </row>
    <row r="177" spans="1:37" ht="11.25" customHeight="1" x14ac:dyDescent="0.25">
      <c r="A177" s="1"/>
      <c r="B177" s="1"/>
      <c r="C177" s="1"/>
      <c r="D177" s="1" t="s">
        <v>93</v>
      </c>
      <c r="E177" s="1" t="s">
        <v>380</v>
      </c>
      <c r="F177" s="33" t="s">
        <v>28</v>
      </c>
      <c r="G177" s="33"/>
      <c r="H177" s="84"/>
      <c r="I177" s="84"/>
      <c r="J177" s="84"/>
      <c r="K177" s="39"/>
      <c r="L177" s="39">
        <f t="shared" ref="L177:N177" si="123">L107</f>
        <v>-6.569</v>
      </c>
      <c r="M177" s="39">
        <f t="shared" si="123"/>
        <v>-9.3460000000000001</v>
      </c>
      <c r="N177" s="39">
        <f t="shared" si="123"/>
        <v>-10.106999999999999</v>
      </c>
      <c r="O177" s="39"/>
      <c r="P177" s="39"/>
      <c r="Q177" s="39"/>
      <c r="R177" s="39"/>
      <c r="S177" s="39"/>
      <c r="T177" s="39"/>
      <c r="U177" s="39"/>
      <c r="V177" s="39"/>
      <c r="W177" s="39"/>
      <c r="X177" s="39"/>
      <c r="Y177" s="39"/>
    </row>
    <row r="178" spans="1:37" ht="11.25" customHeight="1" x14ac:dyDescent="0.25">
      <c r="A178" s="1"/>
      <c r="B178" s="1"/>
      <c r="C178" s="1"/>
      <c r="D178" s="1" t="s">
        <v>375</v>
      </c>
      <c r="E178" s="1" t="s">
        <v>376</v>
      </c>
      <c r="F178" s="33" t="s">
        <v>28</v>
      </c>
      <c r="G178" s="33"/>
      <c r="H178" s="84"/>
      <c r="I178" s="84"/>
      <c r="J178" s="84"/>
      <c r="K178" s="39"/>
      <c r="L178" s="39">
        <f t="shared" ref="L178:N178" si="124">L179-L175-L176-L177</f>
        <v>-66.0516640507837</v>
      </c>
      <c r="M178" s="39">
        <f t="shared" si="124"/>
        <v>10.226259539552711</v>
      </c>
      <c r="N178" s="39">
        <f t="shared" si="124"/>
        <v>13.663712212974758</v>
      </c>
      <c r="O178" s="39"/>
      <c r="P178" s="39"/>
      <c r="Q178" s="39"/>
      <c r="R178" s="39"/>
      <c r="S178" s="39"/>
      <c r="T178" s="39"/>
      <c r="U178" s="39"/>
      <c r="V178" s="39"/>
      <c r="W178" s="39"/>
      <c r="X178" s="39"/>
      <c r="Y178" s="39"/>
    </row>
    <row r="179" spans="1:37" ht="11.25" customHeight="1" x14ac:dyDescent="0.25">
      <c r="A179" s="1"/>
      <c r="B179" s="1"/>
      <c r="C179" s="1"/>
      <c r="D179" s="1"/>
      <c r="E179" s="1" t="s">
        <v>381</v>
      </c>
      <c r="F179" s="33" t="s">
        <v>28</v>
      </c>
      <c r="G179" s="33"/>
      <c r="H179" s="84"/>
      <c r="I179" s="84"/>
      <c r="J179" s="84"/>
      <c r="K179" s="39"/>
      <c r="L179" s="39">
        <f>-SUM(L49,L52)</f>
        <v>-126.87994447729231</v>
      </c>
      <c r="M179" s="39">
        <f>-SUM(M49,M52)</f>
        <v>-125.9996849377396</v>
      </c>
      <c r="N179" s="39">
        <f>-SUM(N49,N52)</f>
        <v>-122.44297272476484</v>
      </c>
      <c r="O179" s="39"/>
      <c r="P179" s="39"/>
      <c r="Q179" s="39"/>
      <c r="R179" s="39"/>
      <c r="S179" s="39"/>
      <c r="T179" s="39"/>
      <c r="U179" s="39"/>
      <c r="V179" s="39"/>
      <c r="W179" s="39"/>
      <c r="X179" s="39"/>
      <c r="Y179" s="39"/>
    </row>
    <row r="180" spans="1:37" ht="11.25" customHeight="1" x14ac:dyDescent="0.25">
      <c r="A180" s="1"/>
      <c r="B180" s="1"/>
      <c r="C180" s="1"/>
      <c r="D180" s="1"/>
      <c r="E180" s="1"/>
      <c r="F180" s="33"/>
      <c r="G180" s="33"/>
      <c r="H180" s="84"/>
      <c r="I180" s="84"/>
      <c r="J180" s="84"/>
      <c r="K180" s="39"/>
      <c r="L180" s="39"/>
      <c r="M180" s="39"/>
      <c r="N180" s="39"/>
      <c r="O180" s="39"/>
      <c r="P180" s="39"/>
      <c r="Q180" s="39"/>
      <c r="R180" s="39"/>
      <c r="S180" s="39"/>
      <c r="T180" s="39"/>
      <c r="U180" s="39"/>
      <c r="V180" s="39"/>
      <c r="W180" s="39"/>
      <c r="X180" s="39"/>
      <c r="Y180" s="39"/>
    </row>
    <row r="181" spans="1:37" ht="11.25" customHeight="1" x14ac:dyDescent="0.25">
      <c r="A181" s="1"/>
      <c r="B181" s="1"/>
      <c r="C181" s="1"/>
      <c r="D181" s="1"/>
      <c r="E181" s="1" t="s">
        <v>382</v>
      </c>
      <c r="F181" s="33" t="s">
        <v>28</v>
      </c>
      <c r="G181" s="33"/>
      <c r="H181" s="39"/>
      <c r="I181" s="39"/>
      <c r="J181" s="39"/>
      <c r="K181" s="39"/>
      <c r="L181" s="39">
        <f>L25</f>
        <v>-3.5659999999999998</v>
      </c>
      <c r="M181" s="39">
        <f>M25</f>
        <v>-6.1689999999999996</v>
      </c>
      <c r="N181" s="39">
        <f>N25</f>
        <v>-6.3780000000000001</v>
      </c>
      <c r="O181" s="39"/>
      <c r="P181" s="39"/>
      <c r="Q181" s="39"/>
      <c r="R181" s="39"/>
      <c r="S181" s="39"/>
      <c r="T181" s="39"/>
      <c r="U181" s="39"/>
      <c r="V181" s="39"/>
      <c r="W181" s="39"/>
      <c r="X181" s="39"/>
      <c r="Y181" s="39"/>
    </row>
    <row r="182" spans="1:37" ht="11.25" customHeight="1" x14ac:dyDescent="0.25">
      <c r="A182" s="1"/>
      <c r="B182" s="1"/>
      <c r="C182" s="1"/>
      <c r="D182" s="1"/>
      <c r="E182" s="1"/>
      <c r="F182" s="33"/>
      <c r="G182" s="33"/>
      <c r="H182" s="84"/>
      <c r="I182" s="84"/>
      <c r="J182" s="84"/>
      <c r="K182" s="39"/>
      <c r="L182" s="39"/>
      <c r="M182" s="39"/>
      <c r="N182" s="39"/>
      <c r="O182" s="39"/>
      <c r="P182" s="39"/>
      <c r="Q182" s="39"/>
      <c r="R182" s="39"/>
      <c r="S182" s="39"/>
      <c r="T182" s="39"/>
      <c r="U182" s="39"/>
      <c r="V182" s="39"/>
      <c r="W182" s="39"/>
      <c r="X182" s="39"/>
      <c r="Y182" s="39"/>
    </row>
    <row r="183" spans="1:37" ht="11.25" customHeight="1" x14ac:dyDescent="0.25">
      <c r="A183" s="1"/>
      <c r="B183" s="1"/>
      <c r="C183" s="1"/>
      <c r="D183" s="1"/>
      <c r="E183" s="1" t="s">
        <v>383</v>
      </c>
      <c r="F183" s="33" t="s">
        <v>28</v>
      </c>
      <c r="G183" s="33"/>
      <c r="H183" s="84"/>
      <c r="I183" s="84"/>
      <c r="J183" s="84"/>
      <c r="K183" s="39"/>
      <c r="L183" s="39"/>
      <c r="M183" s="39"/>
      <c r="N183" s="39">
        <v>8.287534139818483</v>
      </c>
      <c r="O183" s="39"/>
      <c r="P183" s="39"/>
      <c r="Q183" s="39"/>
      <c r="R183" s="39"/>
      <c r="S183" s="39"/>
      <c r="T183" s="39"/>
      <c r="U183" s="39"/>
      <c r="V183" s="39"/>
      <c r="W183" s="39"/>
      <c r="X183" s="39"/>
      <c r="Y183" s="39"/>
    </row>
    <row r="184" spans="1:37" ht="11.25" customHeight="1" x14ac:dyDescent="0.25">
      <c r="A184" s="1"/>
      <c r="B184" s="1"/>
      <c r="C184" s="1"/>
      <c r="D184" s="1"/>
      <c r="E184" s="1" t="s">
        <v>384</v>
      </c>
      <c r="F184" s="33" t="s">
        <v>28</v>
      </c>
      <c r="G184" s="33"/>
      <c r="H184" s="84"/>
      <c r="I184" s="84"/>
      <c r="J184" s="84"/>
      <c r="K184" s="39"/>
      <c r="L184" s="39"/>
      <c r="M184" s="39"/>
      <c r="N184" s="39">
        <v>0.39365787164137794</v>
      </c>
      <c r="O184" s="39"/>
      <c r="P184" s="39"/>
      <c r="Q184" s="39"/>
      <c r="R184" s="39"/>
      <c r="S184" s="39"/>
      <c r="T184" s="39"/>
      <c r="U184" s="39"/>
      <c r="V184" s="39"/>
      <c r="W184" s="39"/>
      <c r="X184" s="39"/>
      <c r="Y184" s="39"/>
    </row>
    <row r="185" spans="1:37" ht="11.25" customHeight="1" x14ac:dyDescent="0.25">
      <c r="A185" s="1"/>
      <c r="B185" s="1"/>
      <c r="C185" s="1"/>
      <c r="D185" s="1"/>
      <c r="E185" s="1" t="s">
        <v>385</v>
      </c>
      <c r="F185" s="33" t="s">
        <v>8</v>
      </c>
      <c r="G185" s="33"/>
      <c r="H185" s="84"/>
      <c r="I185" s="84"/>
      <c r="J185" s="84"/>
      <c r="K185" s="39"/>
      <c r="L185" s="39"/>
      <c r="M185" s="39"/>
      <c r="N185" s="28"/>
      <c r="O185" s="28"/>
      <c r="P185" s="28"/>
      <c r="Q185" s="28"/>
      <c r="R185" s="28"/>
      <c r="S185" s="28"/>
      <c r="T185" s="28"/>
      <c r="U185" s="28"/>
      <c r="V185" s="28"/>
      <c r="W185" s="28"/>
      <c r="X185" s="28"/>
      <c r="Y185" s="28"/>
    </row>
    <row r="186" spans="1:37" ht="11.25" customHeight="1" x14ac:dyDescent="0.25">
      <c r="A186" s="1"/>
      <c r="B186" s="1"/>
      <c r="C186" s="1"/>
      <c r="D186" s="1"/>
      <c r="E186" s="1"/>
      <c r="F186" s="33"/>
      <c r="G186" s="33"/>
      <c r="H186" s="84"/>
      <c r="I186" s="84"/>
      <c r="J186" s="84"/>
      <c r="K186" s="39"/>
      <c r="L186" s="39"/>
      <c r="M186" s="39"/>
      <c r="N186" s="39"/>
      <c r="O186" s="39"/>
      <c r="P186" s="39"/>
      <c r="Q186" s="39"/>
      <c r="R186" s="39"/>
      <c r="S186" s="39"/>
      <c r="T186" s="39"/>
      <c r="U186" s="39"/>
      <c r="V186" s="39"/>
      <c r="W186" s="39"/>
      <c r="X186" s="39"/>
      <c r="Y186" s="39"/>
    </row>
    <row r="187" spans="1:37" ht="12.75" customHeight="1" x14ac:dyDescent="0.25">
      <c r="A187" s="1"/>
      <c r="B187" s="1"/>
      <c r="C187" s="1"/>
      <c r="D187" s="1"/>
      <c r="E187" s="1" t="s">
        <v>386</v>
      </c>
      <c r="F187" s="14" t="s">
        <v>8</v>
      </c>
      <c r="G187" s="14"/>
      <c r="H187" s="28"/>
      <c r="I187" s="28"/>
      <c r="J187" s="28"/>
      <c r="K187" s="41"/>
      <c r="L187" s="229">
        <f>'&gt;&gt; Fin Stmts'!L42 / '&gt;&gt; Fin Stmts'!L18</f>
        <v>7.9966303817741689E-4</v>
      </c>
      <c r="M187" s="230">
        <f>'&gt;&gt; Fin Stmts'!M42 / '&gt;&gt; Fin Stmts'!M18</f>
        <v>4.6217109135711988E-4</v>
      </c>
      <c r="N187" s="230">
        <f>'&gt;&gt; Fin Stmts'!N42 / '&gt;&gt; Fin Stmts'!N18</f>
        <v>-1.0481228063150092E-3</v>
      </c>
      <c r="O187" s="231"/>
      <c r="P187" s="231"/>
      <c r="Q187" s="231"/>
      <c r="R187" s="231"/>
      <c r="S187" s="231"/>
      <c r="T187" s="231"/>
      <c r="U187" s="231"/>
      <c r="V187" s="231"/>
      <c r="W187" s="231"/>
      <c r="X187" s="231"/>
      <c r="Y187" s="231"/>
      <c r="Z187" s="1"/>
      <c r="AA187" s="1"/>
      <c r="AB187" s="1"/>
      <c r="AC187" s="1"/>
      <c r="AD187" s="1"/>
      <c r="AE187" s="1"/>
      <c r="AF187" s="1"/>
      <c r="AG187" s="1"/>
      <c r="AH187" s="1"/>
      <c r="AI187" s="1"/>
      <c r="AJ187" s="1"/>
      <c r="AK187" s="1"/>
    </row>
    <row r="188" spans="1:37" ht="15.75" customHeight="1" x14ac:dyDescent="0.25">
      <c r="A188" s="1"/>
      <c r="B188" s="1"/>
      <c r="C188" s="1"/>
      <c r="D188" s="1"/>
      <c r="E188" s="1" t="s">
        <v>387</v>
      </c>
      <c r="F188" s="33" t="s">
        <v>8</v>
      </c>
      <c r="G188" s="33"/>
      <c r="H188" s="28"/>
      <c r="I188" s="28"/>
      <c r="J188" s="28"/>
      <c r="K188" s="41"/>
      <c r="L188" s="229">
        <f t="shared" ref="L188:N188" si="125">- L149 / L168</f>
        <v>-264.71088383233297</v>
      </c>
      <c r="M188" s="230">
        <f t="shared" si="125"/>
        <v>9.4520661581781873</v>
      </c>
      <c r="N188" s="230">
        <f t="shared" si="125"/>
        <v>21.726338586263445</v>
      </c>
      <c r="O188" s="231"/>
      <c r="P188" s="231"/>
      <c r="Q188" s="231"/>
      <c r="R188" s="231"/>
      <c r="S188" s="231"/>
      <c r="T188" s="231"/>
      <c r="U188" s="231"/>
      <c r="V188" s="231"/>
      <c r="W188" s="231"/>
      <c r="X188" s="231"/>
      <c r="Y188" s="231"/>
      <c r="Z188" s="1"/>
      <c r="AA188" s="1"/>
      <c r="AB188" s="1"/>
      <c r="AC188" s="1"/>
      <c r="AD188" s="1"/>
      <c r="AE188" s="1"/>
      <c r="AF188" s="1"/>
      <c r="AG188" s="1"/>
      <c r="AH188" s="1"/>
      <c r="AI188" s="1"/>
      <c r="AJ188" s="1"/>
      <c r="AK188" s="1"/>
    </row>
    <row r="189" spans="1:37" ht="12.75" customHeight="1" x14ac:dyDescent="0.25">
      <c r="A189" s="1"/>
      <c r="B189" s="1"/>
      <c r="C189" s="1"/>
      <c r="D189" s="1"/>
      <c r="E189" s="1" t="s">
        <v>388</v>
      </c>
      <c r="F189" s="14" t="s">
        <v>8</v>
      </c>
      <c r="G189" s="14"/>
      <c r="H189" s="28"/>
      <c r="I189" s="28"/>
      <c r="J189" s="28"/>
      <c r="K189" s="28"/>
      <c r="L189" s="229">
        <f t="shared" ref="L189:N189" si="126">- L107 / L175</f>
        <v>-0.12106684696818586</v>
      </c>
      <c r="M189" s="229">
        <f t="shared" si="126"/>
        <v>-7.366018355779351E-2</v>
      </c>
      <c r="N189" s="229">
        <f t="shared" si="126"/>
        <v>-8.0214486290137832E-2</v>
      </c>
      <c r="O189" s="231"/>
      <c r="P189" s="231"/>
      <c r="Q189" s="231"/>
      <c r="R189" s="231"/>
      <c r="S189" s="231"/>
      <c r="T189" s="231"/>
      <c r="U189" s="231"/>
      <c r="V189" s="231"/>
      <c r="W189" s="231"/>
      <c r="X189" s="231"/>
      <c r="Y189" s="231"/>
      <c r="Z189" s="1"/>
      <c r="AA189" s="1"/>
      <c r="AB189" s="1"/>
      <c r="AC189" s="1"/>
      <c r="AD189" s="1"/>
      <c r="AE189" s="1"/>
      <c r="AF189" s="1"/>
      <c r="AG189" s="1"/>
      <c r="AH189" s="1"/>
      <c r="AI189" s="1"/>
      <c r="AJ189" s="1"/>
      <c r="AK189" s="1"/>
    </row>
    <row r="190" spans="1:37" ht="12.75" customHeight="1" x14ac:dyDescent="0.25">
      <c r="A190" s="1"/>
      <c r="B190" s="1"/>
      <c r="C190" s="1"/>
      <c r="D190" s="1"/>
      <c r="E190" s="1" t="s">
        <v>389</v>
      </c>
      <c r="F190" s="14" t="s">
        <v>8</v>
      </c>
      <c r="G190" s="14"/>
      <c r="H190" s="28"/>
      <c r="I190" s="28"/>
      <c r="J190" s="28"/>
      <c r="K190" s="28"/>
      <c r="L190" s="229">
        <f t="shared" ref="L190:N190" si="127">-L181 / L175</f>
        <v>-6.5721476067674034E-2</v>
      </c>
      <c r="M190" s="229">
        <f t="shared" si="127"/>
        <v>-4.8620765286542703E-2</v>
      </c>
      <c r="N190" s="229">
        <f t="shared" si="127"/>
        <v>-5.0619174191995561E-2</v>
      </c>
      <c r="O190" s="231"/>
      <c r="P190" s="231"/>
      <c r="Q190" s="231"/>
      <c r="R190" s="231"/>
      <c r="S190" s="231"/>
      <c r="T190" s="231"/>
      <c r="U190" s="231"/>
      <c r="V190" s="231"/>
      <c r="W190" s="231"/>
      <c r="X190" s="231"/>
      <c r="Y190" s="231"/>
      <c r="Z190" s="1"/>
      <c r="AA190" s="1"/>
      <c r="AB190" s="1"/>
      <c r="AC190" s="1"/>
      <c r="AD190" s="1"/>
      <c r="AE190" s="1"/>
      <c r="AF190" s="1"/>
      <c r="AG190" s="1"/>
      <c r="AH190" s="1"/>
      <c r="AI190" s="1"/>
      <c r="AJ190" s="1"/>
      <c r="AK190" s="1"/>
    </row>
    <row r="191" spans="1:37" ht="11.25" customHeight="1" x14ac:dyDescent="0.25">
      <c r="A191" s="1"/>
      <c r="B191" s="1"/>
      <c r="C191" s="1"/>
      <c r="D191" s="1"/>
      <c r="E191" s="1"/>
      <c r="F191" s="33"/>
      <c r="G191" s="33"/>
      <c r="H191" s="84"/>
      <c r="I191" s="84"/>
      <c r="J191" s="84"/>
      <c r="K191" s="39"/>
      <c r="L191" s="39"/>
      <c r="M191" s="39"/>
      <c r="N191" s="39"/>
      <c r="O191" s="39"/>
      <c r="P191" s="39"/>
      <c r="Q191" s="39"/>
      <c r="R191" s="39"/>
      <c r="S191" s="39"/>
      <c r="T191" s="39"/>
      <c r="U191" s="39"/>
      <c r="V191" s="39"/>
      <c r="W191" s="39"/>
      <c r="X191" s="39"/>
      <c r="Y191" s="39"/>
    </row>
    <row r="192" spans="1:37" ht="11.25" customHeight="1" x14ac:dyDescent="0.25">
      <c r="A192" s="1"/>
      <c r="B192" s="1"/>
      <c r="C192" s="1"/>
      <c r="D192" s="1"/>
      <c r="E192" s="1"/>
      <c r="F192" s="33"/>
      <c r="G192" s="33"/>
      <c r="H192" s="84"/>
      <c r="I192" s="84"/>
      <c r="J192" s="84"/>
      <c r="K192" s="39"/>
      <c r="L192" s="39"/>
      <c r="M192" s="39"/>
      <c r="N192" s="39"/>
      <c r="O192" s="39"/>
      <c r="P192" s="39"/>
      <c r="Q192" s="39"/>
      <c r="R192" s="39"/>
      <c r="S192" s="39"/>
      <c r="T192" s="39"/>
      <c r="U192" s="39"/>
      <c r="V192" s="39"/>
      <c r="W192" s="39"/>
      <c r="X192" s="39"/>
      <c r="Y192" s="39"/>
    </row>
    <row r="193" spans="1:25" ht="11.25" customHeight="1" x14ac:dyDescent="0.25">
      <c r="A193" s="1"/>
      <c r="B193" s="1"/>
      <c r="C193" s="1"/>
      <c r="D193" s="1"/>
      <c r="E193" s="1"/>
      <c r="F193" s="33"/>
      <c r="G193" s="33"/>
      <c r="H193" s="84"/>
      <c r="I193" s="84"/>
      <c r="J193" s="84"/>
      <c r="K193" s="39"/>
      <c r="L193" s="39"/>
      <c r="M193" s="39"/>
      <c r="N193" s="39"/>
      <c r="O193" s="39"/>
      <c r="P193" s="39"/>
      <c r="Q193" s="39"/>
      <c r="R193" s="39"/>
      <c r="S193" s="39"/>
      <c r="T193" s="39"/>
      <c r="U193" s="39"/>
      <c r="V193" s="39"/>
      <c r="W193" s="39"/>
      <c r="X193" s="39"/>
      <c r="Y193" s="39"/>
    </row>
    <row r="194" spans="1:25" ht="11.25" customHeight="1" x14ac:dyDescent="0.25">
      <c r="A194" s="1"/>
      <c r="B194" s="1"/>
      <c r="C194" s="1"/>
      <c r="D194" s="1"/>
      <c r="E194" s="1"/>
      <c r="F194" s="33"/>
      <c r="G194" s="33"/>
      <c r="H194" s="84"/>
      <c r="I194" s="84"/>
      <c r="J194" s="84"/>
      <c r="K194" s="39"/>
      <c r="L194" s="39"/>
      <c r="M194" s="39"/>
      <c r="N194" s="39"/>
      <c r="O194" s="39"/>
      <c r="P194" s="39"/>
      <c r="Q194" s="39"/>
      <c r="R194" s="39"/>
      <c r="S194" s="39"/>
      <c r="T194" s="39"/>
      <c r="U194" s="39"/>
      <c r="V194" s="39"/>
      <c r="W194" s="39"/>
      <c r="X194" s="39"/>
      <c r="Y194" s="39"/>
    </row>
    <row r="195" spans="1:25" ht="11.25" customHeight="1" x14ac:dyDescent="0.25">
      <c r="A195" s="1"/>
      <c r="B195" s="1"/>
      <c r="C195" s="1"/>
      <c r="D195" s="1"/>
      <c r="E195" s="1"/>
      <c r="F195" s="33"/>
      <c r="G195" s="33"/>
      <c r="H195" s="84"/>
      <c r="I195" s="84"/>
      <c r="J195" s="84"/>
      <c r="K195" s="39"/>
      <c r="L195" s="39"/>
      <c r="M195" s="39"/>
      <c r="N195" s="39"/>
      <c r="O195" s="39"/>
      <c r="P195" s="39"/>
      <c r="Q195" s="39"/>
      <c r="R195" s="39"/>
      <c r="S195" s="39"/>
      <c r="T195" s="39"/>
      <c r="U195" s="39"/>
      <c r="V195" s="39"/>
      <c r="W195" s="39"/>
      <c r="X195" s="39"/>
      <c r="Y195" s="39"/>
    </row>
    <row r="196" spans="1:25" ht="11.25" customHeight="1" x14ac:dyDescent="0.25">
      <c r="A196" s="1"/>
      <c r="B196" s="1"/>
      <c r="C196" s="1"/>
      <c r="D196" s="1"/>
      <c r="E196" s="1"/>
      <c r="F196" s="33"/>
      <c r="G196" s="33"/>
      <c r="H196" s="84"/>
      <c r="I196" s="84"/>
      <c r="J196" s="84"/>
      <c r="K196" s="39"/>
      <c r="L196" s="39"/>
      <c r="M196" s="39"/>
      <c r="N196" s="39"/>
      <c r="O196" s="39"/>
      <c r="P196" s="39"/>
      <c r="Q196" s="39"/>
      <c r="R196" s="39"/>
      <c r="S196" s="39"/>
      <c r="T196" s="39"/>
      <c r="U196" s="39"/>
      <c r="V196" s="39"/>
      <c r="W196" s="39"/>
      <c r="X196" s="39"/>
      <c r="Y196" s="39"/>
    </row>
    <row r="197" spans="1:25" ht="11.25" customHeight="1" x14ac:dyDescent="0.25">
      <c r="A197" s="1"/>
      <c r="B197" s="1"/>
      <c r="C197" s="1"/>
      <c r="D197" s="1"/>
      <c r="E197" s="1"/>
      <c r="F197" s="33"/>
      <c r="G197" s="33"/>
      <c r="H197" s="84"/>
      <c r="I197" s="84"/>
      <c r="J197" s="84"/>
      <c r="K197" s="39"/>
      <c r="L197" s="39"/>
      <c r="M197" s="39"/>
      <c r="N197" s="39"/>
      <c r="O197" s="39"/>
      <c r="P197" s="39"/>
      <c r="Q197" s="39"/>
      <c r="R197" s="39"/>
      <c r="S197" s="39"/>
      <c r="T197" s="39"/>
      <c r="U197" s="39"/>
      <c r="V197" s="39"/>
      <c r="W197" s="39"/>
      <c r="X197" s="39"/>
      <c r="Y197" s="39"/>
    </row>
    <row r="198" spans="1:25" ht="11.25" customHeight="1" x14ac:dyDescent="0.25">
      <c r="A198" s="1"/>
      <c r="B198" s="1"/>
      <c r="C198" s="1"/>
      <c r="D198" s="1"/>
      <c r="E198" s="1"/>
      <c r="F198" s="33"/>
      <c r="G198" s="33"/>
      <c r="H198" s="84"/>
      <c r="I198" s="84"/>
      <c r="J198" s="84"/>
      <c r="K198" s="39"/>
      <c r="L198" s="39"/>
      <c r="M198" s="39"/>
      <c r="N198" s="39"/>
      <c r="O198" s="39"/>
      <c r="P198" s="39"/>
      <c r="Q198" s="39"/>
      <c r="R198" s="39"/>
      <c r="S198" s="39"/>
      <c r="T198" s="39"/>
      <c r="U198" s="39"/>
      <c r="V198" s="39"/>
      <c r="W198" s="39"/>
      <c r="X198" s="39"/>
      <c r="Y198" s="39"/>
    </row>
    <row r="199" spans="1:25" ht="11.25" customHeight="1" x14ac:dyDescent="0.25">
      <c r="A199" s="1"/>
      <c r="B199" s="1"/>
      <c r="C199" s="1"/>
      <c r="D199" s="1"/>
      <c r="E199" s="1"/>
      <c r="F199" s="33"/>
      <c r="G199" s="33"/>
      <c r="H199" s="84"/>
      <c r="I199" s="84"/>
      <c r="J199" s="84"/>
      <c r="K199" s="39"/>
      <c r="L199" s="39"/>
      <c r="M199" s="39"/>
      <c r="N199" s="39"/>
      <c r="O199" s="39"/>
      <c r="P199" s="39"/>
      <c r="Q199" s="39"/>
      <c r="R199" s="39"/>
      <c r="S199" s="39"/>
      <c r="T199" s="39"/>
      <c r="U199" s="39"/>
      <c r="V199" s="39"/>
      <c r="W199" s="39"/>
      <c r="X199" s="39"/>
      <c r="Y199" s="39"/>
    </row>
    <row r="200" spans="1:25" ht="11.25" customHeight="1" x14ac:dyDescent="0.25">
      <c r="A200" s="1"/>
      <c r="B200" s="1"/>
      <c r="C200" s="1"/>
      <c r="D200" s="1"/>
      <c r="E200" s="1"/>
      <c r="F200" s="33"/>
      <c r="G200" s="33"/>
      <c r="H200" s="84"/>
      <c r="I200" s="84"/>
      <c r="J200" s="84"/>
      <c r="K200" s="39"/>
      <c r="L200" s="39"/>
      <c r="M200" s="39"/>
      <c r="N200" s="39"/>
      <c r="O200" s="39"/>
      <c r="P200" s="39"/>
      <c r="Q200" s="39"/>
      <c r="R200" s="39"/>
      <c r="S200" s="39"/>
      <c r="T200" s="39"/>
      <c r="U200" s="39"/>
      <c r="V200" s="39"/>
      <c r="W200" s="39"/>
      <c r="X200" s="39"/>
      <c r="Y200" s="39"/>
    </row>
    <row r="201" spans="1:25" ht="11.25" customHeight="1" x14ac:dyDescent="0.25">
      <c r="A201" s="1"/>
      <c r="B201" s="1"/>
      <c r="C201" s="1"/>
      <c r="D201" s="1"/>
      <c r="E201" s="1"/>
      <c r="F201" s="33"/>
      <c r="G201" s="33"/>
      <c r="H201" s="84"/>
      <c r="I201" s="84"/>
      <c r="J201" s="84"/>
      <c r="K201" s="39"/>
      <c r="L201" s="39"/>
      <c r="M201" s="39"/>
      <c r="N201" s="39"/>
      <c r="O201" s="39"/>
      <c r="P201" s="39"/>
      <c r="Q201" s="39"/>
      <c r="R201" s="39"/>
      <c r="S201" s="39"/>
      <c r="T201" s="39"/>
      <c r="U201" s="39"/>
      <c r="V201" s="39"/>
      <c r="W201" s="39"/>
      <c r="X201" s="39"/>
      <c r="Y201" s="39"/>
    </row>
    <row r="202" spans="1:25" ht="11.25" customHeight="1" x14ac:dyDescent="0.25">
      <c r="A202" s="1"/>
      <c r="B202" s="1"/>
      <c r="C202" s="1"/>
      <c r="D202" s="1"/>
      <c r="E202" s="1"/>
      <c r="F202" s="33"/>
      <c r="G202" s="33"/>
      <c r="H202" s="84"/>
      <c r="I202" s="84"/>
      <c r="J202" s="84"/>
      <c r="K202" s="39"/>
      <c r="L202" s="39"/>
      <c r="M202" s="39"/>
      <c r="N202" s="39"/>
      <c r="O202" s="39"/>
      <c r="P202" s="39"/>
      <c r="Q202" s="39"/>
      <c r="R202" s="39"/>
      <c r="S202" s="39"/>
      <c r="T202" s="39"/>
      <c r="U202" s="39"/>
      <c r="V202" s="39"/>
      <c r="W202" s="39"/>
      <c r="X202" s="39"/>
      <c r="Y202" s="39"/>
    </row>
    <row r="203" spans="1:25" ht="11.25" customHeight="1" x14ac:dyDescent="0.25">
      <c r="A203" s="1"/>
      <c r="B203" s="1"/>
      <c r="C203" s="1"/>
      <c r="D203" s="1"/>
      <c r="E203" s="1"/>
      <c r="F203" s="33"/>
      <c r="G203" s="33"/>
      <c r="H203" s="84"/>
      <c r="I203" s="84"/>
      <c r="J203" s="84"/>
      <c r="K203" s="39"/>
      <c r="L203" s="39"/>
      <c r="M203" s="39"/>
      <c r="N203" s="39"/>
      <c r="O203" s="39"/>
      <c r="P203" s="39"/>
      <c r="Q203" s="39"/>
      <c r="R203" s="39"/>
      <c r="S203" s="39"/>
      <c r="T203" s="39"/>
      <c r="U203" s="39"/>
      <c r="V203" s="39"/>
      <c r="W203" s="39"/>
      <c r="X203" s="39"/>
      <c r="Y203" s="39"/>
    </row>
    <row r="204" spans="1:25" ht="11.25" customHeight="1" x14ac:dyDescent="0.25">
      <c r="A204" s="1"/>
      <c r="B204" s="1"/>
      <c r="C204" s="1"/>
      <c r="D204" s="1"/>
      <c r="E204" s="1"/>
      <c r="F204" s="33"/>
      <c r="G204" s="33"/>
      <c r="H204" s="84"/>
      <c r="I204" s="84"/>
      <c r="J204" s="84"/>
      <c r="K204" s="39"/>
      <c r="L204" s="39"/>
      <c r="M204" s="39"/>
      <c r="N204" s="39"/>
      <c r="O204" s="39"/>
      <c r="P204" s="39"/>
      <c r="Q204" s="39"/>
      <c r="R204" s="39"/>
      <c r="S204" s="39"/>
      <c r="T204" s="39"/>
      <c r="U204" s="39"/>
      <c r="V204" s="39"/>
      <c r="W204" s="39"/>
      <c r="X204" s="39"/>
      <c r="Y204" s="39"/>
    </row>
    <row r="205" spans="1:25" ht="11.25" customHeight="1" x14ac:dyDescent="0.25">
      <c r="A205" s="1"/>
      <c r="B205" s="1"/>
      <c r="C205" s="1"/>
      <c r="D205" s="1"/>
      <c r="E205" s="1"/>
      <c r="F205" s="33"/>
      <c r="G205" s="33"/>
      <c r="H205" s="84"/>
      <c r="I205" s="84"/>
      <c r="J205" s="84"/>
      <c r="K205" s="39"/>
      <c r="L205" s="39"/>
      <c r="M205" s="39"/>
      <c r="N205" s="39"/>
      <c r="O205" s="39"/>
      <c r="P205" s="39"/>
      <c r="Q205" s="39"/>
      <c r="R205" s="39"/>
      <c r="S205" s="39"/>
      <c r="T205" s="39"/>
      <c r="U205" s="39"/>
      <c r="V205" s="39"/>
      <c r="W205" s="39"/>
      <c r="X205" s="39"/>
      <c r="Y205" s="39"/>
    </row>
    <row r="206" spans="1:25" ht="11.25" customHeight="1" x14ac:dyDescent="0.25">
      <c r="A206" s="1"/>
      <c r="B206" s="1"/>
      <c r="C206" s="1"/>
      <c r="D206" s="1"/>
      <c r="E206" s="1"/>
      <c r="F206" s="33"/>
      <c r="G206" s="33"/>
      <c r="H206" s="84"/>
      <c r="I206" s="84"/>
      <c r="J206" s="84"/>
      <c r="K206" s="39"/>
      <c r="L206" s="39"/>
      <c r="M206" s="39"/>
      <c r="N206" s="39"/>
      <c r="O206" s="39"/>
      <c r="P206" s="39"/>
      <c r="Q206" s="39"/>
      <c r="R206" s="39"/>
      <c r="S206" s="39"/>
      <c r="T206" s="39"/>
      <c r="U206" s="39"/>
      <c r="V206" s="39"/>
      <c r="W206" s="39"/>
      <c r="X206" s="39"/>
      <c r="Y206" s="39"/>
    </row>
    <row r="207" spans="1:25" ht="11.25" customHeight="1" x14ac:dyDescent="0.25">
      <c r="A207" s="1"/>
      <c r="B207" s="1"/>
      <c r="C207" s="1"/>
      <c r="D207" s="1"/>
      <c r="E207" s="1"/>
      <c r="F207" s="33"/>
      <c r="G207" s="33"/>
      <c r="H207" s="84"/>
      <c r="I207" s="84"/>
      <c r="J207" s="84"/>
      <c r="K207" s="39"/>
      <c r="L207" s="39"/>
      <c r="M207" s="39"/>
      <c r="N207" s="39"/>
      <c r="O207" s="39"/>
      <c r="P207" s="39"/>
      <c r="Q207" s="39"/>
      <c r="R207" s="39"/>
      <c r="S207" s="39"/>
      <c r="T207" s="39"/>
      <c r="U207" s="39"/>
      <c r="V207" s="39"/>
      <c r="W207" s="39"/>
      <c r="X207" s="39"/>
      <c r="Y207" s="39"/>
    </row>
    <row r="208" spans="1:25" ht="11.25" customHeight="1" x14ac:dyDescent="0.25">
      <c r="A208" s="1"/>
      <c r="B208" s="1"/>
      <c r="C208" s="1"/>
      <c r="D208" s="1"/>
      <c r="E208" s="1"/>
      <c r="F208" s="33"/>
      <c r="G208" s="33"/>
      <c r="H208" s="84"/>
      <c r="I208" s="84"/>
      <c r="J208" s="84"/>
      <c r="K208" s="39"/>
      <c r="L208" s="39"/>
      <c r="M208" s="39"/>
      <c r="N208" s="39"/>
      <c r="O208" s="39"/>
      <c r="P208" s="39"/>
      <c r="Q208" s="39"/>
      <c r="R208" s="39"/>
      <c r="S208" s="39"/>
      <c r="T208" s="39"/>
      <c r="U208" s="39"/>
      <c r="V208" s="39"/>
      <c r="W208" s="39"/>
      <c r="X208" s="39"/>
      <c r="Y208" s="39"/>
    </row>
    <row r="209" spans="1:25" ht="11.25" customHeight="1" x14ac:dyDescent="0.25">
      <c r="A209" s="1"/>
      <c r="B209" s="1"/>
      <c r="C209" s="1"/>
      <c r="D209" s="1"/>
      <c r="E209" s="1"/>
      <c r="F209" s="33"/>
      <c r="G209" s="33"/>
      <c r="H209" s="84"/>
      <c r="I209" s="84"/>
      <c r="J209" s="84"/>
      <c r="K209" s="39"/>
      <c r="L209" s="39"/>
      <c r="M209" s="39"/>
      <c r="N209" s="39"/>
      <c r="O209" s="39"/>
      <c r="P209" s="39"/>
      <c r="Q209" s="39"/>
      <c r="R209" s="39"/>
      <c r="S209" s="39"/>
      <c r="T209" s="39"/>
      <c r="U209" s="39"/>
      <c r="V209" s="39"/>
      <c r="W209" s="39"/>
      <c r="X209" s="39"/>
      <c r="Y209" s="39"/>
    </row>
    <row r="210" spans="1:25" ht="11.25" customHeight="1" x14ac:dyDescent="0.25">
      <c r="A210" s="1"/>
      <c r="B210" s="1"/>
      <c r="C210" s="1"/>
      <c r="D210" s="1"/>
      <c r="E210" s="1"/>
      <c r="F210" s="33"/>
      <c r="G210" s="33"/>
      <c r="H210" s="84"/>
      <c r="I210" s="84"/>
      <c r="J210" s="84"/>
      <c r="K210" s="39"/>
      <c r="L210" s="39"/>
      <c r="M210" s="39"/>
      <c r="N210" s="39"/>
      <c r="O210" s="39"/>
      <c r="P210" s="39"/>
      <c r="Q210" s="39"/>
      <c r="R210" s="39"/>
      <c r="S210" s="39"/>
      <c r="T210" s="39"/>
      <c r="U210" s="39"/>
      <c r="V210" s="39"/>
      <c r="W210" s="39"/>
      <c r="X210" s="39"/>
      <c r="Y210" s="39"/>
    </row>
    <row r="211" spans="1:25" ht="11.25" customHeight="1" x14ac:dyDescent="0.25">
      <c r="A211" s="1"/>
      <c r="B211" s="1"/>
      <c r="C211" s="1"/>
      <c r="D211" s="1"/>
      <c r="E211" s="1"/>
      <c r="F211" s="33"/>
      <c r="G211" s="33"/>
      <c r="H211" s="84"/>
      <c r="I211" s="84"/>
      <c r="J211" s="84"/>
      <c r="K211" s="39"/>
      <c r="L211" s="39"/>
      <c r="M211" s="39"/>
      <c r="N211" s="39"/>
      <c r="O211" s="39"/>
      <c r="P211" s="39"/>
      <c r="Q211" s="39"/>
      <c r="R211" s="39"/>
      <c r="S211" s="39"/>
      <c r="T211" s="39"/>
      <c r="U211" s="39"/>
      <c r="V211" s="39"/>
      <c r="W211" s="39"/>
      <c r="X211" s="39"/>
      <c r="Y211" s="39"/>
    </row>
    <row r="212" spans="1:25" ht="11.25" customHeight="1" x14ac:dyDescent="0.25">
      <c r="A212" s="1"/>
      <c r="B212" s="1"/>
      <c r="C212" s="1"/>
      <c r="D212" s="1"/>
      <c r="E212" s="1"/>
      <c r="F212" s="33"/>
      <c r="G212" s="33"/>
      <c r="H212" s="84"/>
      <c r="I212" s="84"/>
      <c r="J212" s="84"/>
      <c r="K212" s="39"/>
      <c r="L212" s="39"/>
      <c r="M212" s="39"/>
      <c r="N212" s="39"/>
      <c r="O212" s="39"/>
      <c r="P212" s="39"/>
      <c r="Q212" s="39"/>
      <c r="R212" s="39"/>
      <c r="S212" s="39"/>
      <c r="T212" s="39"/>
      <c r="U212" s="39"/>
      <c r="V212" s="39"/>
      <c r="W212" s="39"/>
      <c r="X212" s="39"/>
      <c r="Y212" s="39"/>
    </row>
    <row r="213" spans="1:25" ht="11.25" customHeight="1" x14ac:dyDescent="0.25">
      <c r="A213" s="1"/>
      <c r="B213" s="1"/>
      <c r="C213" s="1"/>
      <c r="D213" s="1"/>
      <c r="E213" s="1"/>
      <c r="F213" s="33"/>
      <c r="G213" s="33"/>
      <c r="H213" s="84"/>
      <c r="I213" s="84"/>
      <c r="J213" s="84"/>
      <c r="K213" s="39"/>
      <c r="L213" s="39"/>
      <c r="M213" s="39"/>
      <c r="N213" s="39"/>
      <c r="O213" s="39"/>
      <c r="P213" s="39"/>
      <c r="Q213" s="39"/>
      <c r="R213" s="39"/>
      <c r="S213" s="39"/>
      <c r="T213" s="39"/>
      <c r="U213" s="39"/>
      <c r="V213" s="39"/>
      <c r="W213" s="39"/>
      <c r="X213" s="39"/>
      <c r="Y213" s="39"/>
    </row>
    <row r="214" spans="1:25" ht="11.25" customHeight="1" x14ac:dyDescent="0.25">
      <c r="A214" s="1"/>
      <c r="B214" s="1"/>
      <c r="C214" s="1"/>
      <c r="D214" s="1"/>
      <c r="E214" s="1"/>
      <c r="F214" s="33"/>
      <c r="G214" s="33"/>
      <c r="H214" s="84"/>
      <c r="I214" s="84"/>
      <c r="J214" s="84"/>
      <c r="K214" s="39"/>
      <c r="L214" s="39"/>
      <c r="M214" s="39"/>
      <c r="N214" s="39"/>
      <c r="O214" s="39"/>
      <c r="P214" s="39"/>
      <c r="Q214" s="39"/>
      <c r="R214" s="39"/>
      <c r="S214" s="39"/>
      <c r="T214" s="39"/>
      <c r="U214" s="39"/>
      <c r="V214" s="39"/>
      <c r="W214" s="39"/>
      <c r="X214" s="39"/>
      <c r="Y214" s="39"/>
    </row>
    <row r="215" spans="1:25" ht="11.25" customHeight="1" x14ac:dyDescent="0.25">
      <c r="A215" s="1"/>
      <c r="B215" s="1"/>
      <c r="C215" s="1"/>
      <c r="D215" s="1"/>
      <c r="E215" s="1"/>
      <c r="F215" s="33"/>
      <c r="G215" s="33"/>
      <c r="H215" s="84"/>
      <c r="I215" s="84"/>
      <c r="J215" s="84"/>
      <c r="K215" s="39"/>
      <c r="L215" s="39"/>
      <c r="M215" s="39"/>
      <c r="N215" s="39"/>
      <c r="O215" s="39"/>
      <c r="P215" s="39"/>
      <c r="Q215" s="39"/>
      <c r="R215" s="39"/>
      <c r="S215" s="39"/>
      <c r="T215" s="39"/>
      <c r="U215" s="39"/>
      <c r="V215" s="39"/>
      <c r="W215" s="39"/>
      <c r="X215" s="39"/>
      <c r="Y215" s="39"/>
    </row>
    <row r="216" spans="1:25" ht="11.25" customHeight="1" x14ac:dyDescent="0.25">
      <c r="A216" s="1"/>
      <c r="B216" s="1"/>
      <c r="C216" s="1"/>
      <c r="D216" s="1"/>
      <c r="E216" s="1"/>
      <c r="F216" s="33"/>
      <c r="G216" s="33"/>
      <c r="H216" s="84"/>
      <c r="I216" s="84"/>
      <c r="J216" s="84"/>
      <c r="K216" s="39"/>
      <c r="L216" s="39"/>
      <c r="M216" s="39"/>
      <c r="N216" s="39"/>
      <c r="O216" s="39"/>
      <c r="P216" s="39"/>
      <c r="Q216" s="39"/>
      <c r="R216" s="39"/>
      <c r="S216" s="39"/>
      <c r="T216" s="39"/>
      <c r="U216" s="39"/>
      <c r="V216" s="39"/>
      <c r="W216" s="39"/>
      <c r="X216" s="39"/>
      <c r="Y216" s="39"/>
    </row>
    <row r="217" spans="1:25" ht="11.25" customHeight="1" x14ac:dyDescent="0.25">
      <c r="A217" s="1"/>
      <c r="B217" s="1"/>
      <c r="C217" s="1"/>
      <c r="D217" s="1"/>
      <c r="E217" s="1"/>
      <c r="F217" s="33"/>
      <c r="G217" s="33"/>
      <c r="H217" s="84"/>
      <c r="I217" s="84"/>
      <c r="J217" s="84"/>
      <c r="K217" s="39"/>
      <c r="L217" s="39"/>
      <c r="M217" s="39"/>
      <c r="N217" s="39"/>
      <c r="O217" s="39"/>
      <c r="P217" s="39"/>
      <c r="Q217" s="39"/>
      <c r="R217" s="39"/>
      <c r="S217" s="39"/>
      <c r="T217" s="39"/>
      <c r="U217" s="39"/>
      <c r="V217" s="39"/>
      <c r="W217" s="39"/>
      <c r="X217" s="39"/>
      <c r="Y217" s="39"/>
    </row>
    <row r="218" spans="1:25" ht="11.25" customHeight="1" x14ac:dyDescent="0.25">
      <c r="A218" s="1"/>
      <c r="B218" s="1"/>
      <c r="C218" s="1"/>
      <c r="D218" s="1"/>
      <c r="E218" s="1"/>
      <c r="F218" s="33"/>
      <c r="G218" s="33"/>
      <c r="H218" s="84"/>
      <c r="I218" s="84"/>
      <c r="J218" s="84"/>
      <c r="K218" s="39"/>
      <c r="L218" s="39"/>
      <c r="M218" s="39"/>
      <c r="N218" s="39"/>
      <c r="O218" s="39"/>
      <c r="P218" s="39"/>
      <c r="Q218" s="39"/>
      <c r="R218" s="39"/>
      <c r="S218" s="39"/>
      <c r="T218" s="39"/>
      <c r="U218" s="39"/>
      <c r="V218" s="39"/>
      <c r="W218" s="39"/>
      <c r="X218" s="39"/>
      <c r="Y218" s="39"/>
    </row>
    <row r="219" spans="1:25" ht="11.25" customHeight="1" x14ac:dyDescent="0.25">
      <c r="A219" s="1"/>
      <c r="B219" s="1"/>
      <c r="C219" s="1"/>
      <c r="D219" s="1"/>
      <c r="E219" s="1"/>
      <c r="F219" s="33"/>
      <c r="G219" s="33"/>
      <c r="H219" s="84"/>
      <c r="I219" s="84"/>
      <c r="J219" s="84"/>
      <c r="K219" s="39"/>
      <c r="L219" s="39"/>
      <c r="M219" s="39"/>
      <c r="N219" s="39"/>
      <c r="O219" s="39"/>
      <c r="P219" s="39"/>
      <c r="Q219" s="39"/>
      <c r="R219" s="39"/>
      <c r="S219" s="39"/>
      <c r="T219" s="39"/>
      <c r="U219" s="39"/>
      <c r="V219" s="39"/>
      <c r="W219" s="39"/>
      <c r="X219" s="39"/>
      <c r="Y219" s="39"/>
    </row>
    <row r="220" spans="1:25" ht="11.25" customHeight="1" x14ac:dyDescent="0.25">
      <c r="A220" s="1"/>
      <c r="B220" s="1"/>
      <c r="C220" s="1"/>
      <c r="D220" s="1"/>
      <c r="E220" s="1"/>
      <c r="F220" s="33"/>
      <c r="G220" s="33"/>
      <c r="H220" s="84"/>
      <c r="I220" s="84"/>
      <c r="J220" s="84"/>
      <c r="K220" s="39"/>
      <c r="L220" s="39"/>
      <c r="M220" s="39"/>
      <c r="N220" s="39"/>
      <c r="O220" s="39"/>
      <c r="P220" s="39"/>
      <c r="Q220" s="39"/>
      <c r="R220" s="39"/>
      <c r="S220" s="39"/>
      <c r="T220" s="39"/>
      <c r="U220" s="39"/>
      <c r="V220" s="39"/>
      <c r="W220" s="39"/>
      <c r="X220" s="39"/>
      <c r="Y220" s="39"/>
    </row>
    <row r="221" spans="1:25" ht="11.25" customHeight="1" x14ac:dyDescent="0.25">
      <c r="A221" s="1"/>
      <c r="B221" s="1"/>
      <c r="C221" s="1"/>
      <c r="D221" s="1"/>
      <c r="E221" s="1"/>
      <c r="F221" s="33"/>
      <c r="G221" s="33"/>
      <c r="H221" s="84"/>
      <c r="I221" s="84"/>
      <c r="J221" s="84"/>
      <c r="K221" s="39"/>
      <c r="L221" s="39"/>
      <c r="M221" s="39"/>
      <c r="N221" s="39"/>
      <c r="O221" s="39"/>
      <c r="P221" s="39"/>
      <c r="Q221" s="39"/>
      <c r="R221" s="39"/>
      <c r="S221" s="39"/>
      <c r="T221" s="39"/>
      <c r="U221" s="39"/>
      <c r="V221" s="39"/>
      <c r="W221" s="39"/>
      <c r="X221" s="39"/>
      <c r="Y221" s="39"/>
    </row>
    <row r="222" spans="1:25" ht="11.25" customHeight="1" x14ac:dyDescent="0.25">
      <c r="A222" s="1"/>
      <c r="B222" s="1"/>
      <c r="C222" s="1"/>
      <c r="D222" s="1"/>
      <c r="E222" s="1"/>
      <c r="F222" s="33"/>
      <c r="G222" s="33"/>
      <c r="H222" s="84"/>
      <c r="I222" s="84"/>
      <c r="J222" s="84"/>
      <c r="K222" s="39"/>
      <c r="L222" s="39"/>
      <c r="M222" s="39"/>
      <c r="N222" s="39"/>
      <c r="O222" s="39"/>
      <c r="P222" s="39"/>
      <c r="Q222" s="39"/>
      <c r="R222" s="39"/>
      <c r="S222" s="39"/>
      <c r="T222" s="39"/>
      <c r="U222" s="39"/>
      <c r="V222" s="39"/>
      <c r="W222" s="39"/>
      <c r="X222" s="39"/>
      <c r="Y222" s="39"/>
    </row>
    <row r="223" spans="1:25" ht="11.25" customHeight="1" x14ac:dyDescent="0.25">
      <c r="A223" s="1"/>
      <c r="B223" s="1"/>
      <c r="C223" s="1"/>
      <c r="D223" s="1"/>
      <c r="E223" s="1"/>
      <c r="F223" s="33"/>
      <c r="G223" s="33"/>
      <c r="H223" s="84"/>
      <c r="I223" s="84"/>
      <c r="J223" s="84"/>
      <c r="K223" s="39"/>
      <c r="L223" s="39"/>
      <c r="M223" s="39"/>
      <c r="N223" s="39"/>
      <c r="O223" s="39"/>
      <c r="P223" s="39"/>
      <c r="Q223" s="39"/>
      <c r="R223" s="39"/>
      <c r="S223" s="39"/>
      <c r="T223" s="39"/>
      <c r="U223" s="39"/>
      <c r="V223" s="39"/>
      <c r="W223" s="39"/>
      <c r="X223" s="39"/>
      <c r="Y223" s="39"/>
    </row>
    <row r="224" spans="1:25" ht="11.25" customHeight="1" x14ac:dyDescent="0.25">
      <c r="A224" s="1"/>
      <c r="B224" s="1"/>
      <c r="C224" s="1"/>
      <c r="D224" s="1"/>
      <c r="E224" s="1"/>
      <c r="F224" s="33"/>
      <c r="G224" s="33"/>
      <c r="H224" s="84"/>
      <c r="I224" s="84"/>
      <c r="J224" s="84"/>
      <c r="K224" s="39"/>
      <c r="L224" s="39"/>
      <c r="M224" s="39"/>
      <c r="N224" s="39"/>
      <c r="O224" s="39"/>
      <c r="P224" s="39"/>
      <c r="Q224" s="39"/>
      <c r="R224" s="39"/>
      <c r="S224" s="39"/>
      <c r="T224" s="39"/>
      <c r="U224" s="39"/>
      <c r="V224" s="39"/>
      <c r="W224" s="39"/>
      <c r="X224" s="39"/>
      <c r="Y224" s="39"/>
    </row>
    <row r="225" spans="1:25" ht="11.25" customHeight="1" x14ac:dyDescent="0.25">
      <c r="A225" s="1"/>
      <c r="B225" s="1"/>
      <c r="C225" s="1"/>
      <c r="D225" s="1"/>
      <c r="E225" s="1"/>
      <c r="F225" s="33"/>
      <c r="G225" s="33"/>
      <c r="H225" s="84"/>
      <c r="I225" s="84"/>
      <c r="J225" s="84"/>
      <c r="K225" s="39"/>
      <c r="L225" s="39"/>
      <c r="M225" s="39"/>
      <c r="N225" s="39"/>
      <c r="O225" s="39"/>
      <c r="P225" s="39"/>
      <c r="Q225" s="39"/>
      <c r="R225" s="39"/>
      <c r="S225" s="39"/>
      <c r="T225" s="39"/>
      <c r="U225" s="39"/>
      <c r="V225" s="39"/>
      <c r="W225" s="39"/>
      <c r="X225" s="39"/>
      <c r="Y225" s="39"/>
    </row>
    <row r="226" spans="1:25" ht="11.25" customHeight="1" x14ac:dyDescent="0.25">
      <c r="A226" s="1"/>
      <c r="B226" s="1"/>
      <c r="C226" s="1"/>
      <c r="D226" s="1"/>
      <c r="E226" s="1"/>
      <c r="F226" s="33"/>
      <c r="G226" s="33"/>
      <c r="H226" s="84"/>
      <c r="I226" s="84"/>
      <c r="J226" s="84"/>
      <c r="K226" s="39"/>
      <c r="L226" s="39"/>
      <c r="M226" s="39"/>
      <c r="N226" s="39"/>
      <c r="O226" s="39"/>
      <c r="P226" s="39"/>
      <c r="Q226" s="39"/>
      <c r="R226" s="39"/>
      <c r="S226" s="39"/>
      <c r="T226" s="39"/>
      <c r="U226" s="39"/>
      <c r="V226" s="39"/>
      <c r="W226" s="39"/>
      <c r="X226" s="39"/>
      <c r="Y226" s="39"/>
    </row>
    <row r="227" spans="1:25" ht="11.25" customHeight="1" x14ac:dyDescent="0.25">
      <c r="A227" s="1"/>
      <c r="B227" s="1"/>
      <c r="C227" s="1"/>
      <c r="D227" s="1"/>
      <c r="E227" s="1"/>
      <c r="F227" s="33"/>
      <c r="G227" s="33"/>
      <c r="H227" s="84"/>
      <c r="I227" s="84"/>
      <c r="J227" s="84"/>
      <c r="K227" s="39"/>
      <c r="L227" s="39"/>
      <c r="M227" s="39"/>
      <c r="N227" s="39"/>
      <c r="O227" s="39"/>
      <c r="P227" s="39"/>
      <c r="Q227" s="39"/>
      <c r="R227" s="39"/>
      <c r="S227" s="39"/>
      <c r="T227" s="39"/>
      <c r="U227" s="39"/>
      <c r="V227" s="39"/>
      <c r="W227" s="39"/>
      <c r="X227" s="39"/>
      <c r="Y227" s="39"/>
    </row>
    <row r="228" spans="1:25" ht="11.25" customHeight="1" x14ac:dyDescent="0.25">
      <c r="A228" s="1"/>
      <c r="B228" s="1"/>
      <c r="C228" s="1"/>
      <c r="D228" s="1"/>
      <c r="E228" s="1"/>
      <c r="F228" s="33"/>
      <c r="G228" s="33"/>
      <c r="H228" s="84"/>
      <c r="I228" s="84"/>
      <c r="J228" s="84"/>
      <c r="K228" s="39"/>
      <c r="L228" s="39"/>
      <c r="M228" s="39"/>
      <c r="N228" s="39"/>
      <c r="O228" s="39"/>
      <c r="P228" s="39"/>
      <c r="Q228" s="39"/>
      <c r="R228" s="39"/>
      <c r="S228" s="39"/>
      <c r="T228" s="39"/>
      <c r="U228" s="39"/>
      <c r="V228" s="39"/>
      <c r="W228" s="39"/>
      <c r="X228" s="39"/>
      <c r="Y228" s="39"/>
    </row>
    <row r="229" spans="1:25" ht="11.25" customHeight="1" x14ac:dyDescent="0.25">
      <c r="A229" s="1"/>
      <c r="B229" s="1"/>
      <c r="C229" s="1"/>
      <c r="D229" s="1"/>
      <c r="E229" s="1"/>
      <c r="F229" s="33"/>
      <c r="G229" s="33"/>
      <c r="H229" s="84"/>
      <c r="I229" s="84"/>
      <c r="J229" s="84"/>
      <c r="K229" s="39"/>
      <c r="L229" s="39"/>
      <c r="M229" s="39"/>
      <c r="N229" s="39"/>
      <c r="O229" s="39"/>
      <c r="P229" s="39"/>
      <c r="Q229" s="39"/>
      <c r="R229" s="39"/>
      <c r="S229" s="39"/>
      <c r="T229" s="39"/>
      <c r="U229" s="39"/>
      <c r="V229" s="39"/>
      <c r="W229" s="39"/>
      <c r="X229" s="39"/>
      <c r="Y229" s="39"/>
    </row>
    <row r="230" spans="1:25" ht="11.25" customHeight="1" x14ac:dyDescent="0.25">
      <c r="A230" s="1"/>
      <c r="B230" s="1"/>
      <c r="C230" s="1"/>
      <c r="D230" s="1"/>
      <c r="E230" s="1"/>
      <c r="F230" s="33"/>
      <c r="G230" s="33"/>
      <c r="H230" s="84"/>
      <c r="I230" s="84"/>
      <c r="J230" s="84"/>
      <c r="K230" s="39"/>
      <c r="L230" s="39"/>
      <c r="M230" s="39"/>
      <c r="N230" s="39"/>
      <c r="O230" s="39"/>
      <c r="P230" s="39"/>
      <c r="Q230" s="39"/>
      <c r="R230" s="39"/>
      <c r="S230" s="39"/>
      <c r="T230" s="39"/>
      <c r="U230" s="39"/>
      <c r="V230" s="39"/>
      <c r="W230" s="39"/>
      <c r="X230" s="39"/>
      <c r="Y230" s="39"/>
    </row>
    <row r="231" spans="1:25" ht="11.25" customHeight="1" x14ac:dyDescent="0.25">
      <c r="A231" s="1"/>
      <c r="B231" s="1"/>
      <c r="C231" s="1"/>
      <c r="D231" s="1"/>
      <c r="E231" s="1"/>
      <c r="F231" s="33"/>
      <c r="G231" s="33"/>
      <c r="H231" s="84"/>
      <c r="I231" s="84"/>
      <c r="J231" s="84"/>
      <c r="K231" s="39"/>
      <c r="L231" s="39"/>
      <c r="M231" s="39"/>
      <c r="N231" s="39"/>
      <c r="O231" s="39"/>
      <c r="P231" s="39"/>
      <c r="Q231" s="39"/>
      <c r="R231" s="39"/>
      <c r="S231" s="39"/>
      <c r="T231" s="39"/>
      <c r="U231" s="39"/>
      <c r="V231" s="39"/>
      <c r="W231" s="39"/>
      <c r="X231" s="39"/>
      <c r="Y231" s="39"/>
    </row>
    <row r="232" spans="1:25" ht="11.25" customHeight="1" x14ac:dyDescent="0.25">
      <c r="A232" s="1"/>
      <c r="B232" s="1"/>
      <c r="C232" s="1"/>
      <c r="D232" s="1"/>
      <c r="E232" s="1"/>
      <c r="F232" s="33"/>
      <c r="G232" s="33"/>
      <c r="H232" s="84"/>
      <c r="I232" s="84"/>
      <c r="J232" s="84"/>
      <c r="K232" s="39"/>
      <c r="L232" s="39"/>
      <c r="M232" s="39"/>
      <c r="N232" s="39"/>
      <c r="O232" s="39"/>
      <c r="P232" s="39"/>
      <c r="Q232" s="39"/>
      <c r="R232" s="39"/>
      <c r="S232" s="39"/>
      <c r="T232" s="39"/>
      <c r="U232" s="39"/>
      <c r="V232" s="39"/>
      <c r="W232" s="39"/>
      <c r="X232" s="39"/>
      <c r="Y232" s="39"/>
    </row>
    <row r="233" spans="1:25" ht="11.25" customHeight="1" x14ac:dyDescent="0.25">
      <c r="A233" s="1"/>
      <c r="B233" s="1"/>
      <c r="C233" s="1"/>
      <c r="D233" s="1"/>
      <c r="E233" s="1"/>
      <c r="F233" s="33"/>
      <c r="G233" s="33"/>
      <c r="H233" s="84"/>
      <c r="I233" s="84"/>
      <c r="J233" s="84"/>
      <c r="K233" s="39"/>
      <c r="L233" s="39"/>
      <c r="M233" s="39"/>
      <c r="N233" s="39"/>
      <c r="O233" s="39"/>
      <c r="P233" s="39"/>
      <c r="Q233" s="39"/>
      <c r="R233" s="39"/>
      <c r="S233" s="39"/>
      <c r="T233" s="39"/>
      <c r="U233" s="39"/>
      <c r="V233" s="39"/>
      <c r="W233" s="39"/>
      <c r="X233" s="39"/>
      <c r="Y233" s="39"/>
    </row>
    <row r="234" spans="1:25" ht="11.25" customHeight="1" x14ac:dyDescent="0.25">
      <c r="A234" s="1"/>
      <c r="B234" s="1"/>
      <c r="C234" s="1"/>
      <c r="D234" s="1"/>
      <c r="E234" s="1"/>
      <c r="F234" s="33"/>
      <c r="G234" s="33"/>
      <c r="H234" s="84"/>
      <c r="I234" s="84"/>
      <c r="J234" s="84"/>
      <c r="K234" s="39"/>
      <c r="L234" s="39"/>
      <c r="M234" s="39"/>
      <c r="N234" s="39"/>
      <c r="O234" s="39"/>
      <c r="P234" s="39"/>
      <c r="Q234" s="39"/>
      <c r="R234" s="39"/>
      <c r="S234" s="39"/>
      <c r="T234" s="39"/>
      <c r="U234" s="39"/>
      <c r="V234" s="39"/>
      <c r="W234" s="39"/>
      <c r="X234" s="39"/>
      <c r="Y234" s="39"/>
    </row>
    <row r="235" spans="1:25" ht="11.25" customHeight="1" x14ac:dyDescent="0.25">
      <c r="A235" s="1"/>
      <c r="B235" s="1"/>
      <c r="C235" s="1"/>
      <c r="D235" s="1"/>
      <c r="E235" s="1"/>
      <c r="F235" s="33"/>
      <c r="G235" s="33"/>
      <c r="H235" s="84"/>
      <c r="I235" s="84"/>
      <c r="J235" s="84"/>
      <c r="K235" s="39"/>
      <c r="L235" s="39"/>
      <c r="M235" s="39"/>
      <c r="N235" s="39"/>
      <c r="O235" s="39"/>
      <c r="P235" s="39"/>
      <c r="Q235" s="39"/>
      <c r="R235" s="39"/>
      <c r="S235" s="39"/>
      <c r="T235" s="39"/>
      <c r="U235" s="39"/>
      <c r="V235" s="39"/>
      <c r="W235" s="39"/>
      <c r="X235" s="39"/>
      <c r="Y235" s="39"/>
    </row>
    <row r="236" spans="1:25" ht="11.25" customHeight="1" x14ac:dyDescent="0.25">
      <c r="A236" s="1"/>
      <c r="B236" s="1"/>
      <c r="C236" s="1"/>
      <c r="D236" s="1"/>
      <c r="E236" s="1"/>
      <c r="F236" s="33"/>
      <c r="G236" s="33"/>
      <c r="H236" s="84"/>
      <c r="I236" s="84"/>
      <c r="J236" s="84"/>
      <c r="K236" s="39"/>
      <c r="L236" s="39"/>
      <c r="M236" s="39"/>
      <c r="N236" s="39"/>
      <c r="O236" s="39"/>
      <c r="P236" s="39"/>
      <c r="Q236" s="39"/>
      <c r="R236" s="39"/>
      <c r="S236" s="39"/>
      <c r="T236" s="39"/>
      <c r="U236" s="39"/>
      <c r="V236" s="39"/>
      <c r="W236" s="39"/>
      <c r="X236" s="39"/>
      <c r="Y236" s="39"/>
    </row>
    <row r="237" spans="1:25" ht="11.25" customHeight="1" x14ac:dyDescent="0.25">
      <c r="A237" s="1"/>
      <c r="B237" s="1"/>
      <c r="C237" s="1"/>
      <c r="D237" s="1"/>
      <c r="E237" s="1"/>
      <c r="F237" s="33"/>
      <c r="G237" s="33"/>
      <c r="H237" s="84"/>
      <c r="I237" s="84"/>
      <c r="J237" s="84"/>
      <c r="K237" s="39"/>
      <c r="L237" s="39"/>
      <c r="M237" s="39"/>
      <c r="N237" s="39"/>
      <c r="O237" s="39"/>
      <c r="P237" s="39"/>
      <c r="Q237" s="39"/>
      <c r="R237" s="39"/>
      <c r="S237" s="39"/>
      <c r="T237" s="39"/>
      <c r="U237" s="39"/>
      <c r="V237" s="39"/>
      <c r="W237" s="39"/>
      <c r="X237" s="39"/>
      <c r="Y237" s="39"/>
    </row>
    <row r="238" spans="1:25" ht="11.25" customHeight="1" x14ac:dyDescent="0.25">
      <c r="A238" s="1"/>
      <c r="B238" s="1"/>
      <c r="C238" s="1"/>
      <c r="D238" s="1"/>
      <c r="E238" s="1"/>
      <c r="F238" s="33"/>
      <c r="G238" s="33"/>
      <c r="H238" s="84"/>
      <c r="I238" s="84"/>
      <c r="J238" s="84"/>
      <c r="K238" s="39"/>
      <c r="L238" s="39"/>
      <c r="M238" s="39"/>
      <c r="N238" s="39"/>
      <c r="O238" s="39"/>
      <c r="P238" s="39"/>
      <c r="Q238" s="39"/>
      <c r="R238" s="39"/>
      <c r="S238" s="39"/>
      <c r="T238" s="39"/>
      <c r="U238" s="39"/>
      <c r="V238" s="39"/>
      <c r="W238" s="39"/>
      <c r="X238" s="39"/>
      <c r="Y238" s="39"/>
    </row>
    <row r="239" spans="1:25" ht="11.25" customHeight="1" x14ac:dyDescent="0.25">
      <c r="A239" s="1"/>
      <c r="B239" s="1"/>
      <c r="C239" s="1"/>
      <c r="D239" s="1"/>
      <c r="E239" s="1"/>
      <c r="F239" s="33"/>
      <c r="G239" s="33"/>
      <c r="H239" s="84"/>
      <c r="I239" s="84"/>
      <c r="J239" s="84"/>
      <c r="K239" s="39"/>
      <c r="L239" s="39"/>
      <c r="M239" s="39"/>
      <c r="N239" s="39"/>
      <c r="O239" s="39"/>
      <c r="P239" s="39"/>
      <c r="Q239" s="39"/>
      <c r="R239" s="39"/>
      <c r="S239" s="39"/>
      <c r="T239" s="39"/>
      <c r="U239" s="39"/>
      <c r="V239" s="39"/>
      <c r="W239" s="39"/>
      <c r="X239" s="39"/>
      <c r="Y239" s="39"/>
    </row>
    <row r="240" spans="1:25" ht="11.25" customHeight="1" x14ac:dyDescent="0.25">
      <c r="A240" s="1"/>
      <c r="B240" s="1"/>
      <c r="C240" s="1"/>
      <c r="D240" s="1"/>
      <c r="E240" s="1"/>
      <c r="F240" s="33"/>
      <c r="G240" s="33"/>
      <c r="H240" s="84"/>
      <c r="I240" s="84"/>
      <c r="J240" s="84"/>
      <c r="K240" s="39"/>
      <c r="L240" s="39"/>
      <c r="M240" s="39"/>
      <c r="N240" s="39"/>
      <c r="O240" s="39"/>
      <c r="P240" s="39"/>
      <c r="Q240" s="39"/>
      <c r="R240" s="39"/>
      <c r="S240" s="39"/>
      <c r="T240" s="39"/>
      <c r="U240" s="39"/>
      <c r="V240" s="39"/>
      <c r="W240" s="39"/>
      <c r="X240" s="39"/>
      <c r="Y240" s="39"/>
    </row>
    <row r="241" spans="1:25" ht="11.25" customHeight="1" x14ac:dyDescent="0.25">
      <c r="A241" s="1"/>
      <c r="B241" s="1"/>
      <c r="C241" s="1"/>
      <c r="D241" s="1"/>
      <c r="E241" s="1"/>
      <c r="F241" s="33"/>
      <c r="G241" s="33"/>
      <c r="H241" s="84"/>
      <c r="I241" s="84"/>
      <c r="J241" s="84"/>
      <c r="K241" s="39"/>
      <c r="L241" s="39"/>
      <c r="M241" s="39"/>
      <c r="N241" s="39"/>
      <c r="O241" s="39"/>
      <c r="P241" s="39"/>
      <c r="Q241" s="39"/>
      <c r="R241" s="39"/>
      <c r="S241" s="39"/>
      <c r="T241" s="39"/>
      <c r="U241" s="39"/>
      <c r="V241" s="39"/>
      <c r="W241" s="39"/>
      <c r="X241" s="39"/>
      <c r="Y241" s="39"/>
    </row>
    <row r="242" spans="1:25" ht="11.25" customHeight="1" x14ac:dyDescent="0.25">
      <c r="A242" s="1"/>
      <c r="B242" s="1"/>
      <c r="C242" s="1"/>
      <c r="D242" s="1"/>
      <c r="E242" s="1"/>
      <c r="F242" s="33"/>
      <c r="G242" s="33"/>
      <c r="H242" s="84"/>
      <c r="I242" s="84"/>
      <c r="J242" s="84"/>
      <c r="K242" s="39"/>
      <c r="L242" s="39"/>
      <c r="M242" s="39"/>
      <c r="N242" s="39"/>
      <c r="O242" s="39"/>
      <c r="P242" s="39"/>
      <c r="Q242" s="39"/>
      <c r="R242" s="39"/>
      <c r="S242" s="39"/>
      <c r="T242" s="39"/>
      <c r="U242" s="39"/>
      <c r="V242" s="39"/>
      <c r="W242" s="39"/>
      <c r="X242" s="39"/>
      <c r="Y242" s="39"/>
    </row>
    <row r="243" spans="1:25" ht="11.25" customHeight="1" x14ac:dyDescent="0.25">
      <c r="A243" s="1"/>
      <c r="B243" s="1"/>
      <c r="C243" s="1"/>
      <c r="D243" s="1"/>
      <c r="E243" s="1"/>
      <c r="F243" s="33"/>
      <c r="G243" s="33"/>
      <c r="H243" s="84"/>
      <c r="I243" s="84"/>
      <c r="J243" s="84"/>
      <c r="K243" s="39"/>
      <c r="L243" s="39"/>
      <c r="M243" s="39"/>
      <c r="N243" s="39"/>
      <c r="O243" s="39"/>
      <c r="P243" s="39"/>
      <c r="Q243" s="39"/>
      <c r="R243" s="39"/>
      <c r="S243" s="39"/>
      <c r="T243" s="39"/>
      <c r="U243" s="39"/>
      <c r="V243" s="39"/>
      <c r="W243" s="39"/>
      <c r="X243" s="39"/>
      <c r="Y243" s="39"/>
    </row>
    <row r="244" spans="1:25" ht="11.25" customHeight="1" x14ac:dyDescent="0.25">
      <c r="A244" s="1"/>
      <c r="B244" s="1"/>
      <c r="C244" s="1"/>
      <c r="D244" s="1"/>
      <c r="E244" s="1"/>
      <c r="F244" s="33"/>
      <c r="G244" s="33"/>
      <c r="H244" s="84"/>
      <c r="I244" s="84"/>
      <c r="J244" s="84"/>
      <c r="K244" s="39"/>
      <c r="L244" s="39"/>
      <c r="M244" s="39"/>
      <c r="N244" s="39"/>
      <c r="O244" s="39"/>
      <c r="P244" s="39"/>
      <c r="Q244" s="39"/>
      <c r="R244" s="39"/>
      <c r="S244" s="39"/>
      <c r="T244" s="39"/>
      <c r="U244" s="39"/>
      <c r="V244" s="39"/>
      <c r="W244" s="39"/>
      <c r="X244" s="39"/>
      <c r="Y244" s="39"/>
    </row>
    <row r="245" spans="1:25" ht="11.25" customHeight="1" x14ac:dyDescent="0.25">
      <c r="A245" s="1"/>
      <c r="B245" s="1"/>
      <c r="C245" s="1"/>
      <c r="D245" s="1"/>
      <c r="E245" s="1"/>
      <c r="F245" s="33"/>
      <c r="G245" s="33"/>
      <c r="H245" s="84"/>
      <c r="I245" s="84"/>
      <c r="J245" s="84"/>
      <c r="K245" s="39"/>
      <c r="L245" s="39"/>
      <c r="M245" s="39"/>
      <c r="N245" s="39"/>
      <c r="O245" s="39"/>
      <c r="P245" s="39"/>
      <c r="Q245" s="39"/>
      <c r="R245" s="39"/>
      <c r="S245" s="39"/>
      <c r="T245" s="39"/>
      <c r="U245" s="39"/>
      <c r="V245" s="39"/>
      <c r="W245" s="39"/>
      <c r="X245" s="39"/>
      <c r="Y245" s="39"/>
    </row>
    <row r="246" spans="1:25" ht="11.25" customHeight="1" x14ac:dyDescent="0.25">
      <c r="A246" s="1"/>
      <c r="B246" s="1"/>
      <c r="C246" s="1"/>
      <c r="D246" s="1"/>
      <c r="E246" s="1"/>
      <c r="F246" s="33"/>
      <c r="G246" s="33"/>
      <c r="H246" s="84"/>
      <c r="I246" s="84"/>
      <c r="J246" s="84"/>
      <c r="K246" s="39"/>
      <c r="L246" s="39"/>
      <c r="M246" s="39"/>
      <c r="N246" s="39"/>
      <c r="O246" s="39"/>
      <c r="P246" s="39"/>
      <c r="Q246" s="39"/>
      <c r="R246" s="39"/>
      <c r="S246" s="39"/>
      <c r="T246" s="39"/>
      <c r="U246" s="39"/>
      <c r="V246" s="39"/>
      <c r="W246" s="39"/>
      <c r="X246" s="39"/>
      <c r="Y246" s="39"/>
    </row>
    <row r="247" spans="1:25" ht="11.25" customHeight="1" x14ac:dyDescent="0.25">
      <c r="A247" s="1"/>
      <c r="B247" s="1"/>
      <c r="C247" s="1"/>
      <c r="D247" s="1"/>
      <c r="E247" s="1"/>
      <c r="F247" s="33"/>
      <c r="G247" s="33"/>
      <c r="H247" s="84"/>
      <c r="I247" s="84"/>
      <c r="J247" s="84"/>
      <c r="K247" s="39"/>
      <c r="L247" s="39"/>
      <c r="M247" s="39"/>
      <c r="N247" s="39"/>
      <c r="O247" s="39"/>
      <c r="P247" s="39"/>
      <c r="Q247" s="39"/>
      <c r="R247" s="39"/>
      <c r="S247" s="39"/>
      <c r="T247" s="39"/>
      <c r="U247" s="39"/>
      <c r="V247" s="39"/>
      <c r="W247" s="39"/>
      <c r="X247" s="39"/>
      <c r="Y247" s="39"/>
    </row>
    <row r="248" spans="1:25" ht="11.25" customHeight="1" x14ac:dyDescent="0.25">
      <c r="A248" s="1"/>
      <c r="B248" s="1"/>
      <c r="C248" s="1"/>
      <c r="D248" s="1"/>
      <c r="E248" s="1"/>
      <c r="F248" s="33"/>
      <c r="G248" s="33"/>
      <c r="H248" s="84"/>
      <c r="I248" s="84"/>
      <c r="J248" s="84"/>
      <c r="K248" s="39"/>
      <c r="L248" s="39"/>
      <c r="M248" s="39"/>
      <c r="N248" s="39"/>
      <c r="O248" s="39"/>
      <c r="P248" s="39"/>
      <c r="Q248" s="39"/>
      <c r="R248" s="39"/>
      <c r="S248" s="39"/>
      <c r="T248" s="39"/>
      <c r="U248" s="39"/>
      <c r="V248" s="39"/>
      <c r="W248" s="39"/>
      <c r="X248" s="39"/>
      <c r="Y248" s="39"/>
    </row>
    <row r="249" spans="1:25" ht="11.25" customHeight="1" x14ac:dyDescent="0.25">
      <c r="A249" s="1"/>
      <c r="B249" s="1"/>
      <c r="C249" s="1"/>
      <c r="D249" s="1"/>
      <c r="E249" s="1"/>
      <c r="F249" s="33"/>
      <c r="G249" s="33"/>
      <c r="H249" s="84"/>
      <c r="I249" s="84"/>
      <c r="J249" s="84"/>
      <c r="K249" s="39"/>
      <c r="L249" s="39"/>
      <c r="M249" s="39"/>
      <c r="N249" s="39"/>
      <c r="O249" s="39"/>
      <c r="P249" s="39"/>
      <c r="Q249" s="39"/>
      <c r="R249" s="39"/>
      <c r="S249" s="39"/>
      <c r="T249" s="39"/>
      <c r="U249" s="39"/>
      <c r="V249" s="39"/>
      <c r="W249" s="39"/>
      <c r="X249" s="39"/>
      <c r="Y249" s="39"/>
    </row>
    <row r="250" spans="1:25" ht="11.25" customHeight="1" x14ac:dyDescent="0.25">
      <c r="A250" s="1"/>
      <c r="B250" s="1"/>
      <c r="C250" s="1"/>
      <c r="D250" s="1"/>
      <c r="E250" s="1"/>
      <c r="F250" s="33"/>
      <c r="G250" s="33"/>
      <c r="H250" s="84"/>
      <c r="I250" s="84"/>
      <c r="J250" s="84"/>
      <c r="K250" s="39"/>
      <c r="L250" s="39"/>
      <c r="M250" s="39"/>
      <c r="N250" s="39"/>
      <c r="O250" s="39"/>
      <c r="P250" s="39"/>
      <c r="Q250" s="39"/>
      <c r="R250" s="39"/>
      <c r="S250" s="39"/>
      <c r="T250" s="39"/>
      <c r="U250" s="39"/>
      <c r="V250" s="39"/>
      <c r="W250" s="39"/>
      <c r="X250" s="39"/>
      <c r="Y250" s="39"/>
    </row>
    <row r="251" spans="1:25" ht="11.25" customHeight="1" x14ac:dyDescent="0.25">
      <c r="A251" s="1"/>
      <c r="B251" s="1"/>
      <c r="C251" s="1"/>
      <c r="D251" s="1"/>
      <c r="E251" s="1"/>
      <c r="F251" s="33"/>
      <c r="G251" s="33"/>
      <c r="H251" s="84"/>
      <c r="I251" s="84"/>
      <c r="J251" s="84"/>
      <c r="K251" s="39"/>
      <c r="L251" s="39"/>
      <c r="M251" s="39"/>
      <c r="N251" s="39"/>
      <c r="O251" s="39"/>
      <c r="P251" s="39"/>
      <c r="Q251" s="39"/>
      <c r="R251" s="39"/>
      <c r="S251" s="39"/>
      <c r="T251" s="39"/>
      <c r="U251" s="39"/>
      <c r="V251" s="39"/>
      <c r="W251" s="39"/>
      <c r="X251" s="39"/>
      <c r="Y251" s="39"/>
    </row>
    <row r="252" spans="1:25" ht="11.25" customHeight="1" x14ac:dyDescent="0.25">
      <c r="A252" s="1"/>
      <c r="B252" s="1"/>
      <c r="C252" s="1"/>
      <c r="D252" s="1"/>
      <c r="E252" s="1"/>
      <c r="F252" s="33"/>
      <c r="G252" s="33"/>
      <c r="H252" s="84"/>
      <c r="I252" s="84"/>
      <c r="J252" s="84"/>
      <c r="K252" s="39"/>
      <c r="L252" s="39"/>
      <c r="M252" s="39"/>
      <c r="N252" s="39"/>
      <c r="O252" s="39"/>
      <c r="P252" s="39"/>
      <c r="Q252" s="39"/>
      <c r="R252" s="39"/>
      <c r="S252" s="39"/>
      <c r="T252" s="39"/>
      <c r="U252" s="39"/>
      <c r="V252" s="39"/>
      <c r="W252" s="39"/>
      <c r="X252" s="39"/>
      <c r="Y252" s="39"/>
    </row>
    <row r="253" spans="1:25" ht="11.25" customHeight="1" x14ac:dyDescent="0.25">
      <c r="A253" s="1"/>
      <c r="B253" s="1"/>
      <c r="C253" s="1"/>
      <c r="D253" s="1"/>
      <c r="E253" s="1"/>
      <c r="F253" s="33"/>
      <c r="G253" s="33"/>
      <c r="H253" s="84"/>
      <c r="I253" s="84"/>
      <c r="J253" s="84"/>
      <c r="K253" s="39"/>
      <c r="L253" s="39"/>
      <c r="M253" s="39"/>
      <c r="N253" s="39"/>
      <c r="O253" s="39"/>
      <c r="P253" s="39"/>
      <c r="Q253" s="39"/>
      <c r="R253" s="39"/>
      <c r="S253" s="39"/>
      <c r="T253" s="39"/>
      <c r="U253" s="39"/>
      <c r="V253" s="39"/>
      <c r="W253" s="39"/>
      <c r="X253" s="39"/>
      <c r="Y253" s="39"/>
    </row>
    <row r="254" spans="1:25" ht="11.25" customHeight="1" x14ac:dyDescent="0.25">
      <c r="A254" s="1"/>
      <c r="B254" s="1"/>
      <c r="C254" s="1"/>
      <c r="D254" s="1"/>
      <c r="E254" s="1"/>
      <c r="F254" s="33"/>
      <c r="G254" s="33"/>
      <c r="H254" s="84"/>
      <c r="I254" s="84"/>
      <c r="J254" s="84"/>
      <c r="K254" s="39"/>
      <c r="L254" s="39"/>
      <c r="M254" s="39"/>
      <c r="N254" s="39"/>
      <c r="O254" s="39"/>
      <c r="P254" s="39"/>
      <c r="Q254" s="39"/>
      <c r="R254" s="39"/>
      <c r="S254" s="39"/>
      <c r="T254" s="39"/>
      <c r="U254" s="39"/>
      <c r="V254" s="39"/>
      <c r="W254" s="39"/>
      <c r="X254" s="39"/>
      <c r="Y254" s="39"/>
    </row>
    <row r="255" spans="1:25" ht="11.25" customHeight="1" x14ac:dyDescent="0.25">
      <c r="A255" s="1"/>
      <c r="B255" s="1"/>
      <c r="C255" s="1"/>
      <c r="D255" s="1"/>
      <c r="E255" s="1"/>
      <c r="F255" s="33"/>
      <c r="G255" s="33"/>
      <c r="H255" s="84"/>
      <c r="I255" s="84"/>
      <c r="J255" s="84"/>
      <c r="K255" s="39"/>
      <c r="L255" s="39"/>
      <c r="M255" s="39"/>
      <c r="N255" s="39"/>
      <c r="O255" s="39"/>
      <c r="P255" s="39"/>
      <c r="Q255" s="39"/>
      <c r="R255" s="39"/>
      <c r="S255" s="39"/>
      <c r="T255" s="39"/>
      <c r="U255" s="39"/>
      <c r="V255" s="39"/>
      <c r="W255" s="39"/>
      <c r="X255" s="39"/>
      <c r="Y255" s="39"/>
    </row>
    <row r="256" spans="1:25" ht="11.25" customHeight="1" x14ac:dyDescent="0.25">
      <c r="A256" s="1"/>
      <c r="B256" s="1"/>
      <c r="C256" s="1"/>
      <c r="D256" s="1"/>
      <c r="E256" s="1"/>
      <c r="F256" s="33"/>
      <c r="G256" s="33"/>
      <c r="H256" s="84"/>
      <c r="I256" s="84"/>
      <c r="J256" s="84"/>
      <c r="K256" s="39"/>
      <c r="L256" s="39"/>
      <c r="M256" s="39"/>
      <c r="N256" s="39"/>
      <c r="O256" s="39"/>
      <c r="P256" s="39"/>
      <c r="Q256" s="39"/>
      <c r="R256" s="39"/>
      <c r="S256" s="39"/>
      <c r="T256" s="39"/>
      <c r="U256" s="39"/>
      <c r="V256" s="39"/>
      <c r="W256" s="39"/>
      <c r="X256" s="39"/>
      <c r="Y256" s="39"/>
    </row>
    <row r="257" spans="1:25" ht="11.25" customHeight="1" x14ac:dyDescent="0.25">
      <c r="A257" s="1"/>
      <c r="B257" s="1"/>
      <c r="C257" s="1"/>
      <c r="D257" s="1"/>
      <c r="E257" s="1"/>
      <c r="F257" s="33"/>
      <c r="G257" s="33"/>
      <c r="H257" s="84"/>
      <c r="I257" s="84"/>
      <c r="J257" s="84"/>
      <c r="K257" s="39"/>
      <c r="L257" s="39"/>
      <c r="M257" s="39"/>
      <c r="N257" s="39"/>
      <c r="O257" s="39"/>
      <c r="P257" s="39"/>
      <c r="Q257" s="39"/>
      <c r="R257" s="39"/>
      <c r="S257" s="39"/>
      <c r="T257" s="39"/>
      <c r="U257" s="39"/>
      <c r="V257" s="39"/>
      <c r="W257" s="39"/>
      <c r="X257" s="39"/>
      <c r="Y257" s="39"/>
    </row>
    <row r="258" spans="1:25" ht="11.25" customHeight="1" x14ac:dyDescent="0.25">
      <c r="A258" s="1"/>
      <c r="B258" s="1"/>
      <c r="C258" s="1"/>
      <c r="D258" s="1"/>
      <c r="E258" s="1"/>
      <c r="F258" s="33"/>
      <c r="G258" s="33"/>
      <c r="H258" s="84"/>
      <c r="I258" s="84"/>
      <c r="J258" s="84"/>
      <c r="K258" s="39"/>
      <c r="L258" s="39"/>
      <c r="M258" s="39"/>
      <c r="N258" s="39"/>
      <c r="O258" s="39"/>
      <c r="P258" s="39"/>
      <c r="Q258" s="39"/>
      <c r="R258" s="39"/>
      <c r="S258" s="39"/>
      <c r="T258" s="39"/>
      <c r="U258" s="39"/>
      <c r="V258" s="39"/>
      <c r="W258" s="39"/>
      <c r="X258" s="39"/>
      <c r="Y258" s="39"/>
    </row>
    <row r="259" spans="1:25" ht="11.25" customHeight="1" x14ac:dyDescent="0.25">
      <c r="A259" s="1"/>
      <c r="B259" s="1"/>
      <c r="C259" s="1"/>
      <c r="D259" s="1"/>
      <c r="E259" s="1"/>
      <c r="F259" s="33"/>
      <c r="G259" s="33"/>
      <c r="H259" s="84"/>
      <c r="I259" s="84"/>
      <c r="J259" s="84"/>
      <c r="K259" s="39"/>
      <c r="L259" s="39"/>
      <c r="M259" s="39"/>
      <c r="N259" s="39"/>
      <c r="O259" s="39"/>
      <c r="P259" s="39"/>
      <c r="Q259" s="39"/>
      <c r="R259" s="39"/>
      <c r="S259" s="39"/>
      <c r="T259" s="39"/>
      <c r="U259" s="39"/>
      <c r="V259" s="39"/>
      <c r="W259" s="39"/>
      <c r="X259" s="39"/>
      <c r="Y259" s="39"/>
    </row>
    <row r="260" spans="1:25" ht="11.25" customHeight="1" x14ac:dyDescent="0.25">
      <c r="A260" s="1"/>
      <c r="B260" s="1"/>
      <c r="C260" s="1"/>
      <c r="D260" s="1"/>
      <c r="E260" s="1"/>
      <c r="F260" s="33"/>
      <c r="G260" s="33"/>
      <c r="H260" s="84"/>
      <c r="I260" s="84"/>
      <c r="J260" s="84"/>
      <c r="K260" s="39"/>
      <c r="L260" s="39"/>
      <c r="M260" s="39"/>
      <c r="N260" s="39"/>
      <c r="O260" s="39"/>
      <c r="P260" s="39"/>
      <c r="Q260" s="39"/>
      <c r="R260" s="39"/>
      <c r="S260" s="39"/>
      <c r="T260" s="39"/>
      <c r="U260" s="39"/>
      <c r="V260" s="39"/>
      <c r="W260" s="39"/>
      <c r="X260" s="39"/>
      <c r="Y260" s="39"/>
    </row>
    <row r="261" spans="1:25" ht="11.25" customHeight="1" x14ac:dyDescent="0.25">
      <c r="A261" s="1"/>
      <c r="B261" s="1"/>
      <c r="C261" s="1"/>
      <c r="D261" s="1"/>
      <c r="E261" s="1"/>
      <c r="F261" s="33"/>
      <c r="G261" s="33"/>
      <c r="H261" s="84"/>
      <c r="I261" s="84"/>
      <c r="J261" s="84"/>
      <c r="K261" s="39"/>
      <c r="L261" s="39"/>
      <c r="M261" s="39"/>
      <c r="N261" s="39"/>
      <c r="O261" s="39"/>
      <c r="P261" s="39"/>
      <c r="Q261" s="39"/>
      <c r="R261" s="39"/>
      <c r="S261" s="39"/>
      <c r="T261" s="39"/>
      <c r="U261" s="39"/>
      <c r="V261" s="39"/>
      <c r="W261" s="39"/>
      <c r="X261" s="39"/>
      <c r="Y261" s="39"/>
    </row>
    <row r="262" spans="1:25" ht="11.25" customHeight="1" x14ac:dyDescent="0.25">
      <c r="A262" s="1"/>
      <c r="B262" s="1"/>
      <c r="C262" s="1"/>
      <c r="D262" s="1"/>
      <c r="E262" s="1"/>
      <c r="F262" s="33"/>
      <c r="G262" s="33"/>
      <c r="H262" s="84"/>
      <c r="I262" s="84"/>
      <c r="J262" s="84"/>
      <c r="K262" s="39"/>
      <c r="L262" s="39"/>
      <c r="M262" s="39"/>
      <c r="N262" s="39"/>
      <c r="O262" s="39"/>
      <c r="P262" s="39"/>
      <c r="Q262" s="39"/>
      <c r="R262" s="39"/>
      <c r="S262" s="39"/>
      <c r="T262" s="39"/>
      <c r="U262" s="39"/>
      <c r="V262" s="39"/>
      <c r="W262" s="39"/>
      <c r="X262" s="39"/>
      <c r="Y262" s="39"/>
    </row>
    <row r="263" spans="1:25" ht="11.25" customHeight="1" x14ac:dyDescent="0.25">
      <c r="A263" s="1"/>
      <c r="B263" s="1"/>
      <c r="C263" s="1"/>
      <c r="D263" s="1"/>
      <c r="E263" s="1"/>
      <c r="F263" s="33"/>
      <c r="G263" s="33"/>
      <c r="H263" s="84"/>
      <c r="I263" s="84"/>
      <c r="J263" s="84"/>
      <c r="K263" s="39"/>
      <c r="L263" s="39"/>
      <c r="M263" s="39"/>
      <c r="N263" s="39"/>
      <c r="O263" s="39"/>
      <c r="P263" s="39"/>
      <c r="Q263" s="39"/>
      <c r="R263" s="39"/>
      <c r="S263" s="39"/>
      <c r="T263" s="39"/>
      <c r="U263" s="39"/>
      <c r="V263" s="39"/>
      <c r="W263" s="39"/>
      <c r="X263" s="39"/>
      <c r="Y263" s="39"/>
    </row>
    <row r="264" spans="1:25" ht="11.25" customHeight="1" x14ac:dyDescent="0.25">
      <c r="A264" s="1"/>
      <c r="B264" s="1"/>
      <c r="C264" s="1"/>
      <c r="D264" s="1"/>
      <c r="E264" s="1"/>
      <c r="F264" s="33"/>
      <c r="G264" s="33"/>
      <c r="H264" s="84"/>
      <c r="I264" s="84"/>
      <c r="J264" s="84"/>
      <c r="K264" s="39"/>
      <c r="L264" s="39"/>
      <c r="M264" s="39"/>
      <c r="N264" s="39"/>
      <c r="O264" s="39"/>
      <c r="P264" s="39"/>
      <c r="Q264" s="39"/>
      <c r="R264" s="39"/>
      <c r="S264" s="39"/>
      <c r="T264" s="39"/>
      <c r="U264" s="39"/>
      <c r="V264" s="39"/>
      <c r="W264" s="39"/>
      <c r="X264" s="39"/>
      <c r="Y264" s="39"/>
    </row>
    <row r="265" spans="1:25" ht="11.25" customHeight="1" x14ac:dyDescent="0.25">
      <c r="A265" s="1"/>
      <c r="B265" s="1"/>
      <c r="C265" s="1"/>
      <c r="D265" s="1"/>
      <c r="E265" s="1"/>
      <c r="F265" s="33"/>
      <c r="G265" s="33"/>
      <c r="H265" s="84"/>
      <c r="I265" s="84"/>
      <c r="J265" s="84"/>
      <c r="K265" s="39"/>
      <c r="L265" s="39"/>
      <c r="M265" s="39"/>
      <c r="N265" s="39"/>
      <c r="O265" s="39"/>
      <c r="P265" s="39"/>
      <c r="Q265" s="39"/>
      <c r="R265" s="39"/>
      <c r="S265" s="39"/>
      <c r="T265" s="39"/>
      <c r="U265" s="39"/>
      <c r="V265" s="39"/>
      <c r="W265" s="39"/>
      <c r="X265" s="39"/>
      <c r="Y265" s="39"/>
    </row>
    <row r="266" spans="1:25" ht="11.25" customHeight="1" x14ac:dyDescent="0.25">
      <c r="A266" s="1"/>
      <c r="B266" s="1"/>
      <c r="C266" s="1"/>
      <c r="D266" s="1"/>
      <c r="E266" s="1"/>
      <c r="F266" s="33"/>
      <c r="G266" s="33"/>
      <c r="H266" s="84"/>
      <c r="I266" s="84"/>
      <c r="J266" s="84"/>
      <c r="K266" s="39"/>
      <c r="L266" s="39"/>
      <c r="M266" s="39"/>
      <c r="N266" s="39"/>
      <c r="O266" s="39"/>
      <c r="P266" s="39"/>
      <c r="Q266" s="39"/>
      <c r="R266" s="39"/>
      <c r="S266" s="39"/>
      <c r="T266" s="39"/>
      <c r="U266" s="39"/>
      <c r="V266" s="39"/>
      <c r="W266" s="39"/>
      <c r="X266" s="39"/>
      <c r="Y266" s="39"/>
    </row>
    <row r="267" spans="1:25" ht="11.25" customHeight="1" x14ac:dyDescent="0.25">
      <c r="A267" s="1"/>
      <c r="B267" s="1"/>
      <c r="C267" s="1"/>
      <c r="D267" s="1"/>
      <c r="E267" s="1"/>
      <c r="F267" s="33"/>
      <c r="G267" s="33"/>
      <c r="H267" s="84"/>
      <c r="I267" s="84"/>
      <c r="J267" s="84"/>
      <c r="K267" s="39"/>
      <c r="L267" s="39"/>
      <c r="M267" s="39"/>
      <c r="N267" s="39"/>
      <c r="O267" s="39"/>
      <c r="P267" s="39"/>
      <c r="Q267" s="39"/>
      <c r="R267" s="39"/>
      <c r="S267" s="39"/>
      <c r="T267" s="39"/>
      <c r="U267" s="39"/>
      <c r="V267" s="39"/>
      <c r="W267" s="39"/>
      <c r="X267" s="39"/>
      <c r="Y267" s="39"/>
    </row>
    <row r="268" spans="1:25" ht="11.25" customHeight="1" x14ac:dyDescent="0.25">
      <c r="A268" s="1"/>
      <c r="B268" s="1"/>
      <c r="C268" s="1"/>
      <c r="D268" s="1"/>
      <c r="E268" s="1"/>
      <c r="F268" s="33"/>
      <c r="G268" s="33"/>
      <c r="H268" s="84"/>
      <c r="I268" s="84"/>
      <c r="J268" s="84"/>
      <c r="K268" s="39"/>
      <c r="L268" s="39"/>
      <c r="M268" s="39"/>
      <c r="N268" s="39"/>
      <c r="O268" s="39"/>
      <c r="P268" s="39"/>
      <c r="Q268" s="39"/>
      <c r="R268" s="39"/>
      <c r="S268" s="39"/>
      <c r="T268" s="39"/>
      <c r="U268" s="39"/>
      <c r="V268" s="39"/>
      <c r="W268" s="39"/>
      <c r="X268" s="39"/>
      <c r="Y268" s="39"/>
    </row>
    <row r="269" spans="1:25" ht="11.25" customHeight="1" x14ac:dyDescent="0.25">
      <c r="A269" s="1"/>
      <c r="B269" s="1"/>
      <c r="C269" s="1"/>
      <c r="D269" s="1"/>
      <c r="E269" s="1"/>
      <c r="F269" s="33"/>
      <c r="G269" s="33"/>
      <c r="H269" s="84"/>
      <c r="I269" s="84"/>
      <c r="J269" s="84"/>
      <c r="K269" s="39"/>
      <c r="L269" s="39"/>
      <c r="M269" s="39"/>
      <c r="N269" s="39"/>
      <c r="O269" s="39"/>
      <c r="P269" s="39"/>
      <c r="Q269" s="39"/>
      <c r="R269" s="39"/>
      <c r="S269" s="39"/>
      <c r="T269" s="39"/>
      <c r="U269" s="39"/>
      <c r="V269" s="39"/>
      <c r="W269" s="39"/>
      <c r="X269" s="39"/>
      <c r="Y269" s="39"/>
    </row>
    <row r="270" spans="1:25" ht="11.25" customHeight="1" x14ac:dyDescent="0.25">
      <c r="A270" s="1"/>
      <c r="B270" s="1"/>
      <c r="C270" s="1"/>
      <c r="D270" s="1"/>
      <c r="E270" s="1"/>
      <c r="F270" s="33"/>
      <c r="G270" s="33"/>
      <c r="H270" s="84"/>
      <c r="I270" s="84"/>
      <c r="J270" s="84"/>
      <c r="K270" s="39"/>
      <c r="L270" s="39"/>
      <c r="M270" s="39"/>
      <c r="N270" s="39"/>
      <c r="O270" s="39"/>
      <c r="P270" s="39"/>
      <c r="Q270" s="39"/>
      <c r="R270" s="39"/>
      <c r="S270" s="39"/>
      <c r="T270" s="39"/>
      <c r="U270" s="39"/>
      <c r="V270" s="39"/>
      <c r="W270" s="39"/>
      <c r="X270" s="39"/>
      <c r="Y270" s="39"/>
    </row>
    <row r="271" spans="1:25" ht="11.25" customHeight="1" x14ac:dyDescent="0.25">
      <c r="A271" s="1"/>
      <c r="B271" s="1"/>
      <c r="C271" s="1"/>
      <c r="D271" s="1"/>
      <c r="E271" s="1"/>
      <c r="F271" s="33"/>
      <c r="G271" s="33"/>
      <c r="H271" s="84"/>
      <c r="I271" s="84"/>
      <c r="J271" s="84"/>
      <c r="K271" s="39"/>
      <c r="L271" s="39"/>
      <c r="M271" s="39"/>
      <c r="N271" s="39"/>
      <c r="O271" s="39"/>
      <c r="P271" s="39"/>
      <c r="Q271" s="39"/>
      <c r="R271" s="39"/>
      <c r="S271" s="39"/>
      <c r="T271" s="39"/>
      <c r="U271" s="39"/>
      <c r="V271" s="39"/>
      <c r="W271" s="39"/>
      <c r="X271" s="39"/>
      <c r="Y271" s="39"/>
    </row>
    <row r="272" spans="1:25" ht="11.25" customHeight="1" x14ac:dyDescent="0.25">
      <c r="A272" s="1"/>
      <c r="B272" s="1"/>
      <c r="C272" s="1"/>
      <c r="D272" s="1"/>
      <c r="E272" s="1"/>
      <c r="F272" s="33"/>
      <c r="G272" s="33"/>
      <c r="H272" s="84"/>
      <c r="I272" s="84"/>
      <c r="J272" s="84"/>
      <c r="K272" s="39"/>
      <c r="L272" s="39"/>
      <c r="M272" s="39"/>
      <c r="N272" s="39"/>
      <c r="O272" s="39"/>
      <c r="P272" s="39"/>
      <c r="Q272" s="39"/>
      <c r="R272" s="39"/>
      <c r="S272" s="39"/>
      <c r="T272" s="39"/>
      <c r="U272" s="39"/>
      <c r="V272" s="39"/>
      <c r="W272" s="39"/>
      <c r="X272" s="39"/>
      <c r="Y272" s="39"/>
    </row>
    <row r="273" spans="1:25" ht="11.25" customHeight="1" x14ac:dyDescent="0.25">
      <c r="A273" s="1"/>
      <c r="B273" s="1"/>
      <c r="C273" s="1"/>
      <c r="D273" s="1"/>
      <c r="E273" s="1"/>
      <c r="F273" s="33"/>
      <c r="G273" s="33"/>
      <c r="H273" s="84"/>
      <c r="I273" s="84"/>
      <c r="J273" s="84"/>
      <c r="K273" s="39"/>
      <c r="L273" s="39"/>
      <c r="M273" s="39"/>
      <c r="N273" s="39"/>
      <c r="O273" s="39"/>
      <c r="P273" s="39"/>
      <c r="Q273" s="39"/>
      <c r="R273" s="39"/>
      <c r="S273" s="39"/>
      <c r="T273" s="39"/>
      <c r="U273" s="39"/>
      <c r="V273" s="39"/>
      <c r="W273" s="39"/>
      <c r="X273" s="39"/>
      <c r="Y273" s="39"/>
    </row>
    <row r="274" spans="1:25" ht="11.25" customHeight="1" x14ac:dyDescent="0.25">
      <c r="A274" s="1"/>
      <c r="B274" s="1"/>
      <c r="C274" s="1"/>
      <c r="D274" s="1"/>
      <c r="E274" s="1"/>
      <c r="F274" s="33"/>
      <c r="G274" s="33"/>
      <c r="H274" s="84"/>
      <c r="I274" s="84"/>
      <c r="J274" s="84"/>
      <c r="K274" s="39"/>
      <c r="L274" s="39"/>
      <c r="M274" s="39"/>
      <c r="N274" s="39"/>
      <c r="O274" s="39"/>
      <c r="P274" s="39"/>
      <c r="Q274" s="39"/>
      <c r="R274" s="39"/>
      <c r="S274" s="39"/>
      <c r="T274" s="39"/>
      <c r="U274" s="39"/>
      <c r="V274" s="39"/>
      <c r="W274" s="39"/>
      <c r="X274" s="39"/>
      <c r="Y274" s="39"/>
    </row>
    <row r="275" spans="1:25" ht="11.25" customHeight="1" x14ac:dyDescent="0.25">
      <c r="A275" s="1"/>
      <c r="B275" s="1"/>
      <c r="C275" s="1"/>
      <c r="D275" s="1"/>
      <c r="E275" s="1"/>
      <c r="F275" s="33"/>
      <c r="G275" s="33"/>
      <c r="H275" s="84"/>
      <c r="I275" s="84"/>
      <c r="J275" s="84"/>
      <c r="K275" s="39"/>
      <c r="L275" s="39"/>
      <c r="M275" s="39"/>
      <c r="N275" s="39"/>
      <c r="O275" s="39"/>
      <c r="P275" s="39"/>
      <c r="Q275" s="39"/>
      <c r="R275" s="39"/>
      <c r="S275" s="39"/>
      <c r="T275" s="39"/>
      <c r="U275" s="39"/>
      <c r="V275" s="39"/>
      <c r="W275" s="39"/>
      <c r="X275" s="39"/>
      <c r="Y275" s="39"/>
    </row>
    <row r="276" spans="1:25" ht="11.25" customHeight="1" x14ac:dyDescent="0.25">
      <c r="A276" s="1"/>
      <c r="B276" s="1"/>
      <c r="C276" s="1"/>
      <c r="D276" s="1"/>
      <c r="E276" s="1"/>
      <c r="F276" s="33"/>
      <c r="G276" s="33"/>
      <c r="H276" s="84"/>
      <c r="I276" s="84"/>
      <c r="J276" s="84"/>
      <c r="K276" s="39"/>
      <c r="L276" s="39"/>
      <c r="M276" s="39"/>
      <c r="N276" s="39"/>
      <c r="O276" s="39"/>
      <c r="P276" s="39"/>
      <c r="Q276" s="39"/>
      <c r="R276" s="39"/>
      <c r="S276" s="39"/>
      <c r="T276" s="39"/>
      <c r="U276" s="39"/>
      <c r="V276" s="39"/>
      <c r="W276" s="39"/>
      <c r="X276" s="39"/>
      <c r="Y276" s="39"/>
    </row>
    <row r="277" spans="1:25" ht="11.25" customHeight="1" x14ac:dyDescent="0.25">
      <c r="A277" s="1"/>
      <c r="B277" s="1"/>
      <c r="C277" s="1"/>
      <c r="D277" s="1"/>
      <c r="E277" s="1"/>
      <c r="F277" s="33"/>
      <c r="G277" s="33"/>
      <c r="H277" s="84"/>
      <c r="I277" s="84"/>
      <c r="J277" s="84"/>
      <c r="K277" s="39"/>
      <c r="L277" s="39"/>
      <c r="M277" s="39"/>
      <c r="N277" s="39"/>
      <c r="O277" s="39"/>
      <c r="P277" s="39"/>
      <c r="Q277" s="39"/>
      <c r="R277" s="39"/>
      <c r="S277" s="39"/>
      <c r="T277" s="39"/>
      <c r="U277" s="39"/>
      <c r="V277" s="39"/>
      <c r="W277" s="39"/>
      <c r="X277" s="39"/>
      <c r="Y277" s="39"/>
    </row>
    <row r="278" spans="1:25" ht="11.25" customHeight="1" x14ac:dyDescent="0.25">
      <c r="A278" s="1"/>
      <c r="B278" s="1"/>
      <c r="C278" s="1"/>
      <c r="D278" s="1"/>
      <c r="E278" s="1"/>
      <c r="F278" s="33"/>
      <c r="G278" s="33"/>
      <c r="H278" s="84"/>
      <c r="I278" s="84"/>
      <c r="J278" s="84"/>
      <c r="K278" s="39"/>
      <c r="L278" s="39"/>
      <c r="M278" s="39"/>
      <c r="N278" s="39"/>
      <c r="O278" s="39"/>
      <c r="P278" s="39"/>
      <c r="Q278" s="39"/>
      <c r="R278" s="39"/>
      <c r="S278" s="39"/>
      <c r="T278" s="39"/>
      <c r="U278" s="39"/>
      <c r="V278" s="39"/>
      <c r="W278" s="39"/>
      <c r="X278" s="39"/>
      <c r="Y278" s="39"/>
    </row>
    <row r="279" spans="1:25" ht="11.25" customHeight="1" x14ac:dyDescent="0.25">
      <c r="A279" s="1"/>
      <c r="B279" s="1"/>
      <c r="C279" s="1"/>
      <c r="D279" s="1"/>
      <c r="E279" s="1"/>
      <c r="F279" s="33"/>
      <c r="G279" s="33"/>
      <c r="H279" s="84"/>
      <c r="I279" s="84"/>
      <c r="J279" s="84"/>
      <c r="K279" s="39"/>
      <c r="L279" s="39"/>
      <c r="M279" s="39"/>
      <c r="N279" s="39"/>
      <c r="O279" s="39"/>
      <c r="P279" s="39"/>
      <c r="Q279" s="39"/>
      <c r="R279" s="39"/>
      <c r="S279" s="39"/>
      <c r="T279" s="39"/>
      <c r="U279" s="39"/>
      <c r="V279" s="39"/>
      <c r="W279" s="39"/>
      <c r="X279" s="39"/>
      <c r="Y279" s="39"/>
    </row>
    <row r="280" spans="1:25" ht="11.25" customHeight="1" x14ac:dyDescent="0.25">
      <c r="A280" s="1"/>
      <c r="B280" s="1"/>
      <c r="C280" s="1"/>
      <c r="D280" s="1"/>
      <c r="E280" s="1"/>
      <c r="F280" s="33"/>
      <c r="G280" s="33"/>
      <c r="H280" s="84"/>
      <c r="I280" s="84"/>
      <c r="J280" s="84"/>
      <c r="K280" s="39"/>
      <c r="L280" s="39"/>
      <c r="M280" s="39"/>
      <c r="N280" s="39"/>
      <c r="O280" s="39"/>
      <c r="P280" s="39"/>
      <c r="Q280" s="39"/>
      <c r="R280" s="39"/>
      <c r="S280" s="39"/>
      <c r="T280" s="39"/>
      <c r="U280" s="39"/>
      <c r="V280" s="39"/>
      <c r="W280" s="39"/>
      <c r="X280" s="39"/>
      <c r="Y280" s="39"/>
    </row>
    <row r="281" spans="1:25" ht="11.25" customHeight="1" x14ac:dyDescent="0.25">
      <c r="A281" s="1"/>
      <c r="B281" s="1"/>
      <c r="C281" s="1"/>
      <c r="D281" s="1"/>
      <c r="E281" s="1"/>
      <c r="F281" s="33"/>
      <c r="G281" s="33"/>
      <c r="H281" s="84"/>
      <c r="I281" s="84"/>
      <c r="J281" s="84"/>
      <c r="K281" s="39"/>
      <c r="L281" s="39"/>
      <c r="M281" s="39"/>
      <c r="N281" s="39"/>
      <c r="O281" s="39"/>
      <c r="P281" s="39"/>
      <c r="Q281" s="39"/>
      <c r="R281" s="39"/>
      <c r="S281" s="39"/>
      <c r="T281" s="39"/>
      <c r="U281" s="39"/>
      <c r="V281" s="39"/>
      <c r="W281" s="39"/>
      <c r="X281" s="39"/>
      <c r="Y281" s="39"/>
    </row>
    <row r="282" spans="1:25" ht="11.25" customHeight="1" x14ac:dyDescent="0.25">
      <c r="A282" s="1"/>
      <c r="B282" s="1"/>
      <c r="C282" s="1"/>
      <c r="D282" s="1"/>
      <c r="E282" s="1"/>
      <c r="F282" s="33"/>
      <c r="G282" s="33"/>
      <c r="H282" s="84"/>
      <c r="I282" s="84"/>
      <c r="J282" s="84"/>
      <c r="K282" s="39"/>
      <c r="L282" s="39"/>
      <c r="M282" s="39"/>
      <c r="N282" s="39"/>
      <c r="O282" s="39"/>
      <c r="P282" s="39"/>
      <c r="Q282" s="39"/>
      <c r="R282" s="39"/>
      <c r="S282" s="39"/>
      <c r="T282" s="39"/>
      <c r="U282" s="39"/>
      <c r="V282" s="39"/>
      <c r="W282" s="39"/>
      <c r="X282" s="39"/>
      <c r="Y282" s="39"/>
    </row>
    <row r="283" spans="1:25" ht="11.25" customHeight="1" x14ac:dyDescent="0.25">
      <c r="A283" s="1"/>
      <c r="B283" s="1"/>
      <c r="C283" s="1"/>
      <c r="D283" s="1"/>
      <c r="E283" s="1"/>
      <c r="F283" s="33"/>
      <c r="G283" s="33"/>
      <c r="H283" s="84"/>
      <c r="I283" s="84"/>
      <c r="J283" s="84"/>
      <c r="K283" s="39"/>
      <c r="L283" s="39"/>
      <c r="M283" s="39"/>
      <c r="N283" s="39"/>
      <c r="O283" s="39"/>
      <c r="P283" s="39"/>
      <c r="Q283" s="39"/>
      <c r="R283" s="39"/>
      <c r="S283" s="39"/>
      <c r="T283" s="39"/>
      <c r="U283" s="39"/>
      <c r="V283" s="39"/>
      <c r="W283" s="39"/>
      <c r="X283" s="39"/>
      <c r="Y283" s="39"/>
    </row>
    <row r="284" spans="1:25" ht="11.25" customHeight="1" x14ac:dyDescent="0.25">
      <c r="A284" s="1"/>
      <c r="B284" s="1"/>
      <c r="C284" s="1"/>
      <c r="D284" s="1"/>
      <c r="E284" s="1"/>
      <c r="F284" s="33"/>
      <c r="G284" s="33"/>
      <c r="H284" s="84"/>
      <c r="I284" s="84"/>
      <c r="J284" s="84"/>
      <c r="K284" s="39"/>
      <c r="L284" s="39"/>
      <c r="M284" s="39"/>
      <c r="N284" s="39"/>
      <c r="O284" s="39"/>
      <c r="P284" s="39"/>
      <c r="Q284" s="39"/>
      <c r="R284" s="39"/>
      <c r="S284" s="39"/>
      <c r="T284" s="39"/>
      <c r="U284" s="39"/>
      <c r="V284" s="39"/>
      <c r="W284" s="39"/>
      <c r="X284" s="39"/>
      <c r="Y284" s="39"/>
    </row>
    <row r="285" spans="1:25" ht="11.25" customHeight="1" x14ac:dyDescent="0.25">
      <c r="A285" s="1"/>
      <c r="B285" s="1"/>
      <c r="C285" s="1"/>
      <c r="D285" s="1"/>
      <c r="E285" s="1"/>
      <c r="F285" s="33"/>
      <c r="G285" s="33"/>
      <c r="H285" s="84"/>
      <c r="I285" s="84"/>
      <c r="J285" s="84"/>
      <c r="K285" s="39"/>
      <c r="L285" s="39"/>
      <c r="M285" s="39"/>
      <c r="N285" s="39"/>
      <c r="O285" s="39"/>
      <c r="P285" s="39"/>
      <c r="Q285" s="39"/>
      <c r="R285" s="39"/>
      <c r="S285" s="39"/>
      <c r="T285" s="39"/>
      <c r="U285" s="39"/>
      <c r="V285" s="39"/>
      <c r="W285" s="39"/>
      <c r="X285" s="39"/>
      <c r="Y285" s="39"/>
    </row>
    <row r="286" spans="1:25" ht="11.25" customHeight="1" x14ac:dyDescent="0.25">
      <c r="A286" s="1"/>
      <c r="B286" s="1"/>
      <c r="C286" s="1"/>
      <c r="D286" s="1"/>
      <c r="E286" s="1"/>
      <c r="F286" s="33"/>
      <c r="G286" s="33"/>
      <c r="H286" s="84"/>
      <c r="I286" s="84"/>
      <c r="J286" s="84"/>
      <c r="K286" s="39"/>
      <c r="L286" s="39"/>
      <c r="M286" s="39"/>
      <c r="N286" s="39"/>
      <c r="O286" s="39"/>
      <c r="P286" s="39"/>
      <c r="Q286" s="39"/>
      <c r="R286" s="39"/>
      <c r="S286" s="39"/>
      <c r="T286" s="39"/>
      <c r="U286" s="39"/>
      <c r="V286" s="39"/>
      <c r="W286" s="39"/>
      <c r="X286" s="39"/>
      <c r="Y286" s="39"/>
    </row>
    <row r="287" spans="1:25" ht="11.25" customHeight="1" x14ac:dyDescent="0.25">
      <c r="A287" s="1"/>
      <c r="B287" s="1"/>
      <c r="C287" s="1"/>
      <c r="D287" s="1"/>
      <c r="E287" s="1"/>
      <c r="F287" s="33"/>
      <c r="G287" s="33"/>
      <c r="H287" s="84"/>
      <c r="I287" s="84"/>
      <c r="J287" s="84"/>
      <c r="K287" s="39"/>
      <c r="L287" s="39"/>
      <c r="M287" s="39"/>
      <c r="N287" s="39"/>
      <c r="O287" s="39"/>
      <c r="P287" s="39"/>
      <c r="Q287" s="39"/>
      <c r="R287" s="39"/>
      <c r="S287" s="39"/>
      <c r="T287" s="39"/>
      <c r="U287" s="39"/>
      <c r="V287" s="39"/>
      <c r="W287" s="39"/>
      <c r="X287" s="39"/>
      <c r="Y287" s="39"/>
    </row>
    <row r="288" spans="1:25" ht="11.25" customHeight="1" x14ac:dyDescent="0.25">
      <c r="A288" s="1"/>
      <c r="B288" s="1"/>
      <c r="C288" s="1"/>
      <c r="D288" s="1"/>
      <c r="E288" s="1"/>
      <c r="F288" s="33"/>
      <c r="G288" s="33"/>
      <c r="H288" s="84"/>
      <c r="I288" s="84"/>
      <c r="J288" s="84"/>
      <c r="K288" s="39"/>
      <c r="L288" s="39"/>
      <c r="M288" s="39"/>
      <c r="N288" s="39"/>
      <c r="O288" s="39"/>
      <c r="P288" s="39"/>
      <c r="Q288" s="39"/>
      <c r="R288" s="39"/>
      <c r="S288" s="39"/>
      <c r="T288" s="39"/>
      <c r="U288" s="39"/>
      <c r="V288" s="39"/>
      <c r="W288" s="39"/>
      <c r="X288" s="39"/>
      <c r="Y288" s="39"/>
    </row>
    <row r="289" spans="1:25" ht="11.25" customHeight="1" x14ac:dyDescent="0.25">
      <c r="A289" s="1"/>
      <c r="B289" s="1"/>
      <c r="C289" s="1"/>
      <c r="D289" s="1"/>
      <c r="E289" s="1"/>
      <c r="F289" s="33"/>
      <c r="G289" s="33"/>
      <c r="H289" s="84"/>
      <c r="I289" s="84"/>
      <c r="J289" s="84"/>
      <c r="K289" s="39"/>
      <c r="L289" s="39"/>
      <c r="M289" s="39"/>
      <c r="N289" s="39"/>
      <c r="O289" s="39"/>
      <c r="P289" s="39"/>
      <c r="Q289" s="39"/>
      <c r="R289" s="39"/>
      <c r="S289" s="39"/>
      <c r="T289" s="39"/>
      <c r="U289" s="39"/>
      <c r="V289" s="39"/>
      <c r="W289" s="39"/>
      <c r="X289" s="39"/>
      <c r="Y289" s="39"/>
    </row>
    <row r="290" spans="1:25" ht="11.25" customHeight="1" x14ac:dyDescent="0.25">
      <c r="A290" s="1"/>
      <c r="B290" s="1"/>
      <c r="C290" s="1"/>
      <c r="D290" s="1"/>
      <c r="E290" s="1"/>
      <c r="F290" s="33"/>
      <c r="G290" s="33"/>
      <c r="H290" s="84"/>
      <c r="I290" s="84"/>
      <c r="J290" s="84"/>
      <c r="K290" s="39"/>
      <c r="L290" s="39"/>
      <c r="M290" s="39"/>
      <c r="N290" s="39"/>
      <c r="O290" s="39"/>
      <c r="P290" s="39"/>
      <c r="Q290" s="39"/>
      <c r="R290" s="39"/>
      <c r="S290" s="39"/>
      <c r="T290" s="39"/>
      <c r="U290" s="39"/>
      <c r="V290" s="39"/>
      <c r="W290" s="39"/>
      <c r="X290" s="39"/>
      <c r="Y290" s="39"/>
    </row>
    <row r="291" spans="1:25" ht="11.25" customHeight="1" x14ac:dyDescent="0.25">
      <c r="A291" s="1"/>
      <c r="B291" s="1"/>
      <c r="C291" s="1"/>
      <c r="D291" s="1"/>
      <c r="E291" s="1"/>
      <c r="F291" s="33"/>
      <c r="G291" s="33"/>
      <c r="H291" s="84"/>
      <c r="I291" s="84"/>
      <c r="J291" s="84"/>
      <c r="K291" s="39"/>
      <c r="L291" s="39"/>
      <c r="M291" s="39"/>
      <c r="N291" s="39"/>
      <c r="O291" s="39"/>
      <c r="P291" s="39"/>
      <c r="Q291" s="39"/>
      <c r="R291" s="39"/>
      <c r="S291" s="39"/>
      <c r="T291" s="39"/>
      <c r="U291" s="39"/>
      <c r="V291" s="39"/>
      <c r="W291" s="39"/>
      <c r="X291" s="39"/>
      <c r="Y291" s="39"/>
    </row>
    <row r="292" spans="1:25" ht="11.25" customHeight="1" x14ac:dyDescent="0.25">
      <c r="A292" s="1"/>
      <c r="B292" s="1"/>
      <c r="C292" s="1"/>
      <c r="D292" s="1"/>
      <c r="E292" s="1"/>
      <c r="F292" s="33"/>
      <c r="G292" s="33"/>
      <c r="H292" s="84"/>
      <c r="I292" s="84"/>
      <c r="J292" s="84"/>
      <c r="K292" s="39"/>
      <c r="L292" s="39"/>
      <c r="M292" s="39"/>
      <c r="N292" s="39"/>
      <c r="O292" s="39"/>
      <c r="P292" s="39"/>
      <c r="Q292" s="39"/>
      <c r="R292" s="39"/>
      <c r="S292" s="39"/>
      <c r="T292" s="39"/>
      <c r="U292" s="39"/>
      <c r="V292" s="39"/>
      <c r="W292" s="39"/>
      <c r="X292" s="39"/>
      <c r="Y292" s="39"/>
    </row>
    <row r="293" spans="1:25" ht="11.25" customHeight="1" x14ac:dyDescent="0.25">
      <c r="A293" s="1"/>
      <c r="B293" s="1"/>
      <c r="C293" s="1"/>
      <c r="D293" s="1"/>
      <c r="E293" s="1"/>
      <c r="F293" s="33"/>
      <c r="G293" s="33"/>
      <c r="H293" s="84"/>
      <c r="I293" s="84"/>
      <c r="J293" s="84"/>
      <c r="K293" s="39"/>
      <c r="L293" s="39"/>
      <c r="M293" s="39"/>
      <c r="N293" s="39"/>
      <c r="O293" s="39"/>
      <c r="P293" s="39"/>
      <c r="Q293" s="39"/>
      <c r="R293" s="39"/>
      <c r="S293" s="39"/>
      <c r="T293" s="39"/>
      <c r="U293" s="39"/>
      <c r="V293" s="39"/>
      <c r="W293" s="39"/>
      <c r="X293" s="39"/>
      <c r="Y293" s="39"/>
    </row>
    <row r="294" spans="1:25" ht="11.25" customHeight="1" x14ac:dyDescent="0.25">
      <c r="A294" s="1"/>
      <c r="B294" s="1"/>
      <c r="C294" s="1"/>
      <c r="D294" s="1"/>
      <c r="E294" s="1"/>
      <c r="F294" s="33"/>
      <c r="G294" s="33"/>
      <c r="H294" s="84"/>
      <c r="I294" s="84"/>
      <c r="J294" s="84"/>
      <c r="K294" s="39"/>
      <c r="L294" s="39"/>
      <c r="M294" s="39"/>
      <c r="N294" s="39"/>
      <c r="O294" s="39"/>
      <c r="P294" s="39"/>
      <c r="Q294" s="39"/>
      <c r="R294" s="39"/>
      <c r="S294" s="39"/>
      <c r="T294" s="39"/>
      <c r="U294" s="39"/>
      <c r="V294" s="39"/>
      <c r="W294" s="39"/>
      <c r="X294" s="39"/>
      <c r="Y294" s="39"/>
    </row>
    <row r="295" spans="1:25" ht="11.25" customHeight="1" x14ac:dyDescent="0.25">
      <c r="A295" s="1"/>
      <c r="B295" s="1"/>
      <c r="C295" s="1"/>
      <c r="D295" s="1"/>
      <c r="E295" s="1"/>
      <c r="F295" s="33"/>
      <c r="G295" s="33"/>
      <c r="H295" s="84"/>
      <c r="I295" s="84"/>
      <c r="J295" s="84"/>
      <c r="K295" s="39"/>
      <c r="L295" s="39"/>
      <c r="M295" s="39"/>
      <c r="N295" s="39"/>
      <c r="O295" s="39"/>
      <c r="P295" s="39"/>
      <c r="Q295" s="39"/>
      <c r="R295" s="39"/>
      <c r="S295" s="39"/>
      <c r="T295" s="39"/>
      <c r="U295" s="39"/>
      <c r="V295" s="39"/>
      <c r="W295" s="39"/>
      <c r="X295" s="39"/>
      <c r="Y295" s="39"/>
    </row>
    <row r="296" spans="1:25" ht="11.25" customHeight="1" x14ac:dyDescent="0.25">
      <c r="A296" s="1"/>
      <c r="B296" s="1"/>
      <c r="C296" s="1"/>
      <c r="D296" s="1"/>
      <c r="E296" s="1"/>
      <c r="F296" s="33"/>
      <c r="G296" s="33"/>
      <c r="H296" s="84"/>
      <c r="I296" s="84"/>
      <c r="J296" s="84"/>
      <c r="K296" s="39"/>
      <c r="L296" s="39"/>
      <c r="M296" s="39"/>
      <c r="N296" s="39"/>
      <c r="O296" s="39"/>
      <c r="P296" s="39"/>
      <c r="Q296" s="39"/>
      <c r="R296" s="39"/>
      <c r="S296" s="39"/>
      <c r="T296" s="39"/>
      <c r="U296" s="39"/>
      <c r="V296" s="39"/>
      <c r="W296" s="39"/>
      <c r="X296" s="39"/>
      <c r="Y296" s="39"/>
    </row>
    <row r="297" spans="1:25" ht="11.25" customHeight="1" x14ac:dyDescent="0.25">
      <c r="A297" s="1"/>
      <c r="B297" s="1"/>
      <c r="C297" s="1"/>
      <c r="D297" s="1"/>
      <c r="E297" s="1"/>
      <c r="F297" s="33"/>
      <c r="G297" s="33"/>
      <c r="H297" s="84"/>
      <c r="I297" s="84"/>
      <c r="J297" s="84"/>
      <c r="K297" s="39"/>
      <c r="L297" s="39"/>
      <c r="M297" s="39"/>
      <c r="N297" s="39"/>
      <c r="O297" s="39"/>
      <c r="P297" s="39"/>
      <c r="Q297" s="39"/>
      <c r="R297" s="39"/>
      <c r="S297" s="39"/>
      <c r="T297" s="39"/>
      <c r="U297" s="39"/>
      <c r="V297" s="39"/>
      <c r="W297" s="39"/>
      <c r="X297" s="39"/>
      <c r="Y297" s="39"/>
    </row>
    <row r="298" spans="1:25" ht="11.25" customHeight="1" x14ac:dyDescent="0.25">
      <c r="A298" s="1"/>
      <c r="B298" s="1"/>
      <c r="C298" s="1"/>
      <c r="D298" s="1"/>
      <c r="E298" s="1"/>
      <c r="F298" s="33"/>
      <c r="G298" s="33"/>
      <c r="H298" s="84"/>
      <c r="I298" s="84"/>
      <c r="J298" s="84"/>
      <c r="K298" s="39"/>
      <c r="L298" s="39"/>
      <c r="M298" s="39"/>
      <c r="N298" s="39"/>
      <c r="O298" s="39"/>
      <c r="P298" s="39"/>
      <c r="Q298" s="39"/>
      <c r="R298" s="39"/>
      <c r="S298" s="39"/>
      <c r="T298" s="39"/>
      <c r="U298" s="39"/>
      <c r="V298" s="39"/>
      <c r="W298" s="39"/>
      <c r="X298" s="39"/>
      <c r="Y298" s="39"/>
    </row>
    <row r="299" spans="1:25" ht="11.25" customHeight="1" x14ac:dyDescent="0.25">
      <c r="A299" s="1"/>
      <c r="B299" s="1"/>
      <c r="C299" s="1"/>
      <c r="D299" s="1"/>
      <c r="E299" s="1"/>
      <c r="F299" s="33"/>
      <c r="G299" s="33"/>
      <c r="H299" s="84"/>
      <c r="I299" s="84"/>
      <c r="J299" s="84"/>
      <c r="K299" s="39"/>
      <c r="L299" s="39"/>
      <c r="M299" s="39"/>
      <c r="N299" s="39"/>
      <c r="O299" s="39"/>
      <c r="P299" s="39"/>
      <c r="Q299" s="39"/>
      <c r="R299" s="39"/>
      <c r="S299" s="39"/>
      <c r="T299" s="39"/>
      <c r="U299" s="39"/>
      <c r="V299" s="39"/>
      <c r="W299" s="39"/>
      <c r="X299" s="39"/>
      <c r="Y299" s="39"/>
    </row>
    <row r="300" spans="1:25" ht="11.25" customHeight="1" x14ac:dyDescent="0.25">
      <c r="A300" s="1"/>
      <c r="B300" s="1"/>
      <c r="C300" s="1"/>
      <c r="D300" s="1"/>
      <c r="E300" s="1"/>
      <c r="F300" s="33"/>
      <c r="G300" s="33"/>
      <c r="H300" s="84"/>
      <c r="I300" s="84"/>
      <c r="J300" s="84"/>
      <c r="K300" s="39"/>
      <c r="L300" s="39"/>
      <c r="M300" s="39"/>
      <c r="N300" s="39"/>
      <c r="O300" s="39"/>
      <c r="P300" s="39"/>
      <c r="Q300" s="39"/>
      <c r="R300" s="39"/>
      <c r="S300" s="39"/>
      <c r="T300" s="39"/>
      <c r="U300" s="39"/>
      <c r="V300" s="39"/>
      <c r="W300" s="39"/>
      <c r="X300" s="39"/>
      <c r="Y300" s="39"/>
    </row>
    <row r="301" spans="1:25" ht="11.25" customHeight="1" x14ac:dyDescent="0.25">
      <c r="A301" s="1"/>
      <c r="B301" s="1"/>
      <c r="C301" s="1"/>
      <c r="D301" s="1"/>
      <c r="E301" s="1"/>
      <c r="F301" s="33"/>
      <c r="G301" s="33"/>
      <c r="H301" s="84"/>
      <c r="I301" s="84"/>
      <c r="J301" s="84"/>
      <c r="K301" s="39"/>
      <c r="L301" s="39"/>
      <c r="M301" s="39"/>
      <c r="N301" s="39"/>
      <c r="O301" s="39"/>
      <c r="P301" s="39"/>
      <c r="Q301" s="39"/>
      <c r="R301" s="39"/>
      <c r="S301" s="39"/>
      <c r="T301" s="39"/>
      <c r="U301" s="39"/>
      <c r="V301" s="39"/>
      <c r="W301" s="39"/>
      <c r="X301" s="39"/>
      <c r="Y301" s="39"/>
    </row>
    <row r="302" spans="1:25" ht="11.25" customHeight="1" x14ac:dyDescent="0.25">
      <c r="A302" s="1"/>
      <c r="B302" s="1"/>
      <c r="C302" s="1"/>
      <c r="D302" s="1"/>
      <c r="E302" s="1"/>
      <c r="F302" s="33"/>
      <c r="G302" s="33"/>
      <c r="H302" s="84"/>
      <c r="I302" s="84"/>
      <c r="J302" s="84"/>
      <c r="K302" s="39"/>
      <c r="L302" s="39"/>
      <c r="M302" s="39"/>
      <c r="N302" s="39"/>
      <c r="O302" s="39"/>
      <c r="P302" s="39"/>
      <c r="Q302" s="39"/>
      <c r="R302" s="39"/>
      <c r="S302" s="39"/>
      <c r="T302" s="39"/>
      <c r="U302" s="39"/>
      <c r="V302" s="39"/>
      <c r="W302" s="39"/>
      <c r="X302" s="39"/>
      <c r="Y302" s="39"/>
    </row>
    <row r="303" spans="1:25" ht="11.25" customHeight="1" x14ac:dyDescent="0.25">
      <c r="A303" s="1"/>
      <c r="B303" s="1"/>
      <c r="C303" s="1"/>
      <c r="D303" s="1"/>
      <c r="E303" s="1"/>
      <c r="F303" s="33"/>
      <c r="G303" s="33"/>
      <c r="H303" s="84"/>
      <c r="I303" s="84"/>
      <c r="J303" s="84"/>
      <c r="K303" s="39"/>
      <c r="L303" s="39"/>
      <c r="M303" s="39"/>
      <c r="N303" s="39"/>
      <c r="O303" s="39"/>
      <c r="P303" s="39"/>
      <c r="Q303" s="39"/>
      <c r="R303" s="39"/>
      <c r="S303" s="39"/>
      <c r="T303" s="39"/>
      <c r="U303" s="39"/>
      <c r="V303" s="39"/>
      <c r="W303" s="39"/>
      <c r="X303" s="39"/>
      <c r="Y303" s="39"/>
    </row>
    <row r="304" spans="1:25" ht="11.25" customHeight="1" x14ac:dyDescent="0.25">
      <c r="A304" s="1"/>
      <c r="B304" s="1"/>
      <c r="C304" s="1"/>
      <c r="D304" s="1"/>
      <c r="E304" s="1"/>
      <c r="F304" s="33"/>
      <c r="G304" s="33"/>
      <c r="H304" s="84"/>
      <c r="I304" s="84"/>
      <c r="J304" s="84"/>
      <c r="K304" s="39"/>
      <c r="L304" s="39"/>
      <c r="M304" s="39"/>
      <c r="N304" s="39"/>
      <c r="O304" s="39"/>
      <c r="P304" s="39"/>
      <c r="Q304" s="39"/>
      <c r="R304" s="39"/>
      <c r="S304" s="39"/>
      <c r="T304" s="39"/>
      <c r="U304" s="39"/>
      <c r="V304" s="39"/>
      <c r="W304" s="39"/>
      <c r="X304" s="39"/>
      <c r="Y304" s="39"/>
    </row>
    <row r="305" spans="1:25" ht="11.25" customHeight="1" x14ac:dyDescent="0.25">
      <c r="A305" s="1"/>
      <c r="B305" s="1"/>
      <c r="C305" s="1"/>
      <c r="D305" s="1"/>
      <c r="E305" s="1"/>
      <c r="F305" s="33"/>
      <c r="G305" s="33"/>
      <c r="H305" s="84"/>
      <c r="I305" s="84"/>
      <c r="J305" s="84"/>
      <c r="K305" s="39"/>
      <c r="L305" s="39"/>
      <c r="M305" s="39"/>
      <c r="N305" s="39"/>
      <c r="O305" s="39"/>
      <c r="P305" s="39"/>
      <c r="Q305" s="39"/>
      <c r="R305" s="39"/>
      <c r="S305" s="39"/>
      <c r="T305" s="39"/>
      <c r="U305" s="39"/>
      <c r="V305" s="39"/>
      <c r="W305" s="39"/>
      <c r="X305" s="39"/>
      <c r="Y305" s="39"/>
    </row>
    <row r="306" spans="1:25" ht="11.25" customHeight="1" x14ac:dyDescent="0.25">
      <c r="A306" s="1"/>
      <c r="B306" s="1"/>
      <c r="C306" s="1"/>
      <c r="D306" s="1"/>
      <c r="E306" s="1"/>
      <c r="F306" s="33"/>
      <c r="G306" s="33"/>
      <c r="H306" s="84"/>
      <c r="I306" s="84"/>
      <c r="J306" s="84"/>
      <c r="K306" s="39"/>
      <c r="L306" s="39"/>
      <c r="M306" s="39"/>
      <c r="N306" s="39"/>
      <c r="O306" s="39"/>
      <c r="P306" s="39"/>
      <c r="Q306" s="39"/>
      <c r="R306" s="39"/>
      <c r="S306" s="39"/>
      <c r="T306" s="39"/>
      <c r="U306" s="39"/>
      <c r="V306" s="39"/>
      <c r="W306" s="39"/>
      <c r="X306" s="39"/>
      <c r="Y306" s="39"/>
    </row>
    <row r="307" spans="1:25" ht="11.25" customHeight="1" x14ac:dyDescent="0.25">
      <c r="A307" s="1"/>
      <c r="B307" s="1"/>
      <c r="C307" s="1"/>
      <c r="D307" s="1"/>
      <c r="E307" s="1"/>
      <c r="F307" s="33"/>
      <c r="G307" s="33"/>
      <c r="H307" s="84"/>
      <c r="I307" s="84"/>
      <c r="J307" s="84"/>
      <c r="K307" s="39"/>
      <c r="L307" s="39"/>
      <c r="M307" s="39"/>
      <c r="N307" s="39"/>
      <c r="O307" s="39"/>
      <c r="P307" s="39"/>
      <c r="Q307" s="39"/>
      <c r="R307" s="39"/>
      <c r="S307" s="39"/>
      <c r="T307" s="39"/>
      <c r="U307" s="39"/>
      <c r="V307" s="39"/>
      <c r="W307" s="39"/>
      <c r="X307" s="39"/>
      <c r="Y307" s="39"/>
    </row>
    <row r="308" spans="1:25" ht="11.25" customHeight="1" x14ac:dyDescent="0.25">
      <c r="A308" s="1"/>
      <c r="B308" s="1"/>
      <c r="C308" s="1"/>
      <c r="D308" s="1"/>
      <c r="E308" s="1"/>
      <c r="F308" s="33"/>
      <c r="G308" s="33"/>
      <c r="H308" s="84"/>
      <c r="I308" s="84"/>
      <c r="J308" s="84"/>
      <c r="K308" s="39"/>
      <c r="L308" s="39"/>
      <c r="M308" s="39"/>
      <c r="N308" s="39"/>
      <c r="O308" s="39"/>
      <c r="P308" s="39"/>
      <c r="Q308" s="39"/>
      <c r="R308" s="39"/>
      <c r="S308" s="39"/>
      <c r="T308" s="39"/>
      <c r="U308" s="39"/>
      <c r="V308" s="39"/>
      <c r="W308" s="39"/>
      <c r="X308" s="39"/>
      <c r="Y308" s="39"/>
    </row>
    <row r="309" spans="1:25" ht="11.25" customHeight="1" x14ac:dyDescent="0.25">
      <c r="A309" s="1"/>
      <c r="B309" s="1"/>
      <c r="C309" s="1"/>
      <c r="D309" s="1"/>
      <c r="E309" s="1"/>
      <c r="F309" s="33"/>
      <c r="G309" s="33"/>
      <c r="H309" s="84"/>
      <c r="I309" s="84"/>
      <c r="J309" s="84"/>
      <c r="K309" s="39"/>
      <c r="L309" s="39"/>
      <c r="M309" s="39"/>
      <c r="N309" s="39"/>
      <c r="O309" s="39"/>
      <c r="P309" s="39"/>
      <c r="Q309" s="39"/>
      <c r="R309" s="39"/>
      <c r="S309" s="39"/>
      <c r="T309" s="39"/>
      <c r="U309" s="39"/>
      <c r="V309" s="39"/>
      <c r="W309" s="39"/>
      <c r="X309" s="39"/>
      <c r="Y309" s="39"/>
    </row>
    <row r="310" spans="1:25" ht="11.25" customHeight="1" x14ac:dyDescent="0.25">
      <c r="A310" s="1"/>
      <c r="B310" s="1"/>
      <c r="C310" s="1"/>
      <c r="D310" s="1"/>
      <c r="E310" s="1"/>
      <c r="F310" s="33"/>
      <c r="G310" s="33"/>
      <c r="H310" s="84"/>
      <c r="I310" s="84"/>
      <c r="J310" s="84"/>
      <c r="K310" s="39"/>
      <c r="L310" s="39"/>
      <c r="M310" s="39"/>
      <c r="N310" s="39"/>
      <c r="O310" s="39"/>
      <c r="P310" s="39"/>
      <c r="Q310" s="39"/>
      <c r="R310" s="39"/>
      <c r="S310" s="39"/>
      <c r="T310" s="39"/>
      <c r="U310" s="39"/>
      <c r="V310" s="39"/>
      <c r="W310" s="39"/>
      <c r="X310" s="39"/>
      <c r="Y310" s="39"/>
    </row>
    <row r="311" spans="1:25" ht="11.25" customHeight="1" x14ac:dyDescent="0.25">
      <c r="A311" s="1"/>
      <c r="B311" s="1"/>
      <c r="C311" s="1"/>
      <c r="D311" s="1"/>
      <c r="E311" s="1"/>
      <c r="F311" s="33"/>
      <c r="G311" s="33"/>
      <c r="H311" s="84"/>
      <c r="I311" s="84"/>
      <c r="J311" s="84"/>
      <c r="K311" s="39"/>
      <c r="L311" s="39"/>
      <c r="M311" s="39"/>
      <c r="N311" s="39"/>
      <c r="O311" s="39"/>
      <c r="P311" s="39"/>
      <c r="Q311" s="39"/>
      <c r="R311" s="39"/>
      <c r="S311" s="39"/>
      <c r="T311" s="39"/>
      <c r="U311" s="39"/>
      <c r="V311" s="39"/>
      <c r="W311" s="39"/>
      <c r="X311" s="39"/>
      <c r="Y311" s="39"/>
    </row>
    <row r="312" spans="1:25" ht="11.25" customHeight="1" x14ac:dyDescent="0.25">
      <c r="A312" s="1"/>
      <c r="B312" s="1"/>
      <c r="C312" s="1"/>
      <c r="D312" s="1"/>
      <c r="E312" s="1"/>
      <c r="F312" s="33"/>
      <c r="G312" s="33"/>
      <c r="H312" s="84"/>
      <c r="I312" s="84"/>
      <c r="J312" s="84"/>
      <c r="K312" s="39"/>
      <c r="L312" s="39"/>
      <c r="M312" s="39"/>
      <c r="N312" s="39"/>
      <c r="O312" s="39"/>
      <c r="P312" s="39"/>
      <c r="Q312" s="39"/>
      <c r="R312" s="39"/>
      <c r="S312" s="39"/>
      <c r="T312" s="39"/>
      <c r="U312" s="39"/>
      <c r="V312" s="39"/>
      <c r="W312" s="39"/>
      <c r="X312" s="39"/>
      <c r="Y312" s="39"/>
    </row>
    <row r="313" spans="1:25" ht="11.25" customHeight="1" x14ac:dyDescent="0.25">
      <c r="A313" s="1"/>
      <c r="B313" s="1"/>
      <c r="C313" s="1"/>
      <c r="D313" s="1"/>
      <c r="E313" s="1"/>
      <c r="F313" s="33"/>
      <c r="G313" s="33"/>
      <c r="H313" s="84"/>
      <c r="I313" s="84"/>
      <c r="J313" s="84"/>
      <c r="K313" s="39"/>
      <c r="L313" s="39"/>
      <c r="M313" s="39"/>
      <c r="N313" s="39"/>
      <c r="O313" s="39"/>
      <c r="P313" s="39"/>
      <c r="Q313" s="39"/>
      <c r="R313" s="39"/>
      <c r="S313" s="39"/>
      <c r="T313" s="39"/>
      <c r="U313" s="39"/>
      <c r="V313" s="39"/>
      <c r="W313" s="39"/>
      <c r="X313" s="39"/>
      <c r="Y313" s="39"/>
    </row>
    <row r="314" spans="1:25" ht="11.25" customHeight="1" x14ac:dyDescent="0.25">
      <c r="A314" s="1"/>
      <c r="B314" s="1"/>
      <c r="C314" s="1"/>
      <c r="D314" s="1"/>
      <c r="E314" s="1"/>
      <c r="F314" s="33"/>
      <c r="G314" s="33"/>
      <c r="H314" s="84"/>
      <c r="I314" s="84"/>
      <c r="J314" s="84"/>
      <c r="K314" s="39"/>
      <c r="L314" s="39"/>
      <c r="M314" s="39"/>
      <c r="N314" s="39"/>
      <c r="O314" s="39"/>
      <c r="P314" s="39"/>
      <c r="Q314" s="39"/>
      <c r="R314" s="39"/>
      <c r="S314" s="39"/>
      <c r="T314" s="39"/>
      <c r="U314" s="39"/>
      <c r="V314" s="39"/>
      <c r="W314" s="39"/>
      <c r="X314" s="39"/>
      <c r="Y314" s="39"/>
    </row>
    <row r="315" spans="1:25" ht="11.25" customHeight="1" x14ac:dyDescent="0.25">
      <c r="A315" s="1"/>
      <c r="B315" s="1"/>
      <c r="C315" s="1"/>
      <c r="D315" s="1"/>
      <c r="E315" s="1"/>
      <c r="F315" s="33"/>
      <c r="G315" s="33"/>
      <c r="H315" s="84"/>
      <c r="I315" s="84"/>
      <c r="J315" s="84"/>
      <c r="K315" s="39"/>
      <c r="L315" s="39"/>
      <c r="M315" s="39"/>
      <c r="N315" s="39"/>
      <c r="O315" s="39"/>
      <c r="P315" s="39"/>
      <c r="Q315" s="39"/>
      <c r="R315" s="39"/>
      <c r="S315" s="39"/>
      <c r="T315" s="39"/>
      <c r="U315" s="39"/>
      <c r="V315" s="39"/>
      <c r="W315" s="39"/>
      <c r="X315" s="39"/>
      <c r="Y315" s="39"/>
    </row>
    <row r="316" spans="1:25" ht="11.25" customHeight="1" x14ac:dyDescent="0.25">
      <c r="A316" s="1"/>
      <c r="B316" s="1"/>
      <c r="C316" s="1"/>
      <c r="D316" s="1"/>
      <c r="E316" s="1"/>
      <c r="F316" s="33"/>
      <c r="G316" s="33"/>
      <c r="H316" s="84"/>
      <c r="I316" s="84"/>
      <c r="J316" s="84"/>
      <c r="K316" s="39"/>
      <c r="L316" s="39"/>
      <c r="M316" s="39"/>
      <c r="N316" s="39"/>
      <c r="O316" s="39"/>
      <c r="P316" s="39"/>
      <c r="Q316" s="39"/>
      <c r="R316" s="39"/>
      <c r="S316" s="39"/>
      <c r="T316" s="39"/>
      <c r="U316" s="39"/>
      <c r="V316" s="39"/>
      <c r="W316" s="39"/>
      <c r="X316" s="39"/>
      <c r="Y316" s="39"/>
    </row>
    <row r="317" spans="1:25" ht="11.25" customHeight="1" x14ac:dyDescent="0.25">
      <c r="A317" s="1"/>
      <c r="B317" s="1"/>
      <c r="C317" s="1"/>
      <c r="D317" s="1"/>
      <c r="E317" s="1"/>
      <c r="F317" s="33"/>
      <c r="G317" s="33"/>
      <c r="H317" s="84"/>
      <c r="I317" s="84"/>
      <c r="J317" s="84"/>
      <c r="K317" s="39"/>
      <c r="L317" s="39"/>
      <c r="M317" s="39"/>
      <c r="N317" s="39"/>
      <c r="O317" s="39"/>
      <c r="P317" s="39"/>
      <c r="Q317" s="39"/>
      <c r="R317" s="39"/>
      <c r="S317" s="39"/>
      <c r="T317" s="39"/>
      <c r="U317" s="39"/>
      <c r="V317" s="39"/>
      <c r="W317" s="39"/>
      <c r="X317" s="39"/>
      <c r="Y317" s="39"/>
    </row>
    <row r="318" spans="1:25" ht="11.25" customHeight="1" x14ac:dyDescent="0.25">
      <c r="A318" s="1"/>
      <c r="B318" s="1"/>
      <c r="C318" s="1"/>
      <c r="D318" s="1"/>
      <c r="E318" s="1"/>
      <c r="F318" s="33"/>
      <c r="G318" s="33"/>
      <c r="H318" s="84"/>
      <c r="I318" s="84"/>
      <c r="J318" s="84"/>
      <c r="K318" s="39"/>
      <c r="L318" s="39"/>
      <c r="M318" s="39"/>
      <c r="N318" s="39"/>
      <c r="O318" s="39"/>
      <c r="P318" s="39"/>
      <c r="Q318" s="39"/>
      <c r="R318" s="39"/>
      <c r="S318" s="39"/>
      <c r="T318" s="39"/>
      <c r="U318" s="39"/>
      <c r="V318" s="39"/>
      <c r="W318" s="39"/>
      <c r="X318" s="39"/>
      <c r="Y318" s="39"/>
    </row>
    <row r="319" spans="1:25" ht="11.25" customHeight="1" x14ac:dyDescent="0.25">
      <c r="A319" s="1"/>
      <c r="B319" s="1"/>
      <c r="C319" s="1"/>
      <c r="D319" s="1"/>
      <c r="E319" s="1"/>
      <c r="F319" s="33"/>
      <c r="G319" s="33"/>
      <c r="H319" s="84"/>
      <c r="I319" s="84"/>
      <c r="J319" s="84"/>
      <c r="K319" s="39"/>
      <c r="L319" s="39"/>
      <c r="M319" s="39"/>
      <c r="N319" s="39"/>
      <c r="O319" s="39"/>
      <c r="P319" s="39"/>
      <c r="Q319" s="39"/>
      <c r="R319" s="39"/>
      <c r="S319" s="39"/>
      <c r="T319" s="39"/>
      <c r="U319" s="39"/>
      <c r="V319" s="39"/>
      <c r="W319" s="39"/>
      <c r="X319" s="39"/>
      <c r="Y319" s="39"/>
    </row>
    <row r="320" spans="1:25" ht="11.25" customHeight="1" x14ac:dyDescent="0.25">
      <c r="A320" s="1"/>
      <c r="B320" s="1"/>
      <c r="C320" s="1"/>
      <c r="D320" s="1"/>
      <c r="E320" s="1"/>
      <c r="F320" s="33"/>
      <c r="G320" s="33"/>
      <c r="H320" s="84"/>
      <c r="I320" s="84"/>
      <c r="J320" s="84"/>
      <c r="K320" s="39"/>
      <c r="L320" s="39"/>
      <c r="M320" s="39"/>
      <c r="N320" s="39"/>
      <c r="O320" s="39"/>
      <c r="P320" s="39"/>
      <c r="Q320" s="39"/>
      <c r="R320" s="39"/>
      <c r="S320" s="39"/>
      <c r="T320" s="39"/>
      <c r="U320" s="39"/>
      <c r="V320" s="39"/>
      <c r="W320" s="39"/>
      <c r="X320" s="39"/>
      <c r="Y320" s="39"/>
    </row>
    <row r="321" spans="1:25" ht="11.25" customHeight="1" x14ac:dyDescent="0.25">
      <c r="A321" s="1"/>
      <c r="B321" s="1"/>
      <c r="C321" s="1"/>
      <c r="D321" s="1"/>
      <c r="E321" s="1"/>
      <c r="F321" s="33"/>
      <c r="G321" s="33"/>
      <c r="H321" s="84"/>
      <c r="I321" s="84"/>
      <c r="J321" s="84"/>
      <c r="K321" s="39"/>
      <c r="L321" s="39"/>
      <c r="M321" s="39"/>
      <c r="N321" s="39"/>
      <c r="O321" s="39"/>
      <c r="P321" s="39"/>
      <c r="Q321" s="39"/>
      <c r="R321" s="39"/>
      <c r="S321" s="39"/>
      <c r="T321" s="39"/>
      <c r="U321" s="39"/>
      <c r="V321" s="39"/>
      <c r="W321" s="39"/>
      <c r="X321" s="39"/>
      <c r="Y321" s="39"/>
    </row>
    <row r="322" spans="1:25" ht="11.25" customHeight="1" x14ac:dyDescent="0.25">
      <c r="A322" s="1"/>
      <c r="B322" s="1"/>
      <c r="C322" s="1"/>
      <c r="D322" s="1"/>
      <c r="E322" s="1"/>
      <c r="F322" s="33"/>
      <c r="G322" s="33"/>
      <c r="H322" s="84"/>
      <c r="I322" s="84"/>
      <c r="J322" s="84"/>
      <c r="K322" s="39"/>
      <c r="L322" s="39"/>
      <c r="M322" s="39"/>
      <c r="N322" s="39"/>
      <c r="O322" s="39"/>
      <c r="P322" s="39"/>
      <c r="Q322" s="39"/>
      <c r="R322" s="39"/>
      <c r="S322" s="39"/>
      <c r="T322" s="39"/>
      <c r="U322" s="39"/>
      <c r="V322" s="39"/>
      <c r="W322" s="39"/>
      <c r="X322" s="39"/>
      <c r="Y322" s="39"/>
    </row>
    <row r="323" spans="1:25" ht="11.25" customHeight="1" x14ac:dyDescent="0.25">
      <c r="A323" s="1"/>
      <c r="B323" s="1"/>
      <c r="C323" s="1"/>
      <c r="D323" s="1"/>
      <c r="E323" s="1"/>
      <c r="F323" s="33"/>
      <c r="G323" s="33"/>
      <c r="H323" s="84"/>
      <c r="I323" s="84"/>
      <c r="J323" s="84"/>
      <c r="K323" s="39"/>
      <c r="L323" s="39"/>
      <c r="M323" s="39"/>
      <c r="N323" s="39"/>
      <c r="O323" s="39"/>
      <c r="P323" s="39"/>
      <c r="Q323" s="39"/>
      <c r="R323" s="39"/>
      <c r="S323" s="39"/>
      <c r="T323" s="39"/>
      <c r="U323" s="39"/>
      <c r="V323" s="39"/>
      <c r="W323" s="39"/>
      <c r="X323" s="39"/>
      <c r="Y323" s="39"/>
    </row>
    <row r="324" spans="1:25" ht="11.25" customHeight="1" x14ac:dyDescent="0.25">
      <c r="A324" s="1"/>
      <c r="B324" s="1"/>
      <c r="C324" s="1"/>
      <c r="D324" s="1"/>
      <c r="E324" s="1"/>
      <c r="F324" s="33"/>
      <c r="G324" s="33"/>
      <c r="H324" s="84"/>
      <c r="I324" s="84"/>
      <c r="J324" s="84"/>
      <c r="K324" s="39"/>
      <c r="L324" s="39"/>
      <c r="M324" s="39"/>
      <c r="N324" s="39"/>
      <c r="O324" s="39"/>
      <c r="P324" s="39"/>
      <c r="Q324" s="39"/>
      <c r="R324" s="39"/>
      <c r="S324" s="39"/>
      <c r="T324" s="39"/>
      <c r="U324" s="39"/>
      <c r="V324" s="39"/>
      <c r="W324" s="39"/>
      <c r="X324" s="39"/>
      <c r="Y324" s="39"/>
    </row>
    <row r="325" spans="1:25" ht="11.25" customHeight="1" x14ac:dyDescent="0.25">
      <c r="A325" s="1"/>
      <c r="B325" s="1"/>
      <c r="C325" s="1"/>
      <c r="D325" s="1"/>
      <c r="E325" s="1"/>
      <c r="F325" s="33"/>
      <c r="G325" s="33"/>
      <c r="H325" s="84"/>
      <c r="I325" s="84"/>
      <c r="J325" s="84"/>
      <c r="K325" s="39"/>
      <c r="L325" s="39"/>
      <c r="M325" s="39"/>
      <c r="N325" s="39"/>
      <c r="O325" s="39"/>
      <c r="P325" s="39"/>
      <c r="Q325" s="39"/>
      <c r="R325" s="39"/>
      <c r="S325" s="39"/>
      <c r="T325" s="39"/>
      <c r="U325" s="39"/>
      <c r="V325" s="39"/>
      <c r="W325" s="39"/>
      <c r="X325" s="39"/>
      <c r="Y325" s="39"/>
    </row>
    <row r="326" spans="1:25" ht="11.25" customHeight="1" x14ac:dyDescent="0.25">
      <c r="A326" s="1"/>
      <c r="B326" s="1"/>
      <c r="C326" s="1"/>
      <c r="D326" s="1"/>
      <c r="E326" s="1"/>
      <c r="F326" s="33"/>
      <c r="G326" s="33"/>
      <c r="H326" s="84"/>
      <c r="I326" s="84"/>
      <c r="J326" s="84"/>
      <c r="K326" s="39"/>
      <c r="L326" s="39"/>
      <c r="M326" s="39"/>
      <c r="N326" s="39"/>
      <c r="O326" s="39"/>
      <c r="P326" s="39"/>
      <c r="Q326" s="39"/>
      <c r="R326" s="39"/>
      <c r="S326" s="39"/>
      <c r="T326" s="39"/>
      <c r="U326" s="39"/>
      <c r="V326" s="39"/>
      <c r="W326" s="39"/>
      <c r="X326" s="39"/>
      <c r="Y326" s="39"/>
    </row>
    <row r="327" spans="1:25" ht="11.25" customHeight="1" x14ac:dyDescent="0.25">
      <c r="A327" s="1"/>
      <c r="B327" s="1"/>
      <c r="C327" s="1"/>
      <c r="D327" s="1"/>
      <c r="E327" s="1"/>
      <c r="F327" s="33"/>
      <c r="G327" s="33"/>
      <c r="H327" s="84"/>
      <c r="I327" s="84"/>
      <c r="J327" s="84"/>
      <c r="K327" s="39"/>
      <c r="L327" s="39"/>
      <c r="M327" s="39"/>
      <c r="N327" s="39"/>
      <c r="O327" s="39"/>
      <c r="P327" s="39"/>
      <c r="Q327" s="39"/>
      <c r="R327" s="39"/>
      <c r="S327" s="39"/>
      <c r="T327" s="39"/>
      <c r="U327" s="39"/>
      <c r="V327" s="39"/>
      <c r="W327" s="39"/>
      <c r="X327" s="39"/>
      <c r="Y327" s="39"/>
    </row>
    <row r="328" spans="1:25" ht="11.25" customHeight="1" x14ac:dyDescent="0.25">
      <c r="A328" s="1"/>
      <c r="B328" s="1"/>
      <c r="C328" s="1"/>
      <c r="D328" s="1"/>
      <c r="E328" s="1"/>
      <c r="F328" s="33"/>
      <c r="G328" s="33"/>
      <c r="H328" s="84"/>
      <c r="I328" s="84"/>
      <c r="J328" s="84"/>
      <c r="K328" s="39"/>
      <c r="L328" s="39"/>
      <c r="M328" s="39"/>
      <c r="N328" s="39"/>
      <c r="O328" s="39"/>
      <c r="P328" s="39"/>
      <c r="Q328" s="39"/>
      <c r="R328" s="39"/>
      <c r="S328" s="39"/>
      <c r="T328" s="39"/>
      <c r="U328" s="39"/>
      <c r="V328" s="39"/>
      <c r="W328" s="39"/>
      <c r="X328" s="39"/>
      <c r="Y328" s="39"/>
    </row>
    <row r="329" spans="1:25" ht="11.25" customHeight="1" x14ac:dyDescent="0.25">
      <c r="A329" s="1"/>
      <c r="B329" s="1"/>
      <c r="C329" s="1"/>
      <c r="D329" s="1"/>
      <c r="E329" s="1"/>
      <c r="F329" s="33"/>
      <c r="G329" s="33"/>
      <c r="H329" s="84"/>
      <c r="I329" s="84"/>
      <c r="J329" s="84"/>
      <c r="K329" s="39"/>
      <c r="L329" s="39"/>
      <c r="M329" s="39"/>
      <c r="N329" s="39"/>
      <c r="O329" s="39"/>
      <c r="P329" s="39"/>
      <c r="Q329" s="39"/>
      <c r="R329" s="39"/>
      <c r="S329" s="39"/>
      <c r="T329" s="39"/>
      <c r="U329" s="39"/>
      <c r="V329" s="39"/>
      <c r="W329" s="39"/>
      <c r="X329" s="39"/>
      <c r="Y329" s="39"/>
    </row>
    <row r="330" spans="1:25" ht="11.25" customHeight="1" x14ac:dyDescent="0.25">
      <c r="A330" s="1"/>
      <c r="B330" s="1"/>
      <c r="C330" s="1"/>
      <c r="D330" s="1"/>
      <c r="E330" s="1"/>
      <c r="F330" s="33"/>
      <c r="G330" s="33"/>
      <c r="H330" s="84"/>
      <c r="I330" s="84"/>
      <c r="J330" s="84"/>
      <c r="K330" s="39"/>
      <c r="L330" s="39"/>
      <c r="M330" s="39"/>
      <c r="N330" s="39"/>
      <c r="O330" s="39"/>
      <c r="P330" s="39"/>
      <c r="Q330" s="39"/>
      <c r="R330" s="39"/>
      <c r="S330" s="39"/>
      <c r="T330" s="39"/>
      <c r="U330" s="39"/>
      <c r="V330" s="39"/>
      <c r="W330" s="39"/>
      <c r="X330" s="39"/>
      <c r="Y330" s="39"/>
    </row>
    <row r="331" spans="1:25" ht="11.25" customHeight="1" x14ac:dyDescent="0.25">
      <c r="A331" s="1"/>
      <c r="B331" s="1"/>
      <c r="C331" s="1"/>
      <c r="D331" s="1"/>
      <c r="E331" s="1"/>
      <c r="F331" s="33"/>
      <c r="G331" s="33"/>
      <c r="H331" s="84"/>
      <c r="I331" s="84"/>
      <c r="J331" s="84"/>
      <c r="K331" s="39"/>
      <c r="L331" s="39"/>
      <c r="M331" s="39"/>
      <c r="N331" s="39"/>
      <c r="O331" s="39"/>
      <c r="P331" s="39"/>
      <c r="Q331" s="39"/>
      <c r="R331" s="39"/>
      <c r="S331" s="39"/>
      <c r="T331" s="39"/>
      <c r="U331" s="39"/>
      <c r="V331" s="39"/>
      <c r="W331" s="39"/>
      <c r="X331" s="39"/>
      <c r="Y331" s="39"/>
    </row>
    <row r="332" spans="1:25" ht="11.25" customHeight="1" x14ac:dyDescent="0.25">
      <c r="A332" s="1"/>
      <c r="B332" s="1"/>
      <c r="C332" s="1"/>
      <c r="D332" s="1"/>
      <c r="E332" s="1"/>
      <c r="F332" s="33"/>
      <c r="G332" s="33"/>
      <c r="H332" s="84"/>
      <c r="I332" s="84"/>
      <c r="J332" s="84"/>
      <c r="K332" s="39"/>
      <c r="L332" s="39"/>
      <c r="M332" s="39"/>
      <c r="N332" s="39"/>
      <c r="O332" s="39"/>
      <c r="P332" s="39"/>
      <c r="Q332" s="39"/>
      <c r="R332" s="39"/>
      <c r="S332" s="39"/>
      <c r="T332" s="39"/>
      <c r="U332" s="39"/>
      <c r="V332" s="39"/>
      <c r="W332" s="39"/>
      <c r="X332" s="39"/>
      <c r="Y332" s="39"/>
    </row>
    <row r="333" spans="1:25" ht="11.25" customHeight="1" x14ac:dyDescent="0.25">
      <c r="A333" s="1"/>
      <c r="B333" s="1"/>
      <c r="C333" s="1"/>
      <c r="D333" s="1"/>
      <c r="E333" s="1"/>
      <c r="F333" s="33"/>
      <c r="G333" s="33"/>
      <c r="H333" s="84"/>
      <c r="I333" s="84"/>
      <c r="J333" s="84"/>
      <c r="K333" s="39"/>
      <c r="L333" s="39"/>
      <c r="M333" s="39"/>
      <c r="N333" s="39"/>
      <c r="O333" s="39"/>
      <c r="P333" s="39"/>
      <c r="Q333" s="39"/>
      <c r="R333" s="39"/>
      <c r="S333" s="39"/>
      <c r="T333" s="39"/>
      <c r="U333" s="39"/>
      <c r="V333" s="39"/>
      <c r="W333" s="39"/>
      <c r="X333" s="39"/>
      <c r="Y333" s="39"/>
    </row>
    <row r="334" spans="1:25" ht="11.25" customHeight="1" x14ac:dyDescent="0.25">
      <c r="A334" s="1"/>
      <c r="B334" s="1"/>
      <c r="C334" s="1"/>
      <c r="D334" s="1"/>
      <c r="E334" s="1"/>
      <c r="F334" s="33"/>
      <c r="G334" s="33"/>
      <c r="H334" s="84"/>
      <c r="I334" s="84"/>
      <c r="J334" s="84"/>
      <c r="K334" s="39"/>
      <c r="L334" s="39"/>
      <c r="M334" s="39"/>
      <c r="N334" s="39"/>
      <c r="O334" s="39"/>
      <c r="P334" s="39"/>
      <c r="Q334" s="39"/>
      <c r="R334" s="39"/>
      <c r="S334" s="39"/>
      <c r="T334" s="39"/>
      <c r="U334" s="39"/>
      <c r="V334" s="39"/>
      <c r="W334" s="39"/>
      <c r="X334" s="39"/>
      <c r="Y334" s="39"/>
    </row>
    <row r="335" spans="1:25" ht="11.25" customHeight="1" x14ac:dyDescent="0.25">
      <c r="A335" s="1"/>
      <c r="B335" s="1"/>
      <c r="C335" s="1"/>
      <c r="D335" s="1"/>
      <c r="E335" s="1"/>
      <c r="F335" s="33"/>
      <c r="G335" s="33"/>
      <c r="H335" s="84"/>
      <c r="I335" s="84"/>
      <c r="J335" s="84"/>
      <c r="K335" s="39"/>
      <c r="L335" s="39"/>
      <c r="M335" s="39"/>
      <c r="N335" s="39"/>
      <c r="O335" s="39"/>
      <c r="P335" s="39"/>
      <c r="Q335" s="39"/>
      <c r="R335" s="39"/>
      <c r="S335" s="39"/>
      <c r="T335" s="39"/>
      <c r="U335" s="39"/>
      <c r="V335" s="39"/>
      <c r="W335" s="39"/>
      <c r="X335" s="39"/>
      <c r="Y335" s="39"/>
    </row>
    <row r="336" spans="1:25" ht="11.25" customHeight="1" x14ac:dyDescent="0.25">
      <c r="A336" s="1"/>
      <c r="B336" s="1"/>
      <c r="C336" s="1"/>
      <c r="D336" s="1"/>
      <c r="E336" s="1"/>
      <c r="F336" s="33"/>
      <c r="G336" s="33"/>
      <c r="H336" s="84"/>
      <c r="I336" s="84"/>
      <c r="J336" s="84"/>
      <c r="K336" s="39"/>
      <c r="L336" s="39"/>
      <c r="M336" s="39"/>
      <c r="N336" s="39"/>
      <c r="O336" s="39"/>
      <c r="P336" s="39"/>
      <c r="Q336" s="39"/>
      <c r="R336" s="39"/>
      <c r="S336" s="39"/>
      <c r="T336" s="39"/>
      <c r="U336" s="39"/>
      <c r="V336" s="39"/>
      <c r="W336" s="39"/>
      <c r="X336" s="39"/>
      <c r="Y336" s="39"/>
    </row>
    <row r="337" spans="1:25" ht="11.25" customHeight="1" x14ac:dyDescent="0.25">
      <c r="A337" s="1"/>
      <c r="B337" s="1"/>
      <c r="C337" s="1"/>
      <c r="D337" s="1"/>
      <c r="E337" s="1"/>
      <c r="F337" s="33"/>
      <c r="G337" s="33"/>
      <c r="H337" s="84"/>
      <c r="I337" s="84"/>
      <c r="J337" s="84"/>
      <c r="K337" s="39"/>
      <c r="L337" s="39"/>
      <c r="M337" s="39"/>
      <c r="N337" s="39"/>
      <c r="O337" s="39"/>
      <c r="P337" s="39"/>
      <c r="Q337" s="39"/>
      <c r="R337" s="39"/>
      <c r="S337" s="39"/>
      <c r="T337" s="39"/>
      <c r="U337" s="39"/>
      <c r="V337" s="39"/>
      <c r="W337" s="39"/>
      <c r="X337" s="39"/>
      <c r="Y337" s="39"/>
    </row>
    <row r="338" spans="1:25" ht="11.25" customHeight="1" x14ac:dyDescent="0.25">
      <c r="A338" s="1"/>
      <c r="B338" s="1"/>
      <c r="C338" s="1"/>
      <c r="D338" s="1"/>
      <c r="E338" s="1"/>
      <c r="F338" s="33"/>
      <c r="G338" s="33"/>
      <c r="H338" s="84"/>
      <c r="I338" s="84"/>
      <c r="J338" s="84"/>
      <c r="K338" s="39"/>
      <c r="L338" s="39"/>
      <c r="M338" s="39"/>
      <c r="N338" s="39"/>
      <c r="O338" s="39"/>
      <c r="P338" s="39"/>
      <c r="Q338" s="39"/>
      <c r="R338" s="39"/>
      <c r="S338" s="39"/>
      <c r="T338" s="39"/>
      <c r="U338" s="39"/>
      <c r="V338" s="39"/>
      <c r="W338" s="39"/>
      <c r="X338" s="39"/>
      <c r="Y338" s="39"/>
    </row>
    <row r="339" spans="1:25" ht="11.25" customHeight="1" x14ac:dyDescent="0.25">
      <c r="A339" s="1"/>
      <c r="B339" s="1"/>
      <c r="C339" s="1"/>
      <c r="D339" s="1"/>
      <c r="E339" s="1"/>
      <c r="F339" s="33"/>
      <c r="G339" s="33"/>
      <c r="H339" s="84"/>
      <c r="I339" s="84"/>
      <c r="J339" s="84"/>
      <c r="K339" s="39"/>
      <c r="L339" s="39"/>
      <c r="M339" s="39"/>
      <c r="N339" s="39"/>
      <c r="O339" s="39"/>
      <c r="P339" s="39"/>
      <c r="Q339" s="39"/>
      <c r="R339" s="39"/>
      <c r="S339" s="39"/>
      <c r="T339" s="39"/>
      <c r="U339" s="39"/>
      <c r="V339" s="39"/>
      <c r="W339" s="39"/>
      <c r="X339" s="39"/>
      <c r="Y339" s="39"/>
    </row>
    <row r="340" spans="1:25" ht="11.25" customHeight="1" x14ac:dyDescent="0.25">
      <c r="A340" s="1"/>
      <c r="B340" s="1"/>
      <c r="C340" s="1"/>
      <c r="D340" s="1"/>
      <c r="E340" s="1"/>
      <c r="F340" s="33"/>
      <c r="G340" s="33"/>
      <c r="H340" s="84"/>
      <c r="I340" s="84"/>
      <c r="J340" s="84"/>
      <c r="K340" s="39"/>
      <c r="L340" s="39"/>
      <c r="M340" s="39"/>
      <c r="N340" s="39"/>
      <c r="O340" s="39"/>
      <c r="P340" s="39"/>
      <c r="Q340" s="39"/>
      <c r="R340" s="39"/>
      <c r="S340" s="39"/>
      <c r="T340" s="39"/>
      <c r="U340" s="39"/>
      <c r="V340" s="39"/>
      <c r="W340" s="39"/>
      <c r="X340" s="39"/>
      <c r="Y340" s="39"/>
    </row>
    <row r="341" spans="1:25" ht="11.25" customHeight="1" x14ac:dyDescent="0.25">
      <c r="A341" s="1"/>
      <c r="B341" s="1"/>
      <c r="C341" s="1"/>
      <c r="D341" s="1"/>
      <c r="E341" s="1"/>
      <c r="F341" s="33"/>
      <c r="G341" s="33"/>
      <c r="H341" s="84"/>
      <c r="I341" s="84"/>
      <c r="J341" s="84"/>
      <c r="K341" s="39"/>
      <c r="L341" s="39"/>
      <c r="M341" s="39"/>
      <c r="N341" s="39"/>
      <c r="O341" s="39"/>
      <c r="P341" s="39"/>
      <c r="Q341" s="39"/>
      <c r="R341" s="39"/>
      <c r="S341" s="39"/>
      <c r="T341" s="39"/>
      <c r="U341" s="39"/>
      <c r="V341" s="39"/>
      <c r="W341" s="39"/>
      <c r="X341" s="39"/>
      <c r="Y341" s="39"/>
    </row>
    <row r="342" spans="1:25" ht="11.25" customHeight="1" x14ac:dyDescent="0.25">
      <c r="A342" s="1"/>
      <c r="B342" s="1"/>
      <c r="C342" s="1"/>
      <c r="D342" s="1"/>
      <c r="E342" s="1"/>
      <c r="F342" s="33"/>
      <c r="G342" s="33"/>
      <c r="H342" s="84"/>
      <c r="I342" s="84"/>
      <c r="J342" s="84"/>
      <c r="K342" s="39"/>
      <c r="L342" s="39"/>
      <c r="M342" s="39"/>
      <c r="N342" s="39"/>
      <c r="O342" s="39"/>
      <c r="P342" s="39"/>
      <c r="Q342" s="39"/>
      <c r="R342" s="39"/>
      <c r="S342" s="39"/>
      <c r="T342" s="39"/>
      <c r="U342" s="39"/>
      <c r="V342" s="39"/>
      <c r="W342" s="39"/>
      <c r="X342" s="39"/>
      <c r="Y342" s="39"/>
    </row>
    <row r="343" spans="1:25" ht="11.25" customHeight="1" x14ac:dyDescent="0.25">
      <c r="A343" s="1"/>
      <c r="B343" s="1"/>
      <c r="C343" s="1"/>
      <c r="D343" s="1"/>
      <c r="E343" s="1"/>
      <c r="F343" s="33"/>
      <c r="G343" s="33"/>
      <c r="H343" s="84"/>
      <c r="I343" s="84"/>
      <c r="J343" s="84"/>
      <c r="K343" s="39"/>
      <c r="L343" s="39"/>
      <c r="M343" s="39"/>
      <c r="N343" s="39"/>
      <c r="O343" s="39"/>
      <c r="P343" s="39"/>
      <c r="Q343" s="39"/>
      <c r="R343" s="39"/>
      <c r="S343" s="39"/>
      <c r="T343" s="39"/>
      <c r="U343" s="39"/>
      <c r="V343" s="39"/>
      <c r="W343" s="39"/>
      <c r="X343" s="39"/>
      <c r="Y343" s="39"/>
    </row>
    <row r="344" spans="1:25" ht="11.25" customHeight="1" x14ac:dyDescent="0.25">
      <c r="A344" s="1"/>
      <c r="B344" s="1"/>
      <c r="C344" s="1"/>
      <c r="D344" s="1"/>
      <c r="E344" s="1"/>
      <c r="F344" s="33"/>
      <c r="G344" s="33"/>
      <c r="H344" s="84"/>
      <c r="I344" s="84"/>
      <c r="J344" s="84"/>
      <c r="K344" s="39"/>
      <c r="L344" s="39"/>
      <c r="M344" s="39"/>
      <c r="N344" s="39"/>
      <c r="O344" s="39"/>
      <c r="P344" s="39"/>
      <c r="Q344" s="39"/>
      <c r="R344" s="39"/>
      <c r="S344" s="39"/>
      <c r="T344" s="39"/>
      <c r="U344" s="39"/>
      <c r="V344" s="39"/>
      <c r="W344" s="39"/>
      <c r="X344" s="39"/>
      <c r="Y344" s="39"/>
    </row>
    <row r="345" spans="1:25" ht="11.25" customHeight="1" x14ac:dyDescent="0.25">
      <c r="A345" s="1"/>
      <c r="B345" s="1"/>
      <c r="C345" s="1"/>
      <c r="D345" s="1"/>
      <c r="E345" s="1"/>
      <c r="F345" s="33"/>
      <c r="G345" s="33"/>
      <c r="H345" s="84"/>
      <c r="I345" s="84"/>
      <c r="J345" s="84"/>
      <c r="K345" s="39"/>
      <c r="L345" s="39"/>
      <c r="M345" s="39"/>
      <c r="N345" s="39"/>
      <c r="O345" s="39"/>
      <c r="P345" s="39"/>
      <c r="Q345" s="39"/>
      <c r="R345" s="39"/>
      <c r="S345" s="39"/>
      <c r="T345" s="39"/>
      <c r="U345" s="39"/>
      <c r="V345" s="39"/>
      <c r="W345" s="39"/>
      <c r="X345" s="39"/>
      <c r="Y345" s="39"/>
    </row>
    <row r="346" spans="1:25" ht="11.25" customHeight="1" x14ac:dyDescent="0.25">
      <c r="A346" s="1"/>
      <c r="B346" s="1"/>
      <c r="C346" s="1"/>
      <c r="D346" s="1"/>
      <c r="E346" s="1"/>
      <c r="F346" s="33"/>
      <c r="G346" s="33"/>
      <c r="H346" s="84"/>
      <c r="I346" s="84"/>
      <c r="J346" s="84"/>
      <c r="K346" s="39"/>
      <c r="L346" s="39"/>
      <c r="M346" s="39"/>
      <c r="N346" s="39"/>
      <c r="O346" s="39"/>
      <c r="P346" s="39"/>
      <c r="Q346" s="39"/>
      <c r="R346" s="39"/>
      <c r="S346" s="39"/>
      <c r="T346" s="39"/>
      <c r="U346" s="39"/>
      <c r="V346" s="39"/>
      <c r="W346" s="39"/>
      <c r="X346" s="39"/>
      <c r="Y346" s="39"/>
    </row>
    <row r="347" spans="1:25" ht="11.25" customHeight="1" x14ac:dyDescent="0.25">
      <c r="A347" s="1"/>
      <c r="B347" s="1"/>
      <c r="C347" s="1"/>
      <c r="D347" s="1"/>
      <c r="E347" s="1"/>
      <c r="F347" s="33"/>
      <c r="G347" s="33"/>
      <c r="H347" s="84"/>
      <c r="I347" s="84"/>
      <c r="J347" s="84"/>
      <c r="K347" s="39"/>
      <c r="L347" s="39"/>
      <c r="M347" s="39"/>
      <c r="N347" s="39"/>
      <c r="O347" s="39"/>
      <c r="P347" s="39"/>
      <c r="Q347" s="39"/>
      <c r="R347" s="39"/>
      <c r="S347" s="39"/>
      <c r="T347" s="39"/>
      <c r="U347" s="39"/>
      <c r="V347" s="39"/>
      <c r="W347" s="39"/>
      <c r="X347" s="39"/>
      <c r="Y347" s="39"/>
    </row>
    <row r="348" spans="1:25" ht="11.25" customHeight="1" x14ac:dyDescent="0.25">
      <c r="A348" s="1"/>
      <c r="B348" s="1"/>
      <c r="C348" s="1"/>
      <c r="D348" s="1"/>
      <c r="E348" s="1"/>
      <c r="F348" s="33"/>
      <c r="G348" s="33"/>
      <c r="H348" s="84"/>
      <c r="I348" s="84"/>
      <c r="J348" s="84"/>
      <c r="K348" s="39"/>
      <c r="L348" s="39"/>
      <c r="M348" s="39"/>
      <c r="N348" s="39"/>
      <c r="O348" s="39"/>
      <c r="P348" s="39"/>
      <c r="Q348" s="39"/>
      <c r="R348" s="39"/>
      <c r="S348" s="39"/>
      <c r="T348" s="39"/>
      <c r="U348" s="39"/>
      <c r="V348" s="39"/>
      <c r="W348" s="39"/>
      <c r="X348" s="39"/>
      <c r="Y348" s="39"/>
    </row>
    <row r="349" spans="1:25" ht="11.25" customHeight="1" x14ac:dyDescent="0.25">
      <c r="A349" s="1"/>
      <c r="B349" s="1"/>
      <c r="C349" s="1"/>
      <c r="D349" s="1"/>
      <c r="E349" s="1"/>
      <c r="F349" s="33"/>
      <c r="G349" s="33"/>
      <c r="H349" s="84"/>
      <c r="I349" s="84"/>
      <c r="J349" s="84"/>
      <c r="K349" s="39"/>
      <c r="L349" s="39"/>
      <c r="M349" s="39"/>
      <c r="N349" s="39"/>
      <c r="O349" s="39"/>
      <c r="P349" s="39"/>
      <c r="Q349" s="39"/>
      <c r="R349" s="39"/>
      <c r="S349" s="39"/>
      <c r="T349" s="39"/>
      <c r="U349" s="39"/>
      <c r="V349" s="39"/>
      <c r="W349" s="39"/>
      <c r="X349" s="39"/>
      <c r="Y349" s="39"/>
    </row>
    <row r="350" spans="1:25" ht="11.25" customHeight="1" x14ac:dyDescent="0.25">
      <c r="A350" s="1"/>
      <c r="B350" s="1"/>
      <c r="C350" s="1"/>
      <c r="D350" s="1"/>
      <c r="E350" s="1"/>
      <c r="F350" s="33"/>
      <c r="G350" s="33"/>
      <c r="H350" s="84"/>
      <c r="I350" s="84"/>
      <c r="J350" s="84"/>
      <c r="K350" s="39"/>
      <c r="L350" s="39"/>
      <c r="M350" s="39"/>
      <c r="N350" s="39"/>
      <c r="O350" s="39"/>
      <c r="P350" s="39"/>
      <c r="Q350" s="39"/>
      <c r="R350" s="39"/>
      <c r="S350" s="39"/>
      <c r="T350" s="39"/>
      <c r="U350" s="39"/>
      <c r="V350" s="39"/>
      <c r="W350" s="39"/>
      <c r="X350" s="39"/>
      <c r="Y350" s="39"/>
    </row>
    <row r="351" spans="1:25" ht="11.25" customHeight="1" x14ac:dyDescent="0.25">
      <c r="A351" s="1"/>
      <c r="B351" s="1"/>
      <c r="C351" s="1"/>
      <c r="D351" s="1"/>
      <c r="E351" s="1"/>
      <c r="F351" s="33"/>
      <c r="G351" s="33"/>
      <c r="H351" s="84"/>
      <c r="I351" s="84"/>
      <c r="J351" s="84"/>
      <c r="K351" s="39"/>
      <c r="L351" s="39"/>
      <c r="M351" s="39"/>
      <c r="N351" s="39"/>
      <c r="O351" s="39"/>
      <c r="P351" s="39"/>
      <c r="Q351" s="39"/>
      <c r="R351" s="39"/>
      <c r="S351" s="39"/>
      <c r="T351" s="39"/>
      <c r="U351" s="39"/>
      <c r="V351" s="39"/>
      <c r="W351" s="39"/>
      <c r="X351" s="39"/>
      <c r="Y351" s="39"/>
    </row>
    <row r="352" spans="1:25" ht="11.25" customHeight="1" x14ac:dyDescent="0.25">
      <c r="A352" s="1"/>
      <c r="B352" s="1"/>
      <c r="C352" s="1"/>
      <c r="D352" s="1"/>
      <c r="E352" s="1"/>
      <c r="F352" s="33"/>
      <c r="G352" s="33"/>
      <c r="H352" s="84"/>
      <c r="I352" s="84"/>
      <c r="J352" s="84"/>
      <c r="K352" s="39"/>
      <c r="L352" s="39"/>
      <c r="M352" s="39"/>
      <c r="N352" s="39"/>
      <c r="O352" s="39"/>
      <c r="P352" s="39"/>
      <c r="Q352" s="39"/>
      <c r="R352" s="39"/>
      <c r="S352" s="39"/>
      <c r="T352" s="39"/>
      <c r="U352" s="39"/>
      <c r="V352" s="39"/>
      <c r="W352" s="39"/>
      <c r="X352" s="39"/>
      <c r="Y352" s="39"/>
    </row>
    <row r="353" spans="1:25" ht="11.25" customHeight="1" x14ac:dyDescent="0.25">
      <c r="A353" s="1"/>
      <c r="B353" s="1"/>
      <c r="C353" s="1"/>
      <c r="D353" s="1"/>
      <c r="E353" s="1"/>
      <c r="F353" s="33"/>
      <c r="G353" s="33"/>
      <c r="H353" s="84"/>
      <c r="I353" s="84"/>
      <c r="J353" s="84"/>
      <c r="K353" s="39"/>
      <c r="L353" s="39"/>
      <c r="M353" s="39"/>
      <c r="N353" s="39"/>
      <c r="O353" s="39"/>
      <c r="P353" s="39"/>
      <c r="Q353" s="39"/>
      <c r="R353" s="39"/>
      <c r="S353" s="39"/>
      <c r="T353" s="39"/>
      <c r="U353" s="39"/>
      <c r="V353" s="39"/>
      <c r="W353" s="39"/>
      <c r="X353" s="39"/>
      <c r="Y353" s="39"/>
    </row>
    <row r="354" spans="1:25" ht="11.25" customHeight="1" x14ac:dyDescent="0.25">
      <c r="A354" s="1"/>
      <c r="B354" s="1"/>
      <c r="C354" s="1"/>
      <c r="D354" s="1"/>
      <c r="E354" s="1"/>
      <c r="F354" s="33"/>
      <c r="G354" s="33"/>
      <c r="H354" s="84"/>
      <c r="I354" s="84"/>
      <c r="J354" s="84"/>
      <c r="K354" s="39"/>
      <c r="L354" s="39"/>
      <c r="M354" s="39"/>
      <c r="N354" s="39"/>
      <c r="O354" s="39"/>
      <c r="P354" s="39"/>
      <c r="Q354" s="39"/>
      <c r="R354" s="39"/>
      <c r="S354" s="39"/>
      <c r="T354" s="39"/>
      <c r="U354" s="39"/>
      <c r="V354" s="39"/>
      <c r="W354" s="39"/>
      <c r="X354" s="39"/>
      <c r="Y354" s="39"/>
    </row>
    <row r="355" spans="1:25" ht="11.25" customHeight="1" x14ac:dyDescent="0.25">
      <c r="A355" s="1"/>
      <c r="B355" s="1"/>
      <c r="C355" s="1"/>
      <c r="D355" s="1"/>
      <c r="E355" s="1"/>
      <c r="F355" s="33"/>
      <c r="G355" s="33"/>
      <c r="H355" s="84"/>
      <c r="I355" s="84"/>
      <c r="J355" s="84"/>
      <c r="K355" s="39"/>
      <c r="L355" s="39"/>
      <c r="M355" s="39"/>
      <c r="N355" s="39"/>
      <c r="O355" s="39"/>
      <c r="P355" s="39"/>
      <c r="Q355" s="39"/>
      <c r="R355" s="39"/>
      <c r="S355" s="39"/>
      <c r="T355" s="39"/>
      <c r="U355" s="39"/>
      <c r="V355" s="39"/>
      <c r="W355" s="39"/>
      <c r="X355" s="39"/>
      <c r="Y355" s="39"/>
    </row>
    <row r="356" spans="1:25" ht="11.25" customHeight="1" x14ac:dyDescent="0.25">
      <c r="A356" s="1"/>
      <c r="B356" s="1"/>
      <c r="C356" s="1"/>
      <c r="D356" s="1"/>
      <c r="E356" s="1"/>
      <c r="F356" s="33"/>
      <c r="G356" s="33"/>
      <c r="H356" s="84"/>
      <c r="I356" s="84"/>
      <c r="J356" s="84"/>
      <c r="K356" s="39"/>
      <c r="L356" s="39"/>
      <c r="M356" s="39"/>
      <c r="N356" s="39"/>
      <c r="O356" s="39"/>
      <c r="P356" s="39"/>
      <c r="Q356" s="39"/>
      <c r="R356" s="39"/>
      <c r="S356" s="39"/>
      <c r="T356" s="39"/>
      <c r="U356" s="39"/>
      <c r="V356" s="39"/>
      <c r="W356" s="39"/>
      <c r="X356" s="39"/>
      <c r="Y356" s="39"/>
    </row>
    <row r="357" spans="1:25" ht="11.25" customHeight="1" x14ac:dyDescent="0.25">
      <c r="A357" s="1"/>
      <c r="B357" s="1"/>
      <c r="C357" s="1"/>
      <c r="D357" s="1"/>
      <c r="E357" s="1"/>
      <c r="F357" s="33"/>
      <c r="G357" s="33"/>
      <c r="H357" s="84"/>
      <c r="I357" s="84"/>
      <c r="J357" s="84"/>
      <c r="K357" s="39"/>
      <c r="L357" s="39"/>
      <c r="M357" s="39"/>
      <c r="N357" s="39"/>
      <c r="O357" s="39"/>
      <c r="P357" s="39"/>
      <c r="Q357" s="39"/>
      <c r="R357" s="39"/>
      <c r="S357" s="39"/>
      <c r="T357" s="39"/>
      <c r="U357" s="39"/>
      <c r="V357" s="39"/>
      <c r="W357" s="39"/>
      <c r="X357" s="39"/>
      <c r="Y357" s="39"/>
    </row>
    <row r="358" spans="1:25" ht="11.25" customHeight="1" x14ac:dyDescent="0.25">
      <c r="A358" s="1"/>
      <c r="B358" s="1"/>
      <c r="C358" s="1"/>
      <c r="D358" s="1"/>
      <c r="E358" s="1"/>
      <c r="F358" s="33"/>
      <c r="G358" s="33"/>
      <c r="H358" s="84"/>
      <c r="I358" s="84"/>
      <c r="J358" s="84"/>
      <c r="K358" s="39"/>
      <c r="L358" s="39"/>
      <c r="M358" s="39"/>
      <c r="N358" s="39"/>
      <c r="O358" s="39"/>
      <c r="P358" s="39"/>
      <c r="Q358" s="39"/>
      <c r="R358" s="39"/>
      <c r="S358" s="39"/>
      <c r="T358" s="39"/>
      <c r="U358" s="39"/>
      <c r="V358" s="39"/>
      <c r="W358" s="39"/>
      <c r="X358" s="39"/>
      <c r="Y358" s="39"/>
    </row>
    <row r="359" spans="1:25" ht="11.25" customHeight="1" x14ac:dyDescent="0.25">
      <c r="A359" s="1"/>
      <c r="B359" s="1"/>
      <c r="C359" s="1"/>
      <c r="D359" s="1"/>
      <c r="E359" s="1"/>
      <c r="F359" s="33"/>
      <c r="G359" s="33"/>
      <c r="H359" s="84"/>
      <c r="I359" s="84"/>
      <c r="J359" s="84"/>
      <c r="K359" s="39"/>
      <c r="L359" s="39"/>
      <c r="M359" s="39"/>
      <c r="N359" s="39"/>
      <c r="O359" s="39"/>
      <c r="P359" s="39"/>
      <c r="Q359" s="39"/>
      <c r="R359" s="39"/>
      <c r="S359" s="39"/>
      <c r="T359" s="39"/>
      <c r="U359" s="39"/>
      <c r="V359" s="39"/>
      <c r="W359" s="39"/>
      <c r="X359" s="39"/>
      <c r="Y359" s="39"/>
    </row>
    <row r="360" spans="1:25" ht="11.25" customHeight="1" x14ac:dyDescent="0.25">
      <c r="A360" s="1"/>
      <c r="B360" s="1"/>
      <c r="C360" s="1"/>
      <c r="D360" s="1"/>
      <c r="E360" s="1"/>
      <c r="F360" s="33"/>
      <c r="G360" s="33"/>
      <c r="H360" s="84"/>
      <c r="I360" s="84"/>
      <c r="J360" s="84"/>
      <c r="K360" s="39"/>
      <c r="L360" s="39"/>
      <c r="M360" s="39"/>
      <c r="N360" s="39"/>
      <c r="O360" s="39"/>
      <c r="P360" s="39"/>
      <c r="Q360" s="39"/>
      <c r="R360" s="39"/>
      <c r="S360" s="39"/>
      <c r="T360" s="39"/>
      <c r="U360" s="39"/>
      <c r="V360" s="39"/>
      <c r="W360" s="39"/>
      <c r="X360" s="39"/>
      <c r="Y360" s="39"/>
    </row>
    <row r="361" spans="1:25" ht="11.25" customHeight="1" x14ac:dyDescent="0.25">
      <c r="A361" s="1"/>
      <c r="B361" s="1"/>
      <c r="C361" s="1"/>
      <c r="D361" s="1"/>
      <c r="E361" s="1"/>
      <c r="F361" s="33"/>
      <c r="G361" s="33"/>
      <c r="H361" s="84"/>
      <c r="I361" s="84"/>
      <c r="J361" s="84"/>
      <c r="K361" s="39"/>
      <c r="L361" s="39"/>
      <c r="M361" s="39"/>
      <c r="N361" s="39"/>
      <c r="O361" s="39"/>
      <c r="P361" s="39"/>
      <c r="Q361" s="39"/>
      <c r="R361" s="39"/>
      <c r="S361" s="39"/>
      <c r="T361" s="39"/>
      <c r="U361" s="39"/>
      <c r="V361" s="39"/>
      <c r="W361" s="39"/>
      <c r="X361" s="39"/>
      <c r="Y361" s="39"/>
    </row>
    <row r="362" spans="1:25" ht="11.25" customHeight="1" x14ac:dyDescent="0.25">
      <c r="A362" s="1"/>
      <c r="B362" s="1"/>
      <c r="C362" s="1"/>
      <c r="D362" s="1"/>
      <c r="E362" s="1"/>
      <c r="F362" s="33"/>
      <c r="G362" s="33"/>
      <c r="H362" s="84"/>
      <c r="I362" s="84"/>
      <c r="J362" s="84"/>
      <c r="K362" s="39"/>
      <c r="L362" s="39"/>
      <c r="M362" s="39"/>
      <c r="N362" s="39"/>
      <c r="O362" s="39"/>
      <c r="P362" s="39"/>
      <c r="Q362" s="39"/>
      <c r="R362" s="39"/>
      <c r="S362" s="39"/>
      <c r="T362" s="39"/>
      <c r="U362" s="39"/>
      <c r="V362" s="39"/>
      <c r="W362" s="39"/>
      <c r="X362" s="39"/>
      <c r="Y362" s="39"/>
    </row>
    <row r="363" spans="1:25" ht="11.25" customHeight="1" x14ac:dyDescent="0.25">
      <c r="A363" s="1"/>
      <c r="B363" s="1"/>
      <c r="C363" s="1"/>
      <c r="D363" s="1"/>
      <c r="E363" s="1"/>
      <c r="F363" s="33"/>
      <c r="G363" s="33"/>
      <c r="H363" s="84"/>
      <c r="I363" s="84"/>
      <c r="J363" s="84"/>
      <c r="K363" s="39"/>
      <c r="L363" s="39"/>
      <c r="M363" s="39"/>
      <c r="N363" s="39"/>
      <c r="O363" s="39"/>
      <c r="P363" s="39"/>
      <c r="Q363" s="39"/>
      <c r="R363" s="39"/>
      <c r="S363" s="39"/>
      <c r="T363" s="39"/>
      <c r="U363" s="39"/>
      <c r="V363" s="39"/>
      <c r="W363" s="39"/>
      <c r="X363" s="39"/>
      <c r="Y363" s="39"/>
    </row>
    <row r="364" spans="1:25" ht="11.25" customHeight="1" x14ac:dyDescent="0.25">
      <c r="A364" s="1"/>
      <c r="B364" s="1"/>
      <c r="C364" s="1"/>
      <c r="D364" s="1"/>
      <c r="E364" s="1"/>
      <c r="F364" s="33"/>
      <c r="G364" s="33"/>
      <c r="H364" s="84"/>
      <c r="I364" s="84"/>
      <c r="J364" s="84"/>
      <c r="K364" s="39"/>
      <c r="L364" s="39"/>
      <c r="M364" s="39"/>
      <c r="N364" s="39"/>
      <c r="O364" s="39"/>
      <c r="P364" s="39"/>
      <c r="Q364" s="39"/>
      <c r="R364" s="39"/>
      <c r="S364" s="39"/>
      <c r="T364" s="39"/>
      <c r="U364" s="39"/>
      <c r="V364" s="39"/>
      <c r="W364" s="39"/>
      <c r="X364" s="39"/>
      <c r="Y364" s="39"/>
    </row>
    <row r="365" spans="1:25" ht="11.25" customHeight="1" x14ac:dyDescent="0.25">
      <c r="A365" s="1"/>
      <c r="B365" s="1"/>
      <c r="C365" s="1"/>
      <c r="D365" s="1"/>
      <c r="E365" s="1"/>
      <c r="F365" s="33"/>
      <c r="G365" s="33"/>
      <c r="H365" s="84"/>
      <c r="I365" s="84"/>
      <c r="J365" s="84"/>
      <c r="K365" s="39"/>
      <c r="L365" s="39"/>
      <c r="M365" s="39"/>
      <c r="N365" s="39"/>
      <c r="O365" s="39"/>
      <c r="P365" s="39"/>
      <c r="Q365" s="39"/>
      <c r="R365" s="39"/>
      <c r="S365" s="39"/>
      <c r="T365" s="39"/>
      <c r="U365" s="39"/>
      <c r="V365" s="39"/>
      <c r="W365" s="39"/>
      <c r="X365" s="39"/>
      <c r="Y365" s="39"/>
    </row>
    <row r="366" spans="1:25" ht="11.25" customHeight="1" x14ac:dyDescent="0.25">
      <c r="A366" s="1"/>
      <c r="B366" s="1"/>
      <c r="C366" s="1"/>
      <c r="D366" s="1"/>
      <c r="E366" s="1"/>
      <c r="F366" s="33"/>
      <c r="G366" s="33"/>
      <c r="H366" s="84"/>
      <c r="I366" s="84"/>
      <c r="J366" s="84"/>
      <c r="K366" s="39"/>
      <c r="L366" s="39"/>
      <c r="M366" s="39"/>
      <c r="N366" s="39"/>
      <c r="O366" s="39"/>
      <c r="P366" s="39"/>
      <c r="Q366" s="39"/>
      <c r="R366" s="39"/>
      <c r="S366" s="39"/>
      <c r="T366" s="39"/>
      <c r="U366" s="39"/>
      <c r="V366" s="39"/>
      <c r="W366" s="39"/>
      <c r="X366" s="39"/>
      <c r="Y366" s="39"/>
    </row>
    <row r="367" spans="1:25" ht="11.25" customHeight="1" x14ac:dyDescent="0.25">
      <c r="A367" s="1"/>
      <c r="B367" s="1"/>
      <c r="C367" s="1"/>
      <c r="D367" s="1"/>
      <c r="E367" s="1"/>
      <c r="F367" s="33"/>
      <c r="G367" s="33"/>
      <c r="H367" s="84"/>
      <c r="I367" s="84"/>
      <c r="J367" s="84"/>
      <c r="K367" s="39"/>
      <c r="L367" s="39"/>
      <c r="M367" s="39"/>
      <c r="N367" s="39"/>
      <c r="O367" s="39"/>
      <c r="P367" s="39"/>
      <c r="Q367" s="39"/>
      <c r="R367" s="39"/>
      <c r="S367" s="39"/>
      <c r="T367" s="39"/>
      <c r="U367" s="39"/>
      <c r="V367" s="39"/>
      <c r="W367" s="39"/>
      <c r="X367" s="39"/>
      <c r="Y367" s="39"/>
    </row>
    <row r="368" spans="1:25" ht="11.25" customHeight="1" x14ac:dyDescent="0.25">
      <c r="A368" s="1"/>
      <c r="B368" s="1"/>
      <c r="C368" s="1"/>
      <c r="D368" s="1"/>
      <c r="E368" s="1"/>
      <c r="F368" s="33"/>
      <c r="G368" s="33"/>
      <c r="H368" s="84"/>
      <c r="I368" s="84"/>
      <c r="J368" s="84"/>
      <c r="K368" s="39"/>
      <c r="L368" s="39"/>
      <c r="M368" s="39"/>
      <c r="N368" s="39"/>
      <c r="O368" s="39"/>
      <c r="P368" s="39"/>
      <c r="Q368" s="39"/>
      <c r="R368" s="39"/>
      <c r="S368" s="39"/>
      <c r="T368" s="39"/>
      <c r="U368" s="39"/>
      <c r="V368" s="39"/>
      <c r="W368" s="39"/>
      <c r="X368" s="39"/>
      <c r="Y368" s="39"/>
    </row>
    <row r="369" spans="1:25" ht="11.25" customHeight="1" x14ac:dyDescent="0.25">
      <c r="A369" s="1"/>
      <c r="B369" s="1"/>
      <c r="C369" s="1"/>
      <c r="D369" s="1"/>
      <c r="E369" s="1"/>
      <c r="F369" s="33"/>
      <c r="G369" s="33"/>
      <c r="H369" s="84"/>
      <c r="I369" s="84"/>
      <c r="J369" s="84"/>
      <c r="K369" s="39"/>
      <c r="L369" s="39"/>
      <c r="M369" s="39"/>
      <c r="N369" s="39"/>
      <c r="O369" s="39"/>
      <c r="P369" s="39"/>
      <c r="Q369" s="39"/>
      <c r="R369" s="39"/>
      <c r="S369" s="39"/>
      <c r="T369" s="39"/>
      <c r="U369" s="39"/>
      <c r="V369" s="39"/>
      <c r="W369" s="39"/>
      <c r="X369" s="39"/>
      <c r="Y369" s="39"/>
    </row>
    <row r="370" spans="1:25" ht="11.25" customHeight="1" x14ac:dyDescent="0.25">
      <c r="A370" s="1"/>
      <c r="B370" s="1"/>
      <c r="C370" s="1"/>
      <c r="D370" s="1"/>
      <c r="E370" s="1"/>
      <c r="F370" s="33"/>
      <c r="G370" s="33"/>
      <c r="H370" s="84"/>
      <c r="I370" s="84"/>
      <c r="J370" s="84"/>
      <c r="K370" s="39"/>
      <c r="L370" s="39"/>
      <c r="M370" s="39"/>
      <c r="N370" s="39"/>
      <c r="O370" s="39"/>
      <c r="P370" s="39"/>
      <c r="Q370" s="39"/>
      <c r="R370" s="39"/>
      <c r="S370" s="39"/>
      <c r="T370" s="39"/>
      <c r="U370" s="39"/>
      <c r="V370" s="39"/>
      <c r="W370" s="39"/>
      <c r="X370" s="39"/>
      <c r="Y370" s="39"/>
    </row>
    <row r="371" spans="1:25" ht="11.25" customHeight="1" x14ac:dyDescent="0.25">
      <c r="A371" s="1"/>
      <c r="B371" s="1"/>
      <c r="C371" s="1"/>
      <c r="D371" s="1"/>
      <c r="E371" s="1"/>
      <c r="F371" s="33"/>
      <c r="G371" s="33"/>
      <c r="H371" s="84"/>
      <c r="I371" s="84"/>
      <c r="J371" s="84"/>
      <c r="K371" s="39"/>
      <c r="L371" s="39"/>
      <c r="M371" s="39"/>
      <c r="N371" s="39"/>
      <c r="O371" s="39"/>
      <c r="P371" s="39"/>
      <c r="Q371" s="39"/>
      <c r="R371" s="39"/>
      <c r="S371" s="39"/>
      <c r="T371" s="39"/>
      <c r="U371" s="39"/>
      <c r="V371" s="39"/>
      <c r="W371" s="39"/>
      <c r="X371" s="39"/>
      <c r="Y371" s="39"/>
    </row>
    <row r="372" spans="1:25" ht="11.25" customHeight="1" x14ac:dyDescent="0.25">
      <c r="A372" s="1"/>
      <c r="B372" s="1"/>
      <c r="C372" s="1"/>
      <c r="D372" s="1"/>
      <c r="E372" s="1"/>
      <c r="F372" s="33"/>
      <c r="G372" s="33"/>
      <c r="H372" s="84"/>
      <c r="I372" s="84"/>
      <c r="J372" s="84"/>
      <c r="K372" s="39"/>
      <c r="L372" s="39"/>
      <c r="M372" s="39"/>
      <c r="N372" s="39"/>
      <c r="O372" s="39"/>
      <c r="P372" s="39"/>
      <c r="Q372" s="39"/>
      <c r="R372" s="39"/>
      <c r="S372" s="39"/>
      <c r="T372" s="39"/>
      <c r="U372" s="39"/>
      <c r="V372" s="39"/>
      <c r="W372" s="39"/>
      <c r="X372" s="39"/>
      <c r="Y372" s="39"/>
    </row>
    <row r="373" spans="1:25" ht="11.25" customHeight="1" x14ac:dyDescent="0.25">
      <c r="A373" s="1"/>
      <c r="B373" s="1"/>
      <c r="C373" s="1"/>
      <c r="D373" s="1"/>
      <c r="E373" s="1"/>
      <c r="F373" s="33"/>
      <c r="G373" s="33"/>
      <c r="H373" s="84"/>
      <c r="I373" s="84"/>
      <c r="J373" s="84"/>
      <c r="K373" s="39"/>
      <c r="L373" s="39"/>
      <c r="M373" s="39"/>
      <c r="N373" s="39"/>
      <c r="O373" s="39"/>
      <c r="P373" s="39"/>
      <c r="Q373" s="39"/>
      <c r="R373" s="39"/>
      <c r="S373" s="39"/>
      <c r="T373" s="39"/>
      <c r="U373" s="39"/>
      <c r="V373" s="39"/>
      <c r="W373" s="39"/>
      <c r="X373" s="39"/>
      <c r="Y373" s="39"/>
    </row>
    <row r="374" spans="1:25" ht="11.25" customHeight="1" x14ac:dyDescent="0.25">
      <c r="A374" s="1"/>
      <c r="B374" s="1"/>
      <c r="C374" s="1"/>
      <c r="D374" s="1"/>
      <c r="E374" s="1"/>
      <c r="F374" s="33"/>
      <c r="G374" s="33"/>
      <c r="H374" s="84"/>
      <c r="I374" s="84"/>
      <c r="J374" s="84"/>
      <c r="K374" s="39"/>
      <c r="L374" s="39"/>
      <c r="M374" s="39"/>
      <c r="N374" s="39"/>
      <c r="O374" s="39"/>
      <c r="P374" s="39"/>
      <c r="Q374" s="39"/>
      <c r="R374" s="39"/>
      <c r="S374" s="39"/>
      <c r="T374" s="39"/>
      <c r="U374" s="39"/>
      <c r="V374" s="39"/>
      <c r="W374" s="39"/>
      <c r="X374" s="39"/>
      <c r="Y374" s="39"/>
    </row>
    <row r="375" spans="1:25" ht="11.25" customHeight="1" x14ac:dyDescent="0.25">
      <c r="A375" s="1"/>
      <c r="B375" s="1"/>
      <c r="C375" s="1"/>
      <c r="D375" s="1"/>
      <c r="E375" s="1"/>
      <c r="F375" s="33"/>
      <c r="G375" s="33"/>
      <c r="H375" s="84"/>
      <c r="I375" s="84"/>
      <c r="J375" s="84"/>
      <c r="K375" s="39"/>
      <c r="L375" s="39"/>
      <c r="M375" s="39"/>
      <c r="N375" s="39"/>
      <c r="O375" s="39"/>
      <c r="P375" s="39"/>
      <c r="Q375" s="39"/>
      <c r="R375" s="39"/>
      <c r="S375" s="39"/>
      <c r="T375" s="39"/>
      <c r="U375" s="39"/>
      <c r="V375" s="39"/>
      <c r="W375" s="39"/>
      <c r="X375" s="39"/>
      <c r="Y375" s="39"/>
    </row>
    <row r="376" spans="1:25" ht="11.25" customHeight="1" x14ac:dyDescent="0.25">
      <c r="A376" s="1"/>
      <c r="B376" s="1"/>
      <c r="C376" s="1"/>
      <c r="D376" s="1"/>
      <c r="E376" s="1"/>
      <c r="F376" s="33"/>
      <c r="G376" s="33"/>
      <c r="H376" s="84"/>
      <c r="I376" s="84"/>
      <c r="J376" s="84"/>
      <c r="K376" s="39"/>
      <c r="L376" s="39"/>
      <c r="M376" s="39"/>
      <c r="N376" s="39"/>
      <c r="O376" s="39"/>
      <c r="P376" s="39"/>
      <c r="Q376" s="39"/>
      <c r="R376" s="39"/>
      <c r="S376" s="39"/>
      <c r="T376" s="39"/>
      <c r="U376" s="39"/>
      <c r="V376" s="39"/>
      <c r="W376" s="39"/>
      <c r="X376" s="39"/>
      <c r="Y376" s="39"/>
    </row>
    <row r="377" spans="1:25" ht="11.25" customHeight="1" x14ac:dyDescent="0.25">
      <c r="A377" s="1"/>
      <c r="B377" s="1"/>
      <c r="C377" s="1"/>
      <c r="D377" s="1"/>
      <c r="E377" s="1"/>
      <c r="F377" s="33"/>
      <c r="G377" s="33"/>
      <c r="H377" s="84"/>
      <c r="I377" s="84"/>
      <c r="J377" s="84"/>
      <c r="K377" s="39"/>
      <c r="L377" s="39"/>
      <c r="M377" s="39"/>
      <c r="N377" s="39"/>
      <c r="O377" s="39"/>
      <c r="P377" s="39"/>
      <c r="Q377" s="39"/>
      <c r="R377" s="39"/>
      <c r="S377" s="39"/>
      <c r="T377" s="39"/>
      <c r="U377" s="39"/>
      <c r="V377" s="39"/>
      <c r="W377" s="39"/>
      <c r="X377" s="39"/>
      <c r="Y377" s="39"/>
    </row>
    <row r="378" spans="1:25" ht="11.25" customHeight="1" x14ac:dyDescent="0.25">
      <c r="A378" s="1"/>
      <c r="B378" s="1"/>
      <c r="C378" s="1"/>
      <c r="D378" s="1"/>
      <c r="E378" s="1"/>
      <c r="F378" s="33"/>
      <c r="G378" s="33"/>
      <c r="H378" s="84"/>
      <c r="I378" s="84"/>
      <c r="J378" s="84"/>
      <c r="K378" s="39"/>
      <c r="L378" s="39"/>
      <c r="M378" s="39"/>
      <c r="N378" s="39"/>
      <c r="O378" s="39"/>
      <c r="P378" s="39"/>
      <c r="Q378" s="39"/>
      <c r="R378" s="39"/>
      <c r="S378" s="39"/>
      <c r="T378" s="39"/>
      <c r="U378" s="39"/>
      <c r="V378" s="39"/>
      <c r="W378" s="39"/>
      <c r="X378" s="39"/>
      <c r="Y378" s="39"/>
    </row>
    <row r="379" spans="1:25" ht="11.25" customHeight="1" x14ac:dyDescent="0.25">
      <c r="A379" s="1"/>
      <c r="B379" s="1"/>
      <c r="C379" s="1"/>
      <c r="D379" s="1"/>
      <c r="E379" s="1"/>
      <c r="F379" s="33"/>
      <c r="G379" s="33"/>
      <c r="H379" s="84"/>
      <c r="I379" s="84"/>
      <c r="J379" s="84"/>
      <c r="K379" s="39"/>
      <c r="L379" s="39"/>
      <c r="M379" s="39"/>
      <c r="N379" s="39"/>
      <c r="O379" s="39"/>
      <c r="P379" s="39"/>
      <c r="Q379" s="39"/>
      <c r="R379" s="39"/>
      <c r="S379" s="39"/>
      <c r="T379" s="39"/>
      <c r="U379" s="39"/>
      <c r="V379" s="39"/>
      <c r="W379" s="39"/>
      <c r="X379" s="39"/>
      <c r="Y379" s="39"/>
    </row>
    <row r="380" spans="1:25" ht="11.25" customHeight="1" x14ac:dyDescent="0.25">
      <c r="A380" s="1"/>
      <c r="B380" s="1"/>
      <c r="C380" s="1"/>
      <c r="D380" s="1"/>
      <c r="E380" s="1"/>
      <c r="F380" s="33"/>
      <c r="G380" s="33"/>
      <c r="H380" s="84"/>
      <c r="I380" s="84"/>
      <c r="J380" s="84"/>
      <c r="K380" s="39"/>
      <c r="L380" s="39"/>
      <c r="M380" s="39"/>
      <c r="N380" s="39"/>
      <c r="O380" s="39"/>
      <c r="P380" s="39"/>
      <c r="Q380" s="39"/>
      <c r="R380" s="39"/>
      <c r="S380" s="39"/>
      <c r="T380" s="39"/>
      <c r="U380" s="39"/>
      <c r="V380" s="39"/>
      <c r="W380" s="39"/>
      <c r="X380" s="39"/>
      <c r="Y380" s="39"/>
    </row>
    <row r="381" spans="1:25" ht="11.25" customHeight="1" x14ac:dyDescent="0.25">
      <c r="A381" s="1"/>
      <c r="B381" s="1"/>
      <c r="C381" s="1"/>
      <c r="D381" s="1"/>
      <c r="E381" s="1"/>
      <c r="F381" s="33"/>
      <c r="G381" s="33"/>
      <c r="H381" s="84"/>
      <c r="I381" s="84"/>
      <c r="J381" s="84"/>
      <c r="K381" s="39"/>
      <c r="L381" s="39"/>
      <c r="M381" s="39"/>
      <c r="N381" s="39"/>
      <c r="O381" s="39"/>
      <c r="P381" s="39"/>
      <c r="Q381" s="39"/>
      <c r="R381" s="39"/>
      <c r="S381" s="39"/>
      <c r="T381" s="39"/>
      <c r="U381" s="39"/>
      <c r="V381" s="39"/>
      <c r="W381" s="39"/>
      <c r="X381" s="39"/>
      <c r="Y381" s="39"/>
    </row>
    <row r="382" spans="1:25" ht="11.25" customHeight="1" x14ac:dyDescent="0.25">
      <c r="A382" s="1"/>
      <c r="B382" s="1"/>
      <c r="C382" s="1"/>
      <c r="D382" s="1"/>
      <c r="E382" s="1"/>
      <c r="F382" s="33"/>
      <c r="G382" s="33"/>
      <c r="H382" s="84"/>
      <c r="I382" s="84"/>
      <c r="J382" s="84"/>
      <c r="K382" s="39"/>
      <c r="L382" s="39"/>
      <c r="M382" s="39"/>
      <c r="N382" s="39"/>
      <c r="O382" s="39"/>
      <c r="P382" s="39"/>
      <c r="Q382" s="39"/>
      <c r="R382" s="39"/>
      <c r="S382" s="39"/>
      <c r="T382" s="39"/>
      <c r="U382" s="39"/>
      <c r="V382" s="39"/>
      <c r="W382" s="39"/>
      <c r="X382" s="39"/>
      <c r="Y382" s="39"/>
    </row>
    <row r="383" spans="1:25" ht="15.75" customHeight="1" x14ac:dyDescent="0.25"/>
    <row r="384" spans="1:25" ht="11.25" customHeight="1" x14ac:dyDescent="0.25">
      <c r="B384" s="232" t="s">
        <v>274</v>
      </c>
    </row>
    <row r="385" ht="15.75" customHeight="1" x14ac:dyDescent="0.25"/>
    <row r="386" ht="7.5" customHeight="1" x14ac:dyDescent="0.25"/>
    <row r="387" ht="15.75" customHeight="1" x14ac:dyDescent="0.25"/>
    <row r="388" ht="15.75" customHeight="1" x14ac:dyDescent="0.25"/>
    <row r="389" ht="6.75" hidden="1" customHeight="1" x14ac:dyDescent="0.25"/>
    <row r="390" ht="6.75" hidden="1" customHeight="1" x14ac:dyDescent="0.25"/>
    <row r="391" ht="15.75" hidden="1" customHeight="1" x14ac:dyDescent="0.25"/>
    <row r="392" ht="15.75" hidden="1" customHeight="1" x14ac:dyDescent="0.25"/>
    <row r="393" ht="15.75" hidden="1" customHeight="1" x14ac:dyDescent="0.25"/>
    <row r="394" ht="15.75" hidden="1" customHeight="1" x14ac:dyDescent="0.25"/>
    <row r="395" ht="15.75" hidden="1" customHeight="1" x14ac:dyDescent="0.25"/>
    <row r="396" ht="15.75" hidden="1" customHeight="1" x14ac:dyDescent="0.25"/>
    <row r="397" ht="15.75" hidden="1" customHeight="1" x14ac:dyDescent="0.25"/>
    <row r="398" ht="15.75" hidden="1" customHeight="1" x14ac:dyDescent="0.25"/>
    <row r="399" ht="15.75" hidden="1" customHeight="1" x14ac:dyDescent="0.25"/>
    <row r="400" ht="15.75" hidden="1" customHeight="1" x14ac:dyDescent="0.25"/>
    <row r="401" ht="15.75" hidden="1" customHeight="1" x14ac:dyDescent="0.25"/>
    <row r="402" ht="15.75" hidden="1" customHeight="1" x14ac:dyDescent="0.25"/>
    <row r="403" ht="7.5" hidden="1" customHeight="1" x14ac:dyDescent="0.25"/>
    <row r="404" ht="15.75" hidden="1" customHeight="1" x14ac:dyDescent="0.25"/>
    <row r="405" ht="15.75" hidden="1" customHeight="1" x14ac:dyDescent="0.25"/>
    <row r="406" ht="6" hidden="1" customHeight="1" x14ac:dyDescent="0.25"/>
    <row r="407" ht="15.75" hidden="1" customHeight="1" x14ac:dyDescent="0.25"/>
    <row r="408" ht="15.75" hidden="1" customHeight="1" x14ac:dyDescent="0.25"/>
    <row r="409" ht="15.75" hidden="1" customHeight="1" x14ac:dyDescent="0.25"/>
    <row r="410" ht="15.75" hidden="1" customHeight="1" x14ac:dyDescent="0.25"/>
    <row r="411" ht="15.75" hidden="1" customHeight="1" x14ac:dyDescent="0.25"/>
    <row r="412" ht="15.75" hidden="1" customHeight="1" x14ac:dyDescent="0.25"/>
    <row r="413" ht="15.75" hidden="1" customHeight="1" x14ac:dyDescent="0.25"/>
    <row r="414" ht="15.75" hidden="1" customHeight="1" x14ac:dyDescent="0.25"/>
    <row r="415" ht="12.75" hidden="1" customHeight="1" x14ac:dyDescent="0.25"/>
    <row r="416" ht="15.75" hidden="1" customHeight="1" x14ac:dyDescent="0.25"/>
    <row r="417" ht="15.75" hidden="1" customHeight="1" x14ac:dyDescent="0.25"/>
    <row r="418" ht="15.75" hidden="1" customHeight="1" x14ac:dyDescent="0.25"/>
    <row r="419" ht="15.75" hidden="1" customHeight="1" x14ac:dyDescent="0.25"/>
    <row r="420" ht="15.75" hidden="1" customHeight="1" x14ac:dyDescent="0.25"/>
    <row r="421" ht="9" hidden="1" customHeight="1" x14ac:dyDescent="0.25"/>
    <row r="422" ht="15.75" hidden="1" customHeight="1" x14ac:dyDescent="0.25"/>
    <row r="423" ht="11.25" hidden="1" customHeight="1" x14ac:dyDescent="0.25"/>
    <row r="424" ht="11.25" hidden="1" customHeight="1" x14ac:dyDescent="0.25"/>
    <row r="425" ht="11.25" hidden="1" customHeight="1" x14ac:dyDescent="0.25"/>
    <row r="426" ht="11.25" hidden="1" customHeight="1" x14ac:dyDescent="0.25"/>
    <row r="427" ht="6.75" hidden="1" customHeight="1" x14ac:dyDescent="0.25"/>
    <row r="428" ht="12.75" hidden="1" customHeight="1" x14ac:dyDescent="0.25"/>
    <row r="429" ht="6.75" hidden="1" customHeight="1" x14ac:dyDescent="0.25"/>
    <row r="430" ht="12.75" hidden="1" customHeight="1" x14ac:dyDescent="0.25"/>
    <row r="431" ht="12.75" hidden="1" customHeight="1" x14ac:dyDescent="0.25"/>
    <row r="432" ht="12.75" hidden="1" customHeight="1" x14ac:dyDescent="0.25"/>
    <row r="433" ht="12.75" hidden="1" customHeight="1" x14ac:dyDescent="0.25"/>
    <row r="434" ht="12.75" hidden="1" customHeight="1" x14ac:dyDescent="0.25"/>
    <row r="435" ht="15.75" hidden="1" customHeight="1" x14ac:dyDescent="0.25"/>
    <row r="436" ht="4.5" hidden="1" customHeight="1" x14ac:dyDescent="0.25"/>
    <row r="437" ht="15.75" hidden="1" customHeight="1" x14ac:dyDescent="0.25"/>
    <row r="438" ht="15.75" hidden="1" customHeight="1" x14ac:dyDescent="0.25"/>
    <row r="439" ht="15.75" hidden="1" customHeight="1" x14ac:dyDescent="0.25"/>
    <row r="440" ht="15.75" hidden="1" customHeight="1" x14ac:dyDescent="0.25"/>
    <row r="441" ht="15.75" hidden="1" customHeight="1" x14ac:dyDescent="0.25"/>
    <row r="442" ht="5.25" hidden="1" customHeight="1" x14ac:dyDescent="0.25"/>
    <row r="443" ht="10.5" hidden="1" customHeight="1" x14ac:dyDescent="0.25"/>
    <row r="444" ht="15.75" hidden="1" customHeight="1" x14ac:dyDescent="0.25"/>
    <row r="445" ht="15.75" hidden="1" customHeight="1" x14ac:dyDescent="0.25"/>
    <row r="446" ht="15.75" hidden="1" customHeight="1" x14ac:dyDescent="0.25"/>
    <row r="447" ht="6.75" hidden="1" customHeight="1" x14ac:dyDescent="0.25"/>
    <row r="448" ht="15.75" hidden="1" customHeight="1" x14ac:dyDescent="0.25"/>
    <row r="449" ht="6.75" hidden="1" customHeight="1" x14ac:dyDescent="0.25"/>
    <row r="450" ht="12" hidden="1" customHeight="1" x14ac:dyDescent="0.25"/>
    <row r="451" ht="12" hidden="1" customHeight="1" x14ac:dyDescent="0.25"/>
    <row r="452" ht="12" hidden="1" customHeight="1" x14ac:dyDescent="0.25"/>
    <row r="453" ht="12" hidden="1" customHeight="1" x14ac:dyDescent="0.25"/>
    <row r="454" ht="15.75" hidden="1" customHeight="1" x14ac:dyDescent="0.25"/>
    <row r="455" ht="8.25" hidden="1" customHeight="1" x14ac:dyDescent="0.25"/>
    <row r="456" ht="15.75" hidden="1" customHeight="1" x14ac:dyDescent="0.25"/>
    <row r="457" ht="15.75" hidden="1" customHeight="1" x14ac:dyDescent="0.25"/>
    <row r="458" ht="15.75" hidden="1" customHeight="1" x14ac:dyDescent="0.25"/>
    <row r="459" ht="7.5" hidden="1" customHeight="1" x14ac:dyDescent="0.25"/>
    <row r="460" ht="15.75" hidden="1" customHeight="1" x14ac:dyDescent="0.25"/>
    <row r="461" ht="15.75" hidden="1" customHeight="1" x14ac:dyDescent="0.25"/>
    <row r="462" ht="15.75" hidden="1" customHeight="1" x14ac:dyDescent="0.25"/>
    <row r="463" ht="6.75" hidden="1" customHeight="1" x14ac:dyDescent="0.25"/>
    <row r="464" ht="15.75" hidden="1" customHeight="1" x14ac:dyDescent="0.25"/>
    <row r="465" ht="15.75" hidden="1" customHeight="1" x14ac:dyDescent="0.25"/>
    <row r="466" ht="15.75" hidden="1" customHeight="1" x14ac:dyDescent="0.25"/>
    <row r="467" ht="15.75" hidden="1" customHeight="1" x14ac:dyDescent="0.25"/>
    <row r="468" ht="15.75" hidden="1" customHeight="1" x14ac:dyDescent="0.25"/>
    <row r="469" ht="15.75" hidden="1" customHeight="1" x14ac:dyDescent="0.25"/>
    <row r="470" ht="15.75" hidden="1" customHeight="1" x14ac:dyDescent="0.25"/>
    <row r="471" ht="15.75" hidden="1" customHeight="1" x14ac:dyDescent="0.25"/>
    <row r="472" ht="15.75" hidden="1" customHeight="1" x14ac:dyDescent="0.25"/>
    <row r="473" ht="15.75" hidden="1" customHeight="1" x14ac:dyDescent="0.25"/>
    <row r="474" ht="15.75" hidden="1" customHeight="1" x14ac:dyDescent="0.25"/>
    <row r="475" ht="15.75" hidden="1" customHeight="1" x14ac:dyDescent="0.25"/>
    <row r="476" ht="7.5" hidden="1" customHeight="1" x14ac:dyDescent="0.25"/>
    <row r="477" ht="10.5" hidden="1" customHeight="1" x14ac:dyDescent="0.25"/>
    <row r="478" ht="11.25" hidden="1" customHeight="1" x14ac:dyDescent="0.25"/>
    <row r="479" ht="15.75" hidden="1" customHeight="1" x14ac:dyDescent="0.25"/>
    <row r="480" ht="15.75" hidden="1" customHeight="1" x14ac:dyDescent="0.25"/>
    <row r="481" ht="15.75" hidden="1" customHeight="1" x14ac:dyDescent="0.25"/>
    <row r="482" ht="15.75" hidden="1" customHeight="1" x14ac:dyDescent="0.25"/>
    <row r="483" ht="15.75" hidden="1" customHeight="1" x14ac:dyDescent="0.25"/>
    <row r="484" ht="15.75" hidden="1" customHeight="1" x14ac:dyDescent="0.25"/>
    <row r="485" ht="15.75" hidden="1" customHeight="1" x14ac:dyDescent="0.25"/>
    <row r="486" ht="15.75" hidden="1" customHeight="1" x14ac:dyDescent="0.25"/>
    <row r="487" ht="15.75" hidden="1" customHeight="1" x14ac:dyDescent="0.25"/>
    <row r="488" ht="15.75" hidden="1" customHeight="1" x14ac:dyDescent="0.25"/>
    <row r="489" ht="15.75" hidden="1" customHeight="1" x14ac:dyDescent="0.25"/>
    <row r="490" ht="15.75" hidden="1" customHeight="1" x14ac:dyDescent="0.25"/>
    <row r="491" ht="15.75" hidden="1" customHeight="1" x14ac:dyDescent="0.25"/>
    <row r="492" ht="15.75" hidden="1" customHeight="1" x14ac:dyDescent="0.25"/>
    <row r="493" ht="15.75" hidden="1" customHeight="1" x14ac:dyDescent="0.25"/>
    <row r="494" ht="15.75" hidden="1" customHeight="1" x14ac:dyDescent="0.25"/>
    <row r="495" ht="15.75" hidden="1" customHeight="1" x14ac:dyDescent="0.25"/>
    <row r="496" ht="15.75" hidden="1" customHeight="1" x14ac:dyDescent="0.25"/>
    <row r="497" ht="15.75" hidden="1" customHeight="1" x14ac:dyDescent="0.25"/>
    <row r="498" ht="15.75" hidden="1" customHeight="1" x14ac:dyDescent="0.25"/>
    <row r="499" ht="15.75" hidden="1" customHeight="1" x14ac:dyDescent="0.25"/>
    <row r="500" ht="15.75" hidden="1" customHeight="1" x14ac:dyDescent="0.25"/>
    <row r="501" ht="15.75" hidden="1" customHeight="1" x14ac:dyDescent="0.25"/>
    <row r="502" ht="15.75" hidden="1" customHeight="1" x14ac:dyDescent="0.25"/>
    <row r="503" ht="15.75" hidden="1" customHeight="1" x14ac:dyDescent="0.25"/>
    <row r="504" ht="15.75" hidden="1" customHeight="1" x14ac:dyDescent="0.25"/>
    <row r="505" ht="15.75" hidden="1" customHeight="1" x14ac:dyDescent="0.25"/>
    <row r="506" ht="15.75" hidden="1" customHeight="1" x14ac:dyDescent="0.25"/>
    <row r="507" ht="15.75" hidden="1" customHeight="1" x14ac:dyDescent="0.25"/>
    <row r="508" ht="15.75" hidden="1" customHeight="1" x14ac:dyDescent="0.25"/>
    <row r="509" ht="15.75" hidden="1" customHeight="1" x14ac:dyDescent="0.25"/>
    <row r="510" ht="15.75" hidden="1" customHeight="1" x14ac:dyDescent="0.25"/>
    <row r="511" ht="15.75" hidden="1" customHeight="1" x14ac:dyDescent="0.25"/>
    <row r="512" ht="15.75" hidden="1" customHeight="1" x14ac:dyDescent="0.25"/>
    <row r="513" ht="15.75" hidden="1" customHeight="1" x14ac:dyDescent="0.25"/>
    <row r="514" ht="15.75" hidden="1" customHeight="1" x14ac:dyDescent="0.25"/>
    <row r="515" ht="15.75" hidden="1" customHeight="1" x14ac:dyDescent="0.25"/>
    <row r="516" ht="15.75" hidden="1" customHeight="1" x14ac:dyDescent="0.25"/>
    <row r="517" ht="15.75" hidden="1" customHeight="1" x14ac:dyDescent="0.25"/>
    <row r="518" ht="15.75" hidden="1" customHeight="1" x14ac:dyDescent="0.25"/>
    <row r="519" ht="15.75" hidden="1" customHeight="1" x14ac:dyDescent="0.25"/>
    <row r="520" ht="15.75" hidden="1" customHeight="1" x14ac:dyDescent="0.25"/>
    <row r="521" ht="15.75" hidden="1" customHeight="1" x14ac:dyDescent="0.25"/>
    <row r="522" ht="15.75" hidden="1" customHeight="1" x14ac:dyDescent="0.25"/>
    <row r="523" ht="15.75" hidden="1" customHeight="1" x14ac:dyDescent="0.25"/>
    <row r="524" ht="15.75" hidden="1" customHeight="1" x14ac:dyDescent="0.25"/>
    <row r="525" ht="15.75" hidden="1" customHeight="1" x14ac:dyDescent="0.25"/>
    <row r="526" ht="15.75" hidden="1" customHeight="1" x14ac:dyDescent="0.25"/>
    <row r="527" ht="15.75" hidden="1" customHeight="1" x14ac:dyDescent="0.25"/>
    <row r="528" ht="15.75" hidden="1" customHeight="1" x14ac:dyDescent="0.25"/>
    <row r="529" ht="15.75" hidden="1" customHeight="1" x14ac:dyDescent="0.25"/>
    <row r="530" ht="15.75" hidden="1" customHeight="1" x14ac:dyDescent="0.25"/>
    <row r="531" ht="15.75" hidden="1" customHeight="1" x14ac:dyDescent="0.25"/>
    <row r="532" ht="15.75" hidden="1" customHeight="1" x14ac:dyDescent="0.25"/>
    <row r="533" ht="15.75" hidden="1" customHeight="1" x14ac:dyDescent="0.25"/>
    <row r="534" ht="15.75" hidden="1" customHeight="1" x14ac:dyDescent="0.25"/>
    <row r="535" ht="15.75" hidden="1" customHeight="1" x14ac:dyDescent="0.25"/>
    <row r="536" ht="15.75" hidden="1" customHeight="1" x14ac:dyDescent="0.25"/>
    <row r="537" ht="15.75" hidden="1" customHeight="1" x14ac:dyDescent="0.25"/>
    <row r="538" ht="15.75" hidden="1" customHeight="1" x14ac:dyDescent="0.25"/>
    <row r="539" ht="15.75" hidden="1" customHeight="1" x14ac:dyDescent="0.25"/>
    <row r="540" ht="15.75" hidden="1" customHeight="1" x14ac:dyDescent="0.25"/>
    <row r="541" ht="15.75" hidden="1" customHeight="1" x14ac:dyDescent="0.25"/>
    <row r="542" ht="15.75" hidden="1" customHeight="1" x14ac:dyDescent="0.25"/>
    <row r="543" ht="15.75" hidden="1" customHeight="1" x14ac:dyDescent="0.25"/>
    <row r="544" ht="15.75" hidden="1" customHeight="1" x14ac:dyDescent="0.25"/>
    <row r="545" ht="15.75" hidden="1" customHeight="1" x14ac:dyDescent="0.25"/>
    <row r="546" ht="15.75" hidden="1" customHeight="1" x14ac:dyDescent="0.25"/>
    <row r="547" ht="15.75" hidden="1" customHeight="1" x14ac:dyDescent="0.25"/>
    <row r="548" ht="15.75" hidden="1" customHeight="1" x14ac:dyDescent="0.25"/>
    <row r="549" ht="15.75" hidden="1" customHeight="1" x14ac:dyDescent="0.25"/>
    <row r="550" ht="15.75" hidden="1" customHeight="1" x14ac:dyDescent="0.25"/>
    <row r="551" ht="15.75" hidden="1" customHeight="1" x14ac:dyDescent="0.25"/>
    <row r="552" ht="15.75" hidden="1" customHeight="1" x14ac:dyDescent="0.25"/>
    <row r="553" ht="15.75" hidden="1" customHeight="1" x14ac:dyDescent="0.25"/>
    <row r="554" ht="15.75" hidden="1" customHeight="1" x14ac:dyDescent="0.25"/>
    <row r="555" ht="15.75" hidden="1" customHeight="1" x14ac:dyDescent="0.25"/>
    <row r="556" ht="15.75" hidden="1" customHeight="1" x14ac:dyDescent="0.25"/>
    <row r="557" ht="15.75" hidden="1" customHeight="1" x14ac:dyDescent="0.25"/>
    <row r="558" ht="15.75" hidden="1" customHeight="1" x14ac:dyDescent="0.25"/>
    <row r="559" ht="15.75" hidden="1" customHeight="1" x14ac:dyDescent="0.25"/>
    <row r="560" ht="15.75" hidden="1" customHeight="1" x14ac:dyDescent="0.25"/>
    <row r="561" ht="15.75" hidden="1" customHeight="1" x14ac:dyDescent="0.25"/>
    <row r="562" ht="15.75" hidden="1" customHeight="1" x14ac:dyDescent="0.25"/>
    <row r="563" ht="15.75" hidden="1" customHeight="1" x14ac:dyDescent="0.25"/>
    <row r="564" ht="15.75" hidden="1" customHeight="1" x14ac:dyDescent="0.25"/>
    <row r="565" ht="15.75" hidden="1" customHeight="1" x14ac:dyDescent="0.25"/>
    <row r="566" ht="15.75" hidden="1" customHeight="1" x14ac:dyDescent="0.25"/>
    <row r="567" ht="15.75" hidden="1" customHeight="1" x14ac:dyDescent="0.25"/>
    <row r="568" ht="15.75" hidden="1" customHeight="1" x14ac:dyDescent="0.25"/>
    <row r="569" ht="15.75" hidden="1" customHeight="1" x14ac:dyDescent="0.25"/>
    <row r="570" ht="15.75" hidden="1" customHeight="1" x14ac:dyDescent="0.25"/>
    <row r="571" ht="15.75" hidden="1" customHeight="1" x14ac:dyDescent="0.25"/>
    <row r="572" ht="15.75" hidden="1" customHeight="1" x14ac:dyDescent="0.25"/>
    <row r="573" ht="15.75" hidden="1" customHeight="1" x14ac:dyDescent="0.25"/>
    <row r="574" ht="15.75" hidden="1" customHeight="1" x14ac:dyDescent="0.25"/>
    <row r="575" ht="15.75" hidden="1" customHeight="1" x14ac:dyDescent="0.25"/>
    <row r="576" ht="15.75" hidden="1" customHeight="1" x14ac:dyDescent="0.25"/>
    <row r="577" ht="15.75" hidden="1" customHeight="1" x14ac:dyDescent="0.25"/>
    <row r="578" ht="15.75" hidden="1" customHeight="1" x14ac:dyDescent="0.25"/>
    <row r="579" ht="15.75" hidden="1" customHeight="1" x14ac:dyDescent="0.25"/>
    <row r="580" ht="15.75" hidden="1" customHeight="1" x14ac:dyDescent="0.25"/>
    <row r="581" ht="15.75" hidden="1" customHeight="1" x14ac:dyDescent="0.25"/>
    <row r="582" ht="15.75" hidden="1" customHeight="1" x14ac:dyDescent="0.25"/>
    <row r="583" ht="15.75" hidden="1" customHeight="1" x14ac:dyDescent="0.25"/>
    <row r="584" ht="15.75" hidden="1" customHeight="1" x14ac:dyDescent="0.25"/>
    <row r="585" ht="15.75" hidden="1" customHeight="1" x14ac:dyDescent="0.25"/>
    <row r="586" ht="15.75" hidden="1" customHeight="1" x14ac:dyDescent="0.25"/>
    <row r="587" ht="15.75" hidden="1" customHeight="1" x14ac:dyDescent="0.25"/>
    <row r="588" ht="15.75" hidden="1" customHeight="1" x14ac:dyDescent="0.25"/>
    <row r="589" ht="15.75" hidden="1" customHeight="1" x14ac:dyDescent="0.25"/>
    <row r="590" ht="15.75" hidden="1" customHeight="1" x14ac:dyDescent="0.25"/>
    <row r="591" ht="15.75" hidden="1" customHeight="1" x14ac:dyDescent="0.25"/>
    <row r="592" ht="15.75" hidden="1" customHeight="1" x14ac:dyDescent="0.25"/>
    <row r="593" spans="12:12" ht="15.75" hidden="1" customHeight="1" x14ac:dyDescent="0.25"/>
    <row r="594" spans="12:12" ht="15.75" hidden="1" customHeight="1" x14ac:dyDescent="0.25"/>
    <row r="595" spans="12:12" ht="15.75" hidden="1" customHeight="1" x14ac:dyDescent="0.25"/>
    <row r="596" spans="12:12" ht="15.75" hidden="1" customHeight="1" x14ac:dyDescent="0.25"/>
    <row r="597" spans="12:12" ht="15.75" customHeight="1" x14ac:dyDescent="0.25"/>
    <row r="598" spans="12:12" ht="15.75" customHeight="1" x14ac:dyDescent="0.25"/>
    <row r="599" spans="12:12" ht="15.75" customHeight="1" x14ac:dyDescent="0.25"/>
    <row r="600" spans="12:12" ht="15.75" customHeight="1" x14ac:dyDescent="0.25"/>
    <row r="601" spans="12:12" ht="15.75" customHeight="1" x14ac:dyDescent="0.25"/>
    <row r="602" spans="12:12" ht="15.75" customHeight="1" x14ac:dyDescent="0.25">
      <c r="L602" s="213" t="s">
        <v>261</v>
      </c>
    </row>
    <row r="603" spans="12:12" ht="15.75" customHeight="1" x14ac:dyDescent="0.25"/>
    <row r="604" spans="12:12" ht="15.75" customHeight="1" x14ac:dyDescent="0.25"/>
    <row r="605" spans="12:12" ht="15.75" customHeight="1" x14ac:dyDescent="0.25"/>
    <row r="606" spans="12:12" ht="15.75" customHeight="1" x14ac:dyDescent="0.25"/>
    <row r="607" spans="12:12" ht="15.75" customHeight="1" x14ac:dyDescent="0.25"/>
    <row r="608" spans="12:12"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sheetData>
  <mergeCells count="1">
    <mergeCell ref="H2:N2"/>
  </mergeCells>
  <pageMargins left="0.7" right="0.7" top="0.75" bottom="0.75" header="0" footer="0"/>
  <pageSetup orientation="portrait"/>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BFBF"/>
  </sheetPr>
  <dimension ref="A1:AJ1000"/>
  <sheetViews>
    <sheetView workbookViewId="0"/>
  </sheetViews>
  <sheetFormatPr defaultColWidth="14.42578125" defaultRowHeight="15" customHeight="1" outlineLevelRow="1" x14ac:dyDescent="0.25"/>
  <cols>
    <col min="1" max="4" width="3.42578125" customWidth="1"/>
    <col min="5" max="5" width="33.42578125" customWidth="1"/>
    <col min="6" max="6" width="9.140625" customWidth="1"/>
    <col min="7" max="7" width="15.140625" customWidth="1"/>
    <col min="8" max="8" width="12.28515625" customWidth="1"/>
    <col min="9" max="9" width="16" customWidth="1"/>
    <col min="10" max="12" width="12.42578125" customWidth="1"/>
    <col min="13" max="13" width="17.7109375" customWidth="1"/>
    <col min="14" max="18" width="12.42578125" customWidth="1"/>
    <col min="19" max="36" width="9.140625" customWidth="1"/>
  </cols>
  <sheetData>
    <row r="1" spans="1:36" ht="12.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12.75" customHeight="1" x14ac:dyDescent="0.25">
      <c r="A2" s="1"/>
      <c r="B2" s="1"/>
      <c r="C2" s="1" t="s">
        <v>390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spans="1:36" ht="12.75" customHeight="1" x14ac:dyDescent="0.25">
      <c r="A3" s="1"/>
      <c r="B3" s="1"/>
      <c r="C3" s="1"/>
      <c r="D3" s="1" t="s">
        <v>391</v>
      </c>
      <c r="E3" s="1"/>
      <c r="F3" s="1"/>
      <c r="G3" s="123" t="s">
        <v>392</v>
      </c>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ht="12.75" customHeight="1"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spans="1:36" ht="12.7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2.75" customHeight="1" x14ac:dyDescent="0.25">
      <c r="A6" s="1"/>
      <c r="B6" s="1"/>
      <c r="C6" s="1"/>
      <c r="D6" s="1" t="s">
        <v>393</v>
      </c>
      <c r="E6" s="1"/>
      <c r="F6" s="1"/>
      <c r="G6" s="131">
        <v>2022</v>
      </c>
      <c r="H6" s="1"/>
      <c r="I6" s="1"/>
      <c r="J6" s="1"/>
      <c r="K6" s="1"/>
      <c r="L6" s="1"/>
      <c r="M6" s="1"/>
      <c r="N6" s="1"/>
      <c r="O6" s="1"/>
      <c r="P6" s="1"/>
      <c r="Q6" s="1"/>
      <c r="R6" s="1"/>
      <c r="S6" s="1"/>
      <c r="T6" s="1"/>
      <c r="U6" s="1"/>
      <c r="V6" s="1"/>
      <c r="W6" s="1"/>
      <c r="X6" s="1"/>
      <c r="Y6" s="1"/>
      <c r="Z6" s="1"/>
      <c r="AA6" s="1"/>
      <c r="AB6" s="1"/>
      <c r="AC6" s="1"/>
      <c r="AD6" s="1"/>
      <c r="AE6" s="1"/>
      <c r="AF6" s="1"/>
      <c r="AG6" s="1"/>
      <c r="AH6" s="1"/>
      <c r="AI6" s="1"/>
      <c r="AJ6" s="1"/>
    </row>
    <row r="7" spans="1:36" ht="12.75" customHeight="1" x14ac:dyDescent="0.25">
      <c r="A7" s="1"/>
      <c r="B7" s="1"/>
      <c r="C7" s="1"/>
      <c r="D7" s="1" t="s">
        <v>394</v>
      </c>
      <c r="E7" s="1"/>
      <c r="F7" s="1"/>
      <c r="G7" s="233">
        <v>44742</v>
      </c>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spans="1:36" ht="12.75" customHeight="1" x14ac:dyDescent="0.25">
      <c r="A8" s="1"/>
      <c r="B8" s="1"/>
      <c r="C8" s="1"/>
      <c r="D8" s="1" t="s">
        <v>395</v>
      </c>
      <c r="E8" s="1"/>
      <c r="F8" s="1"/>
      <c r="G8" s="123">
        <v>4</v>
      </c>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spans="1:36" ht="12.75" customHeight="1" x14ac:dyDescent="0.25">
      <c r="A9" s="1"/>
      <c r="B9" s="1"/>
      <c r="C9" s="1"/>
      <c r="D9" s="1"/>
      <c r="E9" s="1"/>
      <c r="F9" s="1"/>
      <c r="G9" s="234"/>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spans="1:36" ht="12.75" customHeight="1" x14ac:dyDescent="0.25">
      <c r="A10" s="1"/>
      <c r="B10" s="1"/>
      <c r="C10" s="1" t="s">
        <v>396</v>
      </c>
      <c r="D10" s="1"/>
      <c r="E10" s="1"/>
      <c r="F10" s="1"/>
      <c r="G10" s="234"/>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ht="13.5" customHeight="1" x14ac:dyDescent="0.25">
      <c r="A11" s="1"/>
      <c r="B11" s="1"/>
      <c r="C11" s="1"/>
      <c r="D11" s="1"/>
      <c r="E11" s="1"/>
      <c r="F11" s="1"/>
      <c r="G11" s="234"/>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spans="1:36" ht="12.75" customHeight="1" x14ac:dyDescent="0.25">
      <c r="A12" s="1"/>
      <c r="B12" s="1"/>
      <c r="C12" s="1"/>
      <c r="D12" s="1"/>
      <c r="E12" s="1"/>
      <c r="F12" s="1"/>
      <c r="G12" s="234"/>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spans="1:36" ht="12.75" customHeight="1" x14ac:dyDescent="0.25">
      <c r="A13" s="1"/>
      <c r="B13" s="1"/>
      <c r="C13" s="1"/>
      <c r="D13" s="1"/>
      <c r="E13" s="1"/>
      <c r="F13" s="1"/>
      <c r="G13" s="234"/>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spans="1:36" ht="12.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spans="1:36" ht="12.75" hidden="1" customHeight="1" outlineLevel="1" x14ac:dyDescent="0.25">
      <c r="A15" s="1"/>
      <c r="B15" s="1"/>
      <c r="C15" s="1"/>
      <c r="D15" s="1"/>
      <c r="E15" s="1" t="s">
        <v>397</v>
      </c>
      <c r="F15" s="1"/>
      <c r="G15" s="1"/>
      <c r="H15" s="1"/>
      <c r="I15" s="39">
        <v>1</v>
      </c>
      <c r="J15" s="39">
        <f t="shared" ref="J15:R15" si="0">I15 + 1</f>
        <v>2</v>
      </c>
      <c r="K15" s="39">
        <f t="shared" si="0"/>
        <v>3</v>
      </c>
      <c r="L15" s="39">
        <f t="shared" si="0"/>
        <v>4</v>
      </c>
      <c r="M15" s="39">
        <f t="shared" si="0"/>
        <v>5</v>
      </c>
      <c r="N15" s="39">
        <f t="shared" si="0"/>
        <v>6</v>
      </c>
      <c r="O15" s="39">
        <f t="shared" si="0"/>
        <v>7</v>
      </c>
      <c r="P15" s="39">
        <f t="shared" si="0"/>
        <v>8</v>
      </c>
      <c r="Q15" s="39">
        <f t="shared" si="0"/>
        <v>9</v>
      </c>
      <c r="R15" s="39">
        <f t="shared" si="0"/>
        <v>10</v>
      </c>
      <c r="S15" s="1"/>
      <c r="T15" s="1"/>
      <c r="U15" s="1"/>
      <c r="V15" s="1"/>
      <c r="W15" s="1"/>
      <c r="X15" s="1"/>
      <c r="Y15" s="1"/>
      <c r="Z15" s="1"/>
      <c r="AA15" s="1"/>
      <c r="AB15" s="1"/>
      <c r="AC15" s="1"/>
      <c r="AD15" s="1"/>
      <c r="AE15" s="1"/>
      <c r="AF15" s="1"/>
      <c r="AG15" s="1"/>
      <c r="AH15" s="1"/>
      <c r="AI15" s="1"/>
      <c r="AJ15" s="1"/>
    </row>
    <row r="16" spans="1:36" ht="12.75" hidden="1" customHeight="1" outlineLevel="1" x14ac:dyDescent="0.25">
      <c r="A16" s="1"/>
      <c r="B16" s="1"/>
      <c r="C16" s="1"/>
      <c r="D16" s="1"/>
      <c r="E16" s="1" t="s">
        <v>398</v>
      </c>
      <c r="F16" s="1"/>
      <c r="G16" s="1"/>
      <c r="H16" s="1"/>
      <c r="I16" s="39">
        <f t="shared" ref="I16:R16" si="1">IF( I17 &lt;&gt; 0, 1, 0 )</f>
        <v>1</v>
      </c>
      <c r="J16" s="39">
        <f t="shared" si="1"/>
        <v>1</v>
      </c>
      <c r="K16" s="39">
        <f t="shared" si="1"/>
        <v>1</v>
      </c>
      <c r="L16" s="39">
        <f t="shared" si="1"/>
        <v>1</v>
      </c>
      <c r="M16" s="39">
        <f t="shared" si="1"/>
        <v>0</v>
      </c>
      <c r="N16" s="39">
        <f t="shared" si="1"/>
        <v>0</v>
      </c>
      <c r="O16" s="39">
        <f t="shared" si="1"/>
        <v>0</v>
      </c>
      <c r="P16" s="39">
        <f t="shared" si="1"/>
        <v>0</v>
      </c>
      <c r="Q16" s="39">
        <f t="shared" si="1"/>
        <v>0</v>
      </c>
      <c r="R16" s="39">
        <f t="shared" si="1"/>
        <v>0</v>
      </c>
      <c r="S16" s="1"/>
      <c r="T16" s="1"/>
      <c r="U16" s="1"/>
      <c r="V16" s="1"/>
      <c r="W16" s="1"/>
      <c r="X16" s="1"/>
      <c r="Y16" s="1"/>
      <c r="Z16" s="1"/>
      <c r="AA16" s="1"/>
      <c r="AB16" s="1"/>
      <c r="AC16" s="1"/>
      <c r="AD16" s="1"/>
      <c r="AE16" s="1"/>
      <c r="AF16" s="1"/>
      <c r="AG16" s="1"/>
      <c r="AH16" s="1"/>
      <c r="AI16" s="1"/>
      <c r="AJ16" s="1"/>
    </row>
    <row r="17" spans="1:36" ht="12.75" hidden="1" customHeight="1" outlineLevel="1" x14ac:dyDescent="0.25">
      <c r="A17" s="1"/>
      <c r="B17" s="1"/>
      <c r="C17" s="1"/>
      <c r="D17" s="1"/>
      <c r="E17" s="1" t="s">
        <v>399</v>
      </c>
      <c r="F17" s="1"/>
      <c r="G17" s="1"/>
      <c r="H17" s="1"/>
      <c r="I17" s="39">
        <f t="shared" ref="I17:R17" si="2">IF( I15 &gt; $G8, 0, I15 )</f>
        <v>1</v>
      </c>
      <c r="J17" s="39">
        <f t="shared" si="2"/>
        <v>2</v>
      </c>
      <c r="K17" s="39">
        <f t="shared" si="2"/>
        <v>3</v>
      </c>
      <c r="L17" s="39">
        <f t="shared" si="2"/>
        <v>4</v>
      </c>
      <c r="M17" s="39">
        <f t="shared" si="2"/>
        <v>0</v>
      </c>
      <c r="N17" s="39">
        <f t="shared" si="2"/>
        <v>0</v>
      </c>
      <c r="O17" s="39">
        <f t="shared" si="2"/>
        <v>0</v>
      </c>
      <c r="P17" s="39">
        <f t="shared" si="2"/>
        <v>0</v>
      </c>
      <c r="Q17" s="39">
        <f t="shared" si="2"/>
        <v>0</v>
      </c>
      <c r="R17" s="39">
        <f t="shared" si="2"/>
        <v>0</v>
      </c>
      <c r="S17" s="1"/>
      <c r="T17" s="1"/>
      <c r="U17" s="1"/>
      <c r="V17" s="1"/>
      <c r="W17" s="1"/>
      <c r="X17" s="1"/>
      <c r="Y17" s="1"/>
      <c r="Z17" s="1"/>
      <c r="AA17" s="1"/>
      <c r="AB17" s="1"/>
      <c r="AC17" s="1"/>
      <c r="AD17" s="1"/>
      <c r="AE17" s="1"/>
      <c r="AF17" s="1"/>
      <c r="AG17" s="1"/>
      <c r="AH17" s="1"/>
      <c r="AI17" s="1"/>
      <c r="AJ17" s="1"/>
    </row>
    <row r="18" spans="1:36" ht="12.75" hidden="1" customHeight="1" outlineLevel="1" x14ac:dyDescent="0.25">
      <c r="A18" s="1"/>
      <c r="B18" s="1"/>
      <c r="C18" s="1"/>
      <c r="D18" s="1"/>
      <c r="E18" s="1" t="s">
        <v>400</v>
      </c>
      <c r="F18" s="1"/>
      <c r="G18" s="33" t="s">
        <v>401</v>
      </c>
      <c r="H18" s="1"/>
      <c r="I18" s="39">
        <f t="shared" ref="I18:R18" si="3">IF( I17 = 0, 0, ( 0 - $G8 ) + I17 )</f>
        <v>-3</v>
      </c>
      <c r="J18" s="39">
        <f t="shared" si="3"/>
        <v>-2</v>
      </c>
      <c r="K18" s="39">
        <f t="shared" si="3"/>
        <v>-1</v>
      </c>
      <c r="L18" s="39">
        <f t="shared" si="3"/>
        <v>0</v>
      </c>
      <c r="M18" s="39">
        <f t="shared" si="3"/>
        <v>0</v>
      </c>
      <c r="N18" s="39">
        <f t="shared" si="3"/>
        <v>0</v>
      </c>
      <c r="O18" s="39">
        <f t="shared" si="3"/>
        <v>0</v>
      </c>
      <c r="P18" s="39">
        <f t="shared" si="3"/>
        <v>0</v>
      </c>
      <c r="Q18" s="39">
        <f t="shared" si="3"/>
        <v>0</v>
      </c>
      <c r="R18" s="39">
        <f t="shared" si="3"/>
        <v>0</v>
      </c>
      <c r="S18" s="1"/>
      <c r="T18" s="1"/>
      <c r="U18" s="1"/>
      <c r="V18" s="1"/>
      <c r="W18" s="1"/>
      <c r="X18" s="1"/>
      <c r="Y18" s="1"/>
      <c r="Z18" s="1"/>
      <c r="AA18" s="1"/>
      <c r="AB18" s="1"/>
      <c r="AC18" s="1"/>
      <c r="AD18" s="1"/>
      <c r="AE18" s="1"/>
      <c r="AF18" s="1"/>
      <c r="AG18" s="1"/>
      <c r="AH18" s="1"/>
      <c r="AI18" s="1"/>
      <c r="AJ18" s="1"/>
    </row>
    <row r="19" spans="1:36" ht="12.75" hidden="1" customHeight="1" outlineLevel="1" x14ac:dyDescent="0.25">
      <c r="A19" s="1"/>
      <c r="B19" s="1"/>
      <c r="C19" s="1"/>
      <c r="D19" s="1"/>
      <c r="E19" s="1" t="s">
        <v>402</v>
      </c>
      <c r="F19" s="1"/>
      <c r="G19" s="235" t="s">
        <v>401</v>
      </c>
      <c r="H19" s="1"/>
      <c r="I19" s="236">
        <f t="shared" ref="I19:R19" si="4">I16 * ( $G6 + I18 )</f>
        <v>2019</v>
      </c>
      <c r="J19" s="236">
        <f t="shared" si="4"/>
        <v>2020</v>
      </c>
      <c r="K19" s="236">
        <f t="shared" si="4"/>
        <v>2021</v>
      </c>
      <c r="L19" s="236">
        <f t="shared" si="4"/>
        <v>2022</v>
      </c>
      <c r="M19" s="236">
        <f t="shared" si="4"/>
        <v>0</v>
      </c>
      <c r="N19" s="236">
        <f t="shared" si="4"/>
        <v>0</v>
      </c>
      <c r="O19" s="236">
        <f t="shared" si="4"/>
        <v>0</v>
      </c>
      <c r="P19" s="236">
        <f t="shared" si="4"/>
        <v>0</v>
      </c>
      <c r="Q19" s="236">
        <f t="shared" si="4"/>
        <v>0</v>
      </c>
      <c r="R19" s="236">
        <f t="shared" si="4"/>
        <v>0</v>
      </c>
      <c r="S19" s="1"/>
      <c r="T19" s="1"/>
      <c r="U19" s="1"/>
      <c r="V19" s="1"/>
      <c r="W19" s="1"/>
      <c r="X19" s="1"/>
      <c r="Y19" s="1"/>
      <c r="Z19" s="1"/>
      <c r="AA19" s="1"/>
      <c r="AB19" s="1"/>
      <c r="AC19" s="1"/>
      <c r="AD19" s="1"/>
      <c r="AE19" s="1"/>
      <c r="AF19" s="1"/>
      <c r="AG19" s="1"/>
      <c r="AH19" s="1"/>
      <c r="AI19" s="1"/>
      <c r="AJ19" s="1"/>
    </row>
    <row r="20" spans="1:36" ht="12.75" hidden="1" customHeight="1" outlineLevel="1" x14ac:dyDescent="0.25">
      <c r="A20" s="1"/>
      <c r="B20" s="1"/>
      <c r="C20" s="1"/>
      <c r="D20" s="1"/>
      <c r="E20" s="1"/>
      <c r="F20" s="1"/>
      <c r="G20" s="33"/>
      <c r="H20" s="1"/>
      <c r="I20" s="39"/>
      <c r="J20" s="39"/>
      <c r="K20" s="39"/>
      <c r="L20" s="39"/>
      <c r="M20" s="39"/>
      <c r="N20" s="39"/>
      <c r="O20" s="39"/>
      <c r="P20" s="39"/>
      <c r="Q20" s="39"/>
      <c r="R20" s="39"/>
      <c r="S20" s="1"/>
      <c r="T20" s="1"/>
      <c r="U20" s="1"/>
      <c r="V20" s="1"/>
      <c r="W20" s="1"/>
      <c r="X20" s="1"/>
      <c r="Y20" s="1"/>
      <c r="Z20" s="1"/>
      <c r="AA20" s="1"/>
      <c r="AB20" s="1"/>
      <c r="AC20" s="1"/>
      <c r="AD20" s="1"/>
      <c r="AE20" s="1"/>
      <c r="AF20" s="1"/>
      <c r="AG20" s="1"/>
      <c r="AH20" s="1"/>
      <c r="AI20" s="1"/>
      <c r="AJ20" s="1"/>
    </row>
    <row r="21" spans="1:36" ht="6" customHeight="1" collapsed="1" x14ac:dyDescent="0.25">
      <c r="A21" s="1"/>
      <c r="B21" s="1"/>
      <c r="C21" s="1"/>
      <c r="D21" s="1"/>
      <c r="E21" s="1"/>
      <c r="F21" s="1"/>
      <c r="G21" s="1"/>
      <c r="H21" s="1"/>
      <c r="I21" s="237"/>
      <c r="J21" s="237"/>
      <c r="K21" s="237"/>
      <c r="L21" s="237"/>
      <c r="M21" s="237"/>
      <c r="N21" s="237"/>
      <c r="O21" s="237"/>
      <c r="P21" s="237"/>
      <c r="Q21" s="237"/>
      <c r="R21" s="237"/>
      <c r="S21" s="1"/>
      <c r="T21" s="1"/>
      <c r="U21" s="1"/>
      <c r="V21" s="1"/>
      <c r="W21" s="1"/>
      <c r="X21" s="1"/>
      <c r="Y21" s="1"/>
      <c r="Z21" s="1"/>
      <c r="AA21" s="1"/>
      <c r="AB21" s="1"/>
      <c r="AC21" s="1"/>
      <c r="AD21" s="1"/>
      <c r="AE21" s="1"/>
      <c r="AF21" s="1"/>
      <c r="AG21" s="1"/>
      <c r="AH21" s="1"/>
      <c r="AI21" s="1"/>
      <c r="AJ21" s="1"/>
    </row>
    <row r="22" spans="1:36" ht="10.5" customHeight="1" x14ac:dyDescent="0.25">
      <c r="A22" s="3"/>
      <c r="B22" s="4" t="s">
        <v>403</v>
      </c>
      <c r="C22" s="4"/>
      <c r="D22" s="3"/>
      <c r="E22" s="4" t="s">
        <v>404</v>
      </c>
      <c r="F22" s="3"/>
      <c r="G22" s="238" t="s">
        <v>169</v>
      </c>
      <c r="H22" s="3"/>
      <c r="I22" s="239"/>
      <c r="J22" s="239"/>
      <c r="K22" s="239"/>
      <c r="L22" s="239"/>
      <c r="M22" s="239"/>
      <c r="N22" s="239"/>
      <c r="O22" s="239"/>
      <c r="P22" s="239"/>
      <c r="Q22" s="239"/>
      <c r="R22" s="239"/>
      <c r="S22" s="3"/>
      <c r="T22" s="3"/>
      <c r="U22" s="3"/>
      <c r="V22" s="3"/>
      <c r="W22" s="3"/>
      <c r="X22" s="3"/>
      <c r="Y22" s="3"/>
      <c r="Z22" s="3"/>
      <c r="AA22" s="3"/>
      <c r="AB22" s="3"/>
      <c r="AC22" s="3"/>
      <c r="AD22" s="3"/>
      <c r="AE22" s="3"/>
      <c r="AF22" s="3"/>
      <c r="AG22" s="3"/>
      <c r="AH22" s="3"/>
      <c r="AI22" s="3"/>
      <c r="AJ22" s="3"/>
    </row>
    <row r="23" spans="1:36" ht="4.5" customHeight="1" x14ac:dyDescent="0.25">
      <c r="A23" s="1"/>
      <c r="B23" s="1"/>
      <c r="C23" s="240"/>
      <c r="D23" s="1"/>
      <c r="E23" s="1"/>
      <c r="F23" s="1"/>
      <c r="G23" s="1"/>
      <c r="H23" s="1"/>
      <c r="I23" s="237"/>
      <c r="J23" s="237"/>
      <c r="K23" s="237"/>
      <c r="L23" s="237"/>
      <c r="M23" s="237"/>
      <c r="N23" s="237"/>
      <c r="O23" s="237"/>
      <c r="P23" s="237"/>
      <c r="Q23" s="237"/>
      <c r="R23" s="237"/>
      <c r="S23" s="1"/>
      <c r="T23" s="1"/>
      <c r="U23" s="1"/>
      <c r="V23" s="1"/>
      <c r="W23" s="1"/>
      <c r="X23" s="1"/>
      <c r="Y23" s="1"/>
      <c r="Z23" s="1"/>
      <c r="AA23" s="1"/>
      <c r="AB23" s="1"/>
      <c r="AC23" s="1"/>
      <c r="AD23" s="1"/>
      <c r="AE23" s="1"/>
      <c r="AF23" s="1"/>
      <c r="AG23" s="1"/>
      <c r="AH23" s="1"/>
      <c r="AI23" s="1"/>
      <c r="AJ23" s="1"/>
    </row>
    <row r="24" spans="1:36" ht="11.25" customHeight="1" x14ac:dyDescent="0.25">
      <c r="A24" s="1"/>
      <c r="B24" s="1"/>
      <c r="C24" s="240"/>
      <c r="D24" s="1"/>
      <c r="E24" s="1"/>
      <c r="F24" s="1"/>
      <c r="G24" s="1"/>
      <c r="H24" s="1"/>
      <c r="I24" s="237"/>
      <c r="J24" s="237"/>
      <c r="K24" s="237"/>
      <c r="L24" s="237"/>
      <c r="M24" s="237"/>
      <c r="N24" s="237"/>
      <c r="O24" s="237"/>
      <c r="P24" s="237"/>
      <c r="Q24" s="237"/>
      <c r="R24" s="237"/>
      <c r="S24" s="1"/>
      <c r="T24" s="1"/>
      <c r="U24" s="1"/>
      <c r="V24" s="1"/>
      <c r="W24" s="1"/>
      <c r="X24" s="1"/>
      <c r="Y24" s="1"/>
      <c r="Z24" s="1"/>
      <c r="AA24" s="1"/>
      <c r="AB24" s="1"/>
      <c r="AC24" s="1"/>
      <c r="AD24" s="1"/>
      <c r="AE24" s="1"/>
      <c r="AF24" s="1"/>
      <c r="AG24" s="1"/>
      <c r="AH24" s="1"/>
      <c r="AI24" s="1"/>
      <c r="AJ24" s="1"/>
    </row>
    <row r="25" spans="1:36" ht="11.25" customHeight="1" x14ac:dyDescent="0.25">
      <c r="A25" s="1"/>
      <c r="B25" s="1"/>
      <c r="C25" s="240"/>
      <c r="D25" s="1"/>
      <c r="E25" s="1"/>
      <c r="F25" s="1"/>
      <c r="G25" s="1"/>
      <c r="H25" s="1"/>
      <c r="I25" s="237"/>
      <c r="J25" s="237"/>
      <c r="K25" s="237"/>
      <c r="L25" s="237"/>
      <c r="M25" s="237"/>
      <c r="N25" s="237"/>
      <c r="O25" s="237"/>
      <c r="P25" s="237"/>
      <c r="Q25" s="237"/>
      <c r="R25" s="237"/>
      <c r="S25" s="1"/>
      <c r="T25" s="1"/>
      <c r="U25" s="1"/>
      <c r="V25" s="1"/>
      <c r="W25" s="1"/>
      <c r="X25" s="1"/>
      <c r="Y25" s="1"/>
      <c r="Z25" s="1"/>
      <c r="AA25" s="1"/>
      <c r="AB25" s="1"/>
      <c r="AC25" s="1"/>
      <c r="AD25" s="1"/>
      <c r="AE25" s="1"/>
      <c r="AF25" s="1"/>
      <c r="AG25" s="1"/>
      <c r="AH25" s="1"/>
      <c r="AI25" s="1"/>
      <c r="AJ25" s="1"/>
    </row>
    <row r="26" spans="1:36" ht="10.5" customHeight="1" x14ac:dyDescent="0.25">
      <c r="A26" s="6"/>
      <c r="B26" s="6" t="s">
        <v>405</v>
      </c>
      <c r="C26" s="241" t="s">
        <v>406</v>
      </c>
      <c r="D26" s="241"/>
      <c r="E26" s="6"/>
      <c r="F26" s="6"/>
      <c r="G26" s="6"/>
      <c r="H26" s="6"/>
      <c r="I26" s="242"/>
      <c r="J26" s="242"/>
      <c r="K26" s="242"/>
      <c r="L26" s="242"/>
      <c r="M26" s="242"/>
      <c r="N26" s="242"/>
      <c r="O26" s="242"/>
      <c r="P26" s="242"/>
      <c r="Q26" s="242"/>
      <c r="R26" s="242"/>
      <c r="S26" s="6"/>
      <c r="T26" s="6"/>
      <c r="U26" s="6"/>
      <c r="V26" s="6"/>
      <c r="W26" s="6"/>
      <c r="X26" s="6"/>
      <c r="Y26" s="6"/>
      <c r="Z26" s="6"/>
      <c r="AA26" s="6"/>
      <c r="AB26" s="6"/>
      <c r="AC26" s="6"/>
      <c r="AD26" s="6"/>
      <c r="AE26" s="6"/>
      <c r="AF26" s="6"/>
      <c r="AG26" s="6"/>
      <c r="AH26" s="6"/>
      <c r="AI26" s="6"/>
      <c r="AJ26" s="6"/>
    </row>
    <row r="27" spans="1:36" ht="5.25" customHeight="1" x14ac:dyDescent="0.25">
      <c r="A27" s="1"/>
      <c r="B27" s="1"/>
      <c r="C27" s="240"/>
      <c r="D27" s="1"/>
      <c r="E27" s="1"/>
      <c r="F27" s="1"/>
      <c r="G27" s="1"/>
      <c r="H27" s="1"/>
      <c r="I27" s="237"/>
      <c r="J27" s="237"/>
      <c r="K27" s="237"/>
      <c r="L27" s="237"/>
      <c r="M27" s="237"/>
      <c r="N27" s="237"/>
      <c r="O27" s="237"/>
      <c r="P27" s="237"/>
      <c r="Q27" s="237"/>
      <c r="R27" s="237"/>
      <c r="S27" s="1"/>
      <c r="T27" s="1"/>
      <c r="U27" s="1"/>
      <c r="V27" s="1"/>
      <c r="W27" s="1"/>
      <c r="X27" s="1"/>
      <c r="Y27" s="1"/>
      <c r="Z27" s="1"/>
      <c r="AA27" s="1"/>
      <c r="AB27" s="1"/>
      <c r="AC27" s="1"/>
      <c r="AD27" s="1"/>
      <c r="AE27" s="1"/>
      <c r="AF27" s="1"/>
      <c r="AG27" s="1"/>
      <c r="AH27" s="1"/>
      <c r="AI27" s="1"/>
      <c r="AJ27" s="1"/>
    </row>
    <row r="28" spans="1:36" ht="11.25" customHeight="1" x14ac:dyDescent="0.25">
      <c r="A28" s="1"/>
      <c r="B28" s="1"/>
      <c r="C28" s="1"/>
      <c r="D28" s="1"/>
      <c r="E28" s="1" t="s">
        <v>407</v>
      </c>
      <c r="F28" s="1"/>
      <c r="G28" s="33" t="s">
        <v>401</v>
      </c>
      <c r="H28" s="1"/>
      <c r="I28" s="39">
        <f>MIN( 0 - $G8 + 1, 0 )</f>
        <v>-3</v>
      </c>
      <c r="J28" s="39">
        <f t="shared" ref="J28:R28" si="5">MIN( I28 + 1, 0 )</f>
        <v>-2</v>
      </c>
      <c r="K28" s="39">
        <f t="shared" si="5"/>
        <v>-1</v>
      </c>
      <c r="L28" s="39">
        <f t="shared" si="5"/>
        <v>0</v>
      </c>
      <c r="M28" s="39">
        <f t="shared" si="5"/>
        <v>0</v>
      </c>
      <c r="N28" s="39">
        <f t="shared" si="5"/>
        <v>0</v>
      </c>
      <c r="O28" s="39">
        <f t="shared" si="5"/>
        <v>0</v>
      </c>
      <c r="P28" s="39">
        <f t="shared" si="5"/>
        <v>0</v>
      </c>
      <c r="Q28" s="39">
        <f t="shared" si="5"/>
        <v>0</v>
      </c>
      <c r="R28" s="39">
        <f t="shared" si="5"/>
        <v>0</v>
      </c>
      <c r="S28" s="1"/>
      <c r="T28" s="1"/>
      <c r="U28" s="1"/>
      <c r="V28" s="1"/>
      <c r="W28" s="1"/>
      <c r="X28" s="1"/>
      <c r="Y28" s="1"/>
      <c r="Z28" s="1"/>
      <c r="AA28" s="1"/>
      <c r="AB28" s="1"/>
      <c r="AC28" s="1"/>
      <c r="AD28" s="1"/>
      <c r="AE28" s="1"/>
      <c r="AF28" s="1"/>
      <c r="AG28" s="1"/>
      <c r="AH28" s="1"/>
      <c r="AI28" s="1"/>
      <c r="AJ28" s="1"/>
    </row>
    <row r="29" spans="1:36" ht="11.25" customHeight="1" x14ac:dyDescent="0.25">
      <c r="A29" s="1"/>
      <c r="B29" s="1"/>
      <c r="C29" s="1"/>
      <c r="D29" s="1"/>
      <c r="E29" s="1" t="s">
        <v>402</v>
      </c>
      <c r="F29" s="1"/>
      <c r="G29" s="33" t="s">
        <v>401</v>
      </c>
      <c r="H29" s="1"/>
      <c r="I29" s="243">
        <f t="shared" ref="I29:R29" si="6">IF( I31 &lt;&gt; 0, YEAR( I31 ), 0 )</f>
        <v>2019</v>
      </c>
      <c r="J29" s="243">
        <f t="shared" si="6"/>
        <v>2020</v>
      </c>
      <c r="K29" s="243">
        <f t="shared" si="6"/>
        <v>2021</v>
      </c>
      <c r="L29" s="243">
        <f t="shared" si="6"/>
        <v>2022</v>
      </c>
      <c r="M29" s="243">
        <f t="shared" si="6"/>
        <v>0</v>
      </c>
      <c r="N29" s="243">
        <f t="shared" si="6"/>
        <v>0</v>
      </c>
      <c r="O29" s="243">
        <f t="shared" si="6"/>
        <v>0</v>
      </c>
      <c r="P29" s="243">
        <f t="shared" si="6"/>
        <v>0</v>
      </c>
      <c r="Q29" s="243">
        <f t="shared" si="6"/>
        <v>0</v>
      </c>
      <c r="R29" s="243">
        <f t="shared" si="6"/>
        <v>0</v>
      </c>
      <c r="S29" s="243"/>
      <c r="T29" s="243"/>
      <c r="U29" s="243"/>
      <c r="V29" s="243"/>
      <c r="W29" s="243"/>
      <c r="X29" s="243"/>
      <c r="Y29" s="243"/>
      <c r="Z29" s="243"/>
      <c r="AA29" s="243"/>
      <c r="AB29" s="243"/>
      <c r="AC29" s="243"/>
      <c r="AD29" s="243"/>
      <c r="AE29" s="243"/>
      <c r="AF29" s="243"/>
      <c r="AG29" s="243"/>
      <c r="AH29" s="243"/>
      <c r="AI29" s="243"/>
      <c r="AJ29" s="243"/>
    </row>
    <row r="30" spans="1:36" ht="11.25" customHeight="1" x14ac:dyDescent="0.25">
      <c r="A30" s="1"/>
      <c r="B30" s="1"/>
      <c r="C30" s="1"/>
      <c r="D30" s="1"/>
      <c r="E30" s="1" t="s">
        <v>408</v>
      </c>
      <c r="F30" s="1"/>
      <c r="G30" s="33" t="s">
        <v>401</v>
      </c>
      <c r="H30" s="1"/>
      <c r="I30" s="244">
        <f t="shared" ref="I30:R30" si="7">IFERROR( I16 * EOMONTH( I31, - 12 ) + 1, 0 )</f>
        <v>43282</v>
      </c>
      <c r="J30" s="244">
        <f t="shared" si="7"/>
        <v>43647</v>
      </c>
      <c r="K30" s="244">
        <f t="shared" si="7"/>
        <v>44013</v>
      </c>
      <c r="L30" s="244">
        <f t="shared" si="7"/>
        <v>44378</v>
      </c>
      <c r="M30" s="244">
        <f t="shared" si="7"/>
        <v>0</v>
      </c>
      <c r="N30" s="244">
        <f t="shared" si="7"/>
        <v>0</v>
      </c>
      <c r="O30" s="244">
        <f t="shared" si="7"/>
        <v>0</v>
      </c>
      <c r="P30" s="244">
        <f t="shared" si="7"/>
        <v>0</v>
      </c>
      <c r="Q30" s="244">
        <f t="shared" si="7"/>
        <v>0</v>
      </c>
      <c r="R30" s="244">
        <f t="shared" si="7"/>
        <v>0</v>
      </c>
      <c r="S30" s="1"/>
      <c r="T30" s="1"/>
      <c r="U30" s="1"/>
      <c r="V30" s="1"/>
      <c r="W30" s="1"/>
      <c r="X30" s="1"/>
      <c r="Y30" s="1"/>
      <c r="Z30" s="1"/>
      <c r="AA30" s="1"/>
      <c r="AB30" s="1"/>
      <c r="AC30" s="1"/>
      <c r="AD30" s="1"/>
      <c r="AE30" s="1"/>
      <c r="AF30" s="1"/>
      <c r="AG30" s="1"/>
      <c r="AH30" s="1"/>
      <c r="AI30" s="1"/>
      <c r="AJ30" s="1"/>
    </row>
    <row r="31" spans="1:36" ht="11.25" customHeight="1" x14ac:dyDescent="0.25">
      <c r="A31" s="1"/>
      <c r="B31" s="1"/>
      <c r="C31" s="1"/>
      <c r="D31" s="1"/>
      <c r="E31" s="1" t="s">
        <v>409</v>
      </c>
      <c r="F31" s="1"/>
      <c r="G31" s="33" t="s">
        <v>401</v>
      </c>
      <c r="H31" s="1"/>
      <c r="I31" s="244">
        <f t="shared" ref="I31:R31" si="8">I16 * IF( I17 = $G$8, $G7, EOMONTH( $G7, I18 * 12 ) )</f>
        <v>43646</v>
      </c>
      <c r="J31" s="244">
        <f t="shared" si="8"/>
        <v>44012</v>
      </c>
      <c r="K31" s="244">
        <f t="shared" si="8"/>
        <v>44377</v>
      </c>
      <c r="L31" s="244">
        <f t="shared" si="8"/>
        <v>44742</v>
      </c>
      <c r="M31" s="244">
        <f t="shared" si="8"/>
        <v>0</v>
      </c>
      <c r="N31" s="244">
        <f t="shared" si="8"/>
        <v>0</v>
      </c>
      <c r="O31" s="244">
        <f t="shared" si="8"/>
        <v>0</v>
      </c>
      <c r="P31" s="244">
        <f t="shared" si="8"/>
        <v>0</v>
      </c>
      <c r="Q31" s="244">
        <f t="shared" si="8"/>
        <v>0</v>
      </c>
      <c r="R31" s="244">
        <f t="shared" si="8"/>
        <v>0</v>
      </c>
      <c r="S31" s="1"/>
      <c r="T31" s="1"/>
      <c r="U31" s="1"/>
      <c r="V31" s="1"/>
      <c r="W31" s="1"/>
      <c r="X31" s="1"/>
      <c r="Y31" s="1"/>
      <c r="Z31" s="1"/>
      <c r="AA31" s="1"/>
      <c r="AB31" s="1"/>
      <c r="AC31" s="1"/>
      <c r="AD31" s="1"/>
      <c r="AE31" s="1"/>
      <c r="AF31" s="1"/>
      <c r="AG31" s="1"/>
      <c r="AH31" s="1"/>
      <c r="AI31" s="1"/>
      <c r="AJ31" s="1"/>
    </row>
    <row r="32" spans="1:36" ht="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11.25" customHeight="1" x14ac:dyDescent="0.25">
      <c r="A33" s="241"/>
      <c r="B33" s="6" t="s">
        <v>410</v>
      </c>
      <c r="C33" s="241" t="s">
        <v>411</v>
      </c>
      <c r="D33" s="241"/>
      <c r="E33" s="241"/>
      <c r="F33" s="241"/>
      <c r="G33" s="241"/>
      <c r="H33" s="241"/>
      <c r="I33" s="241"/>
      <c r="J33" s="241"/>
      <c r="K33" s="241"/>
      <c r="L33" s="241"/>
      <c r="M33" s="241"/>
      <c r="N33" s="241"/>
      <c r="O33" s="241"/>
      <c r="P33" s="241"/>
      <c r="Q33" s="241"/>
      <c r="R33" s="241"/>
      <c r="S33" s="241"/>
      <c r="T33" s="241"/>
      <c r="U33" s="241"/>
      <c r="V33" s="241"/>
      <c r="W33" s="241"/>
      <c r="X33" s="241"/>
      <c r="Y33" s="241"/>
      <c r="Z33" s="241"/>
      <c r="AA33" s="241"/>
      <c r="AB33" s="241"/>
      <c r="AC33" s="241"/>
      <c r="AD33" s="241"/>
      <c r="AE33" s="241"/>
      <c r="AF33" s="241"/>
      <c r="AG33" s="241"/>
      <c r="AH33" s="241"/>
      <c r="AI33" s="241"/>
      <c r="AJ33" s="241"/>
    </row>
    <row r="34" spans="1:36" ht="8.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2.75" customHeight="1" x14ac:dyDescent="0.25">
      <c r="A35" s="1"/>
      <c r="B35" s="1"/>
      <c r="C35" s="1"/>
      <c r="D35" s="2" t="s">
        <v>412</v>
      </c>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8.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12.75" customHeight="1" x14ac:dyDescent="0.25">
      <c r="A37" s="1"/>
      <c r="B37" s="1"/>
      <c r="C37" s="1"/>
      <c r="D37" s="17" t="s">
        <v>413</v>
      </c>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ht="12.75" customHeight="1" x14ac:dyDescent="0.25">
      <c r="A38" s="1"/>
      <c r="B38" s="1"/>
      <c r="C38" s="1"/>
      <c r="D38" s="1"/>
      <c r="E38" s="1" t="s">
        <v>414</v>
      </c>
      <c r="F38" s="1"/>
      <c r="G38" s="33" t="s">
        <v>72</v>
      </c>
      <c r="H38" s="1"/>
      <c r="I38" s="80">
        <f t="shared" ref="I38:L38" si="9">O165</f>
        <v>202.2</v>
      </c>
      <c r="J38" s="80">
        <f t="shared" si="9"/>
        <v>183.6</v>
      </c>
      <c r="K38" s="80">
        <f t="shared" si="9"/>
        <v>48.8</v>
      </c>
      <c r="L38" s="80">
        <f t="shared" si="9"/>
        <v>221</v>
      </c>
      <c r="M38" s="1"/>
      <c r="N38" s="1"/>
      <c r="O38" s="1"/>
      <c r="P38" s="1"/>
      <c r="Q38" s="1"/>
      <c r="R38" s="1"/>
      <c r="S38" s="1"/>
      <c r="T38" s="1"/>
      <c r="U38" s="1"/>
      <c r="V38" s="1"/>
      <c r="W38" s="1"/>
      <c r="X38" s="1"/>
      <c r="Y38" s="1"/>
      <c r="Z38" s="1"/>
      <c r="AA38" s="1"/>
      <c r="AB38" s="1"/>
      <c r="AC38" s="1"/>
      <c r="AD38" s="1"/>
      <c r="AE38" s="1"/>
      <c r="AF38" s="1"/>
      <c r="AG38" s="1"/>
      <c r="AH38" s="1"/>
      <c r="AI38" s="1"/>
      <c r="AJ38" s="1"/>
    </row>
    <row r="39" spans="1:36" ht="12.75" customHeight="1" x14ac:dyDescent="0.25">
      <c r="A39" s="1"/>
      <c r="B39" s="1"/>
      <c r="C39" s="1"/>
      <c r="D39" s="1"/>
      <c r="E39" s="1" t="s">
        <v>415</v>
      </c>
      <c r="F39" s="1"/>
      <c r="G39" s="33" t="s">
        <v>72</v>
      </c>
      <c r="H39" s="1"/>
      <c r="I39" s="80">
        <f t="shared" ref="I39:L39" si="10">O166</f>
        <v>53.2</v>
      </c>
      <c r="J39" s="80">
        <f t="shared" si="10"/>
        <v>50.6</v>
      </c>
      <c r="K39" s="80">
        <f t="shared" si="10"/>
        <v>211</v>
      </c>
      <c r="L39" s="80">
        <f t="shared" si="10"/>
        <v>50</v>
      </c>
      <c r="M39" s="1"/>
      <c r="N39" s="1"/>
      <c r="O39" s="1"/>
      <c r="P39" s="1"/>
      <c r="Q39" s="1"/>
      <c r="R39" s="1"/>
      <c r="S39" s="1"/>
      <c r="T39" s="1"/>
      <c r="U39" s="1"/>
      <c r="V39" s="1"/>
      <c r="W39" s="1"/>
      <c r="X39" s="1"/>
      <c r="Y39" s="1"/>
      <c r="Z39" s="1"/>
      <c r="AA39" s="1"/>
      <c r="AB39" s="1"/>
      <c r="AC39" s="1"/>
      <c r="AD39" s="1"/>
      <c r="AE39" s="1"/>
      <c r="AF39" s="1"/>
      <c r="AG39" s="1"/>
      <c r="AH39" s="1"/>
      <c r="AI39" s="1"/>
      <c r="AJ39" s="1"/>
    </row>
    <row r="40" spans="1:36" ht="12.75" customHeight="1" x14ac:dyDescent="0.25">
      <c r="A40" s="1"/>
      <c r="B40" s="1"/>
      <c r="C40" s="1"/>
      <c r="D40" s="1"/>
      <c r="E40" s="13" t="s">
        <v>416</v>
      </c>
      <c r="F40" s="13"/>
      <c r="G40" s="43" t="s">
        <v>72</v>
      </c>
      <c r="H40" s="13"/>
      <c r="I40" s="81">
        <f t="shared" ref="I40:L40" si="11">I38 + I39</f>
        <v>255.39999999999998</v>
      </c>
      <c r="J40" s="81">
        <f t="shared" si="11"/>
        <v>234.2</v>
      </c>
      <c r="K40" s="81">
        <f t="shared" si="11"/>
        <v>259.8</v>
      </c>
      <c r="L40" s="81">
        <f t="shared" si="11"/>
        <v>271</v>
      </c>
      <c r="M40" s="1"/>
      <c r="N40" s="1"/>
      <c r="O40" s="1"/>
      <c r="P40" s="1"/>
      <c r="Q40" s="1"/>
      <c r="R40" s="1"/>
      <c r="S40" s="1"/>
      <c r="T40" s="1"/>
      <c r="U40" s="1"/>
      <c r="V40" s="1"/>
      <c r="W40" s="1"/>
      <c r="X40" s="1"/>
      <c r="Y40" s="1"/>
      <c r="Z40" s="1"/>
      <c r="AA40" s="1"/>
      <c r="AB40" s="1"/>
      <c r="AC40" s="1"/>
      <c r="AD40" s="1"/>
      <c r="AE40" s="1"/>
      <c r="AF40" s="1"/>
      <c r="AG40" s="1"/>
      <c r="AH40" s="1"/>
      <c r="AI40" s="1"/>
      <c r="AJ40" s="1"/>
    </row>
    <row r="41" spans="1:36" ht="9.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ht="9.75" customHeight="1" x14ac:dyDescent="0.25">
      <c r="A42" s="1"/>
      <c r="B42" s="1"/>
      <c r="C42" s="1"/>
      <c r="D42" s="17" t="s">
        <v>417</v>
      </c>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ht="12.75" customHeight="1" x14ac:dyDescent="0.25">
      <c r="A43" s="1"/>
      <c r="B43" s="1"/>
      <c r="C43" s="1"/>
      <c r="D43" s="1"/>
      <c r="E43" s="1" t="s">
        <v>418</v>
      </c>
      <c r="F43" s="1"/>
      <c r="G43" s="33" t="s">
        <v>419</v>
      </c>
      <c r="H43" s="1"/>
      <c r="I43" s="245">
        <f t="shared" ref="I43:L43" si="12">O170</f>
        <v>2683</v>
      </c>
      <c r="J43" s="245">
        <f t="shared" si="12"/>
        <v>2735</v>
      </c>
      <c r="K43" s="245">
        <f t="shared" si="12"/>
        <v>2817</v>
      </c>
      <c r="L43" s="245">
        <f t="shared" si="12"/>
        <v>2990</v>
      </c>
      <c r="M43" s="1"/>
      <c r="N43" s="1"/>
      <c r="O43" s="1"/>
      <c r="P43" s="1"/>
      <c r="Q43" s="1"/>
      <c r="R43" s="1"/>
      <c r="S43" s="1"/>
      <c r="T43" s="1"/>
      <c r="U43" s="1"/>
      <c r="V43" s="1"/>
      <c r="W43" s="1"/>
      <c r="X43" s="1"/>
      <c r="Y43" s="1"/>
      <c r="Z43" s="1"/>
      <c r="AA43" s="1"/>
      <c r="AB43" s="1"/>
      <c r="AC43" s="1"/>
      <c r="AD43" s="1"/>
      <c r="AE43" s="1"/>
      <c r="AF43" s="1"/>
      <c r="AG43" s="1"/>
      <c r="AH43" s="1"/>
      <c r="AI43" s="1"/>
      <c r="AJ43" s="1"/>
    </row>
    <row r="44" spans="1:36" ht="12.75" customHeight="1" x14ac:dyDescent="0.25">
      <c r="A44" s="1"/>
      <c r="B44" s="1"/>
      <c r="C44" s="1"/>
      <c r="D44" s="1"/>
      <c r="E44" s="1" t="s">
        <v>420</v>
      </c>
      <c r="F44" s="1"/>
      <c r="G44" s="33" t="s">
        <v>419</v>
      </c>
      <c r="H44" s="1"/>
      <c r="I44" s="245">
        <f t="shared" ref="I44:L44" si="13">O171</f>
        <v>1755</v>
      </c>
      <c r="J44" s="245">
        <f t="shared" si="13"/>
        <v>1786</v>
      </c>
      <c r="K44" s="245">
        <f t="shared" si="13"/>
        <v>1776</v>
      </c>
      <c r="L44" s="245">
        <f t="shared" si="13"/>
        <v>1913</v>
      </c>
      <c r="M44" s="1"/>
      <c r="N44" s="1"/>
      <c r="O44" s="1"/>
      <c r="P44" s="1"/>
      <c r="Q44" s="1"/>
      <c r="R44" s="1"/>
      <c r="S44" s="1"/>
      <c r="T44" s="1"/>
      <c r="U44" s="1"/>
      <c r="V44" s="1"/>
      <c r="W44" s="1"/>
      <c r="X44" s="1"/>
      <c r="Y44" s="1"/>
      <c r="Z44" s="1"/>
      <c r="AA44" s="1"/>
      <c r="AB44" s="1"/>
      <c r="AC44" s="1"/>
      <c r="AD44" s="1"/>
      <c r="AE44" s="1"/>
      <c r="AF44" s="1"/>
      <c r="AG44" s="1"/>
      <c r="AH44" s="1"/>
      <c r="AI44" s="1"/>
      <c r="AJ44" s="1"/>
    </row>
    <row r="45" spans="1:36" ht="3.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ht="10.5" customHeight="1" x14ac:dyDescent="0.25">
      <c r="A46" s="1"/>
      <c r="B46" s="1"/>
      <c r="C46" s="1"/>
      <c r="D46" s="17" t="s">
        <v>421</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ht="12.75" customHeight="1" x14ac:dyDescent="0.25">
      <c r="A47" s="1"/>
      <c r="B47" s="1"/>
      <c r="C47" s="1"/>
      <c r="D47" s="1"/>
      <c r="E47" s="1" t="s">
        <v>422</v>
      </c>
      <c r="F47" s="1"/>
      <c r="G47" s="33" t="s">
        <v>28</v>
      </c>
      <c r="H47" s="1"/>
      <c r="I47" s="39">
        <f>( I38 * kt * I43 ) / Millions</f>
        <v>542.50260000000003</v>
      </c>
      <c r="J47" s="39">
        <f>( J38 * kt * J43 ) / Millions</f>
        <v>502.14600000000002</v>
      </c>
      <c r="K47" s="39">
        <f>( K38 * kt * K43 ) / Millions</f>
        <v>137.46960000000001</v>
      </c>
      <c r="L47" s="39">
        <f>( L38 * kt * L43 ) / Millions</f>
        <v>660.79</v>
      </c>
      <c r="M47" s="1"/>
      <c r="N47" s="1"/>
      <c r="O47" s="1"/>
      <c r="P47" s="1"/>
      <c r="Q47" s="1"/>
      <c r="R47" s="1"/>
      <c r="S47" s="1"/>
      <c r="T47" s="1"/>
      <c r="U47" s="1"/>
      <c r="V47" s="1"/>
      <c r="W47" s="1"/>
      <c r="X47" s="1"/>
      <c r="Y47" s="1"/>
      <c r="Z47" s="1"/>
      <c r="AA47" s="1"/>
      <c r="AB47" s="1"/>
      <c r="AC47" s="1"/>
      <c r="AD47" s="1"/>
      <c r="AE47" s="1"/>
      <c r="AF47" s="1"/>
      <c r="AG47" s="1"/>
      <c r="AH47" s="1"/>
      <c r="AI47" s="1"/>
      <c r="AJ47" s="1"/>
    </row>
    <row r="48" spans="1:36" ht="12.75" customHeight="1" x14ac:dyDescent="0.25">
      <c r="A48" s="1"/>
      <c r="B48" s="1"/>
      <c r="C48" s="1"/>
      <c r="D48" s="1"/>
      <c r="E48" s="1" t="s">
        <v>423</v>
      </c>
      <c r="F48" s="1"/>
      <c r="G48" s="33" t="s">
        <v>28</v>
      </c>
      <c r="H48" s="1"/>
      <c r="I48" s="39">
        <f>( I39 * kt * I43 ) / Millions</f>
        <v>142.73560000000001</v>
      </c>
      <c r="J48" s="39">
        <f>( J39 * kt * J43 ) / Millions</f>
        <v>138.39099999999999</v>
      </c>
      <c r="K48" s="39">
        <f>( K39 * kt * K43 ) / Millions</f>
        <v>594.38699999999994</v>
      </c>
      <c r="L48" s="39">
        <f>( L39 * kt * L43 ) / Millions</f>
        <v>149.5</v>
      </c>
      <c r="M48" s="1"/>
      <c r="N48" s="1"/>
      <c r="O48" s="1"/>
      <c r="P48" s="1"/>
      <c r="Q48" s="1"/>
      <c r="R48" s="1"/>
      <c r="S48" s="1"/>
      <c r="T48" s="1"/>
      <c r="U48" s="1"/>
      <c r="V48" s="1"/>
      <c r="W48" s="1"/>
      <c r="X48" s="1"/>
      <c r="Y48" s="1"/>
      <c r="Z48" s="1"/>
      <c r="AA48" s="1"/>
      <c r="AB48" s="1"/>
      <c r="AC48" s="1"/>
      <c r="AD48" s="1"/>
      <c r="AE48" s="1"/>
      <c r="AF48" s="1"/>
      <c r="AG48" s="1"/>
      <c r="AH48" s="1"/>
      <c r="AI48" s="1"/>
      <c r="AJ48" s="1"/>
    </row>
    <row r="49" spans="1:36" ht="12.75" customHeight="1" x14ac:dyDescent="0.25">
      <c r="A49" s="1"/>
      <c r="B49" s="1"/>
      <c r="C49" s="1"/>
      <c r="D49" s="1"/>
      <c r="E49" s="13" t="s">
        <v>424</v>
      </c>
      <c r="F49" s="13"/>
      <c r="G49" s="43" t="s">
        <v>28</v>
      </c>
      <c r="H49" s="13"/>
      <c r="I49" s="38">
        <f t="shared" ref="I49:L49" si="14">I47 + I48</f>
        <v>685.23820000000001</v>
      </c>
      <c r="J49" s="38">
        <f t="shared" si="14"/>
        <v>640.53700000000003</v>
      </c>
      <c r="K49" s="38">
        <f t="shared" si="14"/>
        <v>731.85659999999996</v>
      </c>
      <c r="L49" s="38">
        <f t="shared" si="14"/>
        <v>810.29</v>
      </c>
      <c r="M49" s="1"/>
      <c r="N49" s="1"/>
      <c r="O49" s="1"/>
      <c r="P49" s="1"/>
      <c r="Q49" s="1"/>
      <c r="R49" s="1"/>
      <c r="S49" s="1"/>
      <c r="T49" s="1"/>
      <c r="U49" s="1"/>
      <c r="V49" s="1"/>
      <c r="W49" s="1"/>
      <c r="X49" s="1"/>
      <c r="Y49" s="1"/>
      <c r="Z49" s="1"/>
      <c r="AA49" s="1"/>
      <c r="AB49" s="1"/>
      <c r="AC49" s="1"/>
      <c r="AD49" s="1"/>
      <c r="AE49" s="1"/>
      <c r="AF49" s="1"/>
      <c r="AG49" s="1"/>
      <c r="AH49" s="1"/>
      <c r="AI49" s="1"/>
      <c r="AJ49" s="1"/>
    </row>
    <row r="50" spans="1:36" ht="6.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ht="11.25" customHeight="1" x14ac:dyDescent="0.25">
      <c r="A51" s="1"/>
      <c r="B51" s="1"/>
      <c r="C51" s="1"/>
      <c r="D51" s="17" t="s">
        <v>425</v>
      </c>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ht="12.75" customHeight="1" x14ac:dyDescent="0.25">
      <c r="A52" s="1"/>
      <c r="B52" s="1"/>
      <c r="C52" s="1"/>
      <c r="D52" s="1"/>
      <c r="E52" s="1" t="s">
        <v>426</v>
      </c>
      <c r="F52" s="1"/>
      <c r="G52" s="33" t="s">
        <v>28</v>
      </c>
      <c r="H52" s="1"/>
      <c r="I52" s="39">
        <f>0 - ( ( I40 * kt * I44 ) / Millions )</f>
        <v>-448.22699999999992</v>
      </c>
      <c r="J52" s="39">
        <f>0 - ( ( J40 * kt * J44 ) / Millions )</f>
        <v>-418.28120000000001</v>
      </c>
      <c r="K52" s="39">
        <f>0 - ( ( K40 * kt * K44 ) / Millions )</f>
        <v>-461.40480000000002</v>
      </c>
      <c r="L52" s="39">
        <f>0 - ( ( L40 * kt * L44 ) / Millions )</f>
        <v>-518.423</v>
      </c>
      <c r="M52" s="1"/>
      <c r="N52" s="1"/>
      <c r="O52" s="1"/>
      <c r="P52" s="1"/>
      <c r="Q52" s="1"/>
      <c r="R52" s="1"/>
      <c r="S52" s="1"/>
      <c r="T52" s="1"/>
      <c r="U52" s="1"/>
      <c r="V52" s="1"/>
      <c r="W52" s="1"/>
      <c r="X52" s="1"/>
      <c r="Y52" s="1"/>
      <c r="Z52" s="1"/>
      <c r="AA52" s="1"/>
      <c r="AB52" s="1"/>
      <c r="AC52" s="1"/>
      <c r="AD52" s="1"/>
      <c r="AE52" s="1"/>
      <c r="AF52" s="1"/>
      <c r="AG52" s="1"/>
      <c r="AH52" s="1"/>
      <c r="AI52" s="1"/>
      <c r="AJ52" s="1"/>
    </row>
    <row r="53" spans="1:36" ht="12.75" customHeight="1" x14ac:dyDescent="0.25">
      <c r="A53" s="1"/>
      <c r="B53" s="1"/>
      <c r="C53" s="1"/>
      <c r="D53" s="1"/>
      <c r="E53" s="13" t="s">
        <v>183</v>
      </c>
      <c r="F53" s="13"/>
      <c r="G53" s="43" t="s">
        <v>28</v>
      </c>
      <c r="H53" s="13"/>
      <c r="I53" s="38">
        <f t="shared" ref="I53:L53" si="15">I49 + I52</f>
        <v>237.01120000000009</v>
      </c>
      <c r="J53" s="38">
        <f t="shared" si="15"/>
        <v>222.25580000000002</v>
      </c>
      <c r="K53" s="38">
        <f t="shared" si="15"/>
        <v>270.45179999999993</v>
      </c>
      <c r="L53" s="38">
        <f t="shared" si="15"/>
        <v>291.86699999999996</v>
      </c>
      <c r="M53" s="1"/>
      <c r="N53" s="1"/>
      <c r="O53" s="1"/>
      <c r="P53" s="1"/>
      <c r="Q53" s="1"/>
      <c r="R53" s="1"/>
      <c r="S53" s="1"/>
      <c r="T53" s="1"/>
      <c r="U53" s="1"/>
      <c r="V53" s="1"/>
      <c r="W53" s="1"/>
      <c r="X53" s="1"/>
      <c r="Y53" s="1"/>
      <c r="Z53" s="1"/>
      <c r="AA53" s="1"/>
      <c r="AB53" s="1"/>
      <c r="AC53" s="1"/>
      <c r="AD53" s="1"/>
      <c r="AE53" s="1"/>
      <c r="AF53" s="1"/>
      <c r="AG53" s="1"/>
      <c r="AH53" s="1"/>
      <c r="AI53" s="1"/>
      <c r="AJ53" s="1"/>
    </row>
    <row r="54" spans="1:36" ht="12.75" customHeight="1" x14ac:dyDescent="0.25">
      <c r="A54" s="1"/>
      <c r="B54" s="1"/>
      <c r="C54" s="1"/>
      <c r="D54" s="1"/>
      <c r="E54" s="1" t="s">
        <v>427</v>
      </c>
      <c r="F54" s="1"/>
      <c r="G54" s="33" t="s">
        <v>8</v>
      </c>
      <c r="H54" s="1"/>
      <c r="I54" s="41">
        <f t="shared" ref="I54:L54" si="16">I53 / I49</f>
        <v>0.34588147595974666</v>
      </c>
      <c r="J54" s="41">
        <f t="shared" si="16"/>
        <v>0.34698354661791592</v>
      </c>
      <c r="K54" s="41">
        <f t="shared" si="16"/>
        <v>0.36954206602768896</v>
      </c>
      <c r="L54" s="41">
        <f t="shared" si="16"/>
        <v>0.36020066889632102</v>
      </c>
      <c r="M54" s="1"/>
      <c r="N54" s="1"/>
      <c r="O54" s="1"/>
      <c r="P54" s="1"/>
      <c r="Q54" s="1"/>
      <c r="R54" s="1"/>
      <c r="S54" s="1"/>
      <c r="T54" s="1"/>
      <c r="U54" s="1"/>
      <c r="V54" s="1"/>
      <c r="W54" s="1"/>
      <c r="X54" s="1"/>
      <c r="Y54" s="1"/>
      <c r="Z54" s="1"/>
      <c r="AA54" s="1"/>
      <c r="AB54" s="1"/>
      <c r="AC54" s="1"/>
      <c r="AD54" s="1"/>
      <c r="AE54" s="1"/>
      <c r="AF54" s="1"/>
      <c r="AG54" s="1"/>
      <c r="AH54" s="1"/>
      <c r="AI54" s="1"/>
      <c r="AJ54" s="1"/>
    </row>
    <row r="55" spans="1:36" ht="6.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ht="12.75" customHeight="1" x14ac:dyDescent="0.25">
      <c r="A56" s="1"/>
      <c r="B56" s="1"/>
      <c r="C56" s="1"/>
      <c r="D56" s="17" t="s">
        <v>428</v>
      </c>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ht="12.75" customHeight="1" x14ac:dyDescent="0.25">
      <c r="A57" s="1"/>
      <c r="B57" s="1"/>
      <c r="C57" s="1"/>
      <c r="D57" s="1"/>
      <c r="E57" s="1" t="s">
        <v>429</v>
      </c>
      <c r="F57" s="1"/>
      <c r="G57" s="33" t="s">
        <v>28</v>
      </c>
      <c r="H57" s="1"/>
      <c r="I57" s="80">
        <f t="shared" ref="I57:L57" si="17">0 - O187</f>
        <v>-89</v>
      </c>
      <c r="J57" s="80">
        <f t="shared" si="17"/>
        <v>-85.6</v>
      </c>
      <c r="K57" s="80">
        <f t="shared" si="17"/>
        <v>-87.5</v>
      </c>
      <c r="L57" s="80">
        <f t="shared" si="17"/>
        <v>-92.7</v>
      </c>
      <c r="M57" s="1"/>
      <c r="N57" s="1"/>
      <c r="O57" s="1"/>
      <c r="P57" s="1"/>
      <c r="Q57" s="1"/>
      <c r="R57" s="1"/>
      <c r="S57" s="1"/>
      <c r="T57" s="1"/>
      <c r="U57" s="1"/>
      <c r="V57" s="1"/>
      <c r="W57" s="1"/>
      <c r="X57" s="1"/>
      <c r="Y57" s="1"/>
      <c r="Z57" s="1"/>
      <c r="AA57" s="1"/>
      <c r="AB57" s="1"/>
      <c r="AC57" s="1"/>
      <c r="AD57" s="1"/>
      <c r="AE57" s="1"/>
      <c r="AF57" s="1"/>
      <c r="AG57" s="1"/>
      <c r="AH57" s="1"/>
      <c r="AI57" s="1"/>
      <c r="AJ57" s="1"/>
    </row>
    <row r="58" spans="1:36" ht="12.75" customHeight="1" x14ac:dyDescent="0.25">
      <c r="A58" s="1"/>
      <c r="B58" s="1"/>
      <c r="C58" s="1"/>
      <c r="D58" s="1"/>
      <c r="E58" s="1" t="s">
        <v>430</v>
      </c>
      <c r="F58" s="1"/>
      <c r="G58" s="33" t="s">
        <v>28</v>
      </c>
      <c r="H58" s="1"/>
      <c r="I58" s="80">
        <f t="shared" ref="I58:L58" si="18">0 - O188</f>
        <v>-19.2</v>
      </c>
      <c r="J58" s="80">
        <f t="shared" si="18"/>
        <v>-16.899999999999999</v>
      </c>
      <c r="K58" s="80">
        <f t="shared" si="18"/>
        <v>-17.600000000000001</v>
      </c>
      <c r="L58" s="80">
        <f t="shared" si="18"/>
        <v>-18.100000000000001</v>
      </c>
      <c r="M58" s="1"/>
      <c r="N58" s="1"/>
      <c r="O58" s="1"/>
      <c r="P58" s="1"/>
      <c r="Q58" s="1"/>
      <c r="R58" s="1"/>
      <c r="S58" s="1"/>
      <c r="T58" s="1"/>
      <c r="U58" s="1"/>
      <c r="V58" s="1"/>
      <c r="W58" s="1"/>
      <c r="X58" s="1"/>
      <c r="Y58" s="1"/>
      <c r="Z58" s="1"/>
      <c r="AA58" s="1"/>
      <c r="AB58" s="1"/>
      <c r="AC58" s="1"/>
      <c r="AD58" s="1"/>
      <c r="AE58" s="1"/>
      <c r="AF58" s="1"/>
      <c r="AG58" s="1"/>
      <c r="AH58" s="1"/>
      <c r="AI58" s="1"/>
      <c r="AJ58" s="1"/>
    </row>
    <row r="59" spans="1:36" ht="12.75" customHeight="1" x14ac:dyDescent="0.25">
      <c r="A59" s="1"/>
      <c r="B59" s="1"/>
      <c r="C59" s="1"/>
      <c r="D59" s="1"/>
      <c r="E59" s="1" t="s">
        <v>431</v>
      </c>
      <c r="F59" s="1"/>
      <c r="G59" s="33" t="s">
        <v>28</v>
      </c>
      <c r="H59" s="1"/>
      <c r="I59" s="80">
        <f t="shared" ref="I59:L59" si="19">0 - O189</f>
        <v>-3.9</v>
      </c>
      <c r="J59" s="80">
        <f t="shared" si="19"/>
        <v>-4.7</v>
      </c>
      <c r="K59" s="80">
        <f t="shared" si="19"/>
        <v>-6.7</v>
      </c>
      <c r="L59" s="80">
        <f t="shared" si="19"/>
        <v>-5.0999999999999996</v>
      </c>
      <c r="M59" s="1"/>
      <c r="N59" s="1"/>
      <c r="O59" s="1"/>
      <c r="P59" s="1"/>
      <c r="Q59" s="1"/>
      <c r="R59" s="1"/>
      <c r="S59" s="1"/>
      <c r="T59" s="1"/>
      <c r="U59" s="1"/>
      <c r="V59" s="1"/>
      <c r="W59" s="1"/>
      <c r="X59" s="1"/>
      <c r="Y59" s="1"/>
      <c r="Z59" s="1"/>
      <c r="AA59" s="1"/>
      <c r="AB59" s="1"/>
      <c r="AC59" s="1"/>
      <c r="AD59" s="1"/>
      <c r="AE59" s="1"/>
      <c r="AF59" s="1"/>
      <c r="AG59" s="1"/>
      <c r="AH59" s="1"/>
      <c r="AI59" s="1"/>
      <c r="AJ59" s="1"/>
    </row>
    <row r="60" spans="1:36" ht="12.75" customHeight="1" x14ac:dyDescent="0.25">
      <c r="A60" s="1"/>
      <c r="B60" s="1"/>
      <c r="C60" s="1"/>
      <c r="D60" s="1"/>
      <c r="E60" s="1" t="s">
        <v>432</v>
      </c>
      <c r="F60" s="1"/>
      <c r="G60" s="33" t="s">
        <v>28</v>
      </c>
      <c r="H60" s="1"/>
      <c r="I60" s="80">
        <f t="shared" ref="I60:L60" si="20">0 - O190</f>
        <v>-34.1</v>
      </c>
      <c r="J60" s="80">
        <f t="shared" si="20"/>
        <v>-29.9</v>
      </c>
      <c r="K60" s="80">
        <f t="shared" si="20"/>
        <v>-29</v>
      </c>
      <c r="L60" s="80">
        <f t="shared" si="20"/>
        <v>-28.2</v>
      </c>
      <c r="M60" s="1"/>
      <c r="N60" s="1"/>
      <c r="O60" s="1"/>
      <c r="P60" s="1"/>
      <c r="Q60" s="1"/>
      <c r="R60" s="1"/>
      <c r="S60" s="1"/>
      <c r="T60" s="1"/>
      <c r="U60" s="1"/>
      <c r="V60" s="1"/>
      <c r="W60" s="1"/>
      <c r="X60" s="1"/>
      <c r="Y60" s="1"/>
      <c r="Z60" s="1"/>
      <c r="AA60" s="1"/>
      <c r="AB60" s="1"/>
      <c r="AC60" s="1"/>
      <c r="AD60" s="1"/>
      <c r="AE60" s="1"/>
      <c r="AF60" s="1"/>
      <c r="AG60" s="1"/>
      <c r="AH60" s="1"/>
      <c r="AI60" s="1"/>
      <c r="AJ60" s="1"/>
    </row>
    <row r="61" spans="1:36" ht="12.75" customHeight="1" x14ac:dyDescent="0.25">
      <c r="A61" s="1"/>
      <c r="B61" s="1"/>
      <c r="C61" s="1"/>
      <c r="D61" s="1"/>
      <c r="E61" s="13" t="s">
        <v>433</v>
      </c>
      <c r="F61" s="13"/>
      <c r="G61" s="43" t="s">
        <v>28</v>
      </c>
      <c r="H61" s="13"/>
      <c r="I61" s="81">
        <f t="shared" ref="I61:L61" si="21">SUM( I57:I60 )</f>
        <v>-146.20000000000002</v>
      </c>
      <c r="J61" s="81">
        <f t="shared" si="21"/>
        <v>-137.1</v>
      </c>
      <c r="K61" s="81">
        <f t="shared" si="21"/>
        <v>-140.80000000000001</v>
      </c>
      <c r="L61" s="81">
        <f t="shared" si="21"/>
        <v>-144.1</v>
      </c>
      <c r="M61" s="1"/>
      <c r="N61" s="1"/>
      <c r="O61" s="1"/>
      <c r="P61" s="1"/>
      <c r="Q61" s="1"/>
      <c r="R61" s="1"/>
      <c r="S61" s="1"/>
      <c r="T61" s="1"/>
      <c r="U61" s="1"/>
      <c r="V61" s="1"/>
      <c r="W61" s="1"/>
      <c r="X61" s="1"/>
      <c r="Y61" s="1"/>
      <c r="Z61" s="1"/>
      <c r="AA61" s="1"/>
      <c r="AB61" s="1"/>
      <c r="AC61" s="1"/>
      <c r="AD61" s="1"/>
      <c r="AE61" s="1"/>
      <c r="AF61" s="1"/>
      <c r="AG61" s="1"/>
      <c r="AH61" s="1"/>
      <c r="AI61" s="1"/>
      <c r="AJ61" s="1"/>
    </row>
    <row r="62" spans="1:36" ht="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ht="12.75" customHeight="1" x14ac:dyDescent="0.25">
      <c r="A63" s="1"/>
      <c r="B63" s="1"/>
      <c r="C63" s="1"/>
      <c r="D63" s="1"/>
      <c r="E63" s="13" t="s">
        <v>434</v>
      </c>
      <c r="F63" s="13"/>
      <c r="G63" s="43" t="s">
        <v>28</v>
      </c>
      <c r="H63" s="13"/>
      <c r="I63" s="38">
        <f t="shared" ref="I63:L63" si="22">I49 + I52 + I61</f>
        <v>90.811200000000071</v>
      </c>
      <c r="J63" s="38">
        <f t="shared" si="22"/>
        <v>85.155800000000028</v>
      </c>
      <c r="K63" s="38">
        <f t="shared" si="22"/>
        <v>129.65179999999992</v>
      </c>
      <c r="L63" s="38">
        <f t="shared" si="22"/>
        <v>147.76699999999997</v>
      </c>
      <c r="M63" s="1"/>
      <c r="N63" s="1"/>
      <c r="O63" s="1"/>
      <c r="P63" s="1"/>
      <c r="Q63" s="1"/>
      <c r="R63" s="1"/>
      <c r="S63" s="1"/>
      <c r="T63" s="1"/>
      <c r="U63" s="1"/>
      <c r="V63" s="1"/>
      <c r="W63" s="1"/>
      <c r="X63" s="1"/>
      <c r="Y63" s="1"/>
      <c r="Z63" s="1"/>
      <c r="AA63" s="1"/>
      <c r="AB63" s="1"/>
      <c r="AC63" s="1"/>
      <c r="AD63" s="1"/>
      <c r="AE63" s="1"/>
      <c r="AF63" s="1"/>
      <c r="AG63" s="1"/>
      <c r="AH63" s="1"/>
      <c r="AI63" s="1"/>
      <c r="AJ63" s="1"/>
    </row>
    <row r="64" spans="1:36" ht="12.75" customHeight="1" x14ac:dyDescent="0.25">
      <c r="A64" s="1"/>
      <c r="B64" s="1"/>
      <c r="C64" s="1"/>
      <c r="D64" s="1"/>
      <c r="E64" s="1" t="s">
        <v>184</v>
      </c>
      <c r="F64" s="1"/>
      <c r="G64" s="33" t="s">
        <v>8</v>
      </c>
      <c r="H64" s="1"/>
      <c r="I64" s="28">
        <f t="shared" ref="I64:L64" si="23">I63 / I49</f>
        <v>0.1325250110107698</v>
      </c>
      <c r="J64" s="41">
        <f t="shared" si="23"/>
        <v>0.13294438884873164</v>
      </c>
      <c r="K64" s="41">
        <f t="shared" si="23"/>
        <v>0.17715465024159094</v>
      </c>
      <c r="L64" s="41">
        <f t="shared" si="23"/>
        <v>0.18236310456750049</v>
      </c>
      <c r="M64" s="1"/>
      <c r="N64" s="1"/>
      <c r="O64" s="1"/>
      <c r="P64" s="1"/>
      <c r="Q64" s="1"/>
      <c r="R64" s="1"/>
      <c r="S64" s="1"/>
      <c r="T64" s="1"/>
      <c r="U64" s="1"/>
      <c r="V64" s="1"/>
      <c r="W64" s="1"/>
      <c r="X64" s="1"/>
      <c r="Y64" s="1"/>
      <c r="Z64" s="1"/>
      <c r="AA64" s="1"/>
      <c r="AB64" s="1"/>
      <c r="AC64" s="1"/>
      <c r="AD64" s="1"/>
      <c r="AE64" s="1"/>
      <c r="AF64" s="1"/>
      <c r="AG64" s="1"/>
      <c r="AH64" s="1"/>
      <c r="AI64" s="1"/>
      <c r="AJ64" s="1"/>
    </row>
    <row r="65" spans="1:36" ht="7.5" customHeight="1" x14ac:dyDescent="0.25">
      <c r="A65" s="1"/>
      <c r="B65" s="1"/>
      <c r="C65" s="1"/>
      <c r="D65" s="1"/>
      <c r="E65" s="1"/>
      <c r="F65" s="1"/>
      <c r="G65" s="33"/>
      <c r="H65" s="1"/>
      <c r="I65" s="39"/>
      <c r="J65" s="39"/>
      <c r="K65" s="39"/>
      <c r="L65" s="39"/>
      <c r="M65" s="1"/>
      <c r="N65" s="1"/>
      <c r="O65" s="1"/>
      <c r="P65" s="1"/>
      <c r="Q65" s="1"/>
      <c r="R65" s="1"/>
      <c r="S65" s="1"/>
      <c r="T65" s="1"/>
      <c r="U65" s="1"/>
      <c r="V65" s="1"/>
      <c r="W65" s="1"/>
      <c r="X65" s="1"/>
      <c r="Y65" s="1"/>
      <c r="Z65" s="1"/>
      <c r="AA65" s="1"/>
      <c r="AB65" s="1"/>
      <c r="AC65" s="1"/>
      <c r="AD65" s="1"/>
      <c r="AE65" s="1"/>
      <c r="AF65" s="1"/>
      <c r="AG65" s="1"/>
      <c r="AH65" s="1"/>
      <c r="AI65" s="1"/>
      <c r="AJ65" s="1"/>
    </row>
    <row r="66" spans="1:36" ht="12.75" customHeight="1" x14ac:dyDescent="0.25">
      <c r="A66" s="1"/>
      <c r="B66" s="1"/>
      <c r="C66" s="1"/>
      <c r="D66" s="1"/>
      <c r="E66" s="1" t="s">
        <v>435</v>
      </c>
      <c r="F66" s="1"/>
      <c r="G66" s="33" t="s">
        <v>28</v>
      </c>
      <c r="H66" s="1"/>
      <c r="I66" s="39">
        <v>0</v>
      </c>
      <c r="J66" s="39">
        <v>2.5</v>
      </c>
      <c r="K66" s="39">
        <v>0</v>
      </c>
      <c r="L66" s="39"/>
      <c r="M66" s="1"/>
      <c r="N66" s="1"/>
      <c r="O66" s="1"/>
      <c r="P66" s="1"/>
      <c r="Q66" s="1"/>
      <c r="R66" s="1"/>
      <c r="S66" s="1"/>
      <c r="T66" s="1"/>
      <c r="U66" s="1"/>
      <c r="V66" s="1"/>
      <c r="W66" s="1"/>
      <c r="X66" s="1"/>
      <c r="Y66" s="1"/>
      <c r="Z66" s="1"/>
      <c r="AA66" s="1"/>
      <c r="AB66" s="1"/>
      <c r="AC66" s="1"/>
      <c r="AD66" s="1"/>
      <c r="AE66" s="1"/>
      <c r="AF66" s="1"/>
      <c r="AG66" s="1"/>
      <c r="AH66" s="1"/>
      <c r="AI66" s="1"/>
      <c r="AJ66" s="1"/>
    </row>
    <row r="67" spans="1:36" ht="12.75" customHeight="1" x14ac:dyDescent="0.25">
      <c r="A67" s="1"/>
      <c r="B67" s="1"/>
      <c r="C67" s="1"/>
      <c r="D67" s="1"/>
      <c r="E67" s="1" t="s">
        <v>436</v>
      </c>
      <c r="F67" s="1"/>
      <c r="G67" s="33" t="s">
        <v>28</v>
      </c>
      <c r="H67" s="1"/>
      <c r="I67" s="39"/>
      <c r="J67" s="39"/>
      <c r="K67" s="39"/>
      <c r="L67" s="39"/>
      <c r="M67" s="1"/>
      <c r="N67" s="1"/>
      <c r="O67" s="1"/>
      <c r="P67" s="1"/>
      <c r="Q67" s="1"/>
      <c r="R67" s="1"/>
      <c r="S67" s="1"/>
      <c r="T67" s="1"/>
      <c r="U67" s="1"/>
      <c r="V67" s="1"/>
      <c r="W67" s="1"/>
      <c r="X67" s="1"/>
      <c r="Y67" s="1"/>
      <c r="Z67" s="1"/>
      <c r="AA67" s="1"/>
      <c r="AB67" s="1"/>
      <c r="AC67" s="1"/>
      <c r="AD67" s="1"/>
      <c r="AE67" s="1"/>
      <c r="AF67" s="1"/>
      <c r="AG67" s="1"/>
      <c r="AH67" s="1"/>
      <c r="AI67" s="1"/>
      <c r="AJ67" s="1"/>
    </row>
    <row r="68" spans="1:36" ht="12" customHeight="1" x14ac:dyDescent="0.25">
      <c r="A68" s="1"/>
      <c r="B68" s="1"/>
      <c r="C68" s="1"/>
      <c r="D68" s="1"/>
      <c r="E68" s="1" t="s">
        <v>437</v>
      </c>
      <c r="F68" s="1"/>
      <c r="G68" s="33" t="s">
        <v>28</v>
      </c>
      <c r="H68" s="1"/>
      <c r="I68" s="80">
        <f t="shared" ref="I68:L68" si="24">O218 - I63</f>
        <v>-1.1200000000073373E-2</v>
      </c>
      <c r="J68" s="80">
        <f t="shared" si="24"/>
        <v>2.5441999999999751</v>
      </c>
      <c r="K68" s="80">
        <f t="shared" si="24"/>
        <v>4.8200000000065302E-2</v>
      </c>
      <c r="L68" s="80">
        <f t="shared" si="24"/>
        <v>-0.3669999999999618</v>
      </c>
      <c r="M68" s="1"/>
      <c r="N68" s="1"/>
      <c r="O68" s="1"/>
      <c r="P68" s="1"/>
      <c r="Q68" s="1"/>
      <c r="R68" s="1"/>
      <c r="S68" s="1"/>
      <c r="T68" s="1"/>
      <c r="U68" s="1"/>
      <c r="V68" s="1"/>
      <c r="W68" s="1"/>
      <c r="X68" s="1"/>
      <c r="Y68" s="1"/>
      <c r="Z68" s="1"/>
      <c r="AA68" s="1"/>
      <c r="AB68" s="1"/>
      <c r="AC68" s="1"/>
      <c r="AD68" s="1"/>
      <c r="AE68" s="1"/>
      <c r="AF68" s="1"/>
      <c r="AG68" s="1"/>
      <c r="AH68" s="1"/>
      <c r="AI68" s="1"/>
      <c r="AJ68" s="1"/>
    </row>
    <row r="69" spans="1:36" ht="12" customHeight="1" x14ac:dyDescent="0.25">
      <c r="A69" s="1"/>
      <c r="B69" s="1"/>
      <c r="C69" s="1"/>
      <c r="D69" s="1"/>
      <c r="E69" s="1"/>
      <c r="F69" s="1"/>
      <c r="G69" s="1"/>
      <c r="H69" s="1"/>
      <c r="I69" s="80"/>
      <c r="J69" s="80"/>
      <c r="K69" s="80"/>
      <c r="L69" s="80"/>
      <c r="M69" s="1"/>
      <c r="N69" s="1"/>
      <c r="O69" s="1"/>
      <c r="P69" s="1"/>
      <c r="Q69" s="1"/>
      <c r="R69" s="1"/>
      <c r="S69" s="1"/>
      <c r="T69" s="1"/>
      <c r="U69" s="1"/>
      <c r="V69" s="1"/>
      <c r="W69" s="1"/>
      <c r="X69" s="1"/>
      <c r="Y69" s="1"/>
      <c r="Z69" s="1"/>
      <c r="AA69" s="1"/>
      <c r="AB69" s="1"/>
      <c r="AC69" s="1"/>
      <c r="AD69" s="1"/>
      <c r="AE69" s="1"/>
      <c r="AF69" s="1"/>
      <c r="AG69" s="1"/>
      <c r="AH69" s="1"/>
      <c r="AI69" s="1"/>
      <c r="AJ69" s="1"/>
    </row>
    <row r="70" spans="1:36" ht="12.75" customHeight="1" x14ac:dyDescent="0.25">
      <c r="A70" s="1"/>
      <c r="B70" s="1"/>
      <c r="C70" s="1"/>
      <c r="D70" s="17" t="s">
        <v>438</v>
      </c>
      <c r="E70" s="1"/>
      <c r="F70" s="1"/>
      <c r="G70" s="1"/>
      <c r="H70" s="1"/>
      <c r="I70" s="41">
        <f t="shared" ref="I70:L70" si="25">I71 / I49</f>
        <v>-4.5093808255289906E-2</v>
      </c>
      <c r="J70" s="41">
        <f t="shared" si="25"/>
        <v>-4.9021368008405446E-2</v>
      </c>
      <c r="K70" s="41">
        <f t="shared" si="25"/>
        <v>-4.0854998096621659E-2</v>
      </c>
      <c r="L70" s="41">
        <f t="shared" si="25"/>
        <v>-3.4802354712510336E-2</v>
      </c>
      <c r="M70" s="1"/>
      <c r="N70" s="1"/>
      <c r="O70" s="1"/>
      <c r="P70" s="1"/>
      <c r="Q70" s="1"/>
      <c r="R70" s="1"/>
      <c r="S70" s="1"/>
      <c r="T70" s="1"/>
      <c r="U70" s="1"/>
      <c r="V70" s="1"/>
      <c r="W70" s="1"/>
      <c r="X70" s="1"/>
      <c r="Y70" s="1"/>
      <c r="Z70" s="1"/>
      <c r="AA70" s="1"/>
      <c r="AB70" s="1"/>
      <c r="AC70" s="1"/>
      <c r="AD70" s="1"/>
      <c r="AE70" s="1"/>
      <c r="AF70" s="1"/>
      <c r="AG70" s="1"/>
      <c r="AH70" s="1"/>
      <c r="AI70" s="1"/>
      <c r="AJ70" s="1"/>
    </row>
    <row r="71" spans="1:36" ht="12.75" customHeight="1" x14ac:dyDescent="0.25">
      <c r="A71" s="1"/>
      <c r="B71" s="1"/>
      <c r="C71" s="1"/>
      <c r="D71" s="1"/>
      <c r="E71" s="1" t="s">
        <v>439</v>
      </c>
      <c r="F71" s="1"/>
      <c r="G71" s="33" t="s">
        <v>28</v>
      </c>
      <c r="H71" s="1"/>
      <c r="I71" s="80">
        <f t="shared" ref="I71:L71" si="26">0 - O211</f>
        <v>-30.9</v>
      </c>
      <c r="J71" s="80">
        <f t="shared" si="26"/>
        <v>-31.4</v>
      </c>
      <c r="K71" s="80">
        <f t="shared" si="26"/>
        <v>-29.9</v>
      </c>
      <c r="L71" s="80">
        <f t="shared" si="26"/>
        <v>-28.2</v>
      </c>
      <c r="M71" s="1"/>
      <c r="N71" s="1"/>
      <c r="O71" s="1"/>
      <c r="P71" s="1"/>
      <c r="Q71" s="1"/>
      <c r="R71" s="1"/>
      <c r="S71" s="1"/>
      <c r="T71" s="1"/>
      <c r="U71" s="1"/>
      <c r="V71" s="1"/>
      <c r="W71" s="1"/>
      <c r="X71" s="1"/>
      <c r="Y71" s="1"/>
      <c r="Z71" s="1"/>
      <c r="AA71" s="1"/>
      <c r="AB71" s="1"/>
      <c r="AC71" s="1"/>
      <c r="AD71" s="1"/>
      <c r="AE71" s="1"/>
      <c r="AF71" s="1"/>
      <c r="AG71" s="1"/>
      <c r="AH71" s="1"/>
      <c r="AI71" s="1"/>
      <c r="AJ71" s="1"/>
    </row>
    <row r="72" spans="1:36" ht="6" customHeight="1" x14ac:dyDescent="0.25">
      <c r="A72" s="1"/>
      <c r="B72" s="1"/>
      <c r="C72" s="1"/>
      <c r="D72" s="1"/>
      <c r="E72" s="1"/>
      <c r="F72" s="1"/>
      <c r="G72" s="33"/>
      <c r="H72" s="1"/>
      <c r="I72" s="80"/>
      <c r="J72" s="80"/>
      <c r="K72" s="80"/>
      <c r="L72" s="80"/>
      <c r="M72" s="1"/>
      <c r="N72" s="1"/>
      <c r="O72" s="1"/>
      <c r="P72" s="1"/>
      <c r="Q72" s="1"/>
      <c r="R72" s="1"/>
      <c r="S72" s="1"/>
      <c r="T72" s="1"/>
      <c r="U72" s="1"/>
      <c r="V72" s="1"/>
      <c r="W72" s="1"/>
      <c r="X72" s="1"/>
      <c r="Y72" s="1"/>
      <c r="Z72" s="1"/>
      <c r="AA72" s="1"/>
      <c r="AB72" s="1"/>
      <c r="AC72" s="1"/>
      <c r="AD72" s="1"/>
      <c r="AE72" s="1"/>
      <c r="AF72" s="1"/>
      <c r="AG72" s="1"/>
      <c r="AH72" s="1"/>
      <c r="AI72" s="1"/>
      <c r="AJ72" s="1"/>
    </row>
    <row r="73" spans="1:36" ht="12.75" customHeight="1" x14ac:dyDescent="0.25">
      <c r="A73" s="1"/>
      <c r="B73" s="1"/>
      <c r="C73" s="1"/>
      <c r="D73" s="1"/>
      <c r="E73" s="1" t="s">
        <v>234</v>
      </c>
      <c r="F73" s="1"/>
      <c r="G73" s="33" t="s">
        <v>28</v>
      </c>
      <c r="H73" s="1"/>
      <c r="I73" s="80">
        <f t="shared" ref="I73:L73" si="27">- O206</f>
        <v>-19</v>
      </c>
      <c r="J73" s="80">
        <f t="shared" si="27"/>
        <v>-18.8</v>
      </c>
      <c r="K73" s="80">
        <f t="shared" si="27"/>
        <v>-18.600000000000001</v>
      </c>
      <c r="L73" s="80">
        <f t="shared" si="27"/>
        <v>-18.600000000000001</v>
      </c>
      <c r="M73" s="1"/>
      <c r="N73" s="1"/>
      <c r="O73" s="1"/>
      <c r="P73" s="1"/>
      <c r="Q73" s="1"/>
      <c r="R73" s="1"/>
      <c r="S73" s="1"/>
      <c r="T73" s="1"/>
      <c r="U73" s="1"/>
      <c r="V73" s="1"/>
      <c r="W73" s="1"/>
      <c r="X73" s="1"/>
      <c r="Y73" s="1"/>
      <c r="Z73" s="1"/>
      <c r="AA73" s="1"/>
      <c r="AB73" s="1"/>
      <c r="AC73" s="1"/>
      <c r="AD73" s="1"/>
      <c r="AE73" s="1"/>
      <c r="AF73" s="1"/>
      <c r="AG73" s="1"/>
      <c r="AH73" s="1"/>
      <c r="AI73" s="1"/>
      <c r="AJ73" s="1"/>
    </row>
    <row r="74" spans="1:36" ht="12.75" customHeight="1" x14ac:dyDescent="0.25">
      <c r="A74" s="1"/>
      <c r="B74" s="1"/>
      <c r="C74" s="1"/>
      <c r="D74" s="1"/>
      <c r="E74" s="1" t="s">
        <v>440</v>
      </c>
      <c r="F74" s="1"/>
      <c r="G74" s="33" t="s">
        <v>28</v>
      </c>
      <c r="H74" s="1"/>
      <c r="I74" s="39">
        <f t="shared" ref="I74:L74" si="28">I71 - I73</f>
        <v>-11.899999999999999</v>
      </c>
      <c r="J74" s="39">
        <f t="shared" si="28"/>
        <v>-12.599999999999998</v>
      </c>
      <c r="K74" s="39">
        <f t="shared" si="28"/>
        <v>-11.299999999999997</v>
      </c>
      <c r="L74" s="39">
        <f t="shared" si="28"/>
        <v>-9.5999999999999979</v>
      </c>
      <c r="M74" s="1"/>
      <c r="N74" s="1"/>
      <c r="O74" s="1"/>
      <c r="P74" s="1"/>
      <c r="Q74" s="1"/>
      <c r="R74" s="1"/>
      <c r="S74" s="1"/>
      <c r="T74" s="1"/>
      <c r="U74" s="1"/>
      <c r="V74" s="1"/>
      <c r="W74" s="1"/>
      <c r="X74" s="1"/>
      <c r="Y74" s="1"/>
      <c r="Z74" s="1"/>
      <c r="AA74" s="1"/>
      <c r="AB74" s="1"/>
      <c r="AC74" s="1"/>
      <c r="AD74" s="1"/>
      <c r="AE74" s="1"/>
      <c r="AF74" s="1"/>
      <c r="AG74" s="1"/>
      <c r="AH74" s="1"/>
      <c r="AI74" s="1"/>
      <c r="AJ74" s="1"/>
    </row>
    <row r="75" spans="1:36" ht="8.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ht="12.75" customHeight="1" x14ac:dyDescent="0.25">
      <c r="A76" s="1"/>
      <c r="B76" s="1"/>
      <c r="C76" s="1"/>
      <c r="D76" s="1"/>
      <c r="E76" s="13" t="s">
        <v>230</v>
      </c>
      <c r="F76" s="13"/>
      <c r="G76" s="43" t="s">
        <v>28</v>
      </c>
      <c r="H76" s="13"/>
      <c r="I76" s="38">
        <f t="shared" ref="I76:L76" si="29">I49 + I52 + I61 + I71</f>
        <v>59.911200000000072</v>
      </c>
      <c r="J76" s="38">
        <f t="shared" si="29"/>
        <v>53.755800000000029</v>
      </c>
      <c r="K76" s="38">
        <f t="shared" si="29"/>
        <v>99.751799999999918</v>
      </c>
      <c r="L76" s="38">
        <f t="shared" si="29"/>
        <v>119.56699999999996</v>
      </c>
      <c r="M76" s="1"/>
      <c r="N76" s="1"/>
      <c r="O76" s="1"/>
      <c r="P76" s="1"/>
      <c r="Q76" s="1"/>
      <c r="R76" s="1"/>
      <c r="S76" s="1"/>
      <c r="T76" s="1"/>
      <c r="U76" s="1"/>
      <c r="V76" s="1"/>
      <c r="W76" s="1"/>
      <c r="X76" s="1"/>
      <c r="Y76" s="1"/>
      <c r="Z76" s="1"/>
      <c r="AA76" s="1"/>
      <c r="AB76" s="1"/>
      <c r="AC76" s="1"/>
      <c r="AD76" s="1"/>
      <c r="AE76" s="1"/>
      <c r="AF76" s="1"/>
      <c r="AG76" s="1"/>
      <c r="AH76" s="1"/>
      <c r="AI76" s="1"/>
      <c r="AJ76" s="1"/>
    </row>
    <row r="77" spans="1:36" ht="12.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ht="12.75" customHeight="1" x14ac:dyDescent="0.25">
      <c r="A78" s="1"/>
      <c r="B78" s="1"/>
      <c r="C78" s="1"/>
      <c r="D78" s="1"/>
      <c r="E78" s="1" t="s">
        <v>441</v>
      </c>
      <c r="F78" s="1"/>
      <c r="G78" s="33" t="s">
        <v>28</v>
      </c>
      <c r="H78" s="1"/>
      <c r="I78" s="80">
        <f t="shared" ref="I78:L78" si="30">0 - O212</f>
        <v>-14.1</v>
      </c>
      <c r="J78" s="80">
        <f t="shared" si="30"/>
        <v>-13.4</v>
      </c>
      <c r="K78" s="80">
        <f t="shared" si="30"/>
        <v>-14</v>
      </c>
      <c r="L78" s="80">
        <f t="shared" si="30"/>
        <v>-13.4</v>
      </c>
      <c r="M78" s="1"/>
      <c r="N78" s="1"/>
      <c r="O78" s="1"/>
      <c r="P78" s="1"/>
      <c r="Q78" s="1"/>
      <c r="R78" s="1"/>
      <c r="S78" s="1"/>
      <c r="T78" s="1"/>
      <c r="U78" s="1"/>
      <c r="V78" s="1"/>
      <c r="W78" s="1"/>
      <c r="X78" s="1"/>
      <c r="Y78" s="1"/>
      <c r="Z78" s="1"/>
      <c r="AA78" s="1"/>
      <c r="AB78" s="1"/>
      <c r="AC78" s="1"/>
      <c r="AD78" s="1"/>
      <c r="AE78" s="1"/>
      <c r="AF78" s="1"/>
      <c r="AG78" s="1"/>
      <c r="AH78" s="1"/>
      <c r="AI78" s="1"/>
      <c r="AJ78" s="1"/>
    </row>
    <row r="79" spans="1:36" ht="12.75" hidden="1" customHeight="1" outlineLevel="1" x14ac:dyDescent="0.25">
      <c r="A79" s="1"/>
      <c r="B79" s="1"/>
      <c r="C79" s="1"/>
      <c r="D79" s="1"/>
      <c r="E79" s="1" t="s">
        <v>442</v>
      </c>
      <c r="F79" s="1"/>
      <c r="G79" s="33" t="s">
        <v>28</v>
      </c>
      <c r="H79" s="1"/>
      <c r="I79" s="80">
        <f t="shared" ref="I79:L79" si="31">-O207</f>
        <v>-11.5</v>
      </c>
      <c r="J79" s="80">
        <f t="shared" si="31"/>
        <v>-10.8</v>
      </c>
      <c r="K79" s="80">
        <f t="shared" si="31"/>
        <v>-11.4</v>
      </c>
      <c r="L79" s="80">
        <f t="shared" si="31"/>
        <v>-10.8</v>
      </c>
      <c r="M79" s="1"/>
      <c r="N79" s="1"/>
      <c r="O79" s="1"/>
      <c r="P79" s="1"/>
      <c r="Q79" s="1"/>
      <c r="R79" s="1"/>
      <c r="S79" s="1"/>
      <c r="T79" s="1"/>
      <c r="U79" s="1"/>
      <c r="V79" s="1"/>
      <c r="W79" s="1"/>
      <c r="X79" s="1"/>
      <c r="Y79" s="1"/>
      <c r="Z79" s="1"/>
      <c r="AA79" s="1"/>
      <c r="AB79" s="1"/>
      <c r="AC79" s="1"/>
      <c r="AD79" s="1"/>
      <c r="AE79" s="1"/>
      <c r="AF79" s="1"/>
      <c r="AG79" s="1"/>
      <c r="AH79" s="1"/>
      <c r="AI79" s="1"/>
      <c r="AJ79" s="1"/>
    </row>
    <row r="80" spans="1:36" ht="12.75" hidden="1" customHeight="1" outlineLevel="1" x14ac:dyDescent="0.25">
      <c r="A80" s="1"/>
      <c r="B80" s="1"/>
      <c r="C80" s="1"/>
      <c r="D80" s="1"/>
      <c r="E80" s="1" t="s">
        <v>443</v>
      </c>
      <c r="F80" s="1"/>
      <c r="G80" s="33" t="s">
        <v>28</v>
      </c>
      <c r="H80" s="1"/>
      <c r="I80" s="80">
        <f t="shared" ref="I80:L80" si="32">I78 - I79</f>
        <v>-2.5999999999999996</v>
      </c>
      <c r="J80" s="80">
        <f t="shared" si="32"/>
        <v>-2.5999999999999996</v>
      </c>
      <c r="K80" s="80">
        <f t="shared" si="32"/>
        <v>-2.5999999999999996</v>
      </c>
      <c r="L80" s="80">
        <f t="shared" si="32"/>
        <v>-2.5999999999999996</v>
      </c>
      <c r="M80" s="1"/>
      <c r="N80" s="1"/>
      <c r="O80" s="1"/>
      <c r="P80" s="1"/>
      <c r="Q80" s="1"/>
      <c r="R80" s="1"/>
      <c r="S80" s="1"/>
      <c r="T80" s="1"/>
      <c r="U80" s="1"/>
      <c r="V80" s="1"/>
      <c r="W80" s="1"/>
      <c r="X80" s="1"/>
      <c r="Y80" s="1"/>
      <c r="Z80" s="1"/>
      <c r="AA80" s="1"/>
      <c r="AB80" s="1"/>
      <c r="AC80" s="1"/>
      <c r="AD80" s="1"/>
      <c r="AE80" s="1"/>
      <c r="AF80" s="1"/>
      <c r="AG80" s="1"/>
      <c r="AH80" s="1"/>
      <c r="AI80" s="1"/>
      <c r="AJ80" s="1"/>
    </row>
    <row r="81" spans="1:36" ht="12.75" customHeight="1" collapsed="1" x14ac:dyDescent="0.25">
      <c r="A81" s="1"/>
      <c r="B81" s="1"/>
      <c r="C81" s="1"/>
      <c r="D81" s="1"/>
      <c r="E81" s="13" t="s">
        <v>444</v>
      </c>
      <c r="F81" s="13"/>
      <c r="G81" s="43" t="s">
        <v>28</v>
      </c>
      <c r="H81" s="13"/>
      <c r="I81" s="38">
        <f t="shared" ref="I81:L81" si="33">I76 + I78</f>
        <v>45.811200000000071</v>
      </c>
      <c r="J81" s="38">
        <f t="shared" si="33"/>
        <v>40.355800000000031</v>
      </c>
      <c r="K81" s="38">
        <f t="shared" si="33"/>
        <v>85.751799999999918</v>
      </c>
      <c r="L81" s="38">
        <f t="shared" si="33"/>
        <v>106.16699999999996</v>
      </c>
      <c r="M81" s="1"/>
      <c r="N81" s="1"/>
      <c r="O81" s="1"/>
      <c r="P81" s="1"/>
      <c r="Q81" s="1"/>
      <c r="R81" s="1"/>
      <c r="S81" s="1"/>
      <c r="T81" s="1"/>
      <c r="U81" s="1"/>
      <c r="V81" s="1"/>
      <c r="W81" s="1"/>
      <c r="X81" s="1"/>
      <c r="Y81" s="1"/>
      <c r="Z81" s="1"/>
      <c r="AA81" s="1"/>
      <c r="AB81" s="1"/>
      <c r="AC81" s="1"/>
      <c r="AD81" s="1"/>
      <c r="AE81" s="1"/>
      <c r="AF81" s="1"/>
      <c r="AG81" s="1"/>
      <c r="AH81" s="1"/>
      <c r="AI81" s="1"/>
      <c r="AJ81" s="1"/>
    </row>
    <row r="82" spans="1:36" ht="12.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1:36" ht="13.5" customHeight="1" x14ac:dyDescent="0.25">
      <c r="A83" s="1"/>
      <c r="B83" s="1"/>
      <c r="C83" s="1"/>
      <c r="D83" s="1"/>
      <c r="E83" s="1" t="s">
        <v>445</v>
      </c>
      <c r="F83" s="1"/>
      <c r="G83" s="33" t="s">
        <v>28</v>
      </c>
      <c r="H83" s="1"/>
      <c r="I83" s="39">
        <f t="shared" ref="I83:L83" si="34">0 -O213</f>
        <v>-14</v>
      </c>
      <c r="J83" s="39">
        <f t="shared" si="34"/>
        <v>-11</v>
      </c>
      <c r="K83" s="39">
        <f t="shared" si="34"/>
        <v>-24.8</v>
      </c>
      <c r="L83" s="39">
        <f t="shared" si="34"/>
        <v>-32.1</v>
      </c>
      <c r="M83" s="1"/>
      <c r="N83" s="1"/>
      <c r="O83" s="1"/>
      <c r="P83" s="1"/>
      <c r="Q83" s="1"/>
      <c r="R83" s="1"/>
      <c r="S83" s="1"/>
      <c r="T83" s="1"/>
      <c r="U83" s="1"/>
      <c r="V83" s="1"/>
      <c r="W83" s="1"/>
      <c r="X83" s="1"/>
      <c r="Y83" s="1"/>
      <c r="Z83" s="1"/>
      <c r="AA83" s="1"/>
      <c r="AB83" s="1"/>
      <c r="AC83" s="1"/>
      <c r="AD83" s="1"/>
      <c r="AE83" s="1"/>
      <c r="AF83" s="1"/>
      <c r="AG83" s="1"/>
      <c r="AH83" s="1"/>
      <c r="AI83" s="1"/>
      <c r="AJ83" s="1"/>
    </row>
    <row r="84" spans="1:36" ht="13.5" customHeight="1" x14ac:dyDescent="0.25">
      <c r="A84" s="1"/>
      <c r="B84" s="1"/>
      <c r="C84" s="1"/>
      <c r="D84" s="1"/>
      <c r="E84" s="13" t="s">
        <v>446</v>
      </c>
      <c r="F84" s="246"/>
      <c r="G84" s="43" t="s">
        <v>28</v>
      </c>
      <c r="H84" s="246"/>
      <c r="I84" s="38">
        <f t="shared" ref="I84:L84" si="35">I81 + I83</f>
        <v>31.811200000000071</v>
      </c>
      <c r="J84" s="38">
        <f t="shared" si="35"/>
        <v>29.355800000000031</v>
      </c>
      <c r="K84" s="38">
        <f t="shared" si="35"/>
        <v>60.95179999999992</v>
      </c>
      <c r="L84" s="38">
        <f t="shared" si="35"/>
        <v>74.06699999999995</v>
      </c>
      <c r="M84" s="1"/>
      <c r="N84" s="1"/>
      <c r="O84" s="1"/>
      <c r="P84" s="1"/>
      <c r="Q84" s="1"/>
      <c r="R84" s="1"/>
      <c r="S84" s="1"/>
      <c r="T84" s="1"/>
      <c r="U84" s="1"/>
      <c r="V84" s="1"/>
      <c r="W84" s="1"/>
      <c r="X84" s="1"/>
      <c r="Y84" s="1"/>
      <c r="Z84" s="1"/>
      <c r="AA84" s="1"/>
      <c r="AB84" s="1"/>
      <c r="AC84" s="1"/>
      <c r="AD84" s="1"/>
      <c r="AE84" s="1"/>
      <c r="AF84" s="1"/>
      <c r="AG84" s="1"/>
      <c r="AH84" s="1"/>
      <c r="AI84" s="1"/>
      <c r="AJ84" s="1"/>
    </row>
    <row r="85" spans="1:36" ht="13.5" customHeight="1" x14ac:dyDescent="0.25">
      <c r="A85" s="1"/>
      <c r="B85" s="1"/>
      <c r="C85" s="1"/>
      <c r="D85" s="1"/>
      <c r="E85" s="1" t="s">
        <v>447</v>
      </c>
      <c r="F85" s="1"/>
      <c r="G85" s="33" t="s">
        <v>28</v>
      </c>
      <c r="H85" s="1"/>
      <c r="I85" s="39">
        <f t="shared" ref="I85:L85" si="36">O201</f>
        <v>31.8</v>
      </c>
      <c r="J85" s="39">
        <f t="shared" si="36"/>
        <v>31.9</v>
      </c>
      <c r="K85" s="39">
        <f t="shared" si="36"/>
        <v>61.1</v>
      </c>
      <c r="L85" s="39">
        <f t="shared" si="36"/>
        <v>73.7</v>
      </c>
      <c r="M85" s="1"/>
      <c r="N85" s="1"/>
      <c r="O85" s="1"/>
      <c r="P85" s="1"/>
      <c r="Q85" s="1"/>
      <c r="R85" s="1"/>
      <c r="S85" s="1"/>
      <c r="T85" s="1"/>
      <c r="U85" s="1"/>
      <c r="V85" s="1"/>
      <c r="W85" s="1"/>
      <c r="X85" s="1"/>
      <c r="Y85" s="1"/>
      <c r="Z85" s="1"/>
      <c r="AA85" s="1"/>
      <c r="AB85" s="1"/>
      <c r="AC85" s="1"/>
      <c r="AD85" s="1"/>
      <c r="AE85" s="1"/>
      <c r="AF85" s="1"/>
      <c r="AG85" s="1"/>
      <c r="AH85" s="1"/>
      <c r="AI85" s="1"/>
      <c r="AJ85" s="1"/>
    </row>
    <row r="86" spans="1:36" ht="13.5" customHeight="1" x14ac:dyDescent="0.25">
      <c r="A86" s="1"/>
      <c r="B86" s="1"/>
      <c r="C86" s="1"/>
      <c r="D86" s="1"/>
      <c r="E86" s="1"/>
      <c r="F86" s="1"/>
      <c r="G86" s="33"/>
      <c r="H86" s="1"/>
      <c r="I86" s="39"/>
      <c r="J86" s="39"/>
      <c r="K86" s="39"/>
      <c r="L86" s="39"/>
      <c r="M86" s="1"/>
      <c r="N86" s="1"/>
      <c r="O86" s="1"/>
      <c r="P86" s="1"/>
      <c r="Q86" s="1"/>
      <c r="R86" s="1"/>
      <c r="S86" s="1"/>
      <c r="T86" s="1"/>
      <c r="U86" s="1"/>
      <c r="V86" s="1"/>
      <c r="W86" s="1"/>
      <c r="X86" s="1"/>
      <c r="Y86" s="1"/>
      <c r="Z86" s="1"/>
      <c r="AA86" s="1"/>
      <c r="AB86" s="1"/>
      <c r="AC86" s="1"/>
      <c r="AD86" s="1"/>
      <c r="AE86" s="1"/>
      <c r="AF86" s="1"/>
      <c r="AG86" s="1"/>
      <c r="AH86" s="1"/>
      <c r="AI86" s="1"/>
      <c r="AJ86" s="1"/>
    </row>
    <row r="87" spans="1:36" ht="13.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ht="11.25" customHeight="1" x14ac:dyDescent="0.25">
      <c r="A88" s="241"/>
      <c r="B88" s="6" t="s">
        <v>448</v>
      </c>
      <c r="C88" s="241" t="s">
        <v>449</v>
      </c>
      <c r="D88" s="241"/>
      <c r="E88" s="241"/>
      <c r="F88" s="241"/>
      <c r="G88" s="241"/>
      <c r="H88" s="241"/>
      <c r="I88" s="241"/>
      <c r="J88" s="241"/>
      <c r="K88" s="241"/>
      <c r="L88" s="241"/>
      <c r="M88" s="241"/>
      <c r="N88" s="241"/>
      <c r="O88" s="241"/>
      <c r="P88" s="241"/>
      <c r="Q88" s="241"/>
      <c r="R88" s="241"/>
      <c r="S88" s="241"/>
      <c r="T88" s="241"/>
      <c r="U88" s="241"/>
      <c r="V88" s="241"/>
      <c r="W88" s="241"/>
      <c r="X88" s="241"/>
      <c r="Y88" s="241"/>
      <c r="Z88" s="241"/>
      <c r="AA88" s="241"/>
      <c r="AB88" s="241"/>
      <c r="AC88" s="241"/>
      <c r="AD88" s="241"/>
      <c r="AE88" s="241"/>
      <c r="AF88" s="241"/>
      <c r="AG88" s="241"/>
      <c r="AH88" s="241"/>
      <c r="AI88" s="241"/>
      <c r="AJ88" s="241"/>
    </row>
    <row r="89" spans="1:36" ht="12.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1:36" ht="12.75" customHeight="1" x14ac:dyDescent="0.25">
      <c r="A90" s="1"/>
      <c r="B90" s="1"/>
      <c r="C90" s="104" t="s">
        <v>450</v>
      </c>
      <c r="D90" s="104"/>
      <c r="E90" s="3"/>
      <c r="F90" s="3"/>
      <c r="G90" s="3"/>
      <c r="H90" s="3"/>
      <c r="I90" s="1"/>
      <c r="J90" s="1"/>
      <c r="K90" s="1"/>
      <c r="L90" s="1"/>
      <c r="M90" s="104" t="s">
        <v>451</v>
      </c>
      <c r="N90" s="104"/>
      <c r="O90" s="3"/>
      <c r="P90" s="3"/>
      <c r="Q90" s="3"/>
      <c r="R90" s="3"/>
      <c r="S90" s="1"/>
      <c r="T90" s="1"/>
      <c r="U90" s="1"/>
      <c r="V90" s="1"/>
      <c r="W90" s="1"/>
      <c r="X90" s="1"/>
      <c r="Y90" s="1"/>
      <c r="Z90" s="1"/>
      <c r="AA90" s="1"/>
      <c r="AB90" s="1"/>
      <c r="AC90" s="1"/>
      <c r="AD90" s="1"/>
      <c r="AE90" s="1"/>
      <c r="AF90" s="1"/>
      <c r="AG90" s="1"/>
      <c r="AH90" s="1"/>
      <c r="AI90" s="1"/>
      <c r="AJ90" s="1"/>
    </row>
    <row r="91" spans="1:36" ht="9" customHeight="1" x14ac:dyDescent="0.25">
      <c r="A91" s="1"/>
      <c r="B91" s="1"/>
      <c r="C91" s="247"/>
      <c r="D91" s="247"/>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1:36" ht="12.75" customHeight="1" x14ac:dyDescent="0.25">
      <c r="A92" s="1"/>
      <c r="B92" s="1"/>
      <c r="C92" s="1"/>
      <c r="D92" s="2" t="s">
        <v>452</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1:36" ht="12.75" customHeight="1" x14ac:dyDescent="0.25">
      <c r="A93" s="1"/>
      <c r="B93" s="1"/>
      <c r="C93" s="1"/>
      <c r="D93" s="1"/>
      <c r="E93" s="1" t="s">
        <v>453</v>
      </c>
      <c r="F93" s="33" t="s">
        <v>8</v>
      </c>
      <c r="G93" s="248">
        <v>0.38</v>
      </c>
      <c r="H93" s="1"/>
      <c r="I93" s="1"/>
      <c r="J93" s="1"/>
      <c r="K93" s="1"/>
      <c r="L93" s="1"/>
      <c r="M93" s="1" t="s">
        <v>454</v>
      </c>
      <c r="N93" s="1"/>
      <c r="O93" s="33" t="s">
        <v>8</v>
      </c>
      <c r="P93" s="89">
        <v>0.23</v>
      </c>
      <c r="Q93" s="1"/>
      <c r="R93" s="1"/>
      <c r="S93" s="1"/>
      <c r="T93" s="1"/>
      <c r="U93" s="1"/>
      <c r="V93" s="1"/>
      <c r="W93" s="1"/>
      <c r="X93" s="1"/>
      <c r="Y93" s="1"/>
      <c r="Z93" s="1"/>
      <c r="AA93" s="1"/>
      <c r="AB93" s="1"/>
      <c r="AC93" s="1"/>
      <c r="AD93" s="1"/>
      <c r="AE93" s="1"/>
      <c r="AF93" s="1"/>
      <c r="AG93" s="1"/>
      <c r="AH93" s="1"/>
      <c r="AI93" s="1"/>
      <c r="AJ93" s="1"/>
    </row>
    <row r="94" spans="1:36" ht="12.75" customHeight="1" x14ac:dyDescent="0.25">
      <c r="A94" s="1"/>
      <c r="B94" s="1"/>
      <c r="C94" s="1"/>
      <c r="D94" s="1"/>
      <c r="E94" s="1" t="s">
        <v>455</v>
      </c>
      <c r="F94" s="33" t="s">
        <v>8</v>
      </c>
      <c r="G94" s="248">
        <v>0.17</v>
      </c>
      <c r="H94" s="1"/>
      <c r="I94" s="1"/>
      <c r="J94" s="1"/>
      <c r="K94" s="1"/>
      <c r="L94" s="1"/>
      <c r="M94" s="1" t="s">
        <v>456</v>
      </c>
      <c r="N94" s="1"/>
      <c r="O94" s="33" t="s">
        <v>8</v>
      </c>
      <c r="P94" s="89">
        <v>0.18</v>
      </c>
      <c r="Q94" s="1"/>
      <c r="R94" s="1"/>
      <c r="S94" s="1"/>
      <c r="T94" s="1"/>
      <c r="U94" s="1"/>
      <c r="V94" s="1"/>
      <c r="W94" s="1"/>
      <c r="X94" s="1"/>
      <c r="Y94" s="1"/>
      <c r="Z94" s="1"/>
      <c r="AA94" s="1"/>
      <c r="AB94" s="1"/>
      <c r="AC94" s="1"/>
      <c r="AD94" s="1"/>
      <c r="AE94" s="1"/>
      <c r="AF94" s="1"/>
      <c r="AG94" s="1"/>
      <c r="AH94" s="1"/>
      <c r="AI94" s="1"/>
      <c r="AJ94" s="1"/>
    </row>
    <row r="95" spans="1:36" ht="12.75" customHeight="1" x14ac:dyDescent="0.25">
      <c r="A95" s="1"/>
      <c r="B95" s="1"/>
      <c r="C95" s="1"/>
      <c r="D95" s="1"/>
      <c r="E95" s="1" t="s">
        <v>457</v>
      </c>
      <c r="F95" s="33" t="s">
        <v>8</v>
      </c>
      <c r="G95" s="248">
        <v>0.15</v>
      </c>
      <c r="H95" s="1"/>
      <c r="I95" s="1"/>
      <c r="J95" s="1"/>
      <c r="K95" s="1"/>
      <c r="L95" s="1"/>
      <c r="M95" s="1" t="s">
        <v>458</v>
      </c>
      <c r="N95" s="1"/>
      <c r="O95" s="33" t="s">
        <v>8</v>
      </c>
      <c r="P95" s="89">
        <v>0.15</v>
      </c>
      <c r="Q95" s="1"/>
      <c r="R95" s="1"/>
      <c r="S95" s="1"/>
      <c r="T95" s="1"/>
      <c r="U95" s="1"/>
      <c r="V95" s="1"/>
      <c r="W95" s="1"/>
      <c r="X95" s="1"/>
      <c r="Y95" s="1"/>
      <c r="Z95" s="1"/>
      <c r="AA95" s="1"/>
      <c r="AB95" s="1"/>
      <c r="AC95" s="1"/>
      <c r="AD95" s="1"/>
      <c r="AE95" s="1"/>
      <c r="AF95" s="1"/>
      <c r="AG95" s="1"/>
      <c r="AH95" s="1"/>
      <c r="AI95" s="1"/>
      <c r="AJ95" s="1"/>
    </row>
    <row r="96" spans="1:36" ht="12.75" customHeight="1" x14ac:dyDescent="0.25">
      <c r="A96" s="1"/>
      <c r="B96" s="1"/>
      <c r="C96" s="1"/>
      <c r="D96" s="1"/>
      <c r="E96" s="1" t="s">
        <v>459</v>
      </c>
      <c r="F96" s="33" t="s">
        <v>8</v>
      </c>
      <c r="G96" s="248">
        <v>0.23</v>
      </c>
      <c r="H96" s="1"/>
      <c r="I96" s="1"/>
      <c r="J96" s="1"/>
      <c r="K96" s="1"/>
      <c r="L96" s="1"/>
      <c r="M96" s="1" t="s">
        <v>460</v>
      </c>
      <c r="N96" s="1"/>
      <c r="O96" s="33" t="s">
        <v>8</v>
      </c>
      <c r="P96" s="89">
        <v>7.0000000000000007E-2</v>
      </c>
      <c r="Q96" s="1"/>
      <c r="R96" s="1"/>
      <c r="S96" s="1"/>
      <c r="T96" s="1"/>
      <c r="U96" s="1"/>
      <c r="V96" s="1"/>
      <c r="W96" s="1"/>
      <c r="X96" s="1"/>
      <c r="Y96" s="1"/>
      <c r="Z96" s="1"/>
      <c r="AA96" s="1"/>
      <c r="AB96" s="1"/>
      <c r="AC96" s="1"/>
      <c r="AD96" s="1"/>
      <c r="AE96" s="1"/>
      <c r="AF96" s="1"/>
      <c r="AG96" s="1"/>
      <c r="AH96" s="1"/>
      <c r="AI96" s="1"/>
      <c r="AJ96" s="1"/>
    </row>
    <row r="97" spans="1:36" ht="12.75" customHeight="1" x14ac:dyDescent="0.25">
      <c r="A97" s="1"/>
      <c r="B97" s="1"/>
      <c r="C97" s="1"/>
      <c r="D97" s="1"/>
      <c r="E97" s="1" t="s">
        <v>461</v>
      </c>
      <c r="F97" s="33" t="s">
        <v>8</v>
      </c>
      <c r="G97" s="248">
        <v>0.03</v>
      </c>
      <c r="H97" s="1"/>
      <c r="I97" s="1"/>
      <c r="J97" s="1"/>
      <c r="K97" s="1"/>
      <c r="L97" s="1"/>
      <c r="M97" s="1" t="s">
        <v>462</v>
      </c>
      <c r="N97" s="1"/>
      <c r="O97" s="33" t="s">
        <v>8</v>
      </c>
      <c r="P97" s="89">
        <v>0.05</v>
      </c>
      <c r="Q97" s="1"/>
      <c r="R97" s="1"/>
      <c r="S97" s="1"/>
      <c r="T97" s="1"/>
      <c r="U97" s="1"/>
      <c r="V97" s="1"/>
      <c r="W97" s="1"/>
      <c r="X97" s="1"/>
      <c r="Y97" s="1"/>
      <c r="Z97" s="1"/>
      <c r="AA97" s="1"/>
      <c r="AB97" s="1"/>
      <c r="AC97" s="1"/>
      <c r="AD97" s="1"/>
      <c r="AE97" s="1"/>
      <c r="AF97" s="1"/>
      <c r="AG97" s="1"/>
      <c r="AH97" s="1"/>
      <c r="AI97" s="1"/>
      <c r="AJ97" s="1"/>
    </row>
    <row r="98" spans="1:36" ht="12.75" customHeight="1" x14ac:dyDescent="0.25">
      <c r="A98" s="1"/>
      <c r="B98" s="1"/>
      <c r="C98" s="1"/>
      <c r="D98" s="1"/>
      <c r="E98" s="1" t="s">
        <v>463</v>
      </c>
      <c r="F98" s="33" t="s">
        <v>8</v>
      </c>
      <c r="G98" s="67">
        <v>0.05</v>
      </c>
      <c r="H98" s="1"/>
      <c r="I98" s="1"/>
      <c r="J98" s="1"/>
      <c r="K98" s="1"/>
      <c r="L98" s="1"/>
      <c r="M98" s="1" t="s">
        <v>464</v>
      </c>
      <c r="N98" s="1"/>
      <c r="O98" s="33" t="s">
        <v>8</v>
      </c>
      <c r="P98" s="89">
        <v>0.04</v>
      </c>
      <c r="Q98" s="1"/>
      <c r="R98" s="1"/>
      <c r="S98" s="1"/>
      <c r="T98" s="1"/>
      <c r="U98" s="1"/>
      <c r="V98" s="1"/>
      <c r="W98" s="1"/>
      <c r="X98" s="1"/>
      <c r="Y98" s="1"/>
      <c r="Z98" s="1"/>
      <c r="AA98" s="1"/>
      <c r="AB98" s="1"/>
      <c r="AC98" s="1"/>
      <c r="AD98" s="1"/>
      <c r="AE98" s="1"/>
      <c r="AF98" s="1"/>
      <c r="AG98" s="1"/>
      <c r="AH98" s="1"/>
      <c r="AI98" s="1"/>
      <c r="AJ98" s="1"/>
    </row>
    <row r="99" spans="1:36" ht="12.75" customHeight="1" x14ac:dyDescent="0.25">
      <c r="A99" s="1"/>
      <c r="B99" s="1"/>
      <c r="C99" s="1"/>
      <c r="D99" s="1"/>
      <c r="E99" s="1"/>
      <c r="F99" s="33"/>
      <c r="G99" s="41"/>
      <c r="H99" s="1"/>
      <c r="I99" s="1"/>
      <c r="J99" s="1"/>
      <c r="K99" s="1"/>
      <c r="L99" s="1"/>
      <c r="M99" s="1" t="s">
        <v>465</v>
      </c>
      <c r="N99" s="1"/>
      <c r="O99" s="33" t="s">
        <v>8</v>
      </c>
      <c r="P99" s="89">
        <v>0.03</v>
      </c>
      <c r="Q99" s="1"/>
      <c r="R99" s="1"/>
      <c r="S99" s="1"/>
      <c r="T99" s="1"/>
      <c r="U99" s="1"/>
      <c r="V99" s="1"/>
      <c r="W99" s="1"/>
      <c r="X99" s="1"/>
      <c r="Y99" s="1"/>
      <c r="Z99" s="1"/>
      <c r="AA99" s="1"/>
      <c r="AB99" s="1"/>
      <c r="AC99" s="1"/>
      <c r="AD99" s="1"/>
      <c r="AE99" s="1"/>
      <c r="AF99" s="1"/>
      <c r="AG99" s="1"/>
      <c r="AH99" s="1"/>
      <c r="AI99" s="1"/>
      <c r="AJ99" s="1"/>
    </row>
    <row r="100" spans="1:36" ht="12.75" customHeight="1" x14ac:dyDescent="0.25">
      <c r="A100" s="1"/>
      <c r="B100" s="1"/>
      <c r="C100" s="1"/>
      <c r="D100" s="1"/>
      <c r="E100" s="1" t="s">
        <v>453</v>
      </c>
      <c r="F100" s="33" t="s">
        <v>8</v>
      </c>
      <c r="G100" s="158">
        <f>G93 - 1%</f>
        <v>0.37</v>
      </c>
      <c r="H100" s="1"/>
      <c r="I100" s="1"/>
      <c r="J100" s="1"/>
      <c r="K100" s="1"/>
      <c r="L100" s="1"/>
      <c r="M100" s="1" t="s">
        <v>466</v>
      </c>
      <c r="N100" s="1"/>
      <c r="O100" s="33" t="s">
        <v>8</v>
      </c>
      <c r="P100" s="89">
        <v>0.03</v>
      </c>
      <c r="Q100" s="1"/>
      <c r="R100" s="1"/>
      <c r="S100" s="1"/>
      <c r="T100" s="1"/>
      <c r="U100" s="1"/>
      <c r="V100" s="1"/>
      <c r="W100" s="1"/>
      <c r="X100" s="1"/>
      <c r="Y100" s="1"/>
      <c r="Z100" s="1"/>
      <c r="AA100" s="1"/>
      <c r="AB100" s="1"/>
      <c r="AC100" s="1"/>
      <c r="AD100" s="1"/>
      <c r="AE100" s="1"/>
      <c r="AF100" s="1"/>
      <c r="AG100" s="1"/>
      <c r="AH100" s="1"/>
      <c r="AI100" s="1"/>
      <c r="AJ100" s="1"/>
    </row>
    <row r="101" spans="1:36" ht="12.75" customHeight="1" x14ac:dyDescent="0.25">
      <c r="A101" s="1"/>
      <c r="B101" s="1"/>
      <c r="C101" s="1"/>
      <c r="D101" s="1"/>
      <c r="E101" s="1" t="s">
        <v>467</v>
      </c>
      <c r="F101" s="33" t="s">
        <v>8</v>
      </c>
      <c r="G101" s="89">
        <f>SUM( G94:G98 )</f>
        <v>0.63000000000000012</v>
      </c>
      <c r="H101" s="1"/>
      <c r="I101" s="1"/>
      <c r="J101" s="1"/>
      <c r="K101" s="1"/>
      <c r="L101" s="1"/>
      <c r="M101" s="1" t="s">
        <v>322</v>
      </c>
      <c r="N101" s="1"/>
      <c r="O101" s="33" t="s">
        <v>8</v>
      </c>
      <c r="P101" s="89">
        <v>0.22</v>
      </c>
      <c r="Q101" s="1"/>
      <c r="R101" s="1"/>
      <c r="S101" s="1"/>
      <c r="T101" s="1"/>
      <c r="U101" s="1"/>
      <c r="V101" s="1"/>
      <c r="W101" s="1"/>
      <c r="X101" s="1"/>
      <c r="Y101" s="1"/>
      <c r="Z101" s="1"/>
      <c r="AA101" s="1"/>
      <c r="AB101" s="1"/>
      <c r="AC101" s="1"/>
      <c r="AD101" s="1"/>
      <c r="AE101" s="1"/>
      <c r="AF101" s="1"/>
      <c r="AG101" s="1"/>
      <c r="AH101" s="1"/>
      <c r="AI101" s="1"/>
      <c r="AJ101" s="1"/>
    </row>
    <row r="102" spans="1:36" ht="12.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1:36" ht="12.75" customHeight="1" x14ac:dyDescent="0.25">
      <c r="A103" s="1"/>
      <c r="B103" s="1"/>
      <c r="C103" s="1"/>
      <c r="D103" s="2" t="s">
        <v>230</v>
      </c>
      <c r="E103" s="1"/>
      <c r="F103" s="1"/>
      <c r="G103" s="1"/>
      <c r="H103" s="1"/>
      <c r="I103" s="1"/>
      <c r="J103" s="1"/>
      <c r="K103" s="1"/>
      <c r="L103" s="1"/>
      <c r="M103" s="13" t="s">
        <v>468</v>
      </c>
      <c r="N103" s="13"/>
      <c r="O103" s="13"/>
      <c r="P103" s="249">
        <f>SUM( P93:P101 )</f>
        <v>1.0000000000000002</v>
      </c>
      <c r="Q103" s="1"/>
      <c r="R103" s="1"/>
      <c r="S103" s="1"/>
      <c r="T103" s="1"/>
      <c r="U103" s="1"/>
      <c r="V103" s="1"/>
      <c r="W103" s="1"/>
      <c r="X103" s="1"/>
      <c r="Y103" s="1"/>
      <c r="Z103" s="1"/>
      <c r="AA103" s="1"/>
      <c r="AB103" s="1"/>
      <c r="AC103" s="1"/>
      <c r="AD103" s="1"/>
      <c r="AE103" s="1"/>
      <c r="AF103" s="1"/>
      <c r="AG103" s="1"/>
      <c r="AH103" s="1"/>
      <c r="AI103" s="1"/>
      <c r="AJ103" s="1"/>
    </row>
    <row r="104" spans="1:36" ht="12.75" customHeight="1" x14ac:dyDescent="0.25">
      <c r="A104" s="1"/>
      <c r="B104" s="1"/>
      <c r="C104" s="1"/>
      <c r="D104" s="1"/>
      <c r="E104" s="1" t="s">
        <v>453</v>
      </c>
      <c r="F104" s="33" t="s">
        <v>8</v>
      </c>
      <c r="G104" s="248"/>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ht="12.75" customHeight="1" x14ac:dyDescent="0.25">
      <c r="A105" s="1"/>
      <c r="B105" s="1"/>
      <c r="C105" s="1"/>
      <c r="D105" s="1"/>
      <c r="E105" s="1" t="s">
        <v>467</v>
      </c>
      <c r="F105" s="33" t="s">
        <v>8</v>
      </c>
      <c r="G105" s="67"/>
      <c r="H105" s="1"/>
      <c r="I105" s="1"/>
      <c r="J105" s="1"/>
      <c r="K105" s="1"/>
      <c r="L105" s="1"/>
      <c r="M105" s="250" t="s">
        <v>469</v>
      </c>
      <c r="N105" s="250"/>
      <c r="O105" s="250"/>
      <c r="P105" s="250"/>
      <c r="Q105" s="250"/>
      <c r="R105" s="250"/>
      <c r="S105" s="1"/>
      <c r="T105" s="1"/>
      <c r="U105" s="1"/>
      <c r="V105" s="1"/>
      <c r="W105" s="1"/>
      <c r="X105" s="1"/>
      <c r="Y105" s="1"/>
      <c r="Z105" s="1"/>
      <c r="AA105" s="1"/>
      <c r="AB105" s="1"/>
      <c r="AC105" s="1"/>
      <c r="AD105" s="1"/>
      <c r="AE105" s="1"/>
      <c r="AF105" s="1"/>
      <c r="AG105" s="1"/>
      <c r="AH105" s="1"/>
      <c r="AI105" s="1"/>
      <c r="AJ105" s="1"/>
    </row>
    <row r="106" spans="1:36" ht="12.75" customHeight="1" x14ac:dyDescent="0.25">
      <c r="A106" s="1"/>
      <c r="B106" s="1"/>
      <c r="C106" s="1"/>
      <c r="D106" s="1"/>
      <c r="E106" s="1"/>
      <c r="F106" s="1"/>
      <c r="G106" s="1"/>
      <c r="H106" s="1"/>
      <c r="I106" s="1"/>
      <c r="J106" s="1"/>
      <c r="K106" s="1"/>
      <c r="L106" s="1"/>
      <c r="M106" s="13"/>
      <c r="N106" s="13"/>
      <c r="O106" s="13"/>
      <c r="P106" s="13"/>
      <c r="Q106" s="13"/>
      <c r="R106" s="13"/>
      <c r="S106" s="1"/>
      <c r="T106" s="1"/>
      <c r="U106" s="1"/>
      <c r="V106" s="1"/>
      <c r="W106" s="1"/>
      <c r="X106" s="1"/>
      <c r="Y106" s="1"/>
      <c r="Z106" s="1"/>
      <c r="AA106" s="1"/>
      <c r="AB106" s="1"/>
      <c r="AC106" s="1"/>
      <c r="AD106" s="1"/>
      <c r="AE106" s="1"/>
      <c r="AF106" s="1"/>
      <c r="AG106" s="1"/>
      <c r="AH106" s="1"/>
      <c r="AI106" s="1"/>
      <c r="AJ106" s="1"/>
    </row>
    <row r="107" spans="1:36" ht="12.75" customHeight="1" x14ac:dyDescent="0.25">
      <c r="A107" s="1"/>
      <c r="B107" s="1"/>
      <c r="C107" s="1"/>
      <c r="D107" s="1"/>
      <c r="E107" s="1" t="s">
        <v>453</v>
      </c>
      <c r="F107" s="33" t="s">
        <v>470</v>
      </c>
      <c r="G107" s="35"/>
      <c r="H107" s="1"/>
      <c r="I107" s="1"/>
      <c r="J107" s="1"/>
      <c r="K107" s="1"/>
      <c r="L107" s="1"/>
      <c r="M107" s="1" t="s">
        <v>471</v>
      </c>
      <c r="N107" s="1"/>
      <c r="O107" s="33" t="s">
        <v>8</v>
      </c>
      <c r="P107" s="158">
        <v>3.1E-2</v>
      </c>
      <c r="Q107" s="1"/>
      <c r="R107" s="1"/>
      <c r="S107" s="1"/>
      <c r="T107" s="1"/>
      <c r="U107" s="1"/>
      <c r="V107" s="1"/>
      <c r="W107" s="1"/>
      <c r="X107" s="1"/>
      <c r="Y107" s="1"/>
      <c r="Z107" s="1"/>
      <c r="AA107" s="1"/>
      <c r="AB107" s="1"/>
      <c r="AC107" s="1"/>
      <c r="AD107" s="1"/>
      <c r="AE107" s="1"/>
      <c r="AF107" s="1"/>
      <c r="AG107" s="1"/>
      <c r="AH107" s="1"/>
      <c r="AI107" s="1"/>
      <c r="AJ107" s="1"/>
    </row>
    <row r="108" spans="1:36" ht="12.75" customHeight="1" x14ac:dyDescent="0.25">
      <c r="A108" s="1"/>
      <c r="B108" s="1"/>
      <c r="C108" s="1"/>
      <c r="D108" s="1"/>
      <c r="E108" s="1" t="s">
        <v>467</v>
      </c>
      <c r="F108" s="33" t="s">
        <v>470</v>
      </c>
      <c r="G108" s="15"/>
      <c r="H108" s="1"/>
      <c r="I108" s="1"/>
      <c r="J108" s="1"/>
      <c r="K108" s="1"/>
      <c r="L108" s="1"/>
      <c r="M108" s="1" t="s">
        <v>472</v>
      </c>
      <c r="N108" s="1"/>
      <c r="O108" s="33" t="s">
        <v>8</v>
      </c>
      <c r="P108" s="89">
        <v>2.1999999999999999E-2</v>
      </c>
      <c r="Q108" s="1"/>
      <c r="R108" s="1"/>
      <c r="S108" s="1"/>
      <c r="T108" s="1"/>
      <c r="U108" s="1"/>
      <c r="V108" s="1"/>
      <c r="W108" s="1"/>
      <c r="X108" s="1"/>
      <c r="Y108" s="1"/>
      <c r="Z108" s="1"/>
      <c r="AA108" s="1"/>
      <c r="AB108" s="1"/>
      <c r="AC108" s="1"/>
      <c r="AD108" s="1"/>
      <c r="AE108" s="1"/>
      <c r="AF108" s="1"/>
      <c r="AG108" s="1"/>
      <c r="AH108" s="1"/>
      <c r="AI108" s="1"/>
      <c r="AJ108" s="1"/>
    </row>
    <row r="109" spans="1:36" ht="12.75" customHeight="1" x14ac:dyDescent="0.25">
      <c r="A109" s="1"/>
      <c r="B109" s="1"/>
      <c r="C109" s="1"/>
      <c r="D109" s="1"/>
      <c r="E109" s="1"/>
      <c r="F109" s="1"/>
      <c r="G109" s="1"/>
      <c r="H109" s="1"/>
      <c r="I109" s="1"/>
      <c r="J109" s="1"/>
      <c r="K109" s="1"/>
      <c r="L109" s="1"/>
      <c r="M109" s="1" t="s">
        <v>473</v>
      </c>
      <c r="N109" s="1"/>
      <c r="O109" s="33" t="s">
        <v>8</v>
      </c>
      <c r="P109" s="251">
        <f>( G100 * P107 ) + ( G101 * P108 )</f>
        <v>2.5330000000000002E-2</v>
      </c>
      <c r="Q109" s="1"/>
      <c r="R109" s="1"/>
      <c r="S109" s="1"/>
      <c r="T109" s="1"/>
      <c r="U109" s="1"/>
      <c r="V109" s="1"/>
      <c r="W109" s="1"/>
      <c r="X109" s="1"/>
      <c r="Y109" s="1"/>
      <c r="Z109" s="1"/>
      <c r="AA109" s="1"/>
      <c r="AB109" s="1"/>
      <c r="AC109" s="1"/>
      <c r="AD109" s="1"/>
      <c r="AE109" s="1"/>
      <c r="AF109" s="1"/>
      <c r="AG109" s="1"/>
      <c r="AH109" s="1"/>
      <c r="AI109" s="1"/>
      <c r="AJ109" s="1"/>
    </row>
    <row r="110" spans="1:36" ht="12.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1:36" ht="12.75" customHeight="1" x14ac:dyDescent="0.25">
      <c r="A111" s="1"/>
      <c r="B111" s="1"/>
      <c r="C111" s="104" t="s">
        <v>474</v>
      </c>
      <c r="D111" s="104"/>
      <c r="E111" s="3"/>
      <c r="F111" s="3"/>
      <c r="G111" s="3"/>
      <c r="H111" s="3"/>
      <c r="I111" s="1"/>
      <c r="J111" s="1"/>
      <c r="K111" s="1"/>
      <c r="L111" s="1"/>
      <c r="M111" s="104" t="s">
        <v>475</v>
      </c>
      <c r="N111" s="104"/>
      <c r="O111" s="3"/>
      <c r="P111" s="3"/>
      <c r="Q111" s="3"/>
      <c r="R111" s="3"/>
      <c r="S111" s="1"/>
      <c r="T111" s="1"/>
      <c r="U111" s="1"/>
      <c r="V111" s="1"/>
      <c r="W111" s="1"/>
      <c r="X111" s="1"/>
      <c r="Y111" s="1"/>
      <c r="Z111" s="1"/>
      <c r="AA111" s="1"/>
      <c r="AB111" s="1"/>
      <c r="AC111" s="1"/>
      <c r="AD111" s="1"/>
      <c r="AE111" s="1"/>
      <c r="AF111" s="1"/>
      <c r="AG111" s="1"/>
      <c r="AH111" s="1"/>
      <c r="AI111" s="1"/>
      <c r="AJ111" s="1"/>
    </row>
    <row r="112" spans="1:36" ht="12.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ht="12.75" customHeight="1" x14ac:dyDescent="0.25">
      <c r="A113" s="1"/>
      <c r="B113" s="1"/>
      <c r="C113" s="1"/>
      <c r="D113" s="1"/>
      <c r="E113" s="1" t="s">
        <v>476</v>
      </c>
      <c r="F113" s="1"/>
      <c r="G113" s="252">
        <v>842</v>
      </c>
      <c r="H113" s="1" t="s">
        <v>477</v>
      </c>
      <c r="I113" s="1" t="s">
        <v>478</v>
      </c>
      <c r="J113" s="1"/>
      <c r="K113" s="1"/>
      <c r="L113" s="1"/>
      <c r="M113" s="1" t="s">
        <v>479</v>
      </c>
      <c r="N113" s="1"/>
      <c r="O113" s="33" t="s">
        <v>8</v>
      </c>
      <c r="P113" s="89">
        <v>0.02</v>
      </c>
      <c r="Q113" s="1"/>
      <c r="R113" s="1"/>
      <c r="S113" s="1"/>
      <c r="T113" s="1"/>
      <c r="U113" s="1"/>
      <c r="V113" s="1"/>
      <c r="W113" s="1"/>
      <c r="X113" s="1"/>
      <c r="Y113" s="1"/>
      <c r="Z113" s="1"/>
      <c r="AA113" s="1"/>
      <c r="AB113" s="1"/>
      <c r="AC113" s="1"/>
      <c r="AD113" s="1"/>
      <c r="AE113" s="1"/>
      <c r="AF113" s="1"/>
      <c r="AG113" s="1"/>
      <c r="AH113" s="1"/>
      <c r="AI113" s="1"/>
      <c r="AJ113" s="1"/>
    </row>
    <row r="114" spans="1:36" ht="12.75" customHeight="1" x14ac:dyDescent="0.25">
      <c r="A114" s="1"/>
      <c r="B114" s="1"/>
      <c r="C114" s="1"/>
      <c r="D114" s="1"/>
      <c r="E114" s="1"/>
      <c r="F114" s="1"/>
      <c r="G114" s="1"/>
      <c r="H114" s="1"/>
      <c r="I114" s="1"/>
      <c r="J114" s="1"/>
      <c r="K114" s="1"/>
      <c r="L114" s="1"/>
      <c r="M114" s="1" t="s">
        <v>480</v>
      </c>
      <c r="N114" s="1"/>
      <c r="O114" s="33" t="s">
        <v>8</v>
      </c>
      <c r="P114" s="89">
        <v>0.11</v>
      </c>
      <c r="Q114" s="1"/>
      <c r="R114" s="1"/>
      <c r="S114" s="1"/>
      <c r="T114" s="1"/>
      <c r="U114" s="1"/>
      <c r="V114" s="1"/>
      <c r="W114" s="1"/>
      <c r="X114" s="1"/>
      <c r="Y114" s="1"/>
      <c r="Z114" s="1"/>
      <c r="AA114" s="1"/>
      <c r="AB114" s="1"/>
      <c r="AC114" s="1"/>
      <c r="AD114" s="1"/>
      <c r="AE114" s="1"/>
      <c r="AF114" s="1"/>
      <c r="AG114" s="1"/>
      <c r="AH114" s="1"/>
      <c r="AI114" s="1"/>
      <c r="AJ114" s="1"/>
    </row>
    <row r="115" spans="1:36" ht="12.75" customHeight="1" x14ac:dyDescent="0.25">
      <c r="A115" s="1"/>
      <c r="B115" s="1"/>
      <c r="C115" s="1"/>
      <c r="D115" s="1"/>
      <c r="E115" s="1" t="s">
        <v>481</v>
      </c>
      <c r="F115" s="33" t="s">
        <v>116</v>
      </c>
      <c r="G115" s="1">
        <v>0.95609999999999995</v>
      </c>
      <c r="H115" s="1"/>
      <c r="I115" s="1"/>
      <c r="J115" s="1"/>
      <c r="K115" s="1"/>
      <c r="L115" s="1"/>
      <c r="M115" s="1" t="s">
        <v>482</v>
      </c>
      <c r="N115" s="1"/>
      <c r="O115" s="33" t="s">
        <v>8</v>
      </c>
      <c r="P115" s="89">
        <v>0.87</v>
      </c>
      <c r="Q115" s="1"/>
      <c r="R115" s="1"/>
      <c r="S115" s="1"/>
      <c r="T115" s="1"/>
      <c r="U115" s="1"/>
      <c r="V115" s="1"/>
      <c r="W115" s="1"/>
      <c r="X115" s="1"/>
      <c r="Y115" s="1"/>
      <c r="Z115" s="1"/>
      <c r="AA115" s="1"/>
      <c r="AB115" s="1"/>
      <c r="AC115" s="1"/>
      <c r="AD115" s="1"/>
      <c r="AE115" s="1"/>
      <c r="AF115" s="1"/>
      <c r="AG115" s="1"/>
      <c r="AH115" s="1"/>
      <c r="AI115" s="1"/>
      <c r="AJ115" s="1"/>
    </row>
    <row r="116" spans="1:36" ht="12.75" customHeight="1" x14ac:dyDescent="0.25">
      <c r="A116" s="1"/>
      <c r="B116" s="1"/>
      <c r="C116" s="1"/>
      <c r="D116" s="1"/>
      <c r="E116" s="1" t="s">
        <v>483</v>
      </c>
      <c r="F116" s="33" t="s">
        <v>100</v>
      </c>
      <c r="G116" s="39">
        <v>7.1</v>
      </c>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1:36" ht="12.75" customHeight="1" x14ac:dyDescent="0.25">
      <c r="A117" s="1"/>
      <c r="B117" s="1"/>
      <c r="C117" s="1"/>
      <c r="D117" s="1"/>
      <c r="E117" s="1" t="s">
        <v>484</v>
      </c>
      <c r="F117" s="33" t="s">
        <v>485</v>
      </c>
      <c r="G117" s="39">
        <v>371.6</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1:36" ht="12.75" customHeight="1" x14ac:dyDescent="0.25">
      <c r="A118" s="1"/>
      <c r="B118" s="1"/>
      <c r="C118" s="1"/>
      <c r="D118" s="1"/>
      <c r="E118" s="1" t="s">
        <v>486</v>
      </c>
      <c r="F118" s="33" t="s">
        <v>98</v>
      </c>
      <c r="G118" s="39">
        <v>52.3</v>
      </c>
      <c r="H118" s="1"/>
      <c r="I118" s="1"/>
      <c r="J118" s="1"/>
      <c r="K118" s="1"/>
      <c r="L118" s="1"/>
      <c r="M118" s="1" t="s">
        <v>487</v>
      </c>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1:36" ht="12.75" customHeight="1" x14ac:dyDescent="0.25">
      <c r="A119" s="1"/>
      <c r="B119" s="1"/>
      <c r="C119" s="1"/>
      <c r="D119" s="1"/>
      <c r="E119" s="1" t="s">
        <v>488</v>
      </c>
      <c r="F119" s="33" t="s">
        <v>98</v>
      </c>
      <c r="G119" s="39">
        <v>131.4</v>
      </c>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1:36" ht="12.75" customHeight="1" x14ac:dyDescent="0.25">
      <c r="A120" s="1"/>
      <c r="B120" s="1"/>
      <c r="C120" s="1"/>
      <c r="D120" s="1"/>
      <c r="E120" s="1"/>
      <c r="F120" s="33"/>
      <c r="G120" s="39" t="s">
        <v>489</v>
      </c>
      <c r="H120" s="76" t="s">
        <v>490</v>
      </c>
      <c r="I120" s="1"/>
      <c r="J120" s="1"/>
      <c r="K120" s="1"/>
      <c r="L120" s="1"/>
      <c r="M120" s="250" t="s">
        <v>491</v>
      </c>
      <c r="N120" s="250"/>
      <c r="O120" s="250"/>
      <c r="P120" s="250"/>
      <c r="Q120" s="250"/>
      <c r="R120" s="250"/>
      <c r="S120" s="1"/>
      <c r="T120" s="1"/>
      <c r="U120" s="1"/>
      <c r="V120" s="1"/>
      <c r="W120" s="1"/>
      <c r="X120" s="1"/>
      <c r="Y120" s="1"/>
      <c r="Z120" s="1"/>
      <c r="AA120" s="1"/>
      <c r="AB120" s="1"/>
      <c r="AC120" s="1"/>
      <c r="AD120" s="1"/>
      <c r="AE120" s="1"/>
      <c r="AF120" s="1"/>
      <c r="AG120" s="1"/>
      <c r="AH120" s="1"/>
      <c r="AI120" s="1"/>
      <c r="AJ120" s="1"/>
    </row>
    <row r="121" spans="1:36" ht="12.75" customHeight="1" x14ac:dyDescent="0.25">
      <c r="A121" s="1"/>
      <c r="B121" s="1"/>
      <c r="C121" s="1"/>
      <c r="D121" s="1"/>
      <c r="E121" s="1" t="s">
        <v>492</v>
      </c>
      <c r="F121" s="33" t="s">
        <v>493</v>
      </c>
      <c r="G121" s="39">
        <f>G116 * G119</f>
        <v>932.93999999999994</v>
      </c>
      <c r="H121" s="1"/>
      <c r="I121" s="1"/>
      <c r="J121" s="1"/>
      <c r="K121" s="1"/>
      <c r="L121" s="1"/>
      <c r="M121" s="13"/>
      <c r="N121" s="13"/>
      <c r="O121" s="13"/>
      <c r="P121" s="13"/>
      <c r="Q121" s="13"/>
      <c r="R121" s="13"/>
      <c r="S121" s="1"/>
      <c r="T121" s="1"/>
      <c r="U121" s="1"/>
      <c r="V121" s="1"/>
      <c r="W121" s="1"/>
      <c r="X121" s="1"/>
      <c r="Y121" s="1"/>
      <c r="Z121" s="1"/>
      <c r="AA121" s="1"/>
      <c r="AB121" s="1"/>
      <c r="AC121" s="1"/>
      <c r="AD121" s="1"/>
      <c r="AE121" s="1"/>
      <c r="AF121" s="1"/>
      <c r="AG121" s="1"/>
      <c r="AH121" s="1"/>
      <c r="AI121" s="1"/>
      <c r="AJ121" s="1"/>
    </row>
    <row r="122" spans="1:36" ht="12.75" customHeight="1" x14ac:dyDescent="0.25">
      <c r="A122" s="1"/>
      <c r="B122" s="1"/>
      <c r="C122" s="1"/>
      <c r="D122" s="1"/>
      <c r="E122" s="1" t="s">
        <v>494</v>
      </c>
      <c r="F122" s="33" t="s">
        <v>495</v>
      </c>
      <c r="G122" s="39">
        <f>G121 / G115</f>
        <v>975.77659240665196</v>
      </c>
      <c r="H122" s="1"/>
      <c r="I122" s="1"/>
      <c r="J122" s="1"/>
      <c r="K122" s="1"/>
      <c r="L122" s="1"/>
      <c r="M122" s="2" t="s">
        <v>496</v>
      </c>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1:36" ht="12.75" customHeight="1" x14ac:dyDescent="0.25">
      <c r="A123" s="1"/>
      <c r="B123" s="1"/>
      <c r="C123" s="1"/>
      <c r="D123" s="1"/>
      <c r="E123" s="1" t="s">
        <v>497</v>
      </c>
      <c r="F123" s="33" t="s">
        <v>28</v>
      </c>
      <c r="G123" s="39">
        <v>314.5</v>
      </c>
      <c r="H123" s="1"/>
      <c r="I123" s="1"/>
      <c r="J123" s="1"/>
      <c r="K123" s="1"/>
      <c r="L123" s="1"/>
      <c r="M123" s="1" t="s">
        <v>498</v>
      </c>
      <c r="N123" s="1"/>
      <c r="O123" s="33" t="s">
        <v>8</v>
      </c>
      <c r="P123" s="41">
        <v>0.67</v>
      </c>
      <c r="Q123" s="1"/>
      <c r="R123" s="1"/>
      <c r="S123" s="1"/>
      <c r="T123" s="1"/>
      <c r="U123" s="1"/>
      <c r="V123" s="1"/>
      <c r="W123" s="1"/>
      <c r="X123" s="1"/>
      <c r="Y123" s="1"/>
      <c r="Z123" s="1"/>
      <c r="AA123" s="1"/>
      <c r="AB123" s="1"/>
      <c r="AC123" s="1"/>
      <c r="AD123" s="1"/>
      <c r="AE123" s="1"/>
      <c r="AF123" s="1"/>
      <c r="AG123" s="1"/>
      <c r="AH123" s="1"/>
      <c r="AI123" s="1"/>
      <c r="AJ123" s="1"/>
    </row>
    <row r="124" spans="1:36" ht="12.75" customHeight="1" x14ac:dyDescent="0.25">
      <c r="A124" s="1"/>
      <c r="B124" s="1"/>
      <c r="C124" s="1"/>
      <c r="D124" s="1"/>
      <c r="E124" s="13" t="s">
        <v>499</v>
      </c>
      <c r="F124" s="43" t="s">
        <v>28</v>
      </c>
      <c r="G124" s="38">
        <f>G122 + G123</f>
        <v>1290.2765924066521</v>
      </c>
      <c r="H124" s="1"/>
      <c r="I124" s="1"/>
      <c r="J124" s="1"/>
      <c r="K124" s="1"/>
      <c r="L124" s="1"/>
      <c r="M124" s="1" t="s">
        <v>456</v>
      </c>
      <c r="N124" s="1"/>
      <c r="O124" s="33" t="s">
        <v>8</v>
      </c>
      <c r="P124" s="41">
        <v>0.18</v>
      </c>
      <c r="Q124" s="1"/>
      <c r="R124" s="1"/>
      <c r="S124" s="1"/>
      <c r="T124" s="1"/>
      <c r="U124" s="1"/>
      <c r="V124" s="1"/>
      <c r="W124" s="1"/>
      <c r="X124" s="1"/>
      <c r="Y124" s="1"/>
      <c r="Z124" s="1"/>
      <c r="AA124" s="1"/>
      <c r="AB124" s="1"/>
      <c r="AC124" s="1"/>
      <c r="AD124" s="1"/>
      <c r="AE124" s="1"/>
      <c r="AF124" s="1"/>
      <c r="AG124" s="1"/>
      <c r="AH124" s="1"/>
      <c r="AI124" s="1"/>
      <c r="AJ124" s="1"/>
    </row>
    <row r="125" spans="1:36" ht="12" customHeight="1" x14ac:dyDescent="0.25">
      <c r="A125" s="1"/>
      <c r="B125" s="1"/>
      <c r="C125" s="1"/>
      <c r="D125" s="1"/>
      <c r="E125" s="1"/>
      <c r="F125" s="1"/>
      <c r="G125" s="1"/>
      <c r="H125" s="1"/>
      <c r="I125" s="1"/>
      <c r="J125" s="1"/>
      <c r="K125" s="1"/>
      <c r="L125" s="1"/>
      <c r="M125" s="1" t="s">
        <v>464</v>
      </c>
      <c r="N125" s="1"/>
      <c r="O125" s="33" t="s">
        <v>8</v>
      </c>
      <c r="P125" s="41">
        <v>0.09</v>
      </c>
      <c r="Q125" s="1"/>
      <c r="R125" s="1"/>
      <c r="S125" s="1"/>
      <c r="T125" s="1"/>
      <c r="U125" s="1"/>
      <c r="V125" s="1"/>
      <c r="W125" s="1"/>
      <c r="X125" s="1"/>
      <c r="Y125" s="1"/>
      <c r="Z125" s="1"/>
      <c r="AA125" s="1"/>
      <c r="AB125" s="1"/>
      <c r="AC125" s="1"/>
      <c r="AD125" s="1"/>
      <c r="AE125" s="1"/>
      <c r="AF125" s="1"/>
      <c r="AG125" s="1"/>
      <c r="AH125" s="1"/>
      <c r="AI125" s="1"/>
      <c r="AJ125" s="1"/>
    </row>
    <row r="126" spans="1:36" ht="12.75" customHeight="1" x14ac:dyDescent="0.25">
      <c r="A126" s="1"/>
      <c r="B126" s="1"/>
      <c r="C126" s="1"/>
      <c r="D126" s="1"/>
      <c r="E126" s="1" t="s">
        <v>500</v>
      </c>
      <c r="F126" s="33" t="s">
        <v>28</v>
      </c>
      <c r="G126" s="80">
        <f>L63 + 0.4</f>
        <v>148.16699999999997</v>
      </c>
      <c r="H126" s="1"/>
      <c r="I126" s="1"/>
      <c r="J126" s="1"/>
      <c r="K126" s="1"/>
      <c r="L126" s="1"/>
      <c r="M126" s="1" t="s">
        <v>322</v>
      </c>
      <c r="N126" s="1"/>
      <c r="O126" s="33" t="s">
        <v>8</v>
      </c>
      <c r="P126" s="41">
        <f>1 - P123 - P124 - P125</f>
        <v>5.999999999999997E-2</v>
      </c>
      <c r="Q126" s="1"/>
      <c r="R126" s="1"/>
      <c r="S126" s="1"/>
      <c r="T126" s="1"/>
      <c r="U126" s="1"/>
      <c r="V126" s="1"/>
      <c r="W126" s="1"/>
      <c r="X126" s="1"/>
      <c r="Y126" s="1"/>
      <c r="Z126" s="1"/>
      <c r="AA126" s="1"/>
      <c r="AB126" s="1"/>
      <c r="AC126" s="1"/>
      <c r="AD126" s="1"/>
      <c r="AE126" s="1"/>
      <c r="AF126" s="1"/>
      <c r="AG126" s="1"/>
      <c r="AH126" s="1"/>
      <c r="AI126" s="1"/>
      <c r="AJ126" s="1"/>
    </row>
    <row r="127" spans="1:36" ht="12.75" customHeight="1" x14ac:dyDescent="0.25">
      <c r="A127" s="1"/>
      <c r="B127" s="1"/>
      <c r="C127" s="1"/>
      <c r="D127" s="1"/>
      <c r="E127" s="1" t="s">
        <v>501</v>
      </c>
      <c r="F127" s="33" t="s">
        <v>28</v>
      </c>
      <c r="G127" s="80">
        <f>L76 + 0.4</f>
        <v>119.96699999999997</v>
      </c>
      <c r="H127" s="1"/>
      <c r="I127" s="1"/>
      <c r="J127" s="1"/>
      <c r="K127" s="1"/>
      <c r="L127" s="1"/>
      <c r="M127" s="13" t="s">
        <v>366</v>
      </c>
      <c r="N127" s="13"/>
      <c r="O127" s="13"/>
      <c r="P127" s="144">
        <f>SUM( P123:P126 )</f>
        <v>1</v>
      </c>
      <c r="Q127" s="1"/>
      <c r="R127" s="1"/>
      <c r="S127" s="1"/>
      <c r="T127" s="1"/>
      <c r="U127" s="1"/>
      <c r="V127" s="1"/>
      <c r="W127" s="1"/>
      <c r="X127" s="1"/>
      <c r="Y127" s="1"/>
      <c r="Z127" s="1"/>
      <c r="AA127" s="1"/>
      <c r="AB127" s="1"/>
      <c r="AC127" s="1"/>
      <c r="AD127" s="1"/>
      <c r="AE127" s="1"/>
      <c r="AF127" s="1"/>
      <c r="AG127" s="1"/>
      <c r="AH127" s="1"/>
      <c r="AI127" s="1"/>
      <c r="AJ127" s="1"/>
    </row>
    <row r="128" spans="1:36" ht="12.75" customHeight="1" x14ac:dyDescent="0.25">
      <c r="A128" s="1"/>
      <c r="B128" s="1"/>
      <c r="C128" s="1"/>
      <c r="D128" s="1"/>
      <c r="E128" s="1" t="s">
        <v>502</v>
      </c>
      <c r="F128" s="33" t="s">
        <v>28</v>
      </c>
      <c r="G128" s="80">
        <f>L85</f>
        <v>73.7</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1:36" ht="12.75" customHeight="1" x14ac:dyDescent="0.25">
      <c r="A129" s="1"/>
      <c r="B129" s="1"/>
      <c r="C129" s="1"/>
      <c r="D129" s="1"/>
      <c r="E129" s="1"/>
      <c r="F129" s="33"/>
      <c r="G129" s="1"/>
      <c r="H129" s="1"/>
      <c r="I129" s="1"/>
      <c r="J129" s="1"/>
      <c r="K129" s="1"/>
      <c r="L129" s="1"/>
      <c r="M129" s="2" t="s">
        <v>503</v>
      </c>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ht="12.75" customHeight="1" x14ac:dyDescent="0.25">
      <c r="A130" s="1"/>
      <c r="B130" s="1"/>
      <c r="C130" s="1"/>
      <c r="D130" s="1"/>
      <c r="E130" s="1" t="str">
        <f t="shared" ref="E130:E131" si="37">"EV" &amp;  " / " &amp; E126</f>
        <v>EV / FY22F EBITDA</v>
      </c>
      <c r="F130" s="33" t="s">
        <v>52</v>
      </c>
      <c r="G130" s="45">
        <f>G124 / $G$126</f>
        <v>8.7082588728033397</v>
      </c>
      <c r="H130" s="1"/>
      <c r="I130" s="41"/>
      <c r="J130" s="1"/>
      <c r="K130" s="1"/>
      <c r="L130" s="1"/>
      <c r="M130" s="1" t="s">
        <v>498</v>
      </c>
      <c r="N130" s="1"/>
      <c r="O130" s="33" t="s">
        <v>8</v>
      </c>
      <c r="P130" s="41">
        <v>0.6</v>
      </c>
      <c r="Q130" s="1"/>
      <c r="R130" s="1"/>
      <c r="S130" s="1"/>
      <c r="T130" s="1"/>
      <c r="U130" s="1"/>
      <c r="V130" s="1"/>
      <c r="W130" s="1"/>
      <c r="X130" s="1"/>
      <c r="Y130" s="1"/>
      <c r="Z130" s="1"/>
      <c r="AA130" s="1"/>
      <c r="AB130" s="1"/>
      <c r="AC130" s="1"/>
      <c r="AD130" s="1"/>
      <c r="AE130" s="1"/>
      <c r="AF130" s="1"/>
      <c r="AG130" s="1"/>
      <c r="AH130" s="1"/>
      <c r="AI130" s="1"/>
      <c r="AJ130" s="1"/>
    </row>
    <row r="131" spans="1:36" ht="12.75" customHeight="1" x14ac:dyDescent="0.25">
      <c r="A131" s="1"/>
      <c r="B131" s="1"/>
      <c r="C131" s="1"/>
      <c r="D131" s="1"/>
      <c r="E131" s="1" t="str">
        <f t="shared" si="37"/>
        <v>EV / FY22F EBIT</v>
      </c>
      <c r="F131" s="33" t="s">
        <v>52</v>
      </c>
      <c r="G131" s="45">
        <f>G124 / G127</f>
        <v>10.755262633946439</v>
      </c>
      <c r="H131" s="1"/>
      <c r="I131" s="253"/>
      <c r="J131" s="1"/>
      <c r="K131" s="1"/>
      <c r="L131" s="1"/>
      <c r="M131" s="1" t="s">
        <v>456</v>
      </c>
      <c r="N131" s="1"/>
      <c r="O131" s="33" t="s">
        <v>8</v>
      </c>
      <c r="P131" s="41">
        <v>0.28000000000000003</v>
      </c>
      <c r="Q131" s="1"/>
      <c r="R131" s="1"/>
      <c r="S131" s="1"/>
      <c r="T131" s="1"/>
      <c r="U131" s="1"/>
      <c r="V131" s="1"/>
      <c r="W131" s="1"/>
      <c r="X131" s="1"/>
      <c r="Y131" s="1"/>
      <c r="Z131" s="1"/>
      <c r="AA131" s="1"/>
      <c r="AB131" s="1"/>
      <c r="AC131" s="1"/>
      <c r="AD131" s="1"/>
      <c r="AE131" s="1"/>
      <c r="AF131" s="1"/>
      <c r="AG131" s="1"/>
      <c r="AH131" s="1"/>
      <c r="AI131" s="1"/>
      <c r="AJ131" s="1"/>
    </row>
    <row r="132" spans="1:36" ht="12.75" customHeight="1" x14ac:dyDescent="0.25">
      <c r="A132" s="1"/>
      <c r="B132" s="1"/>
      <c r="C132" s="1"/>
      <c r="D132" s="1"/>
      <c r="E132" s="1" t="s">
        <v>504</v>
      </c>
      <c r="F132" s="33" t="s">
        <v>52</v>
      </c>
      <c r="G132" s="45">
        <f>G122 / G128</f>
        <v>13.239845215829741</v>
      </c>
      <c r="H132" s="1"/>
      <c r="I132" s="1"/>
      <c r="J132" s="1"/>
      <c r="K132" s="1"/>
      <c r="L132" s="1"/>
      <c r="M132" s="1" t="s">
        <v>322</v>
      </c>
      <c r="N132" s="1"/>
      <c r="O132" s="33" t="s">
        <v>8</v>
      </c>
      <c r="P132" s="41">
        <f>1 - P130 - P131</f>
        <v>0.12</v>
      </c>
      <c r="Q132" s="1"/>
      <c r="R132" s="1"/>
      <c r="S132" s="1"/>
      <c r="T132" s="1"/>
      <c r="U132" s="1"/>
      <c r="V132" s="1"/>
      <c r="W132" s="1"/>
      <c r="X132" s="1"/>
      <c r="Y132" s="1"/>
      <c r="Z132" s="1"/>
      <c r="AA132" s="1"/>
      <c r="AB132" s="1"/>
      <c r="AC132" s="1"/>
      <c r="AD132" s="1"/>
      <c r="AE132" s="1"/>
      <c r="AF132" s="1"/>
      <c r="AG132" s="1"/>
      <c r="AH132" s="1"/>
      <c r="AI132" s="1"/>
      <c r="AJ132" s="1"/>
    </row>
    <row r="133" spans="1:36" ht="12.75" customHeight="1" x14ac:dyDescent="0.25">
      <c r="A133" s="1"/>
      <c r="B133" s="1"/>
      <c r="C133" s="1"/>
      <c r="D133" s="1"/>
      <c r="E133" s="1" t="s">
        <v>113</v>
      </c>
      <c r="F133" s="33" t="s">
        <v>8</v>
      </c>
      <c r="G133" s="254" t="s">
        <v>505</v>
      </c>
      <c r="H133" s="1"/>
      <c r="I133" s="1"/>
      <c r="J133" s="1"/>
      <c r="K133" s="1"/>
      <c r="L133" s="1"/>
      <c r="M133" s="13" t="s">
        <v>366</v>
      </c>
      <c r="N133" s="13"/>
      <c r="O133" s="43" t="s">
        <v>8</v>
      </c>
      <c r="P133" s="144">
        <f>SUM( P130:P132 )</f>
        <v>1</v>
      </c>
      <c r="Q133" s="1"/>
      <c r="R133" s="1"/>
      <c r="S133" s="1"/>
      <c r="T133" s="1"/>
      <c r="U133" s="1"/>
      <c r="V133" s="1"/>
      <c r="W133" s="1"/>
      <c r="X133" s="1"/>
      <c r="Y133" s="1"/>
      <c r="Z133" s="1"/>
      <c r="AA133" s="1"/>
      <c r="AB133" s="1"/>
      <c r="AC133" s="1"/>
      <c r="AD133" s="1"/>
      <c r="AE133" s="1"/>
      <c r="AF133" s="1"/>
      <c r="AG133" s="1"/>
      <c r="AH133" s="1"/>
      <c r="AI133" s="1"/>
      <c r="AJ133" s="1"/>
    </row>
    <row r="134" spans="1:36" ht="12.75" customHeight="1" x14ac:dyDescent="0.25">
      <c r="A134" s="1"/>
      <c r="B134" s="1"/>
      <c r="C134" s="1"/>
      <c r="D134" s="1"/>
      <c r="E134" s="1" t="s">
        <v>506</v>
      </c>
      <c r="F134" s="33" t="s">
        <v>52</v>
      </c>
      <c r="G134" s="45">
        <f>Q246 / L63</f>
        <v>2.1283507143002165</v>
      </c>
      <c r="H134" s="1"/>
      <c r="I134" s="1"/>
      <c r="J134" s="1"/>
      <c r="K134" s="1"/>
      <c r="L134" s="1"/>
      <c r="M134" s="1"/>
      <c r="N134" s="1"/>
      <c r="O134" s="33"/>
      <c r="P134" s="41"/>
      <c r="Q134" s="1"/>
      <c r="R134" s="1"/>
      <c r="S134" s="1"/>
      <c r="T134" s="1"/>
      <c r="U134" s="1"/>
      <c r="V134" s="1"/>
      <c r="W134" s="1"/>
      <c r="X134" s="1"/>
      <c r="Y134" s="1"/>
      <c r="Z134" s="1"/>
      <c r="AA134" s="1"/>
      <c r="AB134" s="1"/>
      <c r="AC134" s="1"/>
      <c r="AD134" s="1"/>
      <c r="AE134" s="1"/>
      <c r="AF134" s="1"/>
      <c r="AG134" s="1"/>
      <c r="AH134" s="1"/>
      <c r="AI134" s="1"/>
      <c r="AJ134" s="1"/>
    </row>
    <row r="135" spans="1:36" ht="12.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ht="12.75" customHeight="1" x14ac:dyDescent="0.25">
      <c r="A136" s="1"/>
      <c r="B136" s="1"/>
      <c r="C136" s="1"/>
      <c r="D136" s="1"/>
      <c r="E136" s="1"/>
      <c r="F136" s="1"/>
      <c r="G136" s="595" t="s">
        <v>156</v>
      </c>
      <c r="H136" s="596"/>
      <c r="I136" s="596"/>
      <c r="J136" s="597"/>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ht="12.75" customHeight="1" x14ac:dyDescent="0.25">
      <c r="A137" s="1"/>
      <c r="B137" s="1"/>
      <c r="C137" s="4" t="s">
        <v>507</v>
      </c>
      <c r="D137" s="4" t="s">
        <v>157</v>
      </c>
      <c r="E137" s="3"/>
      <c r="F137" s="3"/>
      <c r="G137" s="121" t="s">
        <v>113</v>
      </c>
      <c r="H137" s="121" t="s">
        <v>158</v>
      </c>
      <c r="I137" s="121" t="s">
        <v>159</v>
      </c>
      <c r="J137" s="121" t="s">
        <v>160</v>
      </c>
      <c r="K137" s="1"/>
      <c r="L137" s="1"/>
      <c r="M137" s="104" t="s">
        <v>508</v>
      </c>
      <c r="N137" s="104"/>
      <c r="O137" s="3"/>
      <c r="P137" s="3"/>
      <c r="Q137" s="3"/>
      <c r="R137" s="3"/>
      <c r="S137" s="1"/>
      <c r="T137" s="1"/>
      <c r="U137" s="1"/>
      <c r="V137" s="1"/>
      <c r="W137" s="1"/>
      <c r="X137" s="1"/>
      <c r="Y137" s="1"/>
      <c r="Z137" s="1"/>
      <c r="AA137" s="1"/>
      <c r="AB137" s="1"/>
      <c r="AC137" s="1"/>
      <c r="AD137" s="1"/>
      <c r="AE137" s="1"/>
      <c r="AF137" s="1"/>
      <c r="AG137" s="1"/>
      <c r="AH137" s="1"/>
      <c r="AI137" s="1"/>
      <c r="AJ137" s="1"/>
    </row>
    <row r="138" spans="1:36" ht="12.75" customHeight="1" x14ac:dyDescent="0.25">
      <c r="A138" s="1"/>
      <c r="B138" s="1"/>
      <c r="C138" s="6"/>
      <c r="D138" s="6"/>
      <c r="E138" s="6"/>
      <c r="F138" s="6"/>
      <c r="G138" s="6"/>
      <c r="H138" s="6"/>
      <c r="I138" s="6"/>
      <c r="J138" s="6"/>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ht="7.5" customHeight="1" x14ac:dyDescent="0.25">
      <c r="A139" s="1"/>
      <c r="B139" s="1"/>
      <c r="C139" s="13"/>
      <c r="D139" s="13"/>
      <c r="E139" s="13"/>
      <c r="F139" s="13"/>
      <c r="G139" s="13"/>
      <c r="H139" s="13"/>
      <c r="I139" s="13"/>
      <c r="J139" s="13"/>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ht="12.75" customHeight="1" x14ac:dyDescent="0.25">
      <c r="A140" s="1"/>
      <c r="B140" s="1"/>
      <c r="C140" s="1"/>
      <c r="D140" s="1" t="e">
        <f t="shared" ref="D140:D147" ca="1" si="38">_xll.TR($F140,"CF_Name")</f>
        <v>#NAME?</v>
      </c>
      <c r="E140" s="1"/>
      <c r="F140" s="123" t="s">
        <v>509</v>
      </c>
      <c r="G140" s="124" t="str">
        <f t="shared" ref="G140:G147" ca="1" si="39">IFERROR( _xll.TR($F140, "TR.DPSSmartYield(Period=NTM)") / 100, "n/a" )</f>
        <v>n/a</v>
      </c>
      <c r="H140" s="32" t="str">
        <f t="shared" ref="H140:H147" ca="1" si="40">IFERROR( _xll.TR($F140, "TR.FwdEVtoEBISmartEst(Period=NTM)"), "n/a" )</f>
        <v>n/a</v>
      </c>
      <c r="I140" s="125" t="str">
        <f t="shared" ref="I140:I147" ca="1" si="41">IFERROR( _xll.TR($F140, "TR.fwdPtoEPSSmartEst(Period=NTM)"), "n/a" )</f>
        <v>n/a</v>
      </c>
      <c r="J140" s="125" t="str">
        <f t="shared" ref="J140:J147" ca="1" si="42">IFERROR( _xll.TR($F140, "TR.EVtoEBITDASmartEst(Period=NTM)"), "n/a" )</f>
        <v>n/a</v>
      </c>
      <c r="K140" s="1"/>
      <c r="L140" s="1"/>
      <c r="M140" s="1" t="s">
        <v>510</v>
      </c>
      <c r="N140" s="1"/>
      <c r="O140" s="1" t="s">
        <v>511</v>
      </c>
      <c r="P140" s="1"/>
      <c r="Q140" s="1"/>
      <c r="R140" s="1"/>
      <c r="S140" s="1"/>
      <c r="T140" s="1"/>
      <c r="U140" s="1"/>
      <c r="V140" s="1"/>
      <c r="W140" s="1"/>
      <c r="X140" s="1"/>
      <c r="Y140" s="1"/>
      <c r="Z140" s="1"/>
      <c r="AA140" s="1"/>
      <c r="AB140" s="1"/>
      <c r="AC140" s="1"/>
      <c r="AD140" s="1"/>
      <c r="AE140" s="1"/>
      <c r="AF140" s="1"/>
      <c r="AG140" s="1"/>
      <c r="AH140" s="1"/>
      <c r="AI140" s="1"/>
      <c r="AJ140" s="1"/>
    </row>
    <row r="141" spans="1:36" ht="12.75" customHeight="1" x14ac:dyDescent="0.25">
      <c r="A141" s="1"/>
      <c r="B141" s="1"/>
      <c r="C141" s="1"/>
      <c r="D141" s="1" t="e">
        <f t="shared" ca="1" si="38"/>
        <v>#NAME?</v>
      </c>
      <c r="E141" s="1"/>
      <c r="F141" s="123" t="s">
        <v>512</v>
      </c>
      <c r="G141" s="124" t="str">
        <f t="shared" ca="1" si="39"/>
        <v>n/a</v>
      </c>
      <c r="H141" s="32" t="str">
        <f t="shared" ca="1" si="40"/>
        <v>n/a</v>
      </c>
      <c r="I141" s="125" t="str">
        <f t="shared" ca="1" si="41"/>
        <v>n/a</v>
      </c>
      <c r="J141" s="125" t="str">
        <f t="shared" ca="1" si="42"/>
        <v>n/a</v>
      </c>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ht="12.75" customHeight="1" x14ac:dyDescent="0.25">
      <c r="A142" s="1"/>
      <c r="B142" s="1"/>
      <c r="C142" s="1"/>
      <c r="D142" s="1" t="e">
        <f t="shared" ca="1" si="38"/>
        <v>#NAME?</v>
      </c>
      <c r="E142" s="1"/>
      <c r="F142" s="123" t="s">
        <v>513</v>
      </c>
      <c r="G142" s="124" t="str">
        <f t="shared" ca="1" si="39"/>
        <v>n/a</v>
      </c>
      <c r="H142" s="32" t="str">
        <f t="shared" ca="1" si="40"/>
        <v>n/a</v>
      </c>
      <c r="I142" s="125" t="str">
        <f t="shared" ca="1" si="41"/>
        <v>n/a</v>
      </c>
      <c r="J142" s="125" t="str">
        <f t="shared" ca="1" si="42"/>
        <v>n/a</v>
      </c>
      <c r="K142" s="1"/>
      <c r="L142" s="1"/>
      <c r="M142" s="123" t="s">
        <v>514</v>
      </c>
      <c r="N142" s="1"/>
      <c r="O142" s="2" t="s">
        <v>414</v>
      </c>
      <c r="P142" s="1"/>
      <c r="Q142" s="1"/>
      <c r="R142" s="1"/>
      <c r="S142" s="1"/>
      <c r="T142" s="1"/>
      <c r="U142" s="1"/>
      <c r="V142" s="1"/>
      <c r="W142" s="1"/>
      <c r="X142" s="1"/>
      <c r="Y142" s="1"/>
      <c r="Z142" s="1"/>
      <c r="AA142" s="1"/>
      <c r="AB142" s="1"/>
      <c r="AC142" s="1"/>
      <c r="AD142" s="1"/>
      <c r="AE142" s="1"/>
      <c r="AF142" s="1"/>
      <c r="AG142" s="1"/>
      <c r="AH142" s="1"/>
      <c r="AI142" s="1"/>
      <c r="AJ142" s="1"/>
    </row>
    <row r="143" spans="1:36" ht="12.75" customHeight="1" x14ac:dyDescent="0.25">
      <c r="A143" s="1"/>
      <c r="B143" s="1"/>
      <c r="C143" s="1"/>
      <c r="D143" s="1" t="e">
        <f t="shared" ca="1" si="38"/>
        <v>#NAME?</v>
      </c>
      <c r="E143" s="1"/>
      <c r="F143" s="123" t="s">
        <v>515</v>
      </c>
      <c r="G143" s="124" t="str">
        <f t="shared" ca="1" si="39"/>
        <v>n/a</v>
      </c>
      <c r="H143" s="32" t="str">
        <f t="shared" ca="1" si="40"/>
        <v>n/a</v>
      </c>
      <c r="I143" s="125" t="str">
        <f t="shared" ca="1" si="41"/>
        <v>n/a</v>
      </c>
      <c r="J143" s="125" t="str">
        <f t="shared" ca="1" si="42"/>
        <v>n/a</v>
      </c>
      <c r="K143" s="1"/>
      <c r="L143" s="1"/>
      <c r="M143" s="123" t="s">
        <v>516</v>
      </c>
      <c r="N143" s="1"/>
      <c r="O143" s="1" t="s">
        <v>517</v>
      </c>
      <c r="P143" s="67">
        <v>0.83</v>
      </c>
      <c r="Q143" s="1"/>
      <c r="R143" s="1"/>
      <c r="S143" s="1"/>
      <c r="T143" s="1"/>
      <c r="U143" s="1"/>
      <c r="V143" s="1"/>
      <c r="W143" s="1"/>
      <c r="X143" s="1"/>
      <c r="Y143" s="1"/>
      <c r="Z143" s="1"/>
      <c r="AA143" s="1"/>
      <c r="AB143" s="1"/>
      <c r="AC143" s="1"/>
      <c r="AD143" s="1"/>
      <c r="AE143" s="1"/>
      <c r="AF143" s="1"/>
      <c r="AG143" s="1"/>
      <c r="AH143" s="1"/>
      <c r="AI143" s="1"/>
      <c r="AJ143" s="1"/>
    </row>
    <row r="144" spans="1:36" ht="12.75" customHeight="1" x14ac:dyDescent="0.25">
      <c r="A144" s="1"/>
      <c r="B144" s="1"/>
      <c r="C144" s="1"/>
      <c r="D144" s="1" t="e">
        <f t="shared" ca="1" si="38"/>
        <v>#NAME?</v>
      </c>
      <c r="E144" s="1"/>
      <c r="F144" s="123" t="s">
        <v>518</v>
      </c>
      <c r="G144" s="124" t="str">
        <f t="shared" ca="1" si="39"/>
        <v>n/a</v>
      </c>
      <c r="H144" s="32" t="str">
        <f t="shared" ca="1" si="40"/>
        <v>n/a</v>
      </c>
      <c r="I144" s="125" t="str">
        <f t="shared" ca="1" si="41"/>
        <v>n/a</v>
      </c>
      <c r="J144" s="125" t="str">
        <f t="shared" ca="1" si="42"/>
        <v>n/a</v>
      </c>
      <c r="K144" s="1"/>
      <c r="L144" s="1"/>
      <c r="M144" s="123"/>
      <c r="N144" s="1"/>
      <c r="O144" s="1"/>
      <c r="P144" s="67"/>
      <c r="Q144" s="1"/>
      <c r="R144" s="1"/>
      <c r="S144" s="1"/>
      <c r="T144" s="1"/>
      <c r="U144" s="1"/>
      <c r="V144" s="1"/>
      <c r="W144" s="1"/>
      <c r="X144" s="1"/>
      <c r="Y144" s="1"/>
      <c r="Z144" s="1"/>
      <c r="AA144" s="1"/>
      <c r="AB144" s="1"/>
      <c r="AC144" s="1"/>
      <c r="AD144" s="1"/>
      <c r="AE144" s="1"/>
      <c r="AF144" s="1"/>
      <c r="AG144" s="1"/>
      <c r="AH144" s="1"/>
      <c r="AI144" s="1"/>
      <c r="AJ144" s="1"/>
    </row>
    <row r="145" spans="1:36" ht="12.75" customHeight="1" x14ac:dyDescent="0.25">
      <c r="A145" s="1"/>
      <c r="B145" s="1"/>
      <c r="C145" s="1"/>
      <c r="D145" s="1" t="e">
        <f t="shared" ca="1" si="38"/>
        <v>#NAME?</v>
      </c>
      <c r="E145" s="1"/>
      <c r="F145" s="123" t="s">
        <v>519</v>
      </c>
      <c r="G145" s="124" t="str">
        <f t="shared" ca="1" si="39"/>
        <v>n/a</v>
      </c>
      <c r="H145" s="32" t="str">
        <f t="shared" ca="1" si="40"/>
        <v>n/a</v>
      </c>
      <c r="I145" s="125" t="str">
        <f t="shared" ca="1" si="41"/>
        <v>n/a</v>
      </c>
      <c r="J145" s="125" t="str">
        <f t="shared" ca="1" si="42"/>
        <v>n/a</v>
      </c>
      <c r="K145" s="1"/>
      <c r="L145" s="1"/>
      <c r="M145" s="123" t="s">
        <v>520</v>
      </c>
      <c r="N145" s="1"/>
      <c r="O145" s="1" t="s">
        <v>521</v>
      </c>
      <c r="P145" s="67">
        <v>0.17</v>
      </c>
      <c r="Q145" s="1"/>
      <c r="R145" s="1"/>
      <c r="S145" s="1"/>
      <c r="T145" s="1"/>
      <c r="U145" s="1"/>
      <c r="V145" s="1"/>
      <c r="W145" s="1"/>
      <c r="X145" s="1"/>
      <c r="Y145" s="1"/>
      <c r="Z145" s="1"/>
      <c r="AA145" s="1"/>
      <c r="AB145" s="1"/>
      <c r="AC145" s="1"/>
      <c r="AD145" s="1"/>
      <c r="AE145" s="1"/>
      <c r="AF145" s="1"/>
      <c r="AG145" s="1"/>
      <c r="AH145" s="1"/>
      <c r="AI145" s="1"/>
      <c r="AJ145" s="1"/>
    </row>
    <row r="146" spans="1:36" ht="12.75" customHeight="1" x14ac:dyDescent="0.25">
      <c r="A146" s="1"/>
      <c r="B146" s="1"/>
      <c r="C146" s="1"/>
      <c r="D146" s="1" t="e">
        <f t="shared" ca="1" si="38"/>
        <v>#NAME?</v>
      </c>
      <c r="E146" s="1"/>
      <c r="F146" s="131" t="s">
        <v>522</v>
      </c>
      <c r="G146" s="124" t="str">
        <f t="shared" ca="1" si="39"/>
        <v>n/a</v>
      </c>
      <c r="H146" s="32" t="str">
        <f t="shared" ca="1" si="40"/>
        <v>n/a</v>
      </c>
      <c r="I146" s="125" t="str">
        <f t="shared" ca="1" si="41"/>
        <v>n/a</v>
      </c>
      <c r="J146" s="125" t="str">
        <f t="shared" ca="1" si="42"/>
        <v>n/a</v>
      </c>
      <c r="K146" s="1"/>
      <c r="L146" s="1"/>
      <c r="M146" s="123" t="s">
        <v>523</v>
      </c>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1:36" ht="12.75" customHeight="1" x14ac:dyDescent="0.25">
      <c r="A147" s="1"/>
      <c r="B147" s="1"/>
      <c r="C147" s="1"/>
      <c r="D147" s="1" t="e">
        <f t="shared" ca="1" si="38"/>
        <v>#NAME?</v>
      </c>
      <c r="E147" s="1"/>
      <c r="F147" s="131" t="s">
        <v>524</v>
      </c>
      <c r="G147" s="124" t="str">
        <f t="shared" ca="1" si="39"/>
        <v>n/a</v>
      </c>
      <c r="H147" s="32" t="str">
        <f t="shared" ca="1" si="40"/>
        <v>n/a</v>
      </c>
      <c r="I147" s="125" t="str">
        <f t="shared" ca="1" si="41"/>
        <v>n/a</v>
      </c>
      <c r="J147" s="125" t="str">
        <f t="shared" ca="1" si="42"/>
        <v>n/a</v>
      </c>
      <c r="K147" s="1"/>
      <c r="L147" s="1"/>
      <c r="M147" s="123"/>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ht="12.75" customHeight="1" x14ac:dyDescent="0.25">
      <c r="A148" s="1"/>
      <c r="B148" s="1"/>
      <c r="C148" s="1"/>
      <c r="D148" s="138" t="s">
        <v>525</v>
      </c>
      <c r="E148" s="138"/>
      <c r="F148" s="255" t="s">
        <v>526</v>
      </c>
      <c r="G148" s="141">
        <v>5.2499999999999998E-2</v>
      </c>
      <c r="H148" s="142">
        <f>G131</f>
        <v>10.755262633946439</v>
      </c>
      <c r="I148" s="256">
        <f>G132</f>
        <v>13.239845215829741</v>
      </c>
      <c r="J148" s="257">
        <f>G130</f>
        <v>8.7082588728033397</v>
      </c>
      <c r="K148" s="1"/>
      <c r="L148" s="1"/>
      <c r="M148" s="123" t="s">
        <v>527</v>
      </c>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ht="9" customHeight="1" x14ac:dyDescent="0.25">
      <c r="A149" s="1"/>
      <c r="B149" s="1"/>
      <c r="C149" s="1"/>
      <c r="D149" s="1"/>
      <c r="E149" s="1"/>
      <c r="F149" s="1"/>
      <c r="G149" s="1"/>
      <c r="H149" s="1"/>
      <c r="I149" s="1"/>
      <c r="J149" s="1"/>
      <c r="K149" s="1"/>
      <c r="L149" s="1"/>
      <c r="M149" s="123" t="s">
        <v>528</v>
      </c>
      <c r="N149" s="1"/>
      <c r="O149" s="2" t="s">
        <v>529</v>
      </c>
      <c r="P149" s="1"/>
      <c r="Q149" s="1"/>
      <c r="R149" s="1"/>
      <c r="S149" s="1"/>
      <c r="T149" s="1"/>
      <c r="U149" s="1"/>
      <c r="V149" s="1"/>
      <c r="W149" s="1"/>
      <c r="X149" s="1"/>
      <c r="Y149" s="1"/>
      <c r="Z149" s="1"/>
      <c r="AA149" s="1"/>
      <c r="AB149" s="1"/>
      <c r="AC149" s="1"/>
      <c r="AD149" s="1"/>
      <c r="AE149" s="1"/>
      <c r="AF149" s="1"/>
      <c r="AG149" s="1"/>
      <c r="AH149" s="1"/>
      <c r="AI149" s="1"/>
      <c r="AJ149" s="1"/>
    </row>
    <row r="150" spans="1:36" ht="12.75" customHeight="1" x14ac:dyDescent="0.25">
      <c r="A150" s="1"/>
      <c r="B150" s="1"/>
      <c r="C150" s="1"/>
      <c r="D150" s="13" t="s">
        <v>185</v>
      </c>
      <c r="E150" s="13"/>
      <c r="F150" s="13"/>
      <c r="G150" s="144" t="e">
        <f t="shared" ref="G150:J150" ca="1" si="43">AVERAGE( G140:G147 )</f>
        <v>#DIV/0!</v>
      </c>
      <c r="H150" s="145" t="e">
        <f t="shared" ca="1" si="43"/>
        <v>#DIV/0!</v>
      </c>
      <c r="I150" s="145" t="e">
        <f t="shared" ca="1" si="43"/>
        <v>#DIV/0!</v>
      </c>
      <c r="J150" s="145" t="e">
        <f t="shared" ca="1" si="43"/>
        <v>#DIV/0!</v>
      </c>
      <c r="K150" s="1"/>
      <c r="L150" s="1"/>
      <c r="M150" s="1"/>
      <c r="N150" s="1"/>
      <c r="O150" s="1" t="s">
        <v>517</v>
      </c>
      <c r="P150" s="67">
        <v>0</v>
      </c>
      <c r="Q150" s="1"/>
      <c r="R150" s="1"/>
      <c r="S150" s="1"/>
      <c r="T150" s="1"/>
      <c r="U150" s="1"/>
      <c r="V150" s="1"/>
      <c r="W150" s="1"/>
      <c r="X150" s="1"/>
      <c r="Y150" s="1"/>
      <c r="Z150" s="1"/>
      <c r="AA150" s="1"/>
      <c r="AB150" s="1"/>
      <c r="AC150" s="1"/>
      <c r="AD150" s="1"/>
      <c r="AE150" s="1"/>
      <c r="AF150" s="1"/>
      <c r="AG150" s="1"/>
      <c r="AH150" s="1"/>
      <c r="AI150" s="1"/>
      <c r="AJ150" s="1"/>
    </row>
    <row r="151" spans="1:36" ht="12.75" customHeight="1" x14ac:dyDescent="0.25">
      <c r="A151" s="1"/>
      <c r="B151" s="1"/>
      <c r="C151" s="1"/>
      <c r="D151" s="1" t="s">
        <v>187</v>
      </c>
      <c r="E151" s="1"/>
      <c r="F151" s="1"/>
      <c r="G151" s="41" t="e">
        <f t="shared" ref="G151:J151" ca="1" si="44">MEDIAN( G140:G147 )</f>
        <v>#NUM!</v>
      </c>
      <c r="H151" s="45" t="e">
        <f t="shared" ca="1" si="44"/>
        <v>#NUM!</v>
      </c>
      <c r="I151" s="45" t="e">
        <f t="shared" ca="1" si="44"/>
        <v>#NUM!</v>
      </c>
      <c r="J151" s="45" t="e">
        <f t="shared" ca="1" si="44"/>
        <v>#NUM!</v>
      </c>
      <c r="K151" s="1"/>
      <c r="L151" s="1"/>
      <c r="M151" s="1"/>
      <c r="N151" s="1"/>
      <c r="O151" s="1" t="s">
        <v>521</v>
      </c>
      <c r="P151" s="67">
        <v>1</v>
      </c>
      <c r="Q151" s="1"/>
      <c r="R151" s="1"/>
      <c r="S151" s="1"/>
      <c r="T151" s="1"/>
      <c r="U151" s="1"/>
      <c r="V151" s="1"/>
      <c r="W151" s="1"/>
      <c r="X151" s="1"/>
      <c r="Y151" s="1"/>
      <c r="Z151" s="1"/>
      <c r="AA151" s="1"/>
      <c r="AB151" s="1"/>
      <c r="AC151" s="1"/>
      <c r="AD151" s="1"/>
      <c r="AE151" s="1"/>
      <c r="AF151" s="1"/>
      <c r="AG151" s="1"/>
      <c r="AH151" s="1"/>
      <c r="AI151" s="1"/>
      <c r="AJ151" s="1"/>
    </row>
    <row r="152" spans="1:36" ht="12.75" customHeight="1" x14ac:dyDescent="0.25">
      <c r="A152" s="1"/>
      <c r="B152" s="1"/>
      <c r="C152" s="1"/>
      <c r="D152" s="1" t="s">
        <v>189</v>
      </c>
      <c r="E152" s="1"/>
      <c r="F152" s="1"/>
      <c r="G152" s="41">
        <f t="shared" ref="G152:J152" ca="1" si="45">MAX( G140:G148 )</f>
        <v>5.2499999999999998E-2</v>
      </c>
      <c r="H152" s="45">
        <f t="shared" ca="1" si="45"/>
        <v>10.755262633946439</v>
      </c>
      <c r="I152" s="45">
        <f t="shared" ca="1" si="45"/>
        <v>13.239845215829741</v>
      </c>
      <c r="J152" s="45">
        <f t="shared" ca="1" si="45"/>
        <v>8.7082588728033397</v>
      </c>
      <c r="K152" s="1"/>
      <c r="L152" s="1"/>
      <c r="M152" s="1"/>
      <c r="N152" s="1"/>
      <c r="O152" s="1"/>
      <c r="P152" s="258"/>
      <c r="Q152" s="1"/>
      <c r="R152" s="1"/>
      <c r="S152" s="1"/>
      <c r="T152" s="1"/>
      <c r="U152" s="1"/>
      <c r="V152" s="1"/>
      <c r="W152" s="1"/>
      <c r="X152" s="1"/>
      <c r="Y152" s="1"/>
      <c r="Z152" s="1"/>
      <c r="AA152" s="1"/>
      <c r="AB152" s="1"/>
      <c r="AC152" s="1"/>
      <c r="AD152" s="1"/>
      <c r="AE152" s="1"/>
      <c r="AF152" s="1"/>
      <c r="AG152" s="1"/>
      <c r="AH152" s="1"/>
      <c r="AI152" s="1"/>
      <c r="AJ152" s="1"/>
    </row>
    <row r="153" spans="1:36" ht="12.75" customHeight="1" x14ac:dyDescent="0.25">
      <c r="A153" s="1"/>
      <c r="B153" s="1"/>
      <c r="C153" s="1"/>
      <c r="D153" s="1" t="s">
        <v>190</v>
      </c>
      <c r="E153" s="1"/>
      <c r="F153" s="1"/>
      <c r="G153" s="41">
        <f t="shared" ref="G153:J153" ca="1" si="46">MIN( G140:G148 )</f>
        <v>5.2499999999999998E-2</v>
      </c>
      <c r="H153" s="45">
        <f t="shared" ca="1" si="46"/>
        <v>10.755262633946439</v>
      </c>
      <c r="I153" s="45">
        <f t="shared" ca="1" si="46"/>
        <v>13.239845215829741</v>
      </c>
      <c r="J153" s="45">
        <f t="shared" ca="1" si="46"/>
        <v>8.7082588728033397</v>
      </c>
      <c r="K153" s="1"/>
      <c r="L153" s="1"/>
      <c r="M153" s="1"/>
      <c r="N153" s="1"/>
      <c r="O153" s="1"/>
      <c r="P153" s="258"/>
      <c r="Q153" s="1"/>
      <c r="R153" s="1"/>
      <c r="S153" s="1"/>
      <c r="T153" s="1"/>
      <c r="U153" s="1"/>
      <c r="V153" s="1"/>
      <c r="W153" s="1"/>
      <c r="X153" s="1"/>
      <c r="Y153" s="1"/>
      <c r="Z153" s="1"/>
      <c r="AA153" s="1"/>
      <c r="AB153" s="1"/>
      <c r="AC153" s="1"/>
      <c r="AD153" s="1"/>
      <c r="AE153" s="1"/>
      <c r="AF153" s="1"/>
      <c r="AG153" s="1"/>
      <c r="AH153" s="1"/>
      <c r="AI153" s="1"/>
      <c r="AJ153" s="1"/>
    </row>
    <row r="154" spans="1:36" ht="12.75" customHeight="1" x14ac:dyDescent="0.25">
      <c r="A154" s="1"/>
      <c r="B154" s="1"/>
      <c r="C154" s="1"/>
      <c r="D154" s="1" t="s">
        <v>192</v>
      </c>
      <c r="E154" s="1"/>
      <c r="F154" s="1"/>
      <c r="G154" s="41">
        <f t="shared" ref="G154:J154" ca="1" si="47">MAX( G140:G148 ) - MIN( G140:G148 )</f>
        <v>0</v>
      </c>
      <c r="H154" s="45">
        <f t="shared" ca="1" si="47"/>
        <v>0</v>
      </c>
      <c r="I154" s="45">
        <f t="shared" ca="1" si="47"/>
        <v>0</v>
      </c>
      <c r="J154" s="45">
        <f t="shared" ca="1" si="47"/>
        <v>0</v>
      </c>
      <c r="K154" s="1"/>
      <c r="L154" s="1"/>
      <c r="M154" s="1"/>
      <c r="N154" s="1"/>
      <c r="O154" s="1"/>
      <c r="P154" s="258"/>
      <c r="Q154" s="1"/>
      <c r="R154" s="1"/>
      <c r="S154" s="1"/>
      <c r="T154" s="1"/>
      <c r="U154" s="1"/>
      <c r="V154" s="1"/>
      <c r="W154" s="1"/>
      <c r="X154" s="1"/>
      <c r="Y154" s="1"/>
      <c r="Z154" s="1"/>
      <c r="AA154" s="1"/>
      <c r="AB154" s="1"/>
      <c r="AC154" s="1"/>
      <c r="AD154" s="1"/>
      <c r="AE154" s="1"/>
      <c r="AF154" s="1"/>
      <c r="AG154" s="1"/>
      <c r="AH154" s="1"/>
      <c r="AI154" s="1"/>
      <c r="AJ154" s="1"/>
    </row>
    <row r="155" spans="1:36" ht="12.75" customHeight="1" x14ac:dyDescent="0.25">
      <c r="A155" s="1"/>
      <c r="B155" s="1"/>
      <c r="C155" s="1"/>
      <c r="D155" s="13" t="s">
        <v>530</v>
      </c>
      <c r="E155" s="13"/>
      <c r="F155" s="13"/>
      <c r="G155" s="144" t="e">
        <f t="shared" ref="G155:J155" ca="1" si="48">G148 / G151 - 1</f>
        <v>#NUM!</v>
      </c>
      <c r="H155" s="144" t="e">
        <f t="shared" ca="1" si="48"/>
        <v>#NUM!</v>
      </c>
      <c r="I155" s="144" t="e">
        <f t="shared" ca="1" si="48"/>
        <v>#NUM!</v>
      </c>
      <c r="J155" s="144" t="e">
        <f t="shared" ca="1" si="48"/>
        <v>#NUM!</v>
      </c>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ht="12.75" customHeight="1" x14ac:dyDescent="0.25">
      <c r="A156" s="1"/>
      <c r="B156" s="1"/>
      <c r="C156" s="1"/>
      <c r="D156" s="1"/>
      <c r="E156" s="1"/>
      <c r="F156" s="1"/>
      <c r="G156" s="1"/>
      <c r="H156" s="1"/>
      <c r="I156" s="1"/>
      <c r="J156" s="1"/>
      <c r="K156" s="1"/>
      <c r="L156" s="1"/>
      <c r="M156" s="1"/>
      <c r="N156" s="1"/>
      <c r="O156" s="2" t="s">
        <v>531</v>
      </c>
      <c r="P156" s="1"/>
      <c r="Q156" s="1"/>
      <c r="R156" s="1"/>
      <c r="S156" s="1"/>
      <c r="T156" s="1"/>
      <c r="U156" s="1"/>
      <c r="V156" s="1"/>
      <c r="W156" s="1"/>
      <c r="X156" s="1"/>
      <c r="Y156" s="1"/>
      <c r="Z156" s="1"/>
      <c r="AA156" s="1"/>
      <c r="AB156" s="1"/>
      <c r="AC156" s="1"/>
      <c r="AD156" s="1"/>
      <c r="AE156" s="1"/>
      <c r="AF156" s="1"/>
      <c r="AG156" s="1"/>
      <c r="AH156" s="1"/>
      <c r="AI156" s="1"/>
      <c r="AJ156" s="1"/>
    </row>
    <row r="157" spans="1:36" ht="12.75" customHeight="1" x14ac:dyDescent="0.25">
      <c r="A157" s="1"/>
      <c r="B157" s="1"/>
      <c r="C157" s="1"/>
      <c r="D157" s="1"/>
      <c r="E157" s="1"/>
      <c r="F157" s="1"/>
      <c r="G157" s="1"/>
      <c r="H157" s="1"/>
      <c r="I157" s="1"/>
      <c r="J157" s="1"/>
      <c r="K157" s="1"/>
      <c r="L157" s="1"/>
      <c r="M157" s="1"/>
      <c r="N157" s="1"/>
      <c r="O157" s="1" t="s">
        <v>517</v>
      </c>
      <c r="P157" s="89">
        <v>0.36</v>
      </c>
      <c r="Q157" s="1"/>
      <c r="R157" s="1"/>
      <c r="S157" s="1"/>
      <c r="T157" s="1"/>
      <c r="U157" s="1"/>
      <c r="V157" s="1"/>
      <c r="W157" s="1"/>
      <c r="X157" s="1"/>
      <c r="Y157" s="1"/>
      <c r="Z157" s="1"/>
      <c r="AA157" s="1"/>
      <c r="AB157" s="1"/>
      <c r="AC157" s="1"/>
      <c r="AD157" s="1"/>
      <c r="AE157" s="1"/>
      <c r="AF157" s="1"/>
      <c r="AG157" s="1"/>
      <c r="AH157" s="1"/>
      <c r="AI157" s="1"/>
      <c r="AJ157" s="1"/>
    </row>
    <row r="158" spans="1:36" ht="12.75" customHeight="1" x14ac:dyDescent="0.25">
      <c r="A158" s="1"/>
      <c r="B158" s="1"/>
      <c r="C158" s="1"/>
      <c r="D158" s="1"/>
      <c r="E158" s="1"/>
      <c r="F158" s="1"/>
      <c r="G158" s="1"/>
      <c r="H158" s="1"/>
      <c r="I158" s="1"/>
      <c r="J158" s="1"/>
      <c r="K158" s="1"/>
      <c r="L158" s="1"/>
      <c r="M158" s="1"/>
      <c r="N158" s="1"/>
      <c r="O158" s="1" t="s">
        <v>521</v>
      </c>
      <c r="P158" s="67">
        <v>0.64</v>
      </c>
      <c r="Q158" s="1"/>
      <c r="R158" s="1"/>
      <c r="S158" s="1"/>
      <c r="T158" s="1"/>
      <c r="U158" s="1"/>
      <c r="V158" s="1"/>
      <c r="W158" s="1"/>
      <c r="X158" s="1"/>
      <c r="Y158" s="1"/>
      <c r="Z158" s="1"/>
      <c r="AA158" s="1"/>
      <c r="AB158" s="1"/>
      <c r="AC158" s="1"/>
      <c r="AD158" s="1"/>
      <c r="AE158" s="1"/>
      <c r="AF158" s="1"/>
      <c r="AG158" s="1"/>
      <c r="AH158" s="1"/>
      <c r="AI158" s="1"/>
      <c r="AJ158" s="1"/>
    </row>
    <row r="159" spans="1:36" ht="12.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ht="12.75" customHeight="1" x14ac:dyDescent="0.25">
      <c r="A160" s="1"/>
      <c r="B160" s="1"/>
      <c r="C160" s="1"/>
      <c r="D160" s="1"/>
      <c r="E160" s="1"/>
      <c r="F160" s="1"/>
      <c r="G160" s="1"/>
      <c r="H160" s="607" t="s">
        <v>532</v>
      </c>
      <c r="I160" s="597"/>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1:36" ht="12.75" customHeight="1" x14ac:dyDescent="0.25">
      <c r="A161" s="1"/>
      <c r="B161" s="1"/>
      <c r="C161" s="104" t="s">
        <v>533</v>
      </c>
      <c r="D161" s="104"/>
      <c r="E161" s="3"/>
      <c r="F161" s="3"/>
      <c r="G161" s="259">
        <v>44377</v>
      </c>
      <c r="H161" s="260" t="s">
        <v>534</v>
      </c>
      <c r="I161" s="260" t="s">
        <v>535</v>
      </c>
      <c r="J161" s="259">
        <v>44377</v>
      </c>
      <c r="K161" s="1"/>
      <c r="L161" s="1"/>
      <c r="M161" s="104" t="s">
        <v>536</v>
      </c>
      <c r="N161" s="104"/>
      <c r="O161" s="3"/>
      <c r="P161" s="3"/>
      <c r="Q161" s="3"/>
      <c r="R161" s="3"/>
      <c r="S161" s="1"/>
      <c r="T161" s="1"/>
      <c r="U161" s="1"/>
      <c r="V161" s="1"/>
      <c r="W161" s="1"/>
      <c r="X161" s="1"/>
      <c r="Y161" s="1"/>
      <c r="Z161" s="1"/>
      <c r="AA161" s="1"/>
      <c r="AB161" s="1"/>
      <c r="AC161" s="1"/>
      <c r="AD161" s="1"/>
      <c r="AE161" s="1"/>
      <c r="AF161" s="1"/>
      <c r="AG161" s="1"/>
      <c r="AH161" s="1"/>
      <c r="AI161" s="1"/>
      <c r="AJ161" s="1"/>
    </row>
    <row r="162" spans="1:36" ht="12.75" customHeight="1" x14ac:dyDescent="0.25">
      <c r="A162" s="1"/>
      <c r="B162" s="1"/>
      <c r="C162" s="1"/>
      <c r="D162" s="1"/>
      <c r="E162" s="1"/>
      <c r="F162" s="1"/>
      <c r="G162" s="76" t="s">
        <v>537</v>
      </c>
      <c r="H162" s="76"/>
      <c r="I162" s="1"/>
      <c r="J162" s="76" t="s">
        <v>538</v>
      </c>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1:36" ht="12.75" customHeight="1" x14ac:dyDescent="0.25">
      <c r="A163" s="1"/>
      <c r="B163" s="1"/>
      <c r="C163" s="17"/>
      <c r="D163" s="1"/>
      <c r="E163" s="2" t="s">
        <v>539</v>
      </c>
      <c r="F163" s="1"/>
      <c r="G163" s="1"/>
      <c r="H163" s="1"/>
      <c r="I163" s="1"/>
      <c r="J163" s="1"/>
      <c r="K163" s="1"/>
      <c r="L163" s="1"/>
      <c r="M163" s="1"/>
      <c r="N163" s="1"/>
      <c r="O163" s="76" t="s">
        <v>540</v>
      </c>
      <c r="P163" s="76" t="s">
        <v>541</v>
      </c>
      <c r="Q163" s="76" t="s">
        <v>542</v>
      </c>
      <c r="R163" s="76" t="s">
        <v>543</v>
      </c>
      <c r="S163" s="1"/>
      <c r="T163" s="1"/>
      <c r="U163" s="1"/>
      <c r="V163" s="1"/>
      <c r="W163" s="1"/>
      <c r="X163" s="1"/>
      <c r="Y163" s="1"/>
      <c r="Z163" s="1"/>
      <c r="AA163" s="1"/>
      <c r="AB163" s="1"/>
      <c r="AC163" s="1"/>
      <c r="AD163" s="1"/>
      <c r="AE163" s="1"/>
      <c r="AF163" s="1"/>
      <c r="AG163" s="1"/>
      <c r="AH163" s="1"/>
      <c r="AI163" s="1"/>
      <c r="AJ163" s="1"/>
    </row>
    <row r="164" spans="1:36" ht="12.75" customHeight="1" x14ac:dyDescent="0.25">
      <c r="A164" s="1"/>
      <c r="B164" s="1"/>
      <c r="C164" s="1"/>
      <c r="D164" s="1"/>
      <c r="E164" s="1" t="s">
        <v>31</v>
      </c>
      <c r="F164" s="33" t="s">
        <v>28</v>
      </c>
      <c r="G164" s="39">
        <v>10.199999999999999</v>
      </c>
      <c r="H164" s="39">
        <v>0</v>
      </c>
      <c r="I164" s="39">
        <v>0</v>
      </c>
      <c r="J164" s="39">
        <f t="shared" ref="J164:J167" si="49">G164 + H164 + I164</f>
        <v>10.199999999999999</v>
      </c>
      <c r="K164" s="1"/>
      <c r="L164" s="1"/>
      <c r="M164" s="1"/>
      <c r="N164" s="1"/>
      <c r="O164" s="1"/>
      <c r="P164" s="76"/>
      <c r="Q164" s="76"/>
      <c r="R164" s="76"/>
      <c r="S164" s="1"/>
      <c r="T164" s="1"/>
      <c r="U164" s="1"/>
      <c r="V164" s="1"/>
      <c r="W164" s="1"/>
      <c r="X164" s="1"/>
      <c r="Y164" s="1"/>
      <c r="Z164" s="1"/>
      <c r="AA164" s="1"/>
      <c r="AB164" s="1"/>
      <c r="AC164" s="1"/>
      <c r="AD164" s="1"/>
      <c r="AE164" s="1"/>
      <c r="AF164" s="1"/>
      <c r="AG164" s="1"/>
      <c r="AH164" s="1"/>
      <c r="AI164" s="1"/>
      <c r="AJ164" s="1"/>
    </row>
    <row r="165" spans="1:36" ht="12.75" customHeight="1" x14ac:dyDescent="0.25">
      <c r="A165" s="1"/>
      <c r="B165" s="1"/>
      <c r="C165" s="1"/>
      <c r="D165" s="1"/>
      <c r="E165" s="1" t="s">
        <v>544</v>
      </c>
      <c r="F165" s="33" t="s">
        <v>28</v>
      </c>
      <c r="G165" s="39">
        <v>128.1</v>
      </c>
      <c r="H165" s="39">
        <v>0</v>
      </c>
      <c r="I165" s="39">
        <v>0</v>
      </c>
      <c r="J165" s="39">
        <f t="shared" si="49"/>
        <v>128.1</v>
      </c>
      <c r="K165" s="1"/>
      <c r="L165" s="1"/>
      <c r="M165" s="1" t="s">
        <v>414</v>
      </c>
      <c r="N165" s="33" t="s">
        <v>72</v>
      </c>
      <c r="O165" s="35">
        <v>202.2</v>
      </c>
      <c r="P165" s="35">
        <v>183.6</v>
      </c>
      <c r="Q165" s="35">
        <v>48.8</v>
      </c>
      <c r="R165" s="35">
        <v>221</v>
      </c>
      <c r="S165" s="1"/>
      <c r="T165" s="1"/>
      <c r="U165" s="1"/>
      <c r="V165" s="1"/>
      <c r="W165" s="1"/>
      <c r="X165" s="1"/>
      <c r="Y165" s="1"/>
      <c r="Z165" s="1"/>
      <c r="AA165" s="1"/>
      <c r="AB165" s="1"/>
      <c r="AC165" s="1"/>
      <c r="AD165" s="1"/>
      <c r="AE165" s="1"/>
      <c r="AF165" s="1"/>
      <c r="AG165" s="1"/>
      <c r="AH165" s="1"/>
      <c r="AI165" s="1"/>
      <c r="AJ165" s="1"/>
    </row>
    <row r="166" spans="1:36" ht="12.75" customHeight="1" x14ac:dyDescent="0.25">
      <c r="A166" s="1"/>
      <c r="B166" s="1"/>
      <c r="C166" s="1"/>
      <c r="D166" s="1"/>
      <c r="E166" s="1" t="s">
        <v>545</v>
      </c>
      <c r="F166" s="33" t="s">
        <v>28</v>
      </c>
      <c r="G166" s="39">
        <v>191.5</v>
      </c>
      <c r="H166" s="39">
        <v>0</v>
      </c>
      <c r="I166" s="39">
        <v>0</v>
      </c>
      <c r="J166" s="39">
        <f t="shared" si="49"/>
        <v>191.5</v>
      </c>
      <c r="K166" s="1"/>
      <c r="L166" s="1"/>
      <c r="M166" s="1" t="s">
        <v>415</v>
      </c>
      <c r="N166" s="33" t="s">
        <v>72</v>
      </c>
      <c r="O166" s="15">
        <v>53.2</v>
      </c>
      <c r="P166" s="15">
        <v>50.6</v>
      </c>
      <c r="Q166" s="15">
        <v>211</v>
      </c>
      <c r="R166" s="15">
        <v>50</v>
      </c>
      <c r="S166" s="1"/>
      <c r="T166" s="1"/>
      <c r="U166" s="1"/>
      <c r="V166" s="1"/>
      <c r="W166" s="1"/>
      <c r="X166" s="1"/>
      <c r="Y166" s="1"/>
      <c r="Z166" s="1"/>
      <c r="AA166" s="1"/>
      <c r="AB166" s="1"/>
      <c r="AC166" s="1"/>
      <c r="AD166" s="1"/>
      <c r="AE166" s="1"/>
      <c r="AF166" s="1"/>
      <c r="AG166" s="1"/>
      <c r="AH166" s="1"/>
      <c r="AI166" s="1"/>
      <c r="AJ166" s="1"/>
    </row>
    <row r="167" spans="1:36" ht="13.5" customHeight="1" x14ac:dyDescent="0.25">
      <c r="A167" s="1"/>
      <c r="B167" s="1"/>
      <c r="C167" s="1"/>
      <c r="D167" s="1"/>
      <c r="E167" s="1" t="s">
        <v>546</v>
      </c>
      <c r="F167" s="33" t="s">
        <v>28</v>
      </c>
      <c r="G167" s="39">
        <v>1.2</v>
      </c>
      <c r="H167" s="39">
        <v>0</v>
      </c>
      <c r="I167" s="39">
        <v>0</v>
      </c>
      <c r="J167" s="39">
        <f t="shared" si="49"/>
        <v>1.2</v>
      </c>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ht="12.75" customHeight="1" x14ac:dyDescent="0.25">
      <c r="A168" s="1"/>
      <c r="B168" s="1"/>
      <c r="C168" s="1"/>
      <c r="D168" s="1"/>
      <c r="E168" s="13" t="s">
        <v>547</v>
      </c>
      <c r="F168" s="43" t="s">
        <v>28</v>
      </c>
      <c r="G168" s="38">
        <f t="shared" ref="G168:J168" si="50">SUM( G164:G167 )</f>
        <v>330.99999999999994</v>
      </c>
      <c r="H168" s="38">
        <f t="shared" si="50"/>
        <v>0</v>
      </c>
      <c r="I168" s="38">
        <f t="shared" si="50"/>
        <v>0</v>
      </c>
      <c r="J168" s="38">
        <f t="shared" si="50"/>
        <v>330.99999999999994</v>
      </c>
      <c r="K168" s="1"/>
      <c r="L168" s="1"/>
      <c r="M168" s="13" t="s">
        <v>468</v>
      </c>
      <c r="N168" s="43" t="s">
        <v>72</v>
      </c>
      <c r="O168" s="38">
        <f t="shared" ref="O168:R168" si="51">O165 + O166</f>
        <v>255.39999999999998</v>
      </c>
      <c r="P168" s="38">
        <f t="shared" si="51"/>
        <v>234.2</v>
      </c>
      <c r="Q168" s="38">
        <f t="shared" si="51"/>
        <v>259.8</v>
      </c>
      <c r="R168" s="38">
        <f t="shared" si="51"/>
        <v>271</v>
      </c>
      <c r="S168" s="1"/>
      <c r="T168" s="1"/>
      <c r="U168" s="1"/>
      <c r="V168" s="1"/>
      <c r="W168" s="1"/>
      <c r="X168" s="1"/>
      <c r="Y168" s="1"/>
      <c r="Z168" s="1"/>
      <c r="AA168" s="1"/>
      <c r="AB168" s="1"/>
      <c r="AC168" s="1"/>
      <c r="AD168" s="1"/>
      <c r="AE168" s="1"/>
      <c r="AF168" s="1"/>
      <c r="AG168" s="1"/>
      <c r="AH168" s="1"/>
      <c r="AI168" s="1"/>
      <c r="AJ168" s="1"/>
    </row>
    <row r="169" spans="1:36" ht="12.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spans="1:36" ht="12.75" customHeight="1" x14ac:dyDescent="0.25">
      <c r="A170" s="1"/>
      <c r="B170" s="1"/>
      <c r="C170" s="1"/>
      <c r="D170" s="1"/>
      <c r="E170" s="2" t="s">
        <v>548</v>
      </c>
      <c r="F170" s="1"/>
      <c r="G170" s="1"/>
      <c r="H170" s="1"/>
      <c r="I170" s="1"/>
      <c r="J170" s="1"/>
      <c r="K170" s="1"/>
      <c r="L170" s="1"/>
      <c r="M170" s="1" t="s">
        <v>418</v>
      </c>
      <c r="N170" s="33" t="s">
        <v>419</v>
      </c>
      <c r="O170" s="261">
        <v>2683</v>
      </c>
      <c r="P170" s="261">
        <v>2735</v>
      </c>
      <c r="Q170" s="261">
        <v>2817</v>
      </c>
      <c r="R170" s="261">
        <v>2990</v>
      </c>
      <c r="S170" s="1"/>
      <c r="T170" s="1"/>
      <c r="U170" s="1"/>
      <c r="V170" s="1"/>
      <c r="W170" s="1"/>
      <c r="X170" s="1"/>
      <c r="Y170" s="1"/>
      <c r="Z170" s="1"/>
      <c r="AA170" s="1"/>
      <c r="AB170" s="1"/>
      <c r="AC170" s="1"/>
      <c r="AD170" s="1"/>
      <c r="AE170" s="1"/>
      <c r="AF170" s="1"/>
      <c r="AG170" s="1"/>
      <c r="AH170" s="1"/>
      <c r="AI170" s="1"/>
      <c r="AJ170" s="1"/>
    </row>
    <row r="171" spans="1:36" ht="12.75" customHeight="1" x14ac:dyDescent="0.25">
      <c r="A171" s="1"/>
      <c r="B171" s="1"/>
      <c r="C171" s="1"/>
      <c r="D171" s="1"/>
      <c r="E171" s="1" t="s">
        <v>549</v>
      </c>
      <c r="F171" s="33" t="s">
        <v>28</v>
      </c>
      <c r="G171" s="39">
        <v>51.8</v>
      </c>
      <c r="H171" s="39">
        <v>0</v>
      </c>
      <c r="I171" s="39">
        <v>0</v>
      </c>
      <c r="J171" s="39">
        <f t="shared" ref="J171:J174" si="52">G171 + H171 + I171</f>
        <v>51.8</v>
      </c>
      <c r="K171" s="1"/>
      <c r="L171" s="1"/>
      <c r="M171" s="1" t="s">
        <v>550</v>
      </c>
      <c r="N171" s="33" t="s">
        <v>419</v>
      </c>
      <c r="O171" s="261">
        <v>1755</v>
      </c>
      <c r="P171" s="261">
        <v>1786</v>
      </c>
      <c r="Q171" s="261">
        <v>1776</v>
      </c>
      <c r="R171" s="261">
        <v>1913</v>
      </c>
      <c r="S171" s="1"/>
      <c r="T171" s="1"/>
      <c r="U171" s="1"/>
      <c r="V171" s="1"/>
      <c r="W171" s="1"/>
      <c r="X171" s="1"/>
      <c r="Y171" s="1"/>
      <c r="Z171" s="1"/>
      <c r="AA171" s="1"/>
      <c r="AB171" s="1"/>
      <c r="AC171" s="1"/>
      <c r="AD171" s="1"/>
      <c r="AE171" s="1"/>
      <c r="AF171" s="1"/>
      <c r="AG171" s="1"/>
      <c r="AH171" s="1"/>
      <c r="AI171" s="1"/>
      <c r="AJ171" s="1"/>
    </row>
    <row r="172" spans="1:36" ht="12.75" customHeight="1" x14ac:dyDescent="0.25">
      <c r="A172" s="1"/>
      <c r="B172" s="1"/>
      <c r="C172" s="1"/>
      <c r="D172" s="1"/>
      <c r="E172" s="1" t="s">
        <v>551</v>
      </c>
      <c r="F172" s="33" t="s">
        <v>28</v>
      </c>
      <c r="G172" s="39">
        <v>179</v>
      </c>
      <c r="H172" s="39">
        <v>0</v>
      </c>
      <c r="I172" s="39">
        <v>0</v>
      </c>
      <c r="J172" s="39">
        <f t="shared" si="52"/>
        <v>179</v>
      </c>
      <c r="K172" s="1"/>
      <c r="L172" s="1"/>
      <c r="M172" s="1" t="s">
        <v>552</v>
      </c>
      <c r="N172" s="33" t="s">
        <v>419</v>
      </c>
      <c r="O172" s="252">
        <f t="shared" ref="O172:R172" si="53">O170 - O171</f>
        <v>928</v>
      </c>
      <c r="P172" s="252">
        <f t="shared" si="53"/>
        <v>949</v>
      </c>
      <c r="Q172" s="252">
        <f t="shared" si="53"/>
        <v>1041</v>
      </c>
      <c r="R172" s="252">
        <f t="shared" si="53"/>
        <v>1077</v>
      </c>
      <c r="S172" s="1"/>
      <c r="T172" s="1"/>
      <c r="U172" s="1"/>
      <c r="V172" s="1"/>
      <c r="W172" s="1"/>
      <c r="X172" s="1"/>
      <c r="Y172" s="1"/>
      <c r="Z172" s="1"/>
      <c r="AA172" s="1"/>
      <c r="AB172" s="1"/>
      <c r="AC172" s="1"/>
      <c r="AD172" s="1"/>
      <c r="AE172" s="1"/>
      <c r="AF172" s="1"/>
      <c r="AG172" s="1"/>
      <c r="AH172" s="1"/>
      <c r="AI172" s="1"/>
      <c r="AJ172" s="1"/>
    </row>
    <row r="173" spans="1:36" ht="12.75" customHeight="1" x14ac:dyDescent="0.25">
      <c r="A173" s="1"/>
      <c r="B173" s="1"/>
      <c r="C173" s="1"/>
      <c r="D173" s="1"/>
      <c r="E173" s="1" t="s">
        <v>553</v>
      </c>
      <c r="F173" s="33" t="s">
        <v>28</v>
      </c>
      <c r="G173" s="39">
        <v>13.3</v>
      </c>
      <c r="H173" s="39">
        <v>0</v>
      </c>
      <c r="I173" s="39">
        <v>0</v>
      </c>
      <c r="J173" s="39">
        <f t="shared" si="52"/>
        <v>13.3</v>
      </c>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spans="1:36" ht="12.75" customHeight="1" x14ac:dyDescent="0.25">
      <c r="A174" s="1"/>
      <c r="B174" s="1"/>
      <c r="C174" s="1"/>
      <c r="D174" s="1"/>
      <c r="E174" s="1" t="s">
        <v>554</v>
      </c>
      <c r="F174" s="33" t="s">
        <v>28</v>
      </c>
      <c r="G174" s="39">
        <v>7.3</v>
      </c>
      <c r="H174" s="39">
        <v>0</v>
      </c>
      <c r="I174" s="39">
        <v>0</v>
      </c>
      <c r="J174" s="39">
        <f t="shared" si="52"/>
        <v>7.3</v>
      </c>
      <c r="K174" s="1"/>
      <c r="L174" s="1"/>
      <c r="M174" s="1" t="s">
        <v>555</v>
      </c>
      <c r="N174" s="33" t="s">
        <v>8</v>
      </c>
      <c r="O174" s="39">
        <v>0</v>
      </c>
      <c r="P174" s="41">
        <f t="shared" ref="P174:R174" si="54">P168 / O168 - 1</f>
        <v>-8.3007047768206665E-2</v>
      </c>
      <c r="Q174" s="41">
        <f t="shared" si="54"/>
        <v>0.10930828351836053</v>
      </c>
      <c r="R174" s="41">
        <f t="shared" si="54"/>
        <v>4.3110084680523464E-2</v>
      </c>
      <c r="S174" s="1"/>
      <c r="T174" s="1"/>
      <c r="U174" s="1"/>
      <c r="V174" s="1"/>
      <c r="W174" s="1"/>
      <c r="X174" s="1"/>
      <c r="Y174" s="1"/>
      <c r="Z174" s="1"/>
      <c r="AA174" s="1"/>
      <c r="AB174" s="1"/>
      <c r="AC174" s="1"/>
      <c r="AD174" s="1"/>
      <c r="AE174" s="1"/>
      <c r="AF174" s="1"/>
      <c r="AG174" s="1"/>
      <c r="AH174" s="1"/>
      <c r="AI174" s="1"/>
      <c r="AJ174" s="1"/>
    </row>
    <row r="175" spans="1:36" ht="12.75" customHeight="1" x14ac:dyDescent="0.25">
      <c r="A175" s="1"/>
      <c r="B175" s="1"/>
      <c r="C175" s="1"/>
      <c r="D175" s="1"/>
      <c r="E175" s="13" t="s">
        <v>556</v>
      </c>
      <c r="F175" s="43" t="s">
        <v>28</v>
      </c>
      <c r="G175" s="38">
        <f t="shared" ref="G175:J175" si="55">SUM( G171:G174 )</f>
        <v>251.40000000000003</v>
      </c>
      <c r="H175" s="38">
        <f t="shared" si="55"/>
        <v>0</v>
      </c>
      <c r="I175" s="38">
        <f t="shared" si="55"/>
        <v>0</v>
      </c>
      <c r="J175" s="38">
        <f t="shared" si="55"/>
        <v>251.40000000000003</v>
      </c>
      <c r="K175" s="1"/>
      <c r="L175" s="1"/>
      <c r="M175" s="1" t="s">
        <v>181</v>
      </c>
      <c r="N175" s="33" t="s">
        <v>8</v>
      </c>
      <c r="O175" s="39">
        <v>0</v>
      </c>
      <c r="P175" s="41">
        <f t="shared" ref="P175:R175" si="56">P170 / O170 - 1</f>
        <v>1.9381289601192675E-2</v>
      </c>
      <c r="Q175" s="41">
        <f t="shared" si="56"/>
        <v>2.9981718464350937E-2</v>
      </c>
      <c r="R175" s="41">
        <f t="shared" si="56"/>
        <v>6.1412850550230713E-2</v>
      </c>
      <c r="S175" s="1"/>
      <c r="T175" s="1"/>
      <c r="U175" s="1"/>
      <c r="V175" s="1"/>
      <c r="W175" s="1"/>
      <c r="X175" s="1"/>
      <c r="Y175" s="1"/>
      <c r="Z175" s="1"/>
      <c r="AA175" s="1"/>
      <c r="AB175" s="1"/>
      <c r="AC175" s="1"/>
      <c r="AD175" s="1"/>
      <c r="AE175" s="1"/>
      <c r="AF175" s="1"/>
      <c r="AG175" s="1"/>
      <c r="AH175" s="1"/>
      <c r="AI175" s="1"/>
      <c r="AJ175" s="1"/>
    </row>
    <row r="176" spans="1:36" ht="12.75" customHeight="1" x14ac:dyDescent="0.25">
      <c r="A176" s="1"/>
      <c r="B176" s="1"/>
      <c r="C176" s="1"/>
      <c r="D176" s="1"/>
      <c r="E176" s="13" t="s">
        <v>557</v>
      </c>
      <c r="F176" s="43" t="s">
        <v>28</v>
      </c>
      <c r="G176" s="38">
        <f t="shared" ref="G176:J176" si="57">G168 + G175</f>
        <v>582.4</v>
      </c>
      <c r="H176" s="38">
        <f t="shared" si="57"/>
        <v>0</v>
      </c>
      <c r="I176" s="38">
        <f t="shared" si="57"/>
        <v>0</v>
      </c>
      <c r="J176" s="38">
        <f t="shared" si="57"/>
        <v>582.4</v>
      </c>
      <c r="K176" s="1"/>
      <c r="L176" s="1"/>
      <c r="M176" s="1" t="s">
        <v>558</v>
      </c>
      <c r="N176" s="33" t="s">
        <v>8</v>
      </c>
      <c r="O176" s="39">
        <v>0</v>
      </c>
      <c r="P176" s="41">
        <f t="shared" ref="P176:R176" si="58">( ( 1 + P175 ) * ( 1 + P174 ) ) - 1</f>
        <v>-6.5234541798749657E-2</v>
      </c>
      <c r="Q176" s="41">
        <f t="shared" si="58"/>
        <v>0.14256725216498034</v>
      </c>
      <c r="R176" s="41">
        <f t="shared" si="58"/>
        <v>0.10717044841844703</v>
      </c>
      <c r="S176" s="1"/>
      <c r="T176" s="1"/>
      <c r="U176" s="1"/>
      <c r="V176" s="1"/>
      <c r="W176" s="1"/>
      <c r="X176" s="1"/>
      <c r="Y176" s="1"/>
      <c r="Z176" s="1"/>
      <c r="AA176" s="1"/>
      <c r="AB176" s="1"/>
      <c r="AC176" s="1"/>
      <c r="AD176" s="1"/>
      <c r="AE176" s="1"/>
      <c r="AF176" s="1"/>
      <c r="AG176" s="1"/>
      <c r="AH176" s="1"/>
      <c r="AI176" s="1"/>
      <c r="AJ176" s="1"/>
    </row>
    <row r="177" spans="1:36" ht="12.75" customHeight="1" x14ac:dyDescent="0.25">
      <c r="A177" s="1"/>
      <c r="B177" s="1"/>
      <c r="C177" s="1"/>
      <c r="D177" s="1"/>
      <c r="E177" s="1"/>
      <c r="F177" s="1"/>
      <c r="G177" s="1"/>
      <c r="H177" s="1"/>
      <c r="I177" s="1"/>
      <c r="J177" s="1"/>
      <c r="K177" s="1"/>
      <c r="L177" s="1"/>
      <c r="M177" s="1"/>
      <c r="N177" s="33"/>
      <c r="O177" s="39"/>
      <c r="P177" s="41"/>
      <c r="Q177" s="41"/>
      <c r="R177" s="41"/>
      <c r="S177" s="1"/>
      <c r="T177" s="1"/>
      <c r="U177" s="1"/>
      <c r="V177" s="1"/>
      <c r="W177" s="1"/>
      <c r="X177" s="1"/>
      <c r="Y177" s="1"/>
      <c r="Z177" s="1"/>
      <c r="AA177" s="1"/>
      <c r="AB177" s="1"/>
      <c r="AC177" s="1"/>
      <c r="AD177" s="1"/>
      <c r="AE177" s="1"/>
      <c r="AF177" s="1"/>
      <c r="AG177" s="1"/>
      <c r="AH177" s="1"/>
      <c r="AI177" s="1"/>
      <c r="AJ177" s="1"/>
    </row>
    <row r="178" spans="1:36" ht="12.75" customHeight="1" x14ac:dyDescent="0.25">
      <c r="A178" s="1"/>
      <c r="B178" s="1"/>
      <c r="C178" s="1"/>
      <c r="D178" s="1"/>
      <c r="E178" s="2" t="s">
        <v>559</v>
      </c>
      <c r="F178" s="33"/>
      <c r="G178" s="1"/>
      <c r="H178" s="1"/>
      <c r="I178" s="1"/>
      <c r="J178" s="1"/>
      <c r="K178" s="1"/>
      <c r="L178" s="1"/>
      <c r="M178" s="1" t="s">
        <v>560</v>
      </c>
      <c r="N178" s="33" t="s">
        <v>28</v>
      </c>
      <c r="O178" s="1">
        <v>685.2</v>
      </c>
      <c r="P178" s="1">
        <v>640.5</v>
      </c>
      <c r="Q178" s="1">
        <v>731.5</v>
      </c>
      <c r="R178" s="1">
        <v>809.3</v>
      </c>
      <c r="S178" s="1"/>
      <c r="T178" s="1"/>
      <c r="U178" s="1"/>
      <c r="V178" s="1"/>
      <c r="W178" s="1"/>
      <c r="X178" s="1"/>
      <c r="Y178" s="1"/>
      <c r="Z178" s="1"/>
      <c r="AA178" s="1"/>
      <c r="AB178" s="1"/>
      <c r="AC178" s="1"/>
      <c r="AD178" s="1"/>
      <c r="AE178" s="1"/>
      <c r="AF178" s="1"/>
      <c r="AG178" s="1"/>
      <c r="AH178" s="1"/>
      <c r="AI178" s="1"/>
      <c r="AJ178" s="1"/>
    </row>
    <row r="179" spans="1:36" ht="12.75" customHeight="1" x14ac:dyDescent="0.25">
      <c r="A179" s="1"/>
      <c r="B179" s="1"/>
      <c r="C179" s="1"/>
      <c r="D179" s="1"/>
      <c r="E179" s="1" t="s">
        <v>301</v>
      </c>
      <c r="F179" s="33" t="s">
        <v>28</v>
      </c>
      <c r="G179" s="39">
        <v>-139.9</v>
      </c>
      <c r="H179" s="39">
        <v>0</v>
      </c>
      <c r="I179" s="49">
        <v>-18</v>
      </c>
      <c r="J179" s="39">
        <f t="shared" ref="J179:J181" si="59">G179 + H179 + I179</f>
        <v>-157.9</v>
      </c>
      <c r="K179" s="1"/>
      <c r="L179" s="1"/>
      <c r="M179" s="1" t="s">
        <v>561</v>
      </c>
      <c r="N179" s="33" t="s">
        <v>8</v>
      </c>
      <c r="O179" s="262">
        <v>0</v>
      </c>
      <c r="P179" s="263">
        <f t="shared" ref="P179:R179" si="60">P178 / O178 - 1</f>
        <v>-6.5236427320490398E-2</v>
      </c>
      <c r="Q179" s="263">
        <f t="shared" si="60"/>
        <v>0.14207650273224037</v>
      </c>
      <c r="R179" s="263">
        <f t="shared" si="60"/>
        <v>0.10635680109364309</v>
      </c>
      <c r="S179" s="1"/>
      <c r="T179" s="1"/>
      <c r="U179" s="1"/>
      <c r="V179" s="1"/>
      <c r="W179" s="1"/>
      <c r="X179" s="1"/>
      <c r="Y179" s="1"/>
      <c r="Z179" s="1"/>
      <c r="AA179" s="1"/>
      <c r="AB179" s="1"/>
      <c r="AC179" s="1"/>
      <c r="AD179" s="1"/>
      <c r="AE179" s="1"/>
      <c r="AF179" s="1"/>
      <c r="AG179" s="1"/>
      <c r="AH179" s="1"/>
      <c r="AI179" s="1"/>
      <c r="AJ179" s="1"/>
    </row>
    <row r="180" spans="1:36" ht="12.75" customHeight="1" x14ac:dyDescent="0.25">
      <c r="A180" s="1"/>
      <c r="B180" s="1"/>
      <c r="C180" s="1"/>
      <c r="D180" s="1"/>
      <c r="E180" s="1" t="s">
        <v>303</v>
      </c>
      <c r="F180" s="33" t="s">
        <v>28</v>
      </c>
      <c r="G180" s="39">
        <v>-13.1</v>
      </c>
      <c r="H180" s="39">
        <v>0</v>
      </c>
      <c r="I180" s="49">
        <v>0</v>
      </c>
      <c r="J180" s="39">
        <f t="shared" si="59"/>
        <v>-13.1</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ht="12.75" customHeight="1" x14ac:dyDescent="0.25">
      <c r="A181" s="1"/>
      <c r="B181" s="1"/>
      <c r="C181" s="1"/>
      <c r="D181" s="1"/>
      <c r="E181" s="1" t="s">
        <v>562</v>
      </c>
      <c r="F181" s="33" t="s">
        <v>28</v>
      </c>
      <c r="G181" s="39">
        <v>-13.8</v>
      </c>
      <c r="H181" s="39">
        <v>0</v>
      </c>
      <c r="I181" s="49">
        <v>0</v>
      </c>
      <c r="J181" s="39">
        <f t="shared" si="59"/>
        <v>-13.8</v>
      </c>
      <c r="K181" s="1"/>
      <c r="L181" s="1"/>
      <c r="M181" s="1" t="s">
        <v>563</v>
      </c>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ht="12.75" customHeight="1" x14ac:dyDescent="0.25">
      <c r="A182" s="1"/>
      <c r="B182" s="1"/>
      <c r="C182" s="1"/>
      <c r="D182" s="1"/>
      <c r="E182" s="13" t="s">
        <v>564</v>
      </c>
      <c r="F182" s="43" t="s">
        <v>28</v>
      </c>
      <c r="G182" s="38">
        <f>SUM( G179:G181 )</f>
        <v>-166.8</v>
      </c>
      <c r="H182" s="38">
        <v>0</v>
      </c>
      <c r="I182" s="264">
        <f t="shared" ref="I182:J182" si="61">SUM( I179:I181 )</f>
        <v>-18</v>
      </c>
      <c r="J182" s="38">
        <f t="shared" si="61"/>
        <v>-184.8</v>
      </c>
      <c r="K182" s="1"/>
      <c r="L182" s="1"/>
      <c r="M182" s="1" t="s">
        <v>565</v>
      </c>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ht="12.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spans="1:36" ht="12.75" customHeight="1" x14ac:dyDescent="0.25">
      <c r="A184" s="1"/>
      <c r="B184" s="1"/>
      <c r="C184" s="1"/>
      <c r="D184" s="1"/>
      <c r="E184" s="2" t="s">
        <v>566</v>
      </c>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spans="1:36" ht="12.75" customHeight="1" x14ac:dyDescent="0.25">
      <c r="A185" s="1"/>
      <c r="B185" s="1"/>
      <c r="E185" s="1" t="s">
        <v>29</v>
      </c>
      <c r="F185" s="33" t="s">
        <v>28</v>
      </c>
      <c r="G185" s="39">
        <v>-181.6</v>
      </c>
      <c r="H185" s="39">
        <v>0</v>
      </c>
      <c r="I185" s="39">
        <v>0</v>
      </c>
      <c r="J185" s="39">
        <f t="shared" ref="J185:J186" si="62">G185 + H185 + I185</f>
        <v>-181.6</v>
      </c>
      <c r="K185" s="1"/>
      <c r="L185" s="1"/>
      <c r="M185" s="104" t="s">
        <v>567</v>
      </c>
      <c r="N185" s="104"/>
      <c r="O185" s="121" t="s">
        <v>568</v>
      </c>
      <c r="P185" s="121" t="s">
        <v>79</v>
      </c>
      <c r="Q185" s="121" t="s">
        <v>80</v>
      </c>
      <c r="R185" s="121" t="s">
        <v>569</v>
      </c>
      <c r="S185" s="1"/>
      <c r="T185" s="1"/>
      <c r="U185" s="1"/>
      <c r="V185" s="1"/>
      <c r="W185" s="1"/>
      <c r="X185" s="1"/>
      <c r="Y185" s="1"/>
      <c r="Z185" s="1"/>
      <c r="AA185" s="1"/>
      <c r="AB185" s="1"/>
      <c r="AC185" s="1"/>
      <c r="AD185" s="1"/>
      <c r="AE185" s="1"/>
      <c r="AF185" s="1"/>
      <c r="AG185" s="1"/>
      <c r="AH185" s="1"/>
      <c r="AI185" s="1"/>
      <c r="AJ185" s="1"/>
    </row>
    <row r="186" spans="1:36" ht="12.75" customHeight="1" x14ac:dyDescent="0.25">
      <c r="A186" s="1"/>
      <c r="B186" s="1"/>
      <c r="C186" s="1"/>
      <c r="D186" s="1"/>
      <c r="E186" s="1" t="s">
        <v>570</v>
      </c>
      <c r="F186" s="33" t="s">
        <v>28</v>
      </c>
      <c r="G186" s="39">
        <v>-80</v>
      </c>
      <c r="H186" s="39">
        <v>-50</v>
      </c>
      <c r="I186" s="39">
        <v>0</v>
      </c>
      <c r="J186" s="39">
        <f t="shared" si="62"/>
        <v>-130</v>
      </c>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ht="12.75" customHeight="1" x14ac:dyDescent="0.25">
      <c r="A187" s="1"/>
      <c r="B187" s="1"/>
      <c r="C187" s="1"/>
      <c r="D187" s="1"/>
      <c r="E187" s="13" t="s">
        <v>571</v>
      </c>
      <c r="F187" s="43" t="s">
        <v>28</v>
      </c>
      <c r="G187" s="38">
        <f t="shared" ref="G187:J187" si="63">G185 + G186</f>
        <v>-261.60000000000002</v>
      </c>
      <c r="H187" s="38">
        <f t="shared" si="63"/>
        <v>-50</v>
      </c>
      <c r="I187" s="38">
        <f t="shared" si="63"/>
        <v>0</v>
      </c>
      <c r="J187" s="38">
        <f t="shared" si="63"/>
        <v>-311.60000000000002</v>
      </c>
      <c r="K187" s="1"/>
      <c r="L187" s="1"/>
      <c r="M187" s="1" t="s">
        <v>429</v>
      </c>
      <c r="N187" s="33" t="s">
        <v>28</v>
      </c>
      <c r="O187" s="39">
        <v>89</v>
      </c>
      <c r="P187" s="39">
        <v>85.6</v>
      </c>
      <c r="Q187" s="39">
        <v>87.5</v>
      </c>
      <c r="R187" s="39">
        <v>92.7</v>
      </c>
      <c r="S187" s="1"/>
      <c r="T187" s="1"/>
      <c r="U187" s="1"/>
      <c r="V187" s="1"/>
      <c r="W187" s="1"/>
      <c r="X187" s="1"/>
      <c r="Y187" s="1"/>
      <c r="Z187" s="1"/>
      <c r="AA187" s="1"/>
      <c r="AB187" s="1"/>
      <c r="AC187" s="1"/>
      <c r="AD187" s="1"/>
      <c r="AE187" s="1"/>
      <c r="AF187" s="1"/>
      <c r="AG187" s="1"/>
      <c r="AH187" s="1"/>
      <c r="AI187" s="1"/>
      <c r="AJ187" s="1"/>
    </row>
    <row r="188" spans="1:36" ht="12.75" customHeight="1" x14ac:dyDescent="0.25">
      <c r="A188" s="1"/>
      <c r="B188" s="1"/>
      <c r="C188" s="1"/>
      <c r="D188" s="1"/>
      <c r="E188" s="13" t="s">
        <v>572</v>
      </c>
      <c r="F188" s="43" t="s">
        <v>28</v>
      </c>
      <c r="G188" s="38">
        <f t="shared" ref="G188:J188" si="64">G182 + G187</f>
        <v>-428.40000000000003</v>
      </c>
      <c r="H188" s="38">
        <f t="shared" si="64"/>
        <v>-50</v>
      </c>
      <c r="I188" s="38">
        <f t="shared" si="64"/>
        <v>-18</v>
      </c>
      <c r="J188" s="38">
        <f t="shared" si="64"/>
        <v>-496.40000000000003</v>
      </c>
      <c r="K188" s="1"/>
      <c r="L188" s="1"/>
      <c r="M188" s="1" t="s">
        <v>430</v>
      </c>
      <c r="N188" s="33" t="s">
        <v>28</v>
      </c>
      <c r="O188" s="39">
        <v>19.2</v>
      </c>
      <c r="P188" s="39">
        <v>16.899999999999999</v>
      </c>
      <c r="Q188" s="39">
        <v>17.600000000000001</v>
      </c>
      <c r="R188" s="39">
        <v>18.100000000000001</v>
      </c>
      <c r="S188" s="1"/>
      <c r="T188" s="1"/>
      <c r="U188" s="1"/>
      <c r="V188" s="1"/>
      <c r="W188" s="1"/>
      <c r="X188" s="1"/>
      <c r="Y188" s="1"/>
      <c r="Z188" s="1"/>
      <c r="AA188" s="1"/>
      <c r="AB188" s="1"/>
      <c r="AC188" s="1"/>
      <c r="AD188" s="1"/>
      <c r="AE188" s="1"/>
      <c r="AF188" s="1"/>
      <c r="AG188" s="1"/>
      <c r="AH188" s="1"/>
      <c r="AI188" s="1"/>
      <c r="AJ188" s="1"/>
    </row>
    <row r="189" spans="1:36" ht="12.75" customHeight="1" x14ac:dyDescent="0.25">
      <c r="A189" s="1"/>
      <c r="B189" s="1"/>
      <c r="C189" s="1"/>
      <c r="D189" s="1"/>
      <c r="E189" s="1"/>
      <c r="F189" s="1"/>
      <c r="G189" s="1"/>
      <c r="H189" s="1"/>
      <c r="I189" s="1"/>
      <c r="J189" s="1"/>
      <c r="K189" s="1"/>
      <c r="L189" s="1"/>
      <c r="M189" s="1" t="s">
        <v>573</v>
      </c>
      <c r="N189" s="33" t="s">
        <v>28</v>
      </c>
      <c r="O189" s="39">
        <v>3.9</v>
      </c>
      <c r="P189" s="39">
        <v>4.7</v>
      </c>
      <c r="Q189" s="39">
        <v>6.7</v>
      </c>
      <c r="R189" s="39">
        <v>5.0999999999999996</v>
      </c>
      <c r="S189" s="1"/>
      <c r="T189" s="1"/>
      <c r="U189" s="1"/>
      <c r="V189" s="1"/>
      <c r="W189" s="1"/>
      <c r="X189" s="1"/>
      <c r="Y189" s="1"/>
      <c r="Z189" s="1"/>
      <c r="AA189" s="1"/>
      <c r="AB189" s="1"/>
      <c r="AC189" s="1"/>
      <c r="AD189" s="1"/>
      <c r="AE189" s="1"/>
      <c r="AF189" s="1"/>
      <c r="AG189" s="1"/>
      <c r="AH189" s="1"/>
      <c r="AI189" s="1"/>
      <c r="AJ189" s="1"/>
    </row>
    <row r="190" spans="1:36" ht="12.75" customHeight="1" x14ac:dyDescent="0.25">
      <c r="A190" s="1"/>
      <c r="B190" s="1"/>
      <c r="C190" s="1"/>
      <c r="D190" s="1"/>
      <c r="E190" s="166" t="s">
        <v>574</v>
      </c>
      <c r="F190" s="43" t="s">
        <v>28</v>
      </c>
      <c r="G190" s="38">
        <f t="shared" ref="G190:J190" si="65">G176 + G188</f>
        <v>153.99999999999994</v>
      </c>
      <c r="H190" s="38">
        <f t="shared" si="65"/>
        <v>-50</v>
      </c>
      <c r="I190" s="38">
        <f t="shared" si="65"/>
        <v>-18</v>
      </c>
      <c r="J190" s="38">
        <f t="shared" si="65"/>
        <v>85.999999999999943</v>
      </c>
      <c r="K190" s="1"/>
      <c r="L190" s="1"/>
      <c r="M190" s="1" t="s">
        <v>432</v>
      </c>
      <c r="N190" s="33" t="s">
        <v>28</v>
      </c>
      <c r="O190" s="39">
        <v>34.1</v>
      </c>
      <c r="P190" s="39">
        <v>29.9</v>
      </c>
      <c r="Q190" s="39">
        <v>29</v>
      </c>
      <c r="R190" s="39">
        <v>28.2</v>
      </c>
      <c r="S190" s="1"/>
      <c r="T190" s="1"/>
      <c r="U190" s="1"/>
      <c r="V190" s="1"/>
      <c r="W190" s="1"/>
      <c r="X190" s="1"/>
      <c r="Y190" s="1"/>
      <c r="Z190" s="1"/>
      <c r="AA190" s="1"/>
      <c r="AB190" s="1"/>
      <c r="AC190" s="1"/>
      <c r="AD190" s="1"/>
      <c r="AE190" s="1"/>
      <c r="AF190" s="1"/>
      <c r="AG190" s="1"/>
      <c r="AH190" s="1"/>
      <c r="AI190" s="1"/>
      <c r="AJ190" s="1"/>
    </row>
    <row r="191" spans="1:36" ht="12.75" customHeight="1" x14ac:dyDescent="0.25">
      <c r="A191" s="1"/>
      <c r="B191" s="1"/>
      <c r="C191" s="1"/>
      <c r="D191" s="1"/>
      <c r="E191" s="1"/>
      <c r="F191" s="33"/>
      <c r="G191" s="39"/>
      <c r="H191" s="39"/>
      <c r="I191" s="39"/>
      <c r="J191" s="39"/>
      <c r="K191" s="1"/>
      <c r="L191" s="1"/>
      <c r="M191" s="1"/>
      <c r="N191" s="33"/>
      <c r="O191" s="39"/>
      <c r="P191" s="39"/>
      <c r="Q191" s="39"/>
      <c r="R191" s="39"/>
      <c r="S191" s="1"/>
      <c r="T191" s="1"/>
      <c r="U191" s="1"/>
      <c r="V191" s="1"/>
      <c r="W191" s="1"/>
      <c r="X191" s="1"/>
      <c r="Y191" s="1"/>
      <c r="Z191" s="1"/>
      <c r="AA191" s="1"/>
      <c r="AB191" s="1"/>
      <c r="AC191" s="1"/>
      <c r="AD191" s="1"/>
      <c r="AE191" s="1"/>
      <c r="AF191" s="1"/>
      <c r="AG191" s="1"/>
      <c r="AH191" s="1"/>
      <c r="AI191" s="1"/>
      <c r="AJ191" s="1"/>
    </row>
    <row r="192" spans="1:36" ht="12.75" customHeight="1" x14ac:dyDescent="0.25">
      <c r="A192" s="1"/>
      <c r="B192" s="1"/>
      <c r="C192" s="1"/>
      <c r="D192" s="1"/>
      <c r="E192" s="1" t="s">
        <v>575</v>
      </c>
      <c r="F192" s="33" t="s">
        <v>28</v>
      </c>
      <c r="G192" s="39">
        <v>12</v>
      </c>
      <c r="H192" s="39">
        <v>0</v>
      </c>
      <c r="I192" s="39">
        <v>0</v>
      </c>
      <c r="J192" s="39">
        <f t="shared" ref="J192:J194" si="66">G192 + H192 + I192</f>
        <v>12</v>
      </c>
      <c r="K192" s="1"/>
      <c r="L192" s="1"/>
      <c r="M192" s="13" t="s">
        <v>433</v>
      </c>
      <c r="N192" s="43" t="s">
        <v>28</v>
      </c>
      <c r="O192" s="38">
        <f t="shared" ref="O192:R192" si="67">SUM( O187:O190 )</f>
        <v>146.20000000000002</v>
      </c>
      <c r="P192" s="38">
        <f t="shared" si="67"/>
        <v>137.1</v>
      </c>
      <c r="Q192" s="38">
        <f t="shared" si="67"/>
        <v>140.80000000000001</v>
      </c>
      <c r="R192" s="38">
        <f t="shared" si="67"/>
        <v>144.1</v>
      </c>
      <c r="S192" s="1"/>
      <c r="T192" s="1"/>
      <c r="U192" s="1"/>
      <c r="V192" s="1"/>
      <c r="W192" s="1"/>
      <c r="X192" s="1"/>
      <c r="Y192" s="1"/>
      <c r="Z192" s="1"/>
      <c r="AA192" s="1"/>
      <c r="AB192" s="1"/>
      <c r="AC192" s="1"/>
      <c r="AD192" s="1"/>
      <c r="AE192" s="1"/>
      <c r="AF192" s="1"/>
      <c r="AG192" s="1"/>
      <c r="AH192" s="1"/>
      <c r="AI192" s="1"/>
      <c r="AJ192" s="1"/>
    </row>
    <row r="193" spans="1:36" ht="12.75" customHeight="1" x14ac:dyDescent="0.25">
      <c r="A193" s="1"/>
      <c r="B193" s="1"/>
      <c r="C193" s="1"/>
      <c r="D193" s="1"/>
      <c r="E193" s="1" t="s">
        <v>576</v>
      </c>
      <c r="F193" s="33" t="s">
        <v>28</v>
      </c>
      <c r="G193" s="39">
        <v>137.4</v>
      </c>
      <c r="H193" s="39">
        <v>-50</v>
      </c>
      <c r="I193" s="39">
        <v>-18</v>
      </c>
      <c r="J193" s="39">
        <f t="shared" si="66"/>
        <v>69.400000000000006</v>
      </c>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spans="1:36" ht="12.75" customHeight="1" x14ac:dyDescent="0.25">
      <c r="A194" s="1"/>
      <c r="B194" s="1"/>
      <c r="C194" s="1"/>
      <c r="D194" s="1"/>
      <c r="E194" s="1" t="s">
        <v>313</v>
      </c>
      <c r="F194" s="33" t="s">
        <v>28</v>
      </c>
      <c r="G194" s="39">
        <v>4.7</v>
      </c>
      <c r="H194" s="39">
        <v>0</v>
      </c>
      <c r="I194" s="39">
        <v>0</v>
      </c>
      <c r="J194" s="39">
        <f t="shared" si="66"/>
        <v>4.7</v>
      </c>
      <c r="K194" s="1"/>
      <c r="L194" s="1"/>
      <c r="M194" s="1" t="s">
        <v>577</v>
      </c>
      <c r="N194" s="33" t="s">
        <v>28</v>
      </c>
      <c r="O194" s="39">
        <v>0</v>
      </c>
      <c r="P194" s="39">
        <v>2.5</v>
      </c>
      <c r="Q194" s="39">
        <v>0</v>
      </c>
      <c r="R194" s="39">
        <v>0</v>
      </c>
      <c r="S194" s="1"/>
      <c r="T194" s="1"/>
      <c r="U194" s="1"/>
      <c r="V194" s="1"/>
      <c r="W194" s="1"/>
      <c r="X194" s="1"/>
      <c r="Y194" s="1"/>
      <c r="Z194" s="1"/>
      <c r="AA194" s="1"/>
      <c r="AB194" s="1"/>
      <c r="AC194" s="1"/>
      <c r="AD194" s="1"/>
      <c r="AE194" s="1"/>
      <c r="AF194" s="1"/>
      <c r="AG194" s="1"/>
      <c r="AH194" s="1"/>
      <c r="AI194" s="1"/>
      <c r="AJ194" s="1"/>
    </row>
    <row r="195" spans="1:36" ht="12.75" customHeight="1" x14ac:dyDescent="0.25">
      <c r="A195" s="1"/>
      <c r="B195" s="1"/>
      <c r="C195" s="1"/>
      <c r="D195" s="1"/>
      <c r="E195" s="166" t="s">
        <v>578</v>
      </c>
      <c r="F195" s="43" t="s">
        <v>28</v>
      </c>
      <c r="G195" s="81">
        <f t="shared" ref="G195:J195" si="68">SUM( G192:G194 )</f>
        <v>154.1</v>
      </c>
      <c r="H195" s="81">
        <f t="shared" si="68"/>
        <v>-50</v>
      </c>
      <c r="I195" s="81">
        <f t="shared" si="68"/>
        <v>-18</v>
      </c>
      <c r="J195" s="81">
        <f t="shared" si="68"/>
        <v>86.100000000000009</v>
      </c>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ht="12.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ht="12.75" customHeight="1" x14ac:dyDescent="0.25">
      <c r="A197" s="1"/>
      <c r="B197" s="1"/>
      <c r="C197" s="1"/>
      <c r="D197" s="1"/>
      <c r="E197" s="1"/>
      <c r="F197" s="1"/>
      <c r="G197" s="1"/>
      <c r="H197" s="1"/>
      <c r="I197" s="1"/>
      <c r="J197" s="1"/>
      <c r="K197" s="1"/>
      <c r="L197" s="1"/>
      <c r="M197" s="104" t="s">
        <v>579</v>
      </c>
      <c r="N197" s="104"/>
      <c r="O197" s="121" t="str">
        <f t="shared" ref="O197:R197" si="69">O185</f>
        <v>FY19</v>
      </c>
      <c r="P197" s="121" t="str">
        <f t="shared" si="69"/>
        <v>FY20</v>
      </c>
      <c r="Q197" s="121" t="str">
        <f t="shared" si="69"/>
        <v>FY21</v>
      </c>
      <c r="R197" s="121" t="str">
        <f t="shared" si="69"/>
        <v>FY22</v>
      </c>
      <c r="S197" s="1"/>
      <c r="T197" s="1"/>
      <c r="U197" s="1"/>
      <c r="V197" s="1"/>
      <c r="W197" s="1"/>
      <c r="X197" s="1"/>
      <c r="Y197" s="1"/>
      <c r="Z197" s="1"/>
      <c r="AA197" s="1"/>
      <c r="AB197" s="1"/>
      <c r="AC197" s="1"/>
      <c r="AD197" s="1"/>
      <c r="AE197" s="1"/>
      <c r="AF197" s="1"/>
      <c r="AG197" s="1"/>
      <c r="AH197" s="1"/>
      <c r="AI197" s="1"/>
      <c r="AJ197" s="1"/>
    </row>
    <row r="198" spans="1:36" ht="12.75" customHeight="1" x14ac:dyDescent="0.25">
      <c r="A198" s="1"/>
      <c r="B198" s="1"/>
      <c r="C198" s="1"/>
      <c r="D198" s="1"/>
      <c r="E198" s="1"/>
      <c r="F198" s="1"/>
      <c r="G198" s="41">
        <f t="shared" ref="G198:J198" si="70">O199 / I49</f>
        <v>-2.2182067491275295E-2</v>
      </c>
      <c r="H198" s="41">
        <f t="shared" si="70"/>
        <v>-7.0253552878288055E-3</v>
      </c>
      <c r="I198" s="41">
        <f t="shared" si="70"/>
        <v>-7.5151334291444528E-3</v>
      </c>
      <c r="J198" s="41">
        <f t="shared" si="70"/>
        <v>-1.7401177356255168E-2</v>
      </c>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ht="12.75" customHeight="1" x14ac:dyDescent="0.25">
      <c r="A199" s="1"/>
      <c r="B199" s="1"/>
      <c r="C199" s="1"/>
      <c r="D199" s="1"/>
      <c r="E199" s="1"/>
      <c r="F199" s="1"/>
      <c r="G199" s="41">
        <f>AVERAGE( G198:J198 )</f>
        <v>-1.353093339112593E-2</v>
      </c>
      <c r="H199" s="1"/>
      <c r="I199" s="1"/>
      <c r="J199" s="1"/>
      <c r="K199" s="1"/>
      <c r="L199" s="1"/>
      <c r="M199" s="1" t="s">
        <v>580</v>
      </c>
      <c r="N199" s="33" t="s">
        <v>28</v>
      </c>
      <c r="O199" s="39">
        <v>-15.2</v>
      </c>
      <c r="P199" s="39">
        <v>-4.5</v>
      </c>
      <c r="Q199" s="39">
        <v>-5.5</v>
      </c>
      <c r="R199" s="39">
        <v>-14.1</v>
      </c>
      <c r="S199" s="1"/>
      <c r="T199" s="17" t="s">
        <v>581</v>
      </c>
      <c r="U199" s="1"/>
      <c r="V199" s="1"/>
      <c r="W199" s="1"/>
      <c r="X199" s="1"/>
      <c r="Y199" s="1"/>
      <c r="Z199" s="1"/>
      <c r="AA199" s="1"/>
      <c r="AB199" s="1"/>
      <c r="AC199" s="1"/>
      <c r="AD199" s="1"/>
      <c r="AE199" s="1"/>
      <c r="AF199" s="1"/>
      <c r="AG199" s="1"/>
      <c r="AH199" s="1"/>
      <c r="AI199" s="1"/>
      <c r="AJ199" s="1"/>
    </row>
    <row r="200" spans="1:36" ht="12.75" customHeight="1" x14ac:dyDescent="0.25">
      <c r="A200" s="1"/>
      <c r="B200" s="1"/>
      <c r="C200" s="1"/>
      <c r="D200" s="1"/>
      <c r="E200" s="1"/>
      <c r="F200" s="1"/>
      <c r="G200" s="1"/>
      <c r="H200" s="1"/>
      <c r="I200" s="1"/>
      <c r="J200" s="265"/>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ht="12.75" customHeight="1" x14ac:dyDescent="0.25">
      <c r="A201" s="1"/>
      <c r="B201" s="1"/>
      <c r="C201" s="104" t="s">
        <v>582</v>
      </c>
      <c r="D201" s="104"/>
      <c r="E201" s="3"/>
      <c r="F201" s="3"/>
      <c r="G201" s="259"/>
      <c r="H201" s="260"/>
      <c r="I201" s="260"/>
      <c r="J201" s="259"/>
      <c r="K201" s="1"/>
      <c r="L201" s="1"/>
      <c r="M201" s="1" t="s">
        <v>446</v>
      </c>
      <c r="N201" s="33" t="s">
        <v>28</v>
      </c>
      <c r="O201" s="39">
        <v>31.8</v>
      </c>
      <c r="P201" s="39">
        <v>31.9</v>
      </c>
      <c r="Q201" s="39">
        <v>61.1</v>
      </c>
      <c r="R201" s="39">
        <v>73.7</v>
      </c>
      <c r="S201" s="1"/>
      <c r="T201" s="1"/>
      <c r="U201" s="1"/>
      <c r="V201" s="1"/>
      <c r="W201" s="1"/>
      <c r="X201" s="1"/>
      <c r="Y201" s="1"/>
      <c r="Z201" s="1"/>
      <c r="AA201" s="1"/>
      <c r="AB201" s="1"/>
      <c r="AC201" s="1"/>
      <c r="AD201" s="1"/>
      <c r="AE201" s="1"/>
      <c r="AF201" s="1"/>
      <c r="AG201" s="1"/>
      <c r="AH201" s="1"/>
      <c r="AI201" s="1"/>
      <c r="AJ201" s="1"/>
    </row>
    <row r="202" spans="1:36" ht="12.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ht="12.75" customHeight="1" x14ac:dyDescent="0.25">
      <c r="A203" s="1"/>
      <c r="B203" s="1"/>
      <c r="C203" s="1"/>
      <c r="D203" s="1"/>
      <c r="E203" s="1"/>
      <c r="F203" s="1"/>
      <c r="G203" s="1"/>
      <c r="H203" s="1"/>
      <c r="I203" s="1"/>
      <c r="J203" s="265">
        <f>J165+J166+J179 + J181</f>
        <v>147.9</v>
      </c>
      <c r="K203" s="1"/>
      <c r="L203" s="1"/>
      <c r="M203" s="266" t="s">
        <v>583</v>
      </c>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ht="12.75" customHeight="1" x14ac:dyDescent="0.25">
      <c r="A204" s="1"/>
      <c r="B204" s="1"/>
      <c r="C204" s="1"/>
      <c r="D204" s="1"/>
      <c r="E204" s="1"/>
      <c r="F204" s="1"/>
      <c r="G204" s="1"/>
      <c r="H204" s="1"/>
      <c r="I204" s="1"/>
      <c r="J204" s="1">
        <f>J203 / K49</f>
        <v>0.2020887698491754</v>
      </c>
      <c r="K204" s="1"/>
      <c r="L204" s="1"/>
      <c r="M204" s="1" t="s">
        <v>584</v>
      </c>
      <c r="N204" s="33" t="s">
        <v>28</v>
      </c>
      <c r="O204" s="39">
        <v>22.6</v>
      </c>
      <c r="P204" s="39">
        <v>22.7</v>
      </c>
      <c r="Q204" s="39">
        <v>23.5</v>
      </c>
      <c r="R204" s="39">
        <v>24</v>
      </c>
      <c r="S204" s="1"/>
      <c r="T204" s="1"/>
      <c r="U204" s="1"/>
      <c r="V204" s="1"/>
      <c r="W204" s="1"/>
      <c r="X204" s="1"/>
      <c r="Y204" s="1"/>
      <c r="Z204" s="1"/>
      <c r="AA204" s="1"/>
      <c r="AB204" s="1"/>
      <c r="AC204" s="1"/>
      <c r="AD204" s="1"/>
      <c r="AE204" s="1"/>
      <c r="AF204" s="1"/>
      <c r="AG204" s="1"/>
      <c r="AH204" s="1"/>
      <c r="AI204" s="1"/>
      <c r="AJ204" s="1"/>
    </row>
    <row r="205" spans="1:36" ht="12.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ht="12.75" customHeight="1" x14ac:dyDescent="0.25">
      <c r="A206" s="1"/>
      <c r="B206" s="1"/>
      <c r="C206" s="1"/>
      <c r="D206" s="1"/>
      <c r="E206" s="1"/>
      <c r="F206" s="1"/>
      <c r="G206" s="1"/>
      <c r="H206" s="1"/>
      <c r="I206" s="1"/>
      <c r="J206" s="1"/>
      <c r="K206" s="1"/>
      <c r="L206" s="1"/>
      <c r="M206" s="1" t="s">
        <v>585</v>
      </c>
      <c r="N206" s="33" t="s">
        <v>28</v>
      </c>
      <c r="O206" s="39">
        <v>19</v>
      </c>
      <c r="P206" s="39">
        <v>18.8</v>
      </c>
      <c r="Q206" s="39">
        <v>18.600000000000001</v>
      </c>
      <c r="R206" s="39">
        <v>18.600000000000001</v>
      </c>
      <c r="S206" s="1"/>
      <c r="T206" s="1"/>
      <c r="U206" s="1"/>
      <c r="V206" s="1"/>
      <c r="W206" s="1"/>
      <c r="X206" s="1"/>
      <c r="Y206" s="1"/>
      <c r="Z206" s="1"/>
      <c r="AA206" s="1"/>
      <c r="AB206" s="1"/>
      <c r="AC206" s="1"/>
      <c r="AD206" s="1"/>
      <c r="AE206" s="1"/>
      <c r="AF206" s="1"/>
      <c r="AG206" s="1"/>
      <c r="AH206" s="1"/>
      <c r="AI206" s="1"/>
      <c r="AJ206" s="1"/>
    </row>
    <row r="207" spans="1:36" ht="12.75" customHeight="1" x14ac:dyDescent="0.25">
      <c r="A207" s="1"/>
      <c r="B207" s="1"/>
      <c r="C207" s="1"/>
      <c r="D207" s="1"/>
      <c r="E207" s="1"/>
      <c r="F207" s="1"/>
      <c r="G207" s="1"/>
      <c r="H207" s="1"/>
      <c r="I207" s="1"/>
      <c r="J207" s="1"/>
      <c r="K207" s="1"/>
      <c r="L207" s="1"/>
      <c r="M207" s="1" t="s">
        <v>586</v>
      </c>
      <c r="N207" s="33" t="s">
        <v>28</v>
      </c>
      <c r="O207" s="39">
        <v>11.5</v>
      </c>
      <c r="P207" s="39">
        <v>10.8</v>
      </c>
      <c r="Q207" s="39">
        <v>11.4</v>
      </c>
      <c r="R207" s="39">
        <v>10.8</v>
      </c>
      <c r="S207" s="1"/>
      <c r="T207" s="1"/>
      <c r="U207" s="1"/>
      <c r="V207" s="1"/>
      <c r="W207" s="1"/>
      <c r="X207" s="1"/>
      <c r="Y207" s="1"/>
      <c r="Z207" s="1"/>
      <c r="AA207" s="1"/>
      <c r="AB207" s="1"/>
      <c r="AC207" s="1"/>
      <c r="AD207" s="1"/>
      <c r="AE207" s="1"/>
      <c r="AF207" s="1"/>
      <c r="AG207" s="1"/>
      <c r="AH207" s="1"/>
      <c r="AI207" s="1"/>
      <c r="AJ207" s="1"/>
    </row>
    <row r="208" spans="1:36" ht="12.75" customHeight="1" x14ac:dyDescent="0.25">
      <c r="A208" s="1"/>
      <c r="B208" s="1"/>
      <c r="C208" s="1"/>
      <c r="D208" s="1"/>
      <c r="E208" s="1"/>
      <c r="F208" s="1"/>
      <c r="G208" s="1"/>
      <c r="H208" s="1"/>
      <c r="I208" s="1"/>
      <c r="J208" s="1"/>
      <c r="K208" s="1"/>
      <c r="L208" s="1"/>
      <c r="M208" s="1" t="s">
        <v>587</v>
      </c>
      <c r="N208" s="33" t="s">
        <v>28</v>
      </c>
      <c r="O208" s="39">
        <v>2.2999999999999998</v>
      </c>
      <c r="P208" s="39">
        <v>2.1</v>
      </c>
      <c r="Q208" s="39">
        <v>1.9</v>
      </c>
      <c r="R208" s="39">
        <v>1.6</v>
      </c>
      <c r="S208" s="1"/>
      <c r="T208" s="1"/>
      <c r="U208" s="1"/>
      <c r="V208" s="1"/>
      <c r="W208" s="1"/>
      <c r="X208" s="1"/>
      <c r="Y208" s="1"/>
      <c r="Z208" s="1"/>
      <c r="AA208" s="1"/>
      <c r="AB208" s="1"/>
      <c r="AC208" s="1"/>
      <c r="AD208" s="1"/>
      <c r="AE208" s="1"/>
      <c r="AF208" s="1"/>
      <c r="AG208" s="1"/>
      <c r="AH208" s="1"/>
      <c r="AI208" s="1"/>
      <c r="AJ208" s="1"/>
    </row>
    <row r="209" spans="1:36" ht="12.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ht="12.75" customHeight="1" x14ac:dyDescent="0.25">
      <c r="A210" s="1"/>
      <c r="B210" s="1"/>
      <c r="C210" s="1"/>
      <c r="D210" s="1"/>
      <c r="E210" s="1"/>
      <c r="F210" s="1"/>
      <c r="G210" s="1"/>
      <c r="H210" s="1"/>
      <c r="I210" s="1"/>
      <c r="J210" s="1"/>
      <c r="K210" s="1"/>
      <c r="L210" s="1"/>
      <c r="M210" s="1" t="s">
        <v>588</v>
      </c>
      <c r="N210" s="1"/>
      <c r="O210" s="39">
        <v>0</v>
      </c>
      <c r="P210" s="39">
        <v>2.5</v>
      </c>
      <c r="Q210" s="39">
        <v>0</v>
      </c>
      <c r="R210" s="39">
        <v>-18</v>
      </c>
      <c r="S210" s="1"/>
      <c r="T210" s="1"/>
      <c r="U210" s="1"/>
      <c r="V210" s="1"/>
      <c r="W210" s="1"/>
      <c r="X210" s="1"/>
      <c r="Y210" s="1"/>
      <c r="Z210" s="1"/>
      <c r="AA210" s="1"/>
      <c r="AB210" s="1"/>
      <c r="AC210" s="1"/>
      <c r="AD210" s="1"/>
      <c r="AE210" s="1"/>
      <c r="AF210" s="1"/>
      <c r="AG210" s="1"/>
      <c r="AH210" s="1"/>
      <c r="AI210" s="1"/>
      <c r="AJ210" s="1"/>
    </row>
    <row r="211" spans="1:36" ht="12.75" customHeight="1" x14ac:dyDescent="0.25">
      <c r="A211" s="1"/>
      <c r="B211" s="1"/>
      <c r="C211" s="1"/>
      <c r="D211" s="1"/>
      <c r="E211" s="1"/>
      <c r="F211" s="1"/>
      <c r="G211" s="1"/>
      <c r="H211" s="1"/>
      <c r="I211" s="1"/>
      <c r="J211" s="1"/>
      <c r="K211" s="1"/>
      <c r="L211" s="1"/>
      <c r="M211" s="1" t="s">
        <v>438</v>
      </c>
      <c r="N211" s="33" t="s">
        <v>28</v>
      </c>
      <c r="O211" s="39">
        <v>30.9</v>
      </c>
      <c r="P211" s="39">
        <v>31.4</v>
      </c>
      <c r="Q211" s="39">
        <v>29.9</v>
      </c>
      <c r="R211" s="39">
        <v>28.2</v>
      </c>
      <c r="S211" s="1"/>
      <c r="T211" s="1"/>
      <c r="U211" s="1"/>
      <c r="V211" s="1"/>
      <c r="W211" s="1"/>
      <c r="X211" s="1"/>
      <c r="Y211" s="1"/>
      <c r="Z211" s="1"/>
      <c r="AA211" s="1"/>
      <c r="AB211" s="1"/>
      <c r="AC211" s="1"/>
      <c r="AD211" s="1"/>
      <c r="AE211" s="1"/>
      <c r="AF211" s="1"/>
      <c r="AG211" s="1"/>
      <c r="AH211" s="1"/>
      <c r="AI211" s="1"/>
      <c r="AJ211" s="1"/>
    </row>
    <row r="212" spans="1:36" ht="12.75" customHeight="1" x14ac:dyDescent="0.25">
      <c r="A212" s="1"/>
      <c r="B212" s="1"/>
      <c r="C212" s="1"/>
      <c r="D212" s="1"/>
      <c r="E212" s="1"/>
      <c r="F212" s="1"/>
      <c r="G212" s="1"/>
      <c r="H212" s="1"/>
      <c r="I212" s="1"/>
      <c r="J212" s="1"/>
      <c r="K212" s="1"/>
      <c r="L212" s="1"/>
      <c r="M212" s="1" t="s">
        <v>589</v>
      </c>
      <c r="N212" s="33" t="s">
        <v>28</v>
      </c>
      <c r="O212" s="39">
        <v>14.1</v>
      </c>
      <c r="P212" s="39">
        <v>13.4</v>
      </c>
      <c r="Q212" s="39">
        <v>14</v>
      </c>
      <c r="R212" s="39">
        <v>13.4</v>
      </c>
      <c r="S212" s="1"/>
      <c r="T212" s="1"/>
      <c r="U212" s="1"/>
      <c r="V212" s="1"/>
      <c r="W212" s="1"/>
      <c r="X212" s="1"/>
      <c r="Y212" s="1"/>
      <c r="Z212" s="1"/>
      <c r="AA212" s="1"/>
      <c r="AB212" s="1"/>
      <c r="AC212" s="1"/>
      <c r="AD212" s="1"/>
      <c r="AE212" s="1"/>
      <c r="AF212" s="1"/>
      <c r="AG212" s="1"/>
      <c r="AH212" s="1"/>
      <c r="AI212" s="1"/>
      <c r="AJ212" s="1"/>
    </row>
    <row r="213" spans="1:36" ht="12.75" customHeight="1" x14ac:dyDescent="0.25">
      <c r="A213" s="1"/>
      <c r="B213" s="1"/>
      <c r="C213" s="1"/>
      <c r="D213" s="1"/>
      <c r="E213" s="1"/>
      <c r="F213" s="1"/>
      <c r="G213" s="1"/>
      <c r="H213" s="1"/>
      <c r="I213" s="1"/>
      <c r="J213" s="1"/>
      <c r="K213" s="1"/>
      <c r="L213" s="1"/>
      <c r="M213" s="1" t="s">
        <v>590</v>
      </c>
      <c r="N213" s="33" t="s">
        <v>28</v>
      </c>
      <c r="O213" s="39">
        <v>14</v>
      </c>
      <c r="P213" s="39">
        <v>11</v>
      </c>
      <c r="Q213" s="39">
        <v>24.8</v>
      </c>
      <c r="R213" s="39">
        <v>32.1</v>
      </c>
      <c r="S213" s="1"/>
      <c r="T213" s="1"/>
      <c r="U213" s="1"/>
      <c r="V213" s="1"/>
      <c r="W213" s="1"/>
      <c r="X213" s="1"/>
      <c r="Y213" s="1"/>
      <c r="Z213" s="1"/>
      <c r="AA213" s="1"/>
      <c r="AB213" s="1"/>
      <c r="AC213" s="1"/>
      <c r="AD213" s="1"/>
      <c r="AE213" s="1"/>
      <c r="AF213" s="1"/>
      <c r="AG213" s="1"/>
      <c r="AH213" s="1"/>
      <c r="AI213" s="1"/>
      <c r="AJ213" s="1"/>
    </row>
    <row r="214" spans="1:36" ht="12.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spans="1:36" ht="12.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spans="1:36" ht="12.75" customHeight="1" x14ac:dyDescent="0.25">
      <c r="A216" s="1"/>
      <c r="B216" s="1"/>
      <c r="C216" s="1"/>
      <c r="D216" s="1"/>
      <c r="E216" s="1"/>
      <c r="F216" s="1"/>
      <c r="G216" s="1"/>
      <c r="H216" s="1"/>
      <c r="I216" s="1"/>
      <c r="J216" s="1"/>
      <c r="K216" s="1"/>
      <c r="L216" s="1"/>
      <c r="M216" s="104" t="s">
        <v>591</v>
      </c>
      <c r="N216" s="104"/>
      <c r="O216" s="121" t="str">
        <f t="shared" ref="O216:R216" si="71">O197</f>
        <v>FY19</v>
      </c>
      <c r="P216" s="121" t="str">
        <f t="shared" si="71"/>
        <v>FY20</v>
      </c>
      <c r="Q216" s="121" t="str">
        <f t="shared" si="71"/>
        <v>FY21</v>
      </c>
      <c r="R216" s="121" t="str">
        <f t="shared" si="71"/>
        <v>FY22</v>
      </c>
      <c r="S216" s="1"/>
      <c r="T216" s="1"/>
      <c r="U216" s="1"/>
      <c r="V216" s="1"/>
      <c r="W216" s="1"/>
      <c r="X216" s="1"/>
      <c r="Y216" s="1"/>
      <c r="Z216" s="1"/>
      <c r="AA216" s="1"/>
      <c r="AB216" s="1"/>
      <c r="AC216" s="1"/>
      <c r="AD216" s="1"/>
      <c r="AE216" s="1"/>
      <c r="AF216" s="1"/>
      <c r="AG216" s="1"/>
      <c r="AH216" s="1"/>
      <c r="AI216" s="1"/>
      <c r="AJ216" s="1"/>
    </row>
    <row r="217" spans="1:36" ht="12.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spans="1:36" ht="12.75" customHeight="1" x14ac:dyDescent="0.25">
      <c r="A218" s="1"/>
      <c r="B218" s="1"/>
      <c r="C218" s="1"/>
      <c r="D218" s="1"/>
      <c r="E218" s="1"/>
      <c r="F218" s="1"/>
      <c r="G218" s="1"/>
      <c r="H218" s="1"/>
      <c r="I218" s="1"/>
      <c r="J218" s="1"/>
      <c r="K218" s="1"/>
      <c r="L218" s="1"/>
      <c r="M218" s="1" t="s">
        <v>151</v>
      </c>
      <c r="N218" s="33" t="s">
        <v>28</v>
      </c>
      <c r="O218" s="39">
        <v>90.8</v>
      </c>
      <c r="P218" s="39">
        <v>87.7</v>
      </c>
      <c r="Q218" s="39">
        <v>129.69999999999999</v>
      </c>
      <c r="R218" s="39">
        <v>147.4</v>
      </c>
      <c r="S218" s="1"/>
      <c r="T218" s="1"/>
      <c r="U218" s="1"/>
      <c r="V218" s="1"/>
      <c r="W218" s="1"/>
      <c r="X218" s="1"/>
      <c r="Y218" s="1"/>
      <c r="Z218" s="1"/>
      <c r="AA218" s="1"/>
      <c r="AB218" s="1"/>
      <c r="AC218" s="1"/>
      <c r="AD218" s="1"/>
      <c r="AE218" s="1"/>
      <c r="AF218" s="1"/>
      <c r="AG218" s="1"/>
      <c r="AH218" s="1"/>
      <c r="AI218" s="1"/>
      <c r="AJ218" s="1"/>
    </row>
    <row r="219" spans="1:36" ht="12.75" customHeight="1" x14ac:dyDescent="0.25">
      <c r="A219" s="1"/>
      <c r="B219" s="1"/>
      <c r="C219" s="1"/>
      <c r="D219" s="1"/>
      <c r="E219" s="1"/>
      <c r="F219" s="1"/>
      <c r="G219" s="1"/>
      <c r="H219" s="1"/>
      <c r="I219" s="1"/>
      <c r="J219" s="1"/>
      <c r="K219" s="1"/>
      <c r="L219" s="1"/>
      <c r="M219" s="1" t="s">
        <v>318</v>
      </c>
      <c r="N219" s="33" t="s">
        <v>28</v>
      </c>
      <c r="O219" s="39">
        <v>-15.9</v>
      </c>
      <c r="P219" s="39">
        <v>10.9</v>
      </c>
      <c r="Q219" s="39">
        <v>6.9</v>
      </c>
      <c r="R219" s="39">
        <v>-0.5</v>
      </c>
      <c r="S219" s="1"/>
      <c r="T219" s="1"/>
      <c r="U219" s="1"/>
      <c r="V219" s="1"/>
      <c r="W219" s="1"/>
      <c r="X219" s="1"/>
      <c r="Y219" s="1"/>
      <c r="Z219" s="1"/>
      <c r="AA219" s="1"/>
      <c r="AB219" s="1"/>
      <c r="AC219" s="1"/>
      <c r="AD219" s="1"/>
      <c r="AE219" s="1"/>
      <c r="AF219" s="1"/>
      <c r="AG219" s="1"/>
      <c r="AH219" s="1"/>
      <c r="AI219" s="1"/>
      <c r="AJ219" s="1"/>
    </row>
    <row r="220" spans="1:36" ht="12.75" customHeight="1" x14ac:dyDescent="0.25">
      <c r="A220" s="1"/>
      <c r="B220" s="1"/>
      <c r="C220" s="1"/>
      <c r="D220" s="1"/>
      <c r="E220" s="1"/>
      <c r="F220" s="1"/>
      <c r="G220" s="1"/>
      <c r="H220" s="1"/>
      <c r="I220" s="1"/>
      <c r="J220" s="1"/>
      <c r="K220" s="1"/>
      <c r="L220" s="1"/>
      <c r="M220" s="1" t="s">
        <v>592</v>
      </c>
      <c r="N220" s="33" t="s">
        <v>28</v>
      </c>
      <c r="O220" s="39">
        <v>-2.6</v>
      </c>
      <c r="P220" s="39">
        <v>-2.6</v>
      </c>
      <c r="Q220" s="39">
        <v>-2.6</v>
      </c>
      <c r="R220" s="39">
        <v>-2.6</v>
      </c>
      <c r="S220" s="1"/>
      <c r="T220" s="1"/>
      <c r="U220" s="1"/>
      <c r="V220" s="1"/>
      <c r="W220" s="1"/>
      <c r="X220" s="1"/>
      <c r="Y220" s="1"/>
      <c r="Z220" s="1"/>
      <c r="AA220" s="1"/>
      <c r="AB220" s="1"/>
      <c r="AC220" s="1"/>
      <c r="AD220" s="1"/>
      <c r="AE220" s="1"/>
      <c r="AF220" s="1"/>
      <c r="AG220" s="1"/>
      <c r="AH220" s="1"/>
      <c r="AI220" s="1"/>
      <c r="AJ220" s="1"/>
    </row>
    <row r="221" spans="1:36" ht="12.75" customHeight="1" x14ac:dyDescent="0.25">
      <c r="A221" s="1"/>
      <c r="B221" s="1"/>
      <c r="C221" s="1"/>
      <c r="D221" s="1"/>
      <c r="E221" s="1"/>
      <c r="F221" s="1"/>
      <c r="G221" s="1"/>
      <c r="H221" s="1"/>
      <c r="I221" s="1"/>
      <c r="J221" s="1"/>
      <c r="K221" s="1"/>
      <c r="L221" s="1"/>
      <c r="M221" s="1" t="s">
        <v>593</v>
      </c>
      <c r="N221" s="33" t="s">
        <v>28</v>
      </c>
      <c r="O221" s="39">
        <v>-2.2000000000000002</v>
      </c>
      <c r="P221" s="39">
        <v>0.6</v>
      </c>
      <c r="Q221" s="39">
        <v>0.8</v>
      </c>
      <c r="R221" s="39">
        <v>0.6</v>
      </c>
      <c r="S221" s="1"/>
      <c r="T221" s="1"/>
      <c r="U221" s="1"/>
      <c r="V221" s="1"/>
      <c r="W221" s="1"/>
      <c r="X221" s="1"/>
      <c r="Y221" s="1"/>
      <c r="Z221" s="1"/>
      <c r="AA221" s="1"/>
      <c r="AB221" s="1"/>
      <c r="AC221" s="1"/>
      <c r="AD221" s="1"/>
      <c r="AE221" s="1"/>
      <c r="AF221" s="1"/>
      <c r="AG221" s="1"/>
      <c r="AH221" s="1"/>
      <c r="AI221" s="1"/>
      <c r="AJ221" s="1"/>
    </row>
    <row r="222" spans="1:36" ht="12.75" customHeight="1" x14ac:dyDescent="0.25">
      <c r="A222" s="1"/>
      <c r="B222" s="1"/>
      <c r="C222" s="1"/>
      <c r="D222" s="1"/>
      <c r="E222" s="1"/>
      <c r="F222" s="1"/>
      <c r="G222" s="1"/>
      <c r="H222" s="1"/>
      <c r="I222" s="1"/>
      <c r="J222" s="1"/>
      <c r="K222" s="1"/>
      <c r="L222" s="1"/>
      <c r="M222" s="13" t="s">
        <v>594</v>
      </c>
      <c r="N222" s="43" t="s">
        <v>28</v>
      </c>
      <c r="O222" s="38">
        <f t="shared" ref="O222:R222" si="72">SUM( O218:O221 )</f>
        <v>70.099999999999994</v>
      </c>
      <c r="P222" s="38">
        <f t="shared" si="72"/>
        <v>96.600000000000009</v>
      </c>
      <c r="Q222" s="38">
        <f t="shared" si="72"/>
        <v>134.80000000000001</v>
      </c>
      <c r="R222" s="38">
        <f t="shared" si="72"/>
        <v>144.9</v>
      </c>
      <c r="S222" s="1"/>
      <c r="T222" s="1"/>
      <c r="U222" s="1"/>
      <c r="V222" s="1"/>
      <c r="W222" s="1"/>
      <c r="X222" s="1"/>
      <c r="Y222" s="1"/>
      <c r="Z222" s="1"/>
      <c r="AA222" s="1"/>
      <c r="AB222" s="1"/>
      <c r="AC222" s="1"/>
      <c r="AD222" s="1"/>
      <c r="AE222" s="1"/>
      <c r="AF222" s="1"/>
      <c r="AG222" s="1"/>
      <c r="AH222" s="1"/>
      <c r="AI222" s="1"/>
      <c r="AJ222" s="1"/>
    </row>
    <row r="223" spans="1:36"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ht="12.75" customHeight="1" x14ac:dyDescent="0.25">
      <c r="A224" s="1"/>
      <c r="B224" s="1"/>
      <c r="C224" s="1"/>
      <c r="D224" s="1"/>
      <c r="E224" s="1"/>
      <c r="F224" s="1"/>
      <c r="G224" s="1"/>
      <c r="H224" s="1"/>
      <c r="I224" s="1"/>
      <c r="J224" s="1"/>
      <c r="K224" s="1"/>
      <c r="L224" s="1"/>
      <c r="M224" s="1" t="s">
        <v>580</v>
      </c>
      <c r="N224" s="33" t="s">
        <v>28</v>
      </c>
      <c r="O224" s="267">
        <f t="shared" ref="O224:R224" si="73">O199</f>
        <v>-15.2</v>
      </c>
      <c r="P224" s="267">
        <f t="shared" si="73"/>
        <v>-4.5</v>
      </c>
      <c r="Q224" s="267">
        <f t="shared" si="73"/>
        <v>-5.5</v>
      </c>
      <c r="R224" s="267">
        <f t="shared" si="73"/>
        <v>-14.1</v>
      </c>
      <c r="S224" s="1"/>
      <c r="T224" s="1"/>
      <c r="U224" s="1"/>
      <c r="V224" s="1"/>
      <c r="W224" s="1"/>
      <c r="X224" s="1"/>
      <c r="Y224" s="1"/>
      <c r="Z224" s="1"/>
      <c r="AA224" s="1"/>
      <c r="AB224" s="1"/>
      <c r="AC224" s="1"/>
      <c r="AD224" s="1"/>
      <c r="AE224" s="1"/>
      <c r="AF224" s="1"/>
      <c r="AG224" s="1"/>
      <c r="AH224" s="1"/>
      <c r="AI224" s="1"/>
      <c r="AJ224" s="1"/>
    </row>
    <row r="225" spans="1:36" ht="12.75" customHeight="1" x14ac:dyDescent="0.25">
      <c r="A225" s="1"/>
      <c r="B225" s="1"/>
      <c r="C225" s="1"/>
      <c r="D225" s="1"/>
      <c r="E225" s="1"/>
      <c r="F225" s="1"/>
      <c r="G225" s="1"/>
      <c r="H225" s="1"/>
      <c r="I225" s="1"/>
      <c r="J225" s="1"/>
      <c r="K225" s="1"/>
      <c r="L225" s="1"/>
      <c r="M225" s="1" t="s">
        <v>595</v>
      </c>
      <c r="N225" s="33" t="s">
        <v>28</v>
      </c>
      <c r="O225" s="39">
        <v>-22.6</v>
      </c>
      <c r="P225" s="39">
        <v>-22.7</v>
      </c>
      <c r="Q225" s="39">
        <v>-23.5</v>
      </c>
      <c r="R225" s="39">
        <v>-24</v>
      </c>
      <c r="S225" s="1"/>
      <c r="T225" s="1"/>
      <c r="U225" s="1"/>
      <c r="V225" s="1"/>
      <c r="W225" s="1"/>
      <c r="X225" s="1"/>
      <c r="Y225" s="1"/>
      <c r="Z225" s="1"/>
      <c r="AA225" s="1"/>
      <c r="AB225" s="1"/>
      <c r="AC225" s="1"/>
      <c r="AD225" s="1"/>
      <c r="AE225" s="1"/>
      <c r="AF225" s="1"/>
      <c r="AG225" s="1"/>
      <c r="AH225" s="1"/>
      <c r="AI225" s="1"/>
      <c r="AJ225" s="1"/>
    </row>
    <row r="226" spans="1:36" ht="12.75" customHeight="1" x14ac:dyDescent="0.25">
      <c r="A226" s="1"/>
      <c r="B226" s="1"/>
      <c r="C226" s="1"/>
      <c r="D226" s="1"/>
      <c r="E226" s="1"/>
      <c r="F226" s="1"/>
      <c r="G226" s="1"/>
      <c r="H226" s="1"/>
      <c r="I226" s="1"/>
      <c r="J226" s="1"/>
      <c r="K226" s="1"/>
      <c r="L226" s="1"/>
      <c r="M226" s="13" t="s">
        <v>596</v>
      </c>
      <c r="N226" s="43" t="s">
        <v>28</v>
      </c>
      <c r="O226" s="38">
        <f t="shared" ref="O226:R226" si="74">O222 + O224 + O225</f>
        <v>32.29999999999999</v>
      </c>
      <c r="P226" s="38">
        <f t="shared" si="74"/>
        <v>69.400000000000006</v>
      </c>
      <c r="Q226" s="38">
        <f t="shared" si="74"/>
        <v>105.80000000000001</v>
      </c>
      <c r="R226" s="38">
        <f t="shared" si="74"/>
        <v>106.80000000000001</v>
      </c>
      <c r="S226" s="1"/>
      <c r="T226" s="1"/>
      <c r="U226" s="1"/>
      <c r="V226" s="1"/>
      <c r="W226" s="1"/>
      <c r="X226" s="1"/>
      <c r="Y226" s="1"/>
      <c r="Z226" s="1"/>
      <c r="AA226" s="1"/>
      <c r="AB226" s="1"/>
      <c r="AC226" s="1"/>
      <c r="AD226" s="1"/>
      <c r="AE226" s="1"/>
      <c r="AF226" s="1"/>
      <c r="AG226" s="1"/>
      <c r="AH226" s="1"/>
      <c r="AI226" s="1"/>
      <c r="AJ226" s="1"/>
    </row>
    <row r="227" spans="1:36" ht="12.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ht="12.75" customHeight="1" x14ac:dyDescent="0.25">
      <c r="A228" s="1"/>
      <c r="B228" s="1"/>
      <c r="C228" s="1"/>
      <c r="D228" s="1"/>
      <c r="E228" s="1"/>
      <c r="F228" s="1"/>
      <c r="G228" s="1"/>
      <c r="H228" s="1"/>
      <c r="I228" s="1"/>
      <c r="J228" s="1"/>
      <c r="K228" s="1"/>
      <c r="L228" s="1"/>
      <c r="M228" s="1" t="s">
        <v>597</v>
      </c>
      <c r="N228" s="33" t="s">
        <v>28</v>
      </c>
      <c r="O228" s="39">
        <v>0</v>
      </c>
      <c r="P228" s="39">
        <v>0</v>
      </c>
      <c r="Q228" s="39">
        <v>0</v>
      </c>
      <c r="R228" s="39">
        <v>-18</v>
      </c>
      <c r="S228" s="1"/>
      <c r="T228" s="1"/>
      <c r="U228" s="1"/>
      <c r="V228" s="1"/>
      <c r="W228" s="1"/>
      <c r="X228" s="1"/>
      <c r="Y228" s="1"/>
      <c r="Z228" s="1"/>
      <c r="AA228" s="1"/>
      <c r="AB228" s="1"/>
      <c r="AC228" s="1"/>
      <c r="AD228" s="1"/>
      <c r="AE228" s="1"/>
      <c r="AF228" s="1"/>
      <c r="AG228" s="1"/>
      <c r="AH228" s="1"/>
      <c r="AI228" s="1"/>
      <c r="AJ228" s="1"/>
    </row>
    <row r="229" spans="1:36" ht="12.75" customHeight="1" x14ac:dyDescent="0.25">
      <c r="A229" s="1"/>
      <c r="B229" s="1"/>
      <c r="C229" s="1"/>
      <c r="D229" s="1"/>
      <c r="E229" s="1"/>
      <c r="F229" s="1"/>
      <c r="G229" s="1"/>
      <c r="H229" s="1"/>
      <c r="I229" s="1"/>
      <c r="J229" s="1"/>
      <c r="K229" s="1"/>
      <c r="L229" s="1"/>
      <c r="M229" s="1" t="s">
        <v>598</v>
      </c>
      <c r="N229" s="33" t="s">
        <v>28</v>
      </c>
      <c r="O229" s="39">
        <v>0</v>
      </c>
      <c r="P229" s="39">
        <v>0</v>
      </c>
      <c r="Q229" s="39">
        <v>0</v>
      </c>
      <c r="R229" s="39">
        <v>50</v>
      </c>
      <c r="S229" s="1"/>
      <c r="T229" s="1"/>
      <c r="U229" s="1"/>
      <c r="V229" s="1"/>
      <c r="W229" s="1"/>
      <c r="X229" s="1"/>
      <c r="Y229" s="1"/>
      <c r="Z229" s="1"/>
      <c r="AA229" s="1"/>
      <c r="AB229" s="1"/>
      <c r="AC229" s="1"/>
      <c r="AD229" s="1"/>
      <c r="AE229" s="1"/>
      <c r="AF229" s="1"/>
      <c r="AG229" s="1"/>
      <c r="AH229" s="1"/>
      <c r="AI229" s="1"/>
      <c r="AJ229" s="1"/>
    </row>
    <row r="230" spans="1:36" ht="12.75" customHeight="1" x14ac:dyDescent="0.25">
      <c r="A230" s="1"/>
      <c r="B230" s="1"/>
      <c r="C230" s="1"/>
      <c r="D230" s="1"/>
      <c r="E230" s="1"/>
      <c r="F230" s="1"/>
      <c r="G230" s="1"/>
      <c r="H230" s="1"/>
      <c r="I230" s="1"/>
      <c r="J230" s="1"/>
      <c r="K230" s="1"/>
      <c r="L230" s="1"/>
      <c r="M230" s="1" t="s">
        <v>599</v>
      </c>
      <c r="N230" s="33" t="s">
        <v>28</v>
      </c>
      <c r="O230" s="39">
        <v>0</v>
      </c>
      <c r="P230" s="39">
        <v>0</v>
      </c>
      <c r="Q230" s="39">
        <v>0</v>
      </c>
      <c r="R230" s="39">
        <v>-50</v>
      </c>
      <c r="S230" s="1"/>
      <c r="T230" s="1"/>
      <c r="U230" s="1"/>
      <c r="V230" s="1"/>
      <c r="W230" s="1"/>
      <c r="X230" s="1"/>
      <c r="Y230" s="1"/>
      <c r="Z230" s="1"/>
      <c r="AA230" s="1"/>
      <c r="AB230" s="1"/>
      <c r="AC230" s="1"/>
      <c r="AD230" s="1"/>
      <c r="AE230" s="1"/>
      <c r="AF230" s="1"/>
      <c r="AG230" s="1"/>
      <c r="AH230" s="1"/>
      <c r="AI230" s="1"/>
      <c r="AJ230" s="1"/>
    </row>
    <row r="231" spans="1:36" ht="12.75" customHeight="1" x14ac:dyDescent="0.25">
      <c r="A231" s="1"/>
      <c r="B231" s="1"/>
      <c r="C231" s="1"/>
      <c r="D231" s="1"/>
      <c r="E231" s="1"/>
      <c r="F231" s="1"/>
      <c r="G231" s="1"/>
      <c r="H231" s="1"/>
      <c r="I231" s="1"/>
      <c r="J231" s="1"/>
      <c r="K231" s="1"/>
      <c r="L231" s="1"/>
      <c r="M231" s="1" t="s">
        <v>600</v>
      </c>
      <c r="N231" s="33" t="s">
        <v>28</v>
      </c>
      <c r="O231" s="39">
        <v>0</v>
      </c>
      <c r="P231" s="39">
        <v>0</v>
      </c>
      <c r="Q231" s="39">
        <v>0</v>
      </c>
      <c r="R231" s="39">
        <v>-31.2</v>
      </c>
      <c r="S231" s="1"/>
      <c r="T231" s="1"/>
      <c r="U231" s="1"/>
      <c r="V231" s="1"/>
      <c r="W231" s="1"/>
      <c r="X231" s="1"/>
      <c r="Y231" s="1"/>
      <c r="Z231" s="1"/>
      <c r="AA231" s="1"/>
      <c r="AB231" s="1"/>
      <c r="AC231" s="1"/>
      <c r="AD231" s="1"/>
      <c r="AE231" s="1"/>
      <c r="AF231" s="1"/>
      <c r="AG231" s="1"/>
      <c r="AH231" s="1"/>
      <c r="AI231" s="1"/>
      <c r="AJ231" s="1"/>
    </row>
    <row r="232" spans="1:36" ht="12.75" customHeight="1" x14ac:dyDescent="0.25">
      <c r="A232" s="1"/>
      <c r="B232" s="1"/>
      <c r="C232" s="1"/>
      <c r="D232" s="1"/>
      <c r="E232" s="1"/>
      <c r="F232" s="1"/>
      <c r="G232" s="1"/>
      <c r="H232" s="1"/>
      <c r="I232" s="1"/>
      <c r="J232" s="1"/>
      <c r="K232" s="1"/>
      <c r="L232" s="1"/>
      <c r="M232" s="13" t="s">
        <v>601</v>
      </c>
      <c r="N232" s="43" t="s">
        <v>28</v>
      </c>
      <c r="O232" s="13"/>
      <c r="P232" s="13"/>
      <c r="Q232" s="13"/>
      <c r="R232" s="81">
        <f>SUM( R226:R231 )</f>
        <v>57.600000000000009</v>
      </c>
      <c r="S232" s="1"/>
      <c r="T232" s="1"/>
      <c r="U232" s="1"/>
      <c r="V232" s="1"/>
      <c r="W232" s="1"/>
      <c r="X232" s="1"/>
      <c r="Y232" s="1"/>
      <c r="Z232" s="1"/>
      <c r="AA232" s="1"/>
      <c r="AB232" s="1"/>
      <c r="AC232" s="1"/>
      <c r="AD232" s="1"/>
      <c r="AE232" s="1"/>
      <c r="AF232" s="1"/>
      <c r="AG232" s="1"/>
      <c r="AH232" s="1"/>
      <c r="AI232" s="1"/>
      <c r="AJ232" s="1"/>
    </row>
    <row r="233" spans="1:36" ht="12.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ht="12.75" customHeight="1" x14ac:dyDescent="0.25">
      <c r="A234" s="1"/>
      <c r="B234" s="1"/>
      <c r="C234" s="1"/>
      <c r="D234" s="1"/>
      <c r="E234" s="1"/>
      <c r="F234" s="1"/>
      <c r="G234" s="1"/>
      <c r="H234" s="1"/>
      <c r="I234" s="1"/>
      <c r="J234" s="1"/>
      <c r="K234" s="1"/>
      <c r="L234" s="1"/>
      <c r="M234" s="1" t="s">
        <v>602</v>
      </c>
      <c r="N234" s="33" t="s">
        <v>28</v>
      </c>
      <c r="O234" s="39">
        <v>0</v>
      </c>
      <c r="P234" s="39">
        <v>0</v>
      </c>
      <c r="Q234" s="39">
        <v>0</v>
      </c>
      <c r="R234" s="80">
        <f>R210</f>
        <v>-18</v>
      </c>
      <c r="S234" s="1"/>
      <c r="T234" s="1"/>
      <c r="U234" s="1"/>
      <c r="V234" s="1"/>
      <c r="W234" s="1"/>
      <c r="X234" s="1"/>
      <c r="Y234" s="1"/>
      <c r="Z234" s="1"/>
      <c r="AA234" s="1"/>
      <c r="AB234" s="1"/>
      <c r="AC234" s="1"/>
      <c r="AD234" s="1"/>
      <c r="AE234" s="1"/>
      <c r="AF234" s="1"/>
      <c r="AG234" s="1"/>
      <c r="AH234" s="1"/>
      <c r="AI234" s="1"/>
      <c r="AJ234" s="1"/>
    </row>
    <row r="235" spans="1:36" ht="12.75" customHeight="1" x14ac:dyDescent="0.25">
      <c r="A235" s="1"/>
      <c r="B235" s="1"/>
      <c r="C235" s="1"/>
      <c r="D235" s="1"/>
      <c r="E235" s="1"/>
      <c r="F235" s="1"/>
      <c r="G235" s="1"/>
      <c r="H235" s="1"/>
      <c r="I235" s="1"/>
      <c r="J235" s="1"/>
      <c r="K235" s="1"/>
      <c r="L235" s="1"/>
      <c r="M235" s="18" t="s">
        <v>603</v>
      </c>
      <c r="N235" s="33" t="s">
        <v>28</v>
      </c>
      <c r="O235" s="39">
        <v>0</v>
      </c>
      <c r="P235" s="39">
        <v>0</v>
      </c>
      <c r="Q235" s="39">
        <v>0</v>
      </c>
      <c r="R235" s="39">
        <f>R232 - R234</f>
        <v>75.600000000000009</v>
      </c>
      <c r="S235" s="1"/>
      <c r="T235" s="1"/>
      <c r="U235" s="1"/>
      <c r="V235" s="1"/>
      <c r="W235" s="1"/>
      <c r="X235" s="1"/>
      <c r="Y235" s="1"/>
      <c r="Z235" s="1"/>
      <c r="AA235" s="1"/>
      <c r="AB235" s="1"/>
      <c r="AC235" s="1"/>
      <c r="AD235" s="1"/>
      <c r="AE235" s="1"/>
      <c r="AF235" s="1"/>
      <c r="AG235" s="1"/>
      <c r="AH235" s="1"/>
      <c r="AI235" s="1"/>
      <c r="AJ235" s="1"/>
    </row>
    <row r="236" spans="1:36" ht="12.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ht="12.75" customHeight="1" x14ac:dyDescent="0.25">
      <c r="A237" s="1"/>
      <c r="B237" s="1"/>
      <c r="C237" s="1"/>
      <c r="D237" s="1"/>
      <c r="E237" s="1"/>
      <c r="F237" s="1"/>
      <c r="G237" s="1"/>
      <c r="H237" s="1"/>
      <c r="I237" s="1"/>
      <c r="J237" s="1"/>
      <c r="K237" s="1"/>
      <c r="L237" s="1"/>
      <c r="M237" s="1" t="s">
        <v>604</v>
      </c>
      <c r="N237" s="33" t="s">
        <v>28</v>
      </c>
      <c r="O237" s="39">
        <v>0</v>
      </c>
      <c r="P237" s="39">
        <f t="shared" ref="P237:R237" si="75">J49 - I49</f>
        <v>-44.701199999999972</v>
      </c>
      <c r="Q237" s="39">
        <f t="shared" si="75"/>
        <v>91.319599999999923</v>
      </c>
      <c r="R237" s="39">
        <f t="shared" si="75"/>
        <v>78.433400000000006</v>
      </c>
      <c r="S237" s="1"/>
      <c r="T237" s="1"/>
      <c r="U237" s="1"/>
      <c r="V237" s="1"/>
      <c r="W237" s="1"/>
      <c r="X237" s="1"/>
      <c r="Y237" s="1"/>
      <c r="Z237" s="1"/>
      <c r="AA237" s="1"/>
      <c r="AB237" s="1"/>
      <c r="AC237" s="1"/>
      <c r="AD237" s="1"/>
      <c r="AE237" s="1"/>
      <c r="AF237" s="1"/>
      <c r="AG237" s="1"/>
      <c r="AH237" s="1"/>
      <c r="AI237" s="1"/>
      <c r="AJ237" s="1"/>
    </row>
    <row r="238" spans="1:36" ht="12.75" customHeight="1" x14ac:dyDescent="0.25">
      <c r="A238" s="1"/>
      <c r="B238" s="1"/>
      <c r="C238" s="1"/>
      <c r="D238" s="1"/>
      <c r="E238" s="1"/>
      <c r="F238" s="1"/>
      <c r="G238" s="1"/>
      <c r="H238" s="1"/>
      <c r="I238" s="1"/>
      <c r="J238" s="1"/>
      <c r="K238" s="1"/>
      <c r="L238" s="1"/>
      <c r="M238" s="1"/>
      <c r="N238" s="1"/>
      <c r="O238" s="1"/>
      <c r="P238" s="41"/>
      <c r="Q238" s="41"/>
      <c r="R238" s="41"/>
      <c r="S238" s="1"/>
      <c r="T238" s="1"/>
      <c r="U238" s="1"/>
      <c r="V238" s="1"/>
      <c r="W238" s="1"/>
      <c r="X238" s="1"/>
      <c r="Y238" s="1"/>
      <c r="Z238" s="1"/>
      <c r="AA238" s="1"/>
      <c r="AB238" s="1"/>
      <c r="AC238" s="1"/>
      <c r="AD238" s="1"/>
      <c r="AE238" s="1"/>
      <c r="AF238" s="1"/>
      <c r="AG238" s="1"/>
      <c r="AH238" s="1"/>
      <c r="AI238" s="1"/>
      <c r="AJ238" s="1"/>
    </row>
    <row r="239" spans="1:36" ht="12.75" customHeight="1" x14ac:dyDescent="0.25">
      <c r="A239" s="1"/>
      <c r="B239" s="1"/>
      <c r="C239" s="1"/>
      <c r="D239" s="1"/>
      <c r="E239" s="1"/>
      <c r="F239" s="1"/>
      <c r="G239" s="1"/>
      <c r="H239" s="1"/>
      <c r="I239" s="1"/>
      <c r="J239" s="1"/>
      <c r="K239" s="1"/>
      <c r="L239" s="1"/>
      <c r="M239" s="104" t="s">
        <v>605</v>
      </c>
      <c r="N239" s="104"/>
      <c r="O239" s="121" t="str">
        <f t="shared" ref="O239:R239" si="76">O216</f>
        <v>FY19</v>
      </c>
      <c r="P239" s="121" t="str">
        <f t="shared" si="76"/>
        <v>FY20</v>
      </c>
      <c r="Q239" s="121" t="str">
        <f t="shared" si="76"/>
        <v>FY21</v>
      </c>
      <c r="R239" s="121" t="str">
        <f t="shared" si="76"/>
        <v>FY22</v>
      </c>
      <c r="S239" s="1"/>
      <c r="T239" s="1"/>
      <c r="U239" s="1"/>
      <c r="V239" s="1"/>
      <c r="W239" s="1"/>
      <c r="X239" s="1"/>
      <c r="Y239" s="1"/>
      <c r="Z239" s="1"/>
      <c r="AA239" s="1"/>
      <c r="AB239" s="1"/>
      <c r="AC239" s="1"/>
      <c r="AD239" s="1"/>
      <c r="AE239" s="1"/>
      <c r="AF239" s="1"/>
      <c r="AG239" s="1"/>
      <c r="AH239" s="1"/>
      <c r="AI239" s="1"/>
      <c r="AJ239" s="1"/>
    </row>
    <row r="240" spans="1:36" ht="12.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ht="12.75" customHeight="1" x14ac:dyDescent="0.25">
      <c r="A241" s="1"/>
      <c r="B241" s="1"/>
      <c r="C241" s="1"/>
      <c r="D241" s="1"/>
      <c r="E241" s="1"/>
      <c r="F241" s="1"/>
      <c r="G241" s="1"/>
      <c r="H241" s="1"/>
      <c r="I241" s="1"/>
      <c r="J241" s="1"/>
      <c r="K241" s="1"/>
      <c r="L241" s="1"/>
      <c r="M241" s="1" t="s">
        <v>307</v>
      </c>
      <c r="N241" s="33" t="s">
        <v>28</v>
      </c>
      <c r="O241" s="39">
        <v>0</v>
      </c>
      <c r="P241" s="39">
        <v>0</v>
      </c>
      <c r="Q241" s="39">
        <v>130</v>
      </c>
      <c r="R241" s="39">
        <v>0</v>
      </c>
      <c r="S241" s="1"/>
      <c r="T241" s="1"/>
      <c r="U241" s="1"/>
      <c r="V241" s="1"/>
      <c r="W241" s="1"/>
      <c r="X241" s="1"/>
      <c r="Y241" s="1"/>
      <c r="Z241" s="1"/>
      <c r="AA241" s="1"/>
      <c r="AB241" s="1"/>
      <c r="AC241" s="1"/>
      <c r="AD241" s="1"/>
      <c r="AE241" s="1"/>
      <c r="AF241" s="1"/>
      <c r="AG241" s="1"/>
      <c r="AH241" s="1"/>
      <c r="AI241" s="1"/>
      <c r="AJ241" s="1"/>
    </row>
    <row r="242" spans="1:36" ht="12.75" customHeight="1" x14ac:dyDescent="0.25">
      <c r="A242" s="1"/>
      <c r="B242" s="1"/>
      <c r="C242" s="1"/>
      <c r="D242" s="1"/>
      <c r="E242" s="1"/>
      <c r="F242" s="1"/>
      <c r="G242" s="1"/>
      <c r="H242" s="1"/>
      <c r="I242" s="1"/>
      <c r="J242" s="1"/>
      <c r="K242" s="1"/>
      <c r="L242" s="1"/>
      <c r="M242" s="1" t="s">
        <v>31</v>
      </c>
      <c r="N242" s="33" t="s">
        <v>28</v>
      </c>
      <c r="O242" s="39">
        <v>0</v>
      </c>
      <c r="P242" s="39">
        <v>0</v>
      </c>
      <c r="Q242" s="39">
        <v>10.199999999999999</v>
      </c>
      <c r="R242" s="39">
        <v>0</v>
      </c>
      <c r="S242" s="1"/>
      <c r="T242" s="1"/>
      <c r="U242" s="1"/>
      <c r="V242" s="1"/>
      <c r="W242" s="1"/>
      <c r="X242" s="1"/>
      <c r="Y242" s="1"/>
      <c r="Z242" s="1"/>
      <c r="AA242" s="1"/>
      <c r="AB242" s="1"/>
      <c r="AC242" s="1"/>
      <c r="AD242" s="1"/>
      <c r="AE242" s="1"/>
      <c r="AF242" s="1"/>
      <c r="AG242" s="1"/>
      <c r="AH242" s="1"/>
      <c r="AI242" s="1"/>
      <c r="AJ242" s="1"/>
    </row>
    <row r="243" spans="1:36" ht="12.75" customHeight="1" x14ac:dyDescent="0.25">
      <c r="A243" s="1"/>
      <c r="B243" s="1"/>
      <c r="C243" s="1"/>
      <c r="D243" s="1"/>
      <c r="E243" s="1"/>
      <c r="F243" s="1"/>
      <c r="G243" s="1"/>
      <c r="H243" s="1"/>
      <c r="I243" s="1"/>
      <c r="J243" s="1"/>
      <c r="K243" s="1"/>
      <c r="L243" s="1"/>
      <c r="M243" s="13" t="s">
        <v>606</v>
      </c>
      <c r="N243" s="43" t="s">
        <v>28</v>
      </c>
      <c r="O243" s="38">
        <f t="shared" ref="O243:P243" si="77">O241 + O242</f>
        <v>0</v>
      </c>
      <c r="P243" s="38">
        <f t="shared" si="77"/>
        <v>0</v>
      </c>
      <c r="Q243" s="38">
        <f>Q241 - Q242</f>
        <v>119.8</v>
      </c>
      <c r="R243" s="38">
        <f>R241 + R242</f>
        <v>0</v>
      </c>
      <c r="S243" s="1"/>
      <c r="T243" s="1"/>
      <c r="U243" s="1"/>
      <c r="V243" s="1"/>
      <c r="W243" s="1"/>
      <c r="X243" s="1"/>
      <c r="Y243" s="1"/>
      <c r="Z243" s="1"/>
      <c r="AA243" s="1"/>
      <c r="AB243" s="1"/>
      <c r="AC243" s="1"/>
      <c r="AD243" s="1"/>
      <c r="AE243" s="1"/>
      <c r="AF243" s="1"/>
      <c r="AG243" s="1"/>
      <c r="AH243" s="1"/>
      <c r="AI243" s="1"/>
      <c r="AJ243" s="1"/>
    </row>
    <row r="244" spans="1:36" ht="12.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ht="12.75" customHeight="1" x14ac:dyDescent="0.25">
      <c r="A245" s="1"/>
      <c r="B245" s="1"/>
      <c r="C245" s="1"/>
      <c r="D245" s="1"/>
      <c r="E245" s="1"/>
      <c r="F245" s="1"/>
      <c r="G245" s="1"/>
      <c r="H245" s="1"/>
      <c r="I245" s="1"/>
      <c r="J245" s="1"/>
      <c r="K245" s="1"/>
      <c r="L245" s="1"/>
      <c r="M245" s="1" t="s">
        <v>29</v>
      </c>
      <c r="N245" s="33" t="s">
        <v>28</v>
      </c>
      <c r="O245" s="39">
        <v>0</v>
      </c>
      <c r="P245" s="39">
        <v>0</v>
      </c>
      <c r="Q245" s="39">
        <v>194.7</v>
      </c>
      <c r="R245" s="39">
        <v>0</v>
      </c>
      <c r="S245" s="1"/>
      <c r="T245" s="1"/>
      <c r="U245" s="1"/>
      <c r="V245" s="1"/>
      <c r="W245" s="1"/>
      <c r="X245" s="1"/>
      <c r="Y245" s="1"/>
      <c r="Z245" s="1"/>
      <c r="AA245" s="1"/>
      <c r="AB245" s="1"/>
      <c r="AC245" s="1"/>
      <c r="AD245" s="1"/>
      <c r="AE245" s="1"/>
      <c r="AF245" s="1"/>
      <c r="AG245" s="1"/>
      <c r="AH245" s="1"/>
      <c r="AI245" s="1"/>
      <c r="AJ245" s="1"/>
    </row>
    <row r="246" spans="1:36" ht="12.75" customHeight="1" x14ac:dyDescent="0.25">
      <c r="A246" s="1"/>
      <c r="B246" s="1"/>
      <c r="C246" s="1"/>
      <c r="D246" s="1"/>
      <c r="E246" s="1"/>
      <c r="F246" s="1"/>
      <c r="G246" s="1"/>
      <c r="H246" s="1"/>
      <c r="I246" s="1"/>
      <c r="J246" s="1"/>
      <c r="K246" s="1"/>
      <c r="L246" s="1"/>
      <c r="M246" s="13" t="s">
        <v>607</v>
      </c>
      <c r="N246" s="43" t="s">
        <v>28</v>
      </c>
      <c r="O246" s="38">
        <f t="shared" ref="O246:R246" si="78">O243 + O245</f>
        <v>0</v>
      </c>
      <c r="P246" s="38">
        <f t="shared" si="78"/>
        <v>0</v>
      </c>
      <c r="Q246" s="38">
        <f t="shared" si="78"/>
        <v>314.5</v>
      </c>
      <c r="R246" s="38">
        <f t="shared" si="78"/>
        <v>0</v>
      </c>
      <c r="S246" s="1"/>
      <c r="T246" s="1"/>
      <c r="U246" s="1"/>
      <c r="V246" s="1"/>
      <c r="W246" s="1"/>
      <c r="X246" s="1"/>
      <c r="Y246" s="1"/>
      <c r="Z246" s="1"/>
      <c r="AA246" s="1"/>
      <c r="AB246" s="1"/>
      <c r="AC246" s="1"/>
      <c r="AD246" s="1"/>
      <c r="AE246" s="1"/>
      <c r="AF246" s="1"/>
      <c r="AG246" s="1"/>
      <c r="AH246" s="1"/>
      <c r="AI246" s="1"/>
      <c r="AJ246" s="1"/>
    </row>
    <row r="247" spans="1:36" ht="12.75" customHeight="1" x14ac:dyDescent="0.25">
      <c r="A247" s="1"/>
      <c r="B247" s="1"/>
      <c r="C247" s="1"/>
      <c r="D247" s="1"/>
      <c r="E247" s="1"/>
      <c r="F247" s="1"/>
      <c r="G247" s="1"/>
      <c r="H247" s="1"/>
      <c r="I247" s="1"/>
      <c r="J247" s="1"/>
      <c r="K247" s="1"/>
      <c r="L247" s="1"/>
      <c r="M247" s="1"/>
      <c r="N247" s="1"/>
      <c r="O247" s="41"/>
      <c r="P247" s="41"/>
      <c r="Q247" s="41"/>
      <c r="R247" s="41"/>
      <c r="S247" s="1"/>
      <c r="T247" s="1"/>
      <c r="U247" s="1"/>
      <c r="V247" s="1"/>
      <c r="W247" s="1"/>
      <c r="X247" s="1"/>
      <c r="Y247" s="1"/>
      <c r="Z247" s="1"/>
      <c r="AA247" s="1"/>
      <c r="AB247" s="1"/>
      <c r="AC247" s="1"/>
      <c r="AD247" s="1"/>
      <c r="AE247" s="1"/>
      <c r="AF247" s="1"/>
      <c r="AG247" s="1"/>
      <c r="AH247" s="1"/>
      <c r="AI247" s="1"/>
      <c r="AJ247" s="1"/>
    </row>
    <row r="248" spans="1:36" ht="12.75" customHeight="1" x14ac:dyDescent="0.25">
      <c r="A248" s="1"/>
      <c r="B248" s="1"/>
      <c r="C248" s="1"/>
      <c r="D248" s="1"/>
      <c r="E248" s="1"/>
      <c r="F248" s="1"/>
      <c r="G248" s="1"/>
      <c r="H248" s="1"/>
      <c r="I248" s="1"/>
      <c r="J248" s="1"/>
      <c r="K248" s="1"/>
      <c r="L248" s="1"/>
      <c r="M248" s="1" t="s">
        <v>608</v>
      </c>
      <c r="N248" s="33" t="s">
        <v>8</v>
      </c>
      <c r="O248" s="41">
        <v>0.13500000000000001</v>
      </c>
      <c r="P248" s="41">
        <v>0.13100000000000001</v>
      </c>
      <c r="Q248" s="41">
        <v>0.23899999999999999</v>
      </c>
      <c r="R248" s="41">
        <v>0.28499999999999998</v>
      </c>
      <c r="S248" s="1"/>
      <c r="T248" s="1"/>
      <c r="U248" s="1"/>
      <c r="V248" s="1"/>
      <c r="W248" s="1"/>
      <c r="X248" s="1"/>
      <c r="Y248" s="1"/>
      <c r="Z248" s="1"/>
      <c r="AA248" s="1"/>
      <c r="AB248" s="1"/>
      <c r="AC248" s="1"/>
      <c r="AD248" s="1"/>
      <c r="AE248" s="1"/>
      <c r="AF248" s="1"/>
      <c r="AG248" s="1"/>
      <c r="AH248" s="1"/>
      <c r="AI248" s="1"/>
      <c r="AJ248" s="1"/>
    </row>
    <row r="249" spans="1:36" ht="12.75" customHeight="1" x14ac:dyDescent="0.25">
      <c r="A249" s="1"/>
      <c r="B249" s="1"/>
      <c r="C249" s="1"/>
      <c r="D249" s="1"/>
      <c r="E249" s="1"/>
      <c r="F249" s="1"/>
      <c r="G249" s="1"/>
      <c r="H249" s="1"/>
      <c r="I249" s="1"/>
      <c r="J249" s="1"/>
      <c r="K249" s="1"/>
      <c r="L249" s="1"/>
      <c r="M249" s="1" t="s">
        <v>609</v>
      </c>
      <c r="N249" s="33" t="s">
        <v>28</v>
      </c>
      <c r="O249" s="39">
        <f t="shared" ref="O249:R249" si="79">I76 / O248</f>
        <v>443.78666666666714</v>
      </c>
      <c r="P249" s="39">
        <f t="shared" si="79"/>
        <v>410.34961832061089</v>
      </c>
      <c r="Q249" s="39">
        <f t="shared" si="79"/>
        <v>417.37154811715448</v>
      </c>
      <c r="R249" s="39">
        <f t="shared" si="79"/>
        <v>419.53333333333325</v>
      </c>
      <c r="S249" s="1"/>
      <c r="T249" s="1" t="s">
        <v>610</v>
      </c>
      <c r="U249" s="1"/>
      <c r="V249" s="1"/>
      <c r="W249" s="1"/>
      <c r="X249" s="1"/>
      <c r="Y249" s="1"/>
      <c r="Z249" s="1"/>
      <c r="AA249" s="1"/>
      <c r="AB249" s="1"/>
      <c r="AC249" s="1"/>
      <c r="AD249" s="1"/>
      <c r="AE249" s="1"/>
      <c r="AF249" s="1"/>
      <c r="AG249" s="1"/>
      <c r="AH249" s="1"/>
      <c r="AI249" s="1"/>
      <c r="AJ249" s="1"/>
    </row>
    <row r="250" spans="1:36" ht="12.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ht="12.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spans="1:36" ht="12.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ht="12.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spans="1:36" ht="12.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spans="1:36" ht="12.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spans="1:36" ht="12.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spans="1:36" ht="12.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spans="1:36" ht="12.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spans="1:36" ht="12.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spans="1:36" ht="12.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spans="1:36" ht="12.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spans="1:36" ht="12.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spans="1:36" ht="12.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spans="1:36" ht="12.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spans="1:36" ht="12.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spans="1:36" ht="12.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spans="1:36" ht="12.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spans="1:36" ht="12.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spans="1:36" ht="12.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spans="1:36" ht="12.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spans="1:36" ht="12.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spans="1:36" ht="12.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spans="1:36" ht="12.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spans="1:36" ht="12.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spans="1:36" ht="12.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spans="1:36" ht="12.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spans="1:36" ht="12.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spans="1:36" ht="12.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spans="1:36" ht="12.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spans="1:36" ht="12.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spans="1:36" ht="12.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spans="1:36" ht="12.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spans="1:36" ht="12.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spans="1:36" ht="12.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spans="1:36" ht="12.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spans="1:36" ht="12.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spans="1:36" ht="12.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spans="1:36" ht="12.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spans="1:36" ht="12.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spans="1:36" ht="12.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spans="1:36" ht="12.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spans="1:36" ht="12.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spans="1:36" ht="12.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spans="1:36" ht="12.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spans="1:36" ht="12.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spans="1:36" ht="12.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spans="1:36" ht="12.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spans="1:36" ht="12.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spans="1:36" ht="12.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spans="1:36" ht="12.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spans="1:36" ht="12.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spans="1:36" ht="12.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spans="1:36" ht="12.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spans="1:36" ht="12.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spans="1:36" ht="12.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spans="1:36" ht="12.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spans="1:36" ht="12.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spans="1:36" ht="12.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spans="1:36" ht="12.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spans="1:36" ht="12.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spans="1:36" ht="12.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spans="1:36" ht="12.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spans="1:36" ht="12.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spans="1:36" ht="12.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spans="1:36" ht="12.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spans="1:36" ht="12.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spans="1:36" ht="12.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spans="1:36" ht="12.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spans="1:36" ht="12.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spans="1:36" ht="12.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spans="1:36" ht="12.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1:36" ht="12.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1:36" ht="12.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1:36" ht="12.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1:36" ht="12.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1:36" ht="12.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1:36" ht="12.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1:36" ht="12.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1:36" ht="12.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1:36" ht="12.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1:36" ht="12.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1:36" ht="12.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1:36" ht="12.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1:36" ht="12.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1:36" ht="12.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1:36" ht="12.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1:36" ht="12.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1:36" ht="12.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1:36" ht="12.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1:36" ht="12.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1:36" ht="12.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1:36" ht="12.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1:36" ht="12.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1:36" ht="12.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1:36" ht="12.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1:36" ht="12.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1:36" ht="12.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1:36" ht="12.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1:36" ht="12.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1:36" ht="12.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1:36" ht="12.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1:36" ht="12.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1:36" ht="12.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1:36" ht="12.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1:36" ht="12.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1:36" ht="12.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1:36" ht="12.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1:36" ht="12.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1:36" ht="12.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1:36" ht="12.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1:36" ht="12.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1:36" ht="12.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1:36" ht="12.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1:36" ht="12.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1:36" ht="12.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1:36" ht="12.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1:36" ht="12.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1:36" ht="12.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1:36" ht="12.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1:36" ht="12.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1:36" ht="12.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1:36" ht="12.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1:36" ht="12.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1:36" ht="12.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1:36" ht="12.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1:36" ht="12.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1:36" ht="12.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1:36" ht="12.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1:36" ht="12.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1:36" ht="12.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1:36" ht="12.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1:36" ht="12.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1:36" ht="12.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1:36" ht="12.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1:36" ht="12.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1:36" ht="12.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1:36" ht="12.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1:36" ht="12.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1:36" ht="12.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1:36" ht="12.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1:36" ht="12.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1:36" ht="12.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1:36" ht="12.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spans="1:36" ht="12.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spans="1:36" ht="12.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spans="1:36" ht="12.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spans="1:36" ht="12.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spans="1:36" ht="12.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spans="1:36" ht="12.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spans="1:36" ht="12.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spans="1:36" ht="12.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spans="1:36" ht="12.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spans="1:36" ht="12.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spans="1:36" ht="12.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spans="1:36" ht="12.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spans="1:36" ht="12.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spans="1:36" ht="12.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spans="1:36" ht="12.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spans="1:36" ht="12.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spans="1:36" ht="12.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spans="1:36" ht="12.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spans="1:36" ht="12.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spans="1:36" ht="12.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spans="1:36" ht="12.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spans="1:36" ht="12.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1:36" ht="12.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spans="1:36" ht="12.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spans="1:36" ht="12.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spans="1:36" ht="12.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spans="1:36" ht="12.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spans="1:36" ht="12.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1:36" ht="12.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spans="1:36" ht="12.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1:36" ht="12.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spans="1:36" ht="12.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spans="1:36" ht="12.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spans="1:36" ht="12.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1:36" ht="12.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spans="1:36" ht="12.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spans="1:36" ht="12.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spans="1:36" ht="12.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spans="1:36" ht="12.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spans="1:36" ht="12.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spans="1:36" ht="12.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spans="1:36" ht="12.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spans="1:36" ht="12.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spans="1:36" ht="12.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spans="1:36" ht="12.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spans="1:36" ht="12.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spans="1:36" ht="12.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spans="1:36" ht="12.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spans="1:36" ht="12.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spans="1:36" ht="12.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spans="1:36" ht="12.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spans="1:36" ht="12.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spans="1:36" ht="12.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spans="1:36" ht="12.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spans="1:36" ht="12.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spans="1:36" ht="12.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spans="1:36" ht="12.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spans="1:36" ht="12.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spans="1:36" ht="12.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spans="1:36" ht="12.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spans="1:36" ht="12.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spans="1:36" ht="12.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spans="1:36" ht="12.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spans="1:36" ht="12.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1:36" ht="12.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1:36" ht="12.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1:36" ht="12.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1:36" ht="12.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1:36" ht="12.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1:36" ht="12.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1:36" ht="12.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1:36" ht="12.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1:36" ht="12.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1:36" ht="12.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1:36" ht="12.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1:36" ht="12.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1:36" ht="12.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1:36" ht="12.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1:36" ht="12.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1:36" ht="12.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1:36" ht="12.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1:36" ht="12.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1:36" ht="12.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1:36" ht="12.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1:36" ht="12.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1:36" ht="12.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1:36" ht="12.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1:36" ht="12.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1:36" ht="12.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1:36" ht="12.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1:36" ht="12.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1:36" ht="12.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1:36" ht="12.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1:36" ht="12.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1:36" ht="12.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1:36" ht="12.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1:36" ht="12.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1:36" ht="12.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1:36" ht="12.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1:36" ht="12.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1:36" ht="12.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1:36" ht="12.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1:36" ht="12.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1:36" ht="12.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1:36" ht="12.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1:36" ht="12.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1:36" ht="12.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1:36" ht="12.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1:36" ht="12.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1:36" ht="12.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1:36" ht="12.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1:36" ht="12.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1:36" ht="12.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1:36" ht="12.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1:36" ht="12.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1:36" ht="12.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1:36" ht="12.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1:36" ht="12.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1:36" ht="12.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1:36" ht="12.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1:36" ht="12.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1:36" ht="12.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1:36" ht="12.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1:36" ht="12.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1:36" ht="12.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1:36" ht="12.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1:36" ht="12.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1:36" ht="12.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1:36" ht="12.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1:36" ht="12.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1:36" ht="12.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1:36" ht="12.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1:36" ht="12.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1:36" ht="12.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1:36" ht="12.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1:36" ht="12.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1:36" ht="12.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1:36" ht="12.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1:36" ht="12.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1:36" ht="12.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1:36" ht="12.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1:36" ht="12.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1:36" ht="12.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1:36" ht="12.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1:36" ht="12.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1:36" ht="12.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1:36" ht="12.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spans="1:36" ht="12.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spans="1:36" ht="12.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spans="1:36" ht="12.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spans="1:36" ht="12.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spans="1:36" ht="12.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spans="1:36" ht="12.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1:36" ht="12.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1:36" ht="12.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1:36" ht="12.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1:36" ht="12.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1:36" ht="12.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1:36" ht="12.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1:36" ht="12.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1:36" ht="12.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1:36" ht="12.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1:36" ht="12.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1:36" ht="12.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1:36" ht="12.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1:36" ht="12.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1:36" ht="12.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1:36" ht="12.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1:36" ht="12.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1:36" ht="12.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1:36" ht="12.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1:36" ht="12.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1:36" ht="12.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1:36" ht="12.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1:36" ht="12.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1:36" ht="12.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1:36" ht="12.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1:36" ht="12.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1:36" ht="12.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1:36" ht="12.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1:36" ht="12.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1:36" ht="12.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1:36" ht="12.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1:36" ht="12.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1:36" ht="12.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1:36" ht="12.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1:36" ht="12.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1:36" ht="12.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1:36" ht="12.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spans="1:36" ht="12.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spans="1:36" ht="12.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spans="1:36" ht="12.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spans="1:36" ht="12.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spans="1:36" ht="12.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spans="1:36" ht="12.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spans="1:36" ht="12.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spans="1:36" ht="12.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spans="1:36" ht="12.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spans="1:36" ht="12.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spans="1:36" ht="12.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spans="1:36" ht="12.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spans="1:36" ht="12.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spans="1:36" ht="12.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spans="1:36" ht="12.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spans="1:36" ht="12.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spans="1:36" ht="12.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spans="1:36" ht="12.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spans="1:36" ht="12.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spans="1:36" ht="12.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spans="1:36" ht="12.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spans="1:36" ht="12.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spans="1:36" ht="12.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spans="1:36" ht="12.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spans="1:36" ht="12.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spans="1:36" ht="12.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spans="1:36" ht="12.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spans="1:36" ht="12.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spans="1:36" ht="12.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spans="1:36" ht="12.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spans="1:36" ht="12.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spans="1:36" ht="12.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spans="1:36" ht="12.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spans="1:36" ht="12.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spans="1:36" ht="12.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spans="1:36" ht="12.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spans="1:36" ht="12.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spans="1:36" ht="12.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spans="1:36" ht="12.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spans="1:36" ht="12.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spans="1:36" ht="12.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spans="1:36" ht="12.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spans="1:36" ht="12.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1:36" ht="12.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1:36" ht="12.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1:36" ht="12.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1:36" ht="12.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spans="1:36" ht="12.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spans="1:36" ht="12.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spans="1:36" ht="12.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spans="1:36" ht="12.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spans="1:36" ht="12.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spans="1:36" ht="12.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spans="1:36" ht="12.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spans="1:36" ht="12.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spans="1:36" ht="12.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spans="1:36" ht="12.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spans="1:36" ht="12.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spans="1:36" ht="12.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spans="1:36" ht="12.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spans="1:36" ht="12.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spans="1:36" ht="12.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spans="1:36" ht="12.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spans="1:36" ht="12.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spans="1:36" ht="12.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spans="1:36" ht="12.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spans="1:36" ht="12.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spans="1:36" ht="12.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spans="1:36" ht="12.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spans="1:36" ht="12.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spans="1:36" ht="12.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spans="1:36" ht="12.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spans="1:36" ht="12.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spans="1:36" ht="12.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spans="1:36" ht="12.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spans="1:36" ht="12.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spans="1:36" ht="12.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spans="1:36" ht="12.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spans="1:36" ht="12.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spans="1:36" ht="12.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spans="1:36" ht="12.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1:36" ht="12.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1:36" ht="12.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spans="1:36" ht="12.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1:36" ht="12.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1:36" ht="12.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1:36" ht="12.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1:36" ht="12.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spans="1:36" ht="12.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spans="1:36" ht="12.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spans="1:36" ht="12.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spans="1:36" ht="12.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spans="1:36" ht="12.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spans="1:36" ht="12.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spans="1:36" ht="12.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1:36" ht="12.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1:36" ht="12.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2.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1:36" ht="12.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1:36" ht="12.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spans="1:36" ht="12.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spans="1:36" ht="12.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spans="1:36" ht="12.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spans="1:36" ht="12.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spans="1:36" ht="12.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spans="1:36" ht="12.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spans="1:36" ht="12.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spans="1:36" ht="12.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spans="1:36" ht="12.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spans="1:36" ht="12.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spans="1:36" ht="12.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spans="1:36" ht="12.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spans="1:36" ht="12.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spans="1:36" ht="12.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spans="1:36" ht="12.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spans="1:36" ht="12.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spans="1:36" ht="12.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spans="1:36" ht="12.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spans="1:36" ht="12.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spans="1:36" ht="12.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spans="1:36" ht="12.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spans="1:36" ht="12.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spans="1:36" ht="12.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spans="1:36" ht="12.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spans="1:36" ht="12.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spans="1:36" ht="12.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spans="1:36" ht="12.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spans="1:36" ht="12.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spans="1:36" ht="12.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spans="1:36" ht="12.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spans="1:36" ht="12.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spans="1:36" ht="12.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spans="1:36" ht="12.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spans="1:36" ht="12.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spans="1:36" ht="12.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spans="1:36" ht="12.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spans="1:36" ht="12.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spans="1:36" ht="12.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spans="1:36" ht="12.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2.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2.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2.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2.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2.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2.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2.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2.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2.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2.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spans="1:36" ht="12.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spans="1:36" ht="12.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spans="1:36" ht="12.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spans="1:36" ht="12.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spans="1:36" ht="12.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spans="1:36" ht="12.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spans="1:36" ht="12.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spans="1:36" ht="12.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spans="1:36" ht="12.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spans="1:36" ht="12.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spans="1:36" ht="12.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spans="1:36" ht="12.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spans="1:36" ht="12.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spans="1:36" ht="12.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spans="1:36" ht="12.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spans="1:36" ht="12.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spans="1:36" ht="12.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spans="1:36" ht="12.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spans="1:36" ht="12.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spans="1:36" ht="12.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spans="1:36" ht="12.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spans="1:36" ht="12.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spans="1:36" ht="12.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spans="1:36" ht="12.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spans="1:36" ht="12.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spans="1:36" ht="12.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spans="1:36" ht="12.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spans="1:36" ht="12.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spans="1:36" ht="12.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spans="1:36" ht="12.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spans="1:36" ht="12.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spans="1:36" ht="12.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spans="1:36" ht="12.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spans="1:36" ht="12.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spans="1:36" ht="12.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2.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spans="1:36" ht="12.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spans="1:36" ht="12.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spans="1:36" ht="12.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spans="1:36" ht="12.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spans="1:36" ht="12.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spans="1:36" ht="12.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spans="1:36" ht="12.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spans="1:36" ht="12.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spans="1:36" ht="12.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spans="1:36" ht="12.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spans="1:36" ht="12.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spans="1:36" ht="12.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spans="1:36" ht="12.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spans="1:36" ht="12.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spans="1:36" ht="12.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spans="1:36" ht="12.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spans="1:36" ht="12.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spans="1:36" ht="12.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spans="1:36" ht="12.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spans="1:36" ht="12.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spans="1:36" ht="12.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spans="1:36" ht="12.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spans="1:36" ht="12.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spans="1:36" ht="12.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spans="1:36" ht="12.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spans="1:36" ht="12.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spans="1:36" ht="12.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spans="1:36" ht="12.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spans="1:36" ht="12.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spans="1:36" ht="12.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spans="1:36" ht="12.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spans="1:36" ht="12.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spans="1:36" ht="12.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spans="1:36" ht="12.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spans="1:36" ht="12.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spans="1:36" ht="12.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spans="1:36" ht="12.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spans="1:36" ht="12.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spans="1:36" ht="12.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spans="1:36" ht="12.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spans="1:36" ht="12.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spans="1:36" ht="12.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spans="1:36" ht="12.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spans="1:36" ht="12.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spans="1:36" ht="12.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spans="1:36" ht="12.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spans="1:36" ht="12.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spans="1:36" ht="12.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spans="1:36" ht="12.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spans="1:36" ht="12.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spans="1:36" ht="12.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spans="1:36" ht="12.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spans="1:36" ht="12.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spans="1:36" ht="12.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spans="1:36" ht="12.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spans="1:36" ht="12.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spans="1:36" ht="12.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spans="1:36" ht="12.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spans="1:36" ht="12.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spans="1:36" ht="12.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spans="1:36" ht="12.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spans="1:36" ht="12.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spans="1:36" ht="12.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spans="1:36" ht="12.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spans="1:36" ht="12.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spans="1:36" ht="12.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spans="1:36" ht="12.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spans="1:36" ht="12.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spans="1:36" ht="12.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spans="1:36" ht="12.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spans="1:36" ht="12.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spans="1:36" ht="12.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spans="1:36" ht="12.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spans="1:36" ht="12.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spans="1:36" ht="12.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spans="1:36" ht="12.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spans="1:36" ht="12.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spans="1:36" ht="12.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spans="1:36" ht="12.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spans="1:36" ht="12.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spans="1:36" ht="12.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spans="1:36" ht="12.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spans="1:36" ht="12.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spans="1:36" ht="12.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spans="1:36" ht="12.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spans="1:36" ht="12.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spans="1:36" ht="12.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spans="1:36" ht="12.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spans="1:36" ht="12.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spans="1:36" ht="12.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spans="1:36" ht="12.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spans="1:36" ht="12.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spans="1:36" ht="12.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spans="1:36" ht="12.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spans="1:36" ht="12.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spans="1:36" ht="12.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spans="1:36" ht="12.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spans="1:36" ht="12.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spans="1:36" ht="12.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spans="1:36" ht="12.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spans="1:36" ht="12.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spans="1:36" ht="12.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spans="1:36" ht="12.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spans="1:36" ht="12.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spans="1:36" ht="12.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spans="1:36" ht="12.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spans="1:36" ht="12.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spans="1:36" ht="12.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spans="1:36" ht="12.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spans="1:36" ht="12.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spans="1:36" ht="12.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spans="1:36" ht="12.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spans="1:36" ht="12.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spans="1:36" ht="12.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spans="1:36" ht="12.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spans="1:36" ht="12.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spans="1:36" ht="12.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spans="1:36" ht="12.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spans="1:36" ht="12.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spans="1:36" ht="12.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spans="1:36" ht="12.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spans="1:36" ht="12.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spans="1:36" ht="12.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spans="1:36" ht="12.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spans="1:36" ht="12.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spans="1:36" ht="12.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spans="1:36" ht="12.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spans="1:36" ht="12.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spans="1:36" ht="12.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spans="1:36" ht="12.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spans="1:36" ht="12.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spans="1:36" ht="12.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spans="1:36" ht="12.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spans="1:36" ht="12.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spans="1:36" ht="12.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spans="1:36" ht="12.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spans="1:36" ht="12.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spans="1:36" ht="12.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spans="1:36" ht="12.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spans="1:36" ht="12.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spans="1:36" ht="12.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spans="1:36" ht="12.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spans="1:36" ht="12.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spans="1:36" ht="12.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spans="1:36" ht="12.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spans="1:36" ht="12.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spans="1:36" ht="12.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spans="1:36" ht="12.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spans="1:36" ht="12.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spans="1:36" ht="12.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spans="1:36" ht="12.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spans="1:36" ht="12.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spans="1:36" ht="12.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spans="1:36" ht="12.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spans="1:36" ht="12.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spans="1:36" ht="12.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spans="1:36" ht="12.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spans="1:36" ht="12.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spans="1:36" ht="12.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spans="1:36" ht="12.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spans="1:36" ht="12.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spans="1:36" ht="12.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spans="1:36" ht="12.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spans="1:36" ht="12.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spans="1:36" ht="12.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spans="1:36" ht="12.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spans="1:36" ht="12.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spans="1:36" ht="12.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spans="1:36" ht="12.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spans="1:36" ht="12.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spans="1:36" ht="12.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spans="1:36" ht="12.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spans="1:36" ht="12.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spans="1:36" ht="12.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spans="1:36" ht="12.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spans="1:36" ht="12.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spans="1:36" ht="12.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spans="1:36" ht="12.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spans="1:36" ht="12.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spans="1:36" ht="12.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spans="1:36" ht="12.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spans="1:36" ht="12.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spans="1:36" ht="12.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spans="1:36" ht="12.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spans="1:36" ht="12.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spans="1:36" ht="12.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spans="1:36" ht="12.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spans="1:36" ht="12.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spans="1:36" ht="12.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spans="1:36" ht="12.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spans="1:36" ht="12.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spans="1:36" ht="12.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spans="1:36" ht="12.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spans="1:36" ht="12.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spans="1:36" ht="12.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spans="1:36" ht="12.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spans="1:36" ht="12.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spans="1:36" ht="12.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spans="1:36" ht="12.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spans="1:36" ht="12.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spans="1:36" ht="12.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spans="1:36" ht="12.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spans="1:36" ht="12.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spans="1:36" ht="12.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spans="1:36" ht="12.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spans="1:36" ht="12.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spans="1:36" ht="12.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spans="1:36" ht="12.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spans="1:36" ht="12.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spans="1:36" ht="12.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spans="1:36" ht="12.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spans="1:36" ht="12.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spans="1:36" ht="12.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spans="1:36" ht="12.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spans="1:36" ht="12.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spans="1:36" ht="12.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spans="1:36" ht="12.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spans="1:36" ht="12.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spans="1:36" ht="12.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spans="1:36" ht="12.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spans="1:36" ht="12.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spans="1:36" ht="12.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spans="1:36" ht="12.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spans="1:36" ht="12.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spans="1:36" ht="12.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spans="1:36" ht="12.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spans="1:36" ht="12.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spans="1:36" ht="12.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spans="1:36" ht="12.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spans="1:36" ht="12.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spans="1:36" ht="12.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spans="1:36" ht="12.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spans="1:36" ht="12.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sheetData>
  <mergeCells count="2">
    <mergeCell ref="G136:J136"/>
    <mergeCell ref="H160:I160"/>
  </mergeCells>
  <pageMargins left="0.7" right="0.7" top="0.75" bottom="0.75" header="0" footer="0"/>
  <pageSetup orientation="portrait"/>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0CECE"/>
  </sheetPr>
  <dimension ref="A2:AL1016"/>
  <sheetViews>
    <sheetView showGridLines="0" zoomScale="85" zoomScaleNormal="85" workbookViewId="0">
      <pane ySplit="10" topLeftCell="A48" activePane="bottomLeft" state="frozen"/>
      <selection pane="bottomLeft" activeCell="E22" sqref="E22"/>
    </sheetView>
  </sheetViews>
  <sheetFormatPr defaultColWidth="14.42578125" defaultRowHeight="15" customHeight="1" outlineLevelRow="1" x14ac:dyDescent="0.25"/>
  <cols>
    <col min="1" max="2" width="2.7109375" customWidth="1"/>
    <col min="3" max="3" width="1.42578125" customWidth="1"/>
    <col min="4" max="4" width="3.42578125" customWidth="1"/>
    <col min="5" max="5" width="44.42578125" customWidth="1"/>
    <col min="6" max="7" width="11.140625" customWidth="1"/>
    <col min="8" max="8" width="13.140625" customWidth="1"/>
    <col min="9" max="9" width="12.140625" customWidth="1"/>
    <col min="10" max="10" width="13.140625" customWidth="1"/>
    <col min="11" max="11" width="11.28515625" customWidth="1"/>
    <col min="12" max="13" width="10.42578125" customWidth="1"/>
    <col min="14" max="14" width="12.42578125" customWidth="1"/>
    <col min="15" max="15" width="11.140625" customWidth="1"/>
    <col min="16" max="16" width="10.42578125" customWidth="1"/>
    <col min="17" max="17" width="13.140625" customWidth="1"/>
    <col min="18" max="20" width="11.7109375" customWidth="1"/>
    <col min="21" max="21" width="10.42578125" customWidth="1"/>
    <col min="22" max="25" width="12.42578125" customWidth="1"/>
    <col min="26" max="37" width="9.140625" customWidth="1"/>
  </cols>
  <sheetData>
    <row r="2" spans="1:37" x14ac:dyDescent="0.25">
      <c r="A2" s="1"/>
      <c r="B2" s="1"/>
      <c r="C2" s="1"/>
      <c r="D2" s="2" t="s">
        <v>611</v>
      </c>
      <c r="E2" s="1"/>
      <c r="F2" s="1"/>
      <c r="G2" s="1"/>
      <c r="H2" s="601" t="s">
        <v>211</v>
      </c>
      <c r="I2" s="602"/>
      <c r="J2" s="602"/>
      <c r="K2" s="602"/>
      <c r="L2" s="602"/>
      <c r="M2" s="602"/>
      <c r="N2" s="602"/>
      <c r="O2" s="599"/>
      <c r="P2" s="1"/>
      <c r="Q2" s="1"/>
      <c r="R2" s="1"/>
      <c r="S2" s="1"/>
      <c r="T2" s="1"/>
      <c r="U2" s="1"/>
      <c r="V2" s="1"/>
      <c r="W2" s="1"/>
      <c r="X2" s="1"/>
      <c r="Y2" s="1"/>
      <c r="Z2" s="1"/>
      <c r="AA2" s="1"/>
      <c r="AB2" s="1"/>
      <c r="AC2" s="1"/>
      <c r="AD2" s="1"/>
      <c r="AE2" s="1"/>
      <c r="AF2" s="1"/>
      <c r="AG2" s="1"/>
      <c r="AH2" s="1"/>
      <c r="AI2" s="1"/>
      <c r="AJ2" s="1"/>
      <c r="AK2" s="1"/>
    </row>
    <row r="3" spans="1:37" ht="9" customHeight="1" x14ac:dyDescent="0.25">
      <c r="C3" s="1"/>
      <c r="D3" s="1"/>
      <c r="E3" s="1"/>
      <c r="F3" s="1"/>
      <c r="G3" s="1"/>
      <c r="H3" s="1"/>
      <c r="I3" s="1"/>
      <c r="J3" s="1"/>
      <c r="K3" s="1"/>
      <c r="L3" s="1"/>
      <c r="M3" s="1"/>
      <c r="N3" s="1"/>
      <c r="O3" s="1"/>
      <c r="P3" s="1"/>
      <c r="Q3" s="1"/>
      <c r="R3" s="1"/>
      <c r="S3" s="1"/>
      <c r="T3" s="1"/>
      <c r="U3" s="1"/>
      <c r="V3" s="1"/>
      <c r="W3" s="1"/>
      <c r="X3" s="1"/>
      <c r="Y3" s="1"/>
    </row>
    <row r="4" spans="1:37" x14ac:dyDescent="0.25">
      <c r="C4" s="3"/>
      <c r="D4" s="4" t="s">
        <v>212</v>
      </c>
      <c r="E4" s="3"/>
      <c r="F4" s="5" t="s">
        <v>213</v>
      </c>
      <c r="G4" s="5"/>
      <c r="H4" s="4">
        <f>'&gt;&gt; Inputs'!G17</f>
        <v>2017</v>
      </c>
      <c r="I4" s="4">
        <f t="shared" ref="I4:Y4" si="0">H4 + 1</f>
        <v>2018</v>
      </c>
      <c r="J4" s="4">
        <f t="shared" si="0"/>
        <v>2019</v>
      </c>
      <c r="K4" s="4">
        <f t="shared" si="0"/>
        <v>2020</v>
      </c>
      <c r="L4" s="4">
        <f t="shared" si="0"/>
        <v>2021</v>
      </c>
      <c r="M4" s="4">
        <f t="shared" si="0"/>
        <v>2022</v>
      </c>
      <c r="N4" s="4">
        <f t="shared" si="0"/>
        <v>2023</v>
      </c>
      <c r="O4" s="4">
        <f t="shared" si="0"/>
        <v>2024</v>
      </c>
      <c r="P4" s="4">
        <f t="shared" si="0"/>
        <v>2025</v>
      </c>
      <c r="Q4" s="4">
        <f t="shared" si="0"/>
        <v>2026</v>
      </c>
      <c r="R4" s="4">
        <f t="shared" si="0"/>
        <v>2027</v>
      </c>
      <c r="S4" s="4">
        <f t="shared" si="0"/>
        <v>2028</v>
      </c>
      <c r="T4" s="4">
        <f t="shared" si="0"/>
        <v>2029</v>
      </c>
      <c r="U4" s="4">
        <f t="shared" si="0"/>
        <v>2030</v>
      </c>
      <c r="V4" s="4">
        <f t="shared" si="0"/>
        <v>2031</v>
      </c>
      <c r="W4" s="4">
        <f t="shared" si="0"/>
        <v>2032</v>
      </c>
      <c r="X4" s="4">
        <f t="shared" si="0"/>
        <v>2033</v>
      </c>
      <c r="Y4" s="4">
        <f t="shared" si="0"/>
        <v>2034</v>
      </c>
    </row>
    <row r="5" spans="1:37" ht="12.75" customHeight="1" x14ac:dyDescent="0.25">
      <c r="C5" s="6"/>
      <c r="D5" s="6"/>
      <c r="E5" s="6" t="s">
        <v>214</v>
      </c>
      <c r="F5" s="7" t="s">
        <v>169</v>
      </c>
      <c r="G5" s="7"/>
      <c r="H5" s="10">
        <f t="shared" ref="H5:L5" si="1">I5-1</f>
        <v>-5</v>
      </c>
      <c r="I5" s="10">
        <f t="shared" si="1"/>
        <v>-4</v>
      </c>
      <c r="J5" s="10">
        <f t="shared" si="1"/>
        <v>-3</v>
      </c>
      <c r="K5" s="10">
        <f t="shared" si="1"/>
        <v>-2</v>
      </c>
      <c r="L5" s="10">
        <f t="shared" si="1"/>
        <v>-1</v>
      </c>
      <c r="M5" s="10">
        <v>0</v>
      </c>
      <c r="N5" s="10">
        <v>0</v>
      </c>
      <c r="O5" s="10">
        <f t="shared" ref="O5:Y5" si="2">N5 + 1</f>
        <v>1</v>
      </c>
      <c r="P5" s="10">
        <f t="shared" si="2"/>
        <v>2</v>
      </c>
      <c r="Q5" s="10">
        <f t="shared" si="2"/>
        <v>3</v>
      </c>
      <c r="R5" s="10">
        <f t="shared" si="2"/>
        <v>4</v>
      </c>
      <c r="S5" s="10">
        <f t="shared" si="2"/>
        <v>5</v>
      </c>
      <c r="T5" s="10">
        <f t="shared" si="2"/>
        <v>6</v>
      </c>
      <c r="U5" s="10">
        <f t="shared" si="2"/>
        <v>7</v>
      </c>
      <c r="V5" s="10">
        <f t="shared" si="2"/>
        <v>8</v>
      </c>
      <c r="W5" s="10">
        <f t="shared" si="2"/>
        <v>9</v>
      </c>
      <c r="X5" s="10">
        <f t="shared" si="2"/>
        <v>10</v>
      </c>
      <c r="Y5" s="10">
        <f t="shared" si="2"/>
        <v>11</v>
      </c>
    </row>
    <row r="6" spans="1:37" ht="12.75" customHeight="1" x14ac:dyDescent="0.25">
      <c r="C6" s="6"/>
      <c r="D6" s="6"/>
      <c r="E6" s="6" t="s">
        <v>215</v>
      </c>
      <c r="F6" s="9" t="s">
        <v>216</v>
      </c>
      <c r="G6" s="9"/>
      <c r="H6" s="10">
        <v>0</v>
      </c>
      <c r="I6" s="10">
        <v>0</v>
      </c>
      <c r="J6" s="10">
        <v>0</v>
      </c>
      <c r="K6" s="10">
        <v>0.5</v>
      </c>
      <c r="L6" s="10">
        <f t="shared" ref="L6:Y6" si="3">K6 + 1</f>
        <v>1.5</v>
      </c>
      <c r="M6" s="10">
        <f t="shared" si="3"/>
        <v>2.5</v>
      </c>
      <c r="N6" s="10">
        <f t="shared" si="3"/>
        <v>3.5</v>
      </c>
      <c r="O6" s="10">
        <f t="shared" si="3"/>
        <v>4.5</v>
      </c>
      <c r="P6" s="10">
        <f t="shared" si="3"/>
        <v>5.5</v>
      </c>
      <c r="Q6" s="10">
        <f t="shared" si="3"/>
        <v>6.5</v>
      </c>
      <c r="R6" s="10">
        <f t="shared" si="3"/>
        <v>7.5</v>
      </c>
      <c r="S6" s="10">
        <f t="shared" si="3"/>
        <v>8.5</v>
      </c>
      <c r="T6" s="10">
        <f t="shared" si="3"/>
        <v>9.5</v>
      </c>
      <c r="U6" s="10">
        <f t="shared" si="3"/>
        <v>10.5</v>
      </c>
      <c r="V6" s="10">
        <f t="shared" si="3"/>
        <v>11.5</v>
      </c>
      <c r="W6" s="10">
        <f t="shared" si="3"/>
        <v>12.5</v>
      </c>
      <c r="X6" s="10">
        <f t="shared" si="3"/>
        <v>13.5</v>
      </c>
      <c r="Y6" s="10">
        <f t="shared" si="3"/>
        <v>14.5</v>
      </c>
    </row>
    <row r="7" spans="1:37" ht="12.75" customHeight="1" x14ac:dyDescent="0.25">
      <c r="C7" s="6"/>
      <c r="D7" s="6"/>
      <c r="E7" s="6" t="s">
        <v>217</v>
      </c>
      <c r="F7" s="9" t="s">
        <v>5</v>
      </c>
      <c r="G7" s="9"/>
      <c r="H7" s="11">
        <f>EOMONTH( H8, -12 ) + 1</f>
        <v>42552</v>
      </c>
      <c r="I7" s="160">
        <f t="shared" ref="I7:Y7" si="4">H8 + 1</f>
        <v>42917</v>
      </c>
      <c r="J7" s="160">
        <f t="shared" si="4"/>
        <v>43282</v>
      </c>
      <c r="K7" s="160">
        <f t="shared" si="4"/>
        <v>43647</v>
      </c>
      <c r="L7" s="160">
        <f t="shared" si="4"/>
        <v>44013</v>
      </c>
      <c r="M7" s="160">
        <f t="shared" si="4"/>
        <v>44378</v>
      </c>
      <c r="N7" s="160">
        <f t="shared" si="4"/>
        <v>44743</v>
      </c>
      <c r="O7" s="160">
        <f t="shared" si="4"/>
        <v>45108</v>
      </c>
      <c r="P7" s="160">
        <f t="shared" si="4"/>
        <v>45474</v>
      </c>
      <c r="Q7" s="160">
        <f t="shared" si="4"/>
        <v>45839</v>
      </c>
      <c r="R7" s="160">
        <f t="shared" si="4"/>
        <v>46204</v>
      </c>
      <c r="S7" s="160">
        <f t="shared" si="4"/>
        <v>46569</v>
      </c>
      <c r="T7" s="160">
        <f t="shared" si="4"/>
        <v>46935</v>
      </c>
      <c r="U7" s="160">
        <f t="shared" si="4"/>
        <v>47300</v>
      </c>
      <c r="V7" s="160">
        <f t="shared" si="4"/>
        <v>47665</v>
      </c>
      <c r="W7" s="160">
        <f t="shared" si="4"/>
        <v>48030</v>
      </c>
      <c r="X7" s="160">
        <f t="shared" si="4"/>
        <v>48396</v>
      </c>
      <c r="Y7" s="160">
        <f t="shared" si="4"/>
        <v>48761</v>
      </c>
    </row>
    <row r="8" spans="1:37" ht="12.75" customHeight="1" x14ac:dyDescent="0.25">
      <c r="C8" s="6"/>
      <c r="D8" s="6"/>
      <c r="E8" s="6" t="s">
        <v>218</v>
      </c>
      <c r="F8" s="9" t="s">
        <v>5</v>
      </c>
      <c r="G8" s="9"/>
      <c r="H8" s="11">
        <f>'&gt;&gt; Inputs'!G18</f>
        <v>42916</v>
      </c>
      <c r="I8" s="11">
        <f t="shared" ref="I8:Y8" si="5">EOMONTH( I7, 11 )</f>
        <v>43281</v>
      </c>
      <c r="J8" s="11">
        <f t="shared" si="5"/>
        <v>43646</v>
      </c>
      <c r="K8" s="11">
        <f t="shared" si="5"/>
        <v>44012</v>
      </c>
      <c r="L8" s="11">
        <f t="shared" si="5"/>
        <v>44377</v>
      </c>
      <c r="M8" s="11">
        <f t="shared" si="5"/>
        <v>44742</v>
      </c>
      <c r="N8" s="11">
        <f t="shared" si="5"/>
        <v>45107</v>
      </c>
      <c r="O8" s="11">
        <f t="shared" si="5"/>
        <v>45473</v>
      </c>
      <c r="P8" s="11">
        <f t="shared" si="5"/>
        <v>45838</v>
      </c>
      <c r="Q8" s="11">
        <f t="shared" si="5"/>
        <v>46203</v>
      </c>
      <c r="R8" s="11">
        <f t="shared" si="5"/>
        <v>46568</v>
      </c>
      <c r="S8" s="11">
        <f t="shared" si="5"/>
        <v>46934</v>
      </c>
      <c r="T8" s="11">
        <f t="shared" si="5"/>
        <v>47299</v>
      </c>
      <c r="U8" s="11">
        <f t="shared" si="5"/>
        <v>47664</v>
      </c>
      <c r="V8" s="11">
        <f t="shared" si="5"/>
        <v>48029</v>
      </c>
      <c r="W8" s="11">
        <f t="shared" si="5"/>
        <v>48395</v>
      </c>
      <c r="X8" s="11">
        <f t="shared" si="5"/>
        <v>48760</v>
      </c>
      <c r="Y8" s="11">
        <f t="shared" si="5"/>
        <v>49125</v>
      </c>
    </row>
    <row r="9" spans="1:37" ht="12.75" customHeight="1" x14ac:dyDescent="0.25">
      <c r="C9" s="6"/>
      <c r="D9" s="6"/>
      <c r="E9" s="6" t="s">
        <v>219</v>
      </c>
      <c r="F9" s="9" t="s">
        <v>11</v>
      </c>
      <c r="G9" s="9"/>
      <c r="H9" s="12" t="str">
        <f ca="1">IF( H8 &gt; '&gt;&gt; Inputs'!$G20, "Forecast", "Actual" )</f>
        <v>Actual</v>
      </c>
      <c r="I9" s="12" t="str">
        <f ca="1">IF( I8 &gt; '&gt;&gt; Inputs'!$G20, "Forecast", "Actual" )</f>
        <v>Actual</v>
      </c>
      <c r="J9" s="12" t="str">
        <f ca="1">IF( J8 &gt; '&gt;&gt; Inputs'!$G20, "Forecast", "Actual" )</f>
        <v>Actual</v>
      </c>
      <c r="K9" s="12" t="str">
        <f ca="1">IF( K8 &gt; '&gt;&gt; Inputs'!$G20, "Forecast", "Actual" )</f>
        <v>Actual</v>
      </c>
      <c r="L9" s="12" t="str">
        <f ca="1">IF( L8 &gt; '&gt;&gt; Inputs'!$G20, "Forecast", "Actual" )</f>
        <v>Actual</v>
      </c>
      <c r="M9" s="12" t="str">
        <f ca="1">IF( M8 &gt; '&gt;&gt; Inputs'!$G20, "Forecast", "Actual" )</f>
        <v>Actual</v>
      </c>
      <c r="N9" s="12" t="str">
        <f ca="1">IF( N8 &gt; '&gt;&gt; Inputs'!$G20, "Forecast", "Actual" )</f>
        <v>Actual</v>
      </c>
      <c r="O9" s="12" t="str">
        <f ca="1">IF( O8 &gt; '&gt;&gt; Inputs'!$G20, "Forecast", "Actual" )</f>
        <v>Actual</v>
      </c>
      <c r="P9" s="12" t="str">
        <f ca="1">IF( P8 &gt; '&gt;&gt; Inputs'!$G20, "Forecast", "Actual" )</f>
        <v>Forecast</v>
      </c>
      <c r="Q9" s="12" t="str">
        <f ca="1">IF( Q8 &gt; '&gt;&gt; Inputs'!$G20, "Forecast", "Actual" )</f>
        <v>Forecast</v>
      </c>
      <c r="R9" s="12" t="str">
        <f ca="1">IF( R8 &gt; '&gt;&gt; Inputs'!$G20, "Forecast", "Actual" )</f>
        <v>Forecast</v>
      </c>
      <c r="S9" s="12" t="str">
        <f ca="1">IF( S8 &gt; '&gt;&gt; Inputs'!$G20, "Forecast", "Actual" )</f>
        <v>Forecast</v>
      </c>
      <c r="T9" s="12" t="str">
        <f ca="1">IF( T8 &gt; '&gt;&gt; Inputs'!$G20, "Forecast", "Actual" )</f>
        <v>Forecast</v>
      </c>
      <c r="U9" s="12" t="str">
        <f ca="1">IF( U8 &gt; '&gt;&gt; Inputs'!$G20, "Forecast", "Actual" )</f>
        <v>Forecast</v>
      </c>
      <c r="V9" s="12" t="str">
        <f ca="1">IF( V8 &gt; '&gt;&gt; Inputs'!$G20, "Forecast", "Actual" )</f>
        <v>Forecast</v>
      </c>
      <c r="W9" s="12" t="str">
        <f ca="1">IF( W8 &gt; '&gt;&gt; Inputs'!$G20, "Forecast", "Actual" )</f>
        <v>Forecast</v>
      </c>
      <c r="X9" s="12" t="str">
        <f ca="1">IF( X8 &gt; '&gt;&gt; Inputs'!$G20, "Forecast", "Actual" )</f>
        <v>Forecast</v>
      </c>
      <c r="Y9" s="12" t="str">
        <f ca="1">IF( Y8 &gt; '&gt;&gt; Inputs'!$G20, "Forecast", "Actual" )</f>
        <v>Forecast</v>
      </c>
    </row>
    <row r="10" spans="1:37" ht="9" customHeight="1" x14ac:dyDescent="0.25">
      <c r="A10" s="1"/>
      <c r="B10" s="1"/>
      <c r="C10" s="1"/>
      <c r="D10" s="1"/>
      <c r="E10" s="1"/>
      <c r="F10" s="33"/>
      <c r="G10" s="33"/>
      <c r="H10" s="187"/>
      <c r="I10" s="187"/>
      <c r="J10" s="187"/>
      <c r="K10" s="187"/>
      <c r="L10" s="187"/>
      <c r="M10" s="187"/>
      <c r="N10" s="13"/>
      <c r="O10" s="13"/>
      <c r="P10" s="13"/>
      <c r="Q10" s="13"/>
      <c r="R10" s="13"/>
      <c r="S10" s="13"/>
      <c r="T10" s="13"/>
      <c r="U10" s="13"/>
      <c r="V10" s="13"/>
      <c r="W10" s="13"/>
      <c r="X10" s="13"/>
      <c r="Y10" s="13"/>
    </row>
    <row r="11" spans="1:37" ht="9" customHeight="1" x14ac:dyDescent="0.25">
      <c r="A11" s="1"/>
      <c r="B11" s="1"/>
      <c r="C11" s="1"/>
      <c r="D11" s="1"/>
      <c r="E11" s="1"/>
      <c r="F11" s="33"/>
      <c r="G11" s="33"/>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ht="12" customHeight="1" x14ac:dyDescent="0.25">
      <c r="A12" s="1"/>
      <c r="B12" s="1"/>
      <c r="C12" s="1"/>
      <c r="D12" s="1"/>
      <c r="E12" s="1" t="s">
        <v>220</v>
      </c>
      <c r="F12" s="33" t="s">
        <v>11</v>
      </c>
      <c r="G12" s="33"/>
      <c r="H12" s="84">
        <f>IF( AND( H5 &lt;= '&gt;&gt; Inputs'!$G56, H5 &gt;= 1 ), 1, 0 )</f>
        <v>0</v>
      </c>
      <c r="I12" s="84">
        <f>IF( AND( I5 &lt;= '&gt;&gt; Inputs'!$G56, I5 &gt;= 1 ), 1, 0 )</f>
        <v>0</v>
      </c>
      <c r="J12" s="84">
        <f>IF( AND( J5 &lt;= '&gt;&gt; Inputs'!$G56, J5 &gt;= 1 ), 1, 0 )</f>
        <v>0</v>
      </c>
      <c r="K12" s="161">
        <f>IF( AND( K5 &lt;= '&gt;&gt; Inputs'!$G56, K5 &gt;= 1 ), 1, 0 )</f>
        <v>0</v>
      </c>
      <c r="L12" s="161">
        <f>IF( AND( L5 &lt;= '&gt;&gt; Inputs'!$G56, L5 &gt;= 1 ), 1, 0 )</f>
        <v>0</v>
      </c>
      <c r="M12" s="161">
        <f>IF( AND( M5 &lt;= '&gt;&gt; Inputs'!$G56, M5 &gt;= 1 ), 1, 0 )</f>
        <v>0</v>
      </c>
      <c r="N12" s="161">
        <f>IF( AND( N5 &lt;= '&gt;&gt; Inputs'!$G56, N5 &gt;= 1 ), 1, 0 )</f>
        <v>0</v>
      </c>
      <c r="O12" s="161">
        <f>IF( AND( O5 &lt;= '&gt;&gt; Inputs'!$G56, O5 &gt;= 1 ), 1, 0 )</f>
        <v>1</v>
      </c>
      <c r="P12" s="161">
        <f>IF( AND( P5 &lt;= '&gt;&gt; Inputs'!$G56, P5 &gt;= 1 ), 1, 0 )</f>
        <v>1</v>
      </c>
      <c r="Q12" s="161">
        <f>IF( AND( Q5 &lt;= '&gt;&gt; Inputs'!$G56, Q5 &gt;= 1 ), 1, 0 )</f>
        <v>1</v>
      </c>
      <c r="R12" s="161">
        <f>IF( AND( R5 &lt;= '&gt;&gt; Inputs'!$G56, R5 &gt;= 1 ), 1, 0 )</f>
        <v>1</v>
      </c>
      <c r="S12" s="161">
        <f>IF( AND( S5 &lt;= '&gt;&gt; Inputs'!$G56, S5 &gt;= 1 ), 1, 0 )</f>
        <v>1</v>
      </c>
      <c r="T12" s="161">
        <f>IF( AND( T5 &lt;= '&gt;&gt; Inputs'!$G56, T5 &gt;= 1 ), 1, 0 )</f>
        <v>1</v>
      </c>
      <c r="U12" s="161">
        <f>IF( AND( U5 &lt;= '&gt;&gt; Inputs'!$G56, U5 &gt;= 1 ), 1, 0 )</f>
        <v>1</v>
      </c>
      <c r="V12" s="161">
        <f>IF( AND( V5 &lt;= '&gt;&gt; Inputs'!$G56, V5 &gt;= 1 ), 1, 0 )</f>
        <v>1</v>
      </c>
      <c r="W12" s="161">
        <f>IF( AND( W5 &lt;= '&gt;&gt; Inputs'!$G56, W5 &gt;= 1 ), 1, 0 )</f>
        <v>1</v>
      </c>
      <c r="X12" s="161">
        <f>IF( AND( X5 &lt;= '&gt;&gt; Inputs'!$G56, X5 &gt;= 1 ), 1, 0 )</f>
        <v>1</v>
      </c>
      <c r="Y12" s="161">
        <f>IF( AND( Y5 &lt;= '&gt;&gt; Inputs'!$G56, Y5 &gt;= 1 ), 1, 0 )</f>
        <v>0</v>
      </c>
      <c r="Z12" s="1"/>
      <c r="AA12" s="1"/>
      <c r="AB12" s="1"/>
      <c r="AC12" s="1"/>
      <c r="AD12" s="1"/>
      <c r="AE12" s="1"/>
      <c r="AF12" s="1"/>
      <c r="AG12" s="1"/>
      <c r="AH12" s="1"/>
      <c r="AI12" s="1"/>
      <c r="AJ12" s="1"/>
      <c r="AK12" s="1"/>
    </row>
    <row r="13" spans="1:37" ht="12" customHeight="1" x14ac:dyDescent="0.25">
      <c r="A13" s="1"/>
      <c r="B13" s="1"/>
      <c r="C13" s="1"/>
      <c r="D13" s="1"/>
      <c r="E13" s="1" t="s">
        <v>221</v>
      </c>
      <c r="F13" s="33" t="s">
        <v>11</v>
      </c>
      <c r="G13" s="33"/>
      <c r="H13" s="84">
        <f>IF( H5 = '&gt;&gt; Inputs'!$G56, 1, 0 )</f>
        <v>0</v>
      </c>
      <c r="I13" s="84">
        <f>IF( I5 = '&gt;&gt; Inputs'!$G56, 1, 0 )</f>
        <v>0</v>
      </c>
      <c r="J13" s="84">
        <f>IF( J5 = '&gt;&gt; Inputs'!$G56, 1, 0 )</f>
        <v>0</v>
      </c>
      <c r="K13" s="84">
        <f>IF( K5 = '&gt;&gt; Inputs'!$G56, 1, 0 )</f>
        <v>0</v>
      </c>
      <c r="L13" s="84">
        <f>IF( L5 = '&gt;&gt; Inputs'!$G56, 1, 0 )</f>
        <v>0</v>
      </c>
      <c r="M13" s="84">
        <f>IF( M5 = '&gt;&gt; Inputs'!$G56, 1, 0 )</f>
        <v>0</v>
      </c>
      <c r="N13" s="84">
        <f>IF( N5 = '&gt;&gt; Inputs'!$G56, 1, 0 )</f>
        <v>0</v>
      </c>
      <c r="O13" s="84">
        <f>IF( O5 = '&gt;&gt; Inputs'!$G56, 1, 0 )</f>
        <v>0</v>
      </c>
      <c r="P13" s="84">
        <f>IF( P5 = '&gt;&gt; Inputs'!$G56, 1, 0 )</f>
        <v>0</v>
      </c>
      <c r="Q13" s="84">
        <f>IF( Q5 = '&gt;&gt; Inputs'!$G56, 1, 0 )</f>
        <v>0</v>
      </c>
      <c r="R13" s="84">
        <f>IF( R5 = '&gt;&gt; Inputs'!$G56, 1, 0 )</f>
        <v>0</v>
      </c>
      <c r="S13" s="84">
        <f>IF( S5 = '&gt;&gt; Inputs'!$G56, 1, 0 )</f>
        <v>0</v>
      </c>
      <c r="T13" s="84">
        <f>IF( T5 = '&gt;&gt; Inputs'!$G56, 1, 0 )</f>
        <v>0</v>
      </c>
      <c r="U13" s="84">
        <f>IF( U5 = '&gt;&gt; Inputs'!$G56, 1, 0 )</f>
        <v>0</v>
      </c>
      <c r="V13" s="84">
        <f>IF( V5 = '&gt;&gt; Inputs'!$G56, 1, 0 )</f>
        <v>0</v>
      </c>
      <c r="W13" s="84">
        <f>IF( W5 = '&gt;&gt; Inputs'!$G56, 1, 0 )</f>
        <v>0</v>
      </c>
      <c r="X13" s="84">
        <f>IF( X5 = '&gt;&gt; Inputs'!$G56, 1, 0 )</f>
        <v>1</v>
      </c>
      <c r="Y13" s="84">
        <f>IF( Y5 = '&gt;&gt; Inputs'!$G56, 1, 0 )</f>
        <v>0</v>
      </c>
      <c r="Z13" s="1"/>
      <c r="AA13" s="1"/>
      <c r="AB13" s="1"/>
      <c r="AC13" s="1"/>
      <c r="AD13" s="1"/>
      <c r="AE13" s="1"/>
      <c r="AF13" s="1"/>
      <c r="AG13" s="1"/>
      <c r="AH13" s="1"/>
      <c r="AI13" s="1"/>
      <c r="AJ13" s="1"/>
      <c r="AK13" s="1"/>
    </row>
    <row r="14" spans="1:37" ht="12" customHeight="1" x14ac:dyDescent="0.25">
      <c r="A14" s="1"/>
      <c r="B14" s="1"/>
      <c r="C14" s="1"/>
      <c r="D14" s="1"/>
      <c r="E14" s="1" t="s">
        <v>222</v>
      </c>
      <c r="F14" s="33" t="s">
        <v>11</v>
      </c>
      <c r="G14" s="33"/>
      <c r="H14" s="76" t="str">
        <f>IF( H4 = '&gt;&gt; Inputs'!H5, "Passed", " Error" )</f>
        <v>Passed</v>
      </c>
      <c r="I14" s="76" t="str">
        <f>IF( I4 = '&gt;&gt; Inputs'!I5, "Passed", " Error" )</f>
        <v>Passed</v>
      </c>
      <c r="J14" s="76" t="str">
        <f>IF( J4 = '&gt;&gt; Inputs'!J5, "Passed", " Error" )</f>
        <v>Passed</v>
      </c>
      <c r="K14" s="76" t="str">
        <f>IF( K4 = '&gt;&gt; Inputs'!K5, "Passed", " Error" )</f>
        <v>Passed</v>
      </c>
      <c r="L14" s="76" t="str">
        <f>IF( L4 = '&gt;&gt; Inputs'!L5, "Passed", " Error" )</f>
        <v>Passed</v>
      </c>
      <c r="M14" s="76" t="str">
        <f>IF( M4 = '&gt;&gt; Inputs'!M5, "Passed", " Error" )</f>
        <v>Passed</v>
      </c>
      <c r="N14" s="76" t="str">
        <f>IF( N4 = '&gt;&gt; Inputs'!N5, "Passed", " Error" )</f>
        <v>Passed</v>
      </c>
      <c r="O14" s="76" t="str">
        <f>IF( O4 = '&gt;&gt; Inputs'!O5, "Passed", " Error" )</f>
        <v>Passed</v>
      </c>
      <c r="P14" s="76" t="str">
        <f>IF( P4 = '&gt;&gt; Inputs'!P5, "Passed", " Error" )</f>
        <v>Passed</v>
      </c>
      <c r="Q14" s="76" t="str">
        <f>IF( Q4 = '&gt;&gt; Inputs'!Q5, "Passed", " Error" )</f>
        <v>Passed</v>
      </c>
      <c r="R14" s="76" t="str">
        <f>IF( R4 = '&gt;&gt; Inputs'!R5, "Passed", " Error" )</f>
        <v>Passed</v>
      </c>
      <c r="S14" s="76" t="str">
        <f>IF( S4 = '&gt;&gt; Inputs'!S5, "Passed", " Error" )</f>
        <v>Passed</v>
      </c>
      <c r="T14" s="76" t="str">
        <f>IF( T4 = '&gt;&gt; Inputs'!T5, "Passed", " Error" )</f>
        <v>Passed</v>
      </c>
      <c r="U14" s="76" t="str">
        <f>IF( U4 = '&gt;&gt; Inputs'!U5, "Passed", " Error" )</f>
        <v>Passed</v>
      </c>
      <c r="V14" s="76" t="str">
        <f>IF( V4 = '&gt;&gt; Inputs'!V5, "Passed", " Error" )</f>
        <v>Passed</v>
      </c>
      <c r="W14" s="76" t="str">
        <f>IF( W4 = '&gt;&gt; Inputs'!W5, "Passed", " Error" )</f>
        <v>Passed</v>
      </c>
      <c r="X14" s="76" t="str">
        <f>IF( X4 = '&gt;&gt; Inputs'!X5, "Passed", " Error" )</f>
        <v>Passed</v>
      </c>
      <c r="Y14" s="76" t="str">
        <f>IF( Y4 = '&gt;&gt; Inputs'!Y5, "Passed", " Error" )</f>
        <v>Passed</v>
      </c>
      <c r="Z14" s="1"/>
      <c r="AA14" s="1"/>
      <c r="AB14" s="1"/>
      <c r="AC14" s="1"/>
      <c r="AD14" s="1"/>
      <c r="AE14" s="1"/>
      <c r="AF14" s="1"/>
      <c r="AG14" s="1"/>
      <c r="AH14" s="1"/>
      <c r="AI14" s="1"/>
      <c r="AJ14" s="1"/>
      <c r="AK14" s="1"/>
    </row>
    <row r="15" spans="1:37" ht="12" customHeight="1" x14ac:dyDescent="0.25">
      <c r="A15" s="1"/>
      <c r="B15" s="1"/>
      <c r="C15" s="1"/>
      <c r="D15" s="1"/>
      <c r="E15" s="1"/>
      <c r="F15" s="33"/>
      <c r="G15" s="33"/>
      <c r="H15" s="76"/>
      <c r="I15" s="76"/>
      <c r="J15" s="76"/>
      <c r="K15" s="76"/>
      <c r="L15" s="76"/>
      <c r="M15" s="76"/>
      <c r="N15" s="76"/>
      <c r="O15" s="76"/>
      <c r="P15" s="76"/>
      <c r="Q15" s="76"/>
      <c r="R15" s="76"/>
      <c r="S15" s="76"/>
      <c r="T15" s="76"/>
      <c r="U15" s="76"/>
      <c r="V15" s="76"/>
      <c r="W15" s="76"/>
      <c r="X15" s="76"/>
      <c r="Y15" s="76"/>
      <c r="Z15" s="1"/>
      <c r="AA15" s="1"/>
      <c r="AB15" s="1"/>
      <c r="AC15" s="1"/>
      <c r="AD15" s="1"/>
      <c r="AE15" s="1"/>
      <c r="AF15" s="1"/>
      <c r="AG15" s="1"/>
      <c r="AH15" s="1"/>
      <c r="AI15" s="1"/>
      <c r="AJ15" s="1"/>
      <c r="AK15" s="1"/>
    </row>
    <row r="16" spans="1:37" ht="9" customHeight="1" x14ac:dyDescent="0.25">
      <c r="A16" s="1"/>
      <c r="B16" s="1"/>
      <c r="C16" s="188" t="s">
        <v>421</v>
      </c>
      <c r="D16" s="189"/>
      <c r="E16" s="189"/>
      <c r="F16" s="190"/>
      <c r="G16" s="190"/>
      <c r="H16" s="191"/>
      <c r="I16" s="191"/>
      <c r="J16" s="191"/>
      <c r="K16" s="191"/>
      <c r="L16" s="191"/>
      <c r="M16" s="191"/>
      <c r="N16" s="191"/>
      <c r="O16" s="191"/>
      <c r="P16" s="191"/>
      <c r="Q16" s="191"/>
      <c r="R16" s="191"/>
      <c r="S16" s="191"/>
      <c r="T16" s="191"/>
      <c r="U16" s="191"/>
      <c r="V16" s="191"/>
      <c r="W16" s="191"/>
      <c r="X16" s="191"/>
      <c r="Y16" s="191"/>
      <c r="Z16" s="1"/>
      <c r="AA16" s="1"/>
      <c r="AB16" s="1"/>
      <c r="AC16" s="1"/>
      <c r="AD16" s="1"/>
      <c r="AE16" s="1"/>
      <c r="AF16" s="1"/>
      <c r="AG16" s="1"/>
      <c r="AH16" s="1"/>
      <c r="AI16" s="1"/>
      <c r="AJ16" s="1"/>
      <c r="AK16" s="1"/>
    </row>
    <row r="17" spans="1:37" ht="9" customHeight="1" x14ac:dyDescent="0.25">
      <c r="A17" s="1"/>
      <c r="B17" s="1"/>
      <c r="C17" s="2"/>
      <c r="D17" s="1"/>
      <c r="E17" s="1"/>
      <c r="F17" s="33"/>
      <c r="G17" s="33"/>
      <c r="H17" s="76"/>
      <c r="I17" s="76"/>
      <c r="J17" s="76"/>
      <c r="K17" s="76"/>
      <c r="L17" s="76"/>
      <c r="M17" s="76"/>
      <c r="N17" s="76"/>
      <c r="O17" s="76"/>
      <c r="P17" s="76"/>
      <c r="Q17" s="76"/>
      <c r="R17" s="76"/>
      <c r="S17" s="76"/>
      <c r="T17" s="76"/>
      <c r="U17" s="76"/>
      <c r="V17" s="76"/>
      <c r="W17" s="76"/>
      <c r="X17" s="76"/>
      <c r="Y17" s="76"/>
      <c r="Z17" s="1"/>
      <c r="AA17" s="1"/>
      <c r="AB17" s="1"/>
      <c r="AC17" s="1"/>
      <c r="AD17" s="1"/>
      <c r="AE17" s="1"/>
      <c r="AF17" s="1"/>
      <c r="AG17" s="1"/>
      <c r="AH17" s="1"/>
      <c r="AI17" s="1"/>
      <c r="AJ17" s="1"/>
      <c r="AK17" s="1"/>
    </row>
    <row r="18" spans="1:37" ht="12.75" customHeight="1" x14ac:dyDescent="0.25">
      <c r="A18" s="1"/>
      <c r="B18" s="1"/>
      <c r="C18" s="1"/>
      <c r="D18" s="1"/>
      <c r="E18" s="1" t="s">
        <v>355</v>
      </c>
      <c r="F18" s="33" t="s">
        <v>28</v>
      </c>
      <c r="G18" s="33"/>
      <c r="H18" s="80">
        <f t="shared" ref="H18:O18" si="6">H142</f>
        <v>514.64400000000001</v>
      </c>
      <c r="I18" s="80">
        <f t="shared" si="6"/>
        <v>531.02700000000004</v>
      </c>
      <c r="J18" s="80">
        <f t="shared" si="6"/>
        <v>550.29999999999995</v>
      </c>
      <c r="K18" s="80">
        <f t="shared" si="6"/>
        <v>450.90000000000003</v>
      </c>
      <c r="L18" s="80">
        <f t="shared" si="6"/>
        <v>436.67700000000002</v>
      </c>
      <c r="M18" s="80">
        <f t="shared" si="6"/>
        <v>296.79999999999995</v>
      </c>
      <c r="N18" s="80">
        <f t="shared" si="6"/>
        <v>511.1</v>
      </c>
      <c r="O18" s="80">
        <f t="shared" si="6"/>
        <v>549.29999999999995</v>
      </c>
      <c r="P18" s="80">
        <f>'Growth Drivers'!V30</f>
        <v>544.21499235809722</v>
      </c>
      <c r="Q18" s="80">
        <f t="shared" ref="Q18:R21" si="7">P18*(Q38/P38)</f>
        <v>515.64370525929712</v>
      </c>
      <c r="R18" s="80">
        <f t="shared" si="7"/>
        <v>525.9565793644831</v>
      </c>
      <c r="S18" s="80">
        <f t="shared" ref="S18:Y18" si="8">R18*(S38/R38)</f>
        <v>536.47571095177273</v>
      </c>
      <c r="T18" s="80">
        <f t="shared" si="8"/>
        <v>547.20522517080815</v>
      </c>
      <c r="U18" s="80">
        <f t="shared" si="8"/>
        <v>558.1493296742243</v>
      </c>
      <c r="V18" s="80">
        <f t="shared" si="8"/>
        <v>569.31231626770875</v>
      </c>
      <c r="W18" s="80">
        <f t="shared" si="8"/>
        <v>580.69856259306289</v>
      </c>
      <c r="X18" s="80">
        <f t="shared" si="8"/>
        <v>592.31253384492413</v>
      </c>
      <c r="Y18" s="80">
        <f t="shared" si="8"/>
        <v>604.15878452182267</v>
      </c>
    </row>
    <row r="19" spans="1:37" ht="12.75" customHeight="1" x14ac:dyDescent="0.25">
      <c r="A19" s="1"/>
      <c r="B19" s="1"/>
      <c r="C19" s="1"/>
      <c r="D19" s="1"/>
      <c r="E19" s="1" t="s">
        <v>356</v>
      </c>
      <c r="F19" s="33" t="s">
        <v>28</v>
      </c>
      <c r="G19" s="33"/>
      <c r="H19" s="80">
        <f t="shared" ref="H19:O19" si="9">H231</f>
        <v>63.1</v>
      </c>
      <c r="I19" s="80">
        <f t="shared" si="9"/>
        <v>65.347999999999999</v>
      </c>
      <c r="J19" s="80">
        <f t="shared" si="9"/>
        <v>66.400000000000006</v>
      </c>
      <c r="K19" s="80">
        <f t="shared" si="9"/>
        <v>62.2</v>
      </c>
      <c r="L19" s="80">
        <f t="shared" si="9"/>
        <v>76.709000000000003</v>
      </c>
      <c r="M19" s="80">
        <f t="shared" si="9"/>
        <v>58.975000000000009</v>
      </c>
      <c r="N19" s="80">
        <f t="shared" si="9"/>
        <v>77.209999999999994</v>
      </c>
      <c r="O19" s="80">
        <f t="shared" si="9"/>
        <v>77</v>
      </c>
      <c r="P19" s="80">
        <f>'Growth Drivers'!V31+'Growth Drivers'!V32</f>
        <v>84.166157362129013</v>
      </c>
      <c r="Q19" s="80">
        <f t="shared" si="7"/>
        <v>85.849480509371574</v>
      </c>
      <c r="R19" s="80">
        <f t="shared" si="7"/>
        <v>87.566470119559014</v>
      </c>
      <c r="S19" s="80">
        <f t="shared" ref="S19:Y19" si="10">R19*(S39/R39)</f>
        <v>89.317799521950192</v>
      </c>
      <c r="T19" s="80">
        <f t="shared" si="10"/>
        <v>91.104155512389198</v>
      </c>
      <c r="U19" s="80">
        <f t="shared" si="10"/>
        <v>92.926238622636987</v>
      </c>
      <c r="V19" s="80">
        <f t="shared" si="10"/>
        <v>94.784763395089726</v>
      </c>
      <c r="W19" s="80">
        <f t="shared" si="10"/>
        <v>96.680458662991526</v>
      </c>
      <c r="X19" s="80">
        <f t="shared" si="10"/>
        <v>98.614067836251365</v>
      </c>
      <c r="Y19" s="80">
        <f t="shared" si="10"/>
        <v>100.5863491929764</v>
      </c>
    </row>
    <row r="20" spans="1:37" ht="12.75" customHeight="1" x14ac:dyDescent="0.25">
      <c r="A20" s="1"/>
      <c r="B20" s="1"/>
      <c r="C20" s="1"/>
      <c r="D20" s="1"/>
      <c r="E20" s="1" t="s">
        <v>266</v>
      </c>
      <c r="F20" s="33" t="s">
        <v>28</v>
      </c>
      <c r="G20" s="33"/>
      <c r="H20" s="80">
        <f t="shared" ref="H20:O20" si="11">H314</f>
        <v>144.83069857635945</v>
      </c>
      <c r="I20" s="80">
        <f t="shared" si="11"/>
        <v>149.39599999999999</v>
      </c>
      <c r="J20" s="80">
        <f t="shared" si="11"/>
        <v>145.90199999999999</v>
      </c>
      <c r="K20" s="80">
        <f t="shared" si="11"/>
        <v>118.146</v>
      </c>
      <c r="L20" s="80">
        <f t="shared" si="11"/>
        <v>196.892</v>
      </c>
      <c r="M20" s="80">
        <f t="shared" si="11"/>
        <v>183.72</v>
      </c>
      <c r="N20" s="80">
        <f t="shared" si="11"/>
        <v>241.56899999999999</v>
      </c>
      <c r="O20" s="80">
        <f t="shared" si="11"/>
        <v>241.56899999999999</v>
      </c>
      <c r="P20" s="80">
        <f>'Growth Drivers'!V34/0.92</f>
        <v>228.11735151831144</v>
      </c>
      <c r="Q20" s="80">
        <f t="shared" si="7"/>
        <v>217.85207069998745</v>
      </c>
      <c r="R20" s="80">
        <f t="shared" si="7"/>
        <v>222.2091121139872</v>
      </c>
      <c r="S20" s="80">
        <f t="shared" ref="S20:Y20" si="12">R20*(S40/R40)</f>
        <v>226.65329435626694</v>
      </c>
      <c r="T20" s="80">
        <f t="shared" si="12"/>
        <v>231.18636024339227</v>
      </c>
      <c r="U20" s="80">
        <f t="shared" si="12"/>
        <v>235.81008744826013</v>
      </c>
      <c r="V20" s="80">
        <f t="shared" si="12"/>
        <v>240.52628919722534</v>
      </c>
      <c r="W20" s="80">
        <f t="shared" si="12"/>
        <v>245.33681498116985</v>
      </c>
      <c r="X20" s="80">
        <f t="shared" si="12"/>
        <v>250.24355128079324</v>
      </c>
      <c r="Y20" s="80">
        <f t="shared" si="12"/>
        <v>255.24842230640911</v>
      </c>
    </row>
    <row r="21" spans="1:37" ht="12.75" customHeight="1" x14ac:dyDescent="0.25">
      <c r="A21" s="1"/>
      <c r="B21" s="1"/>
      <c r="C21" s="1"/>
      <c r="D21" s="1"/>
      <c r="E21" s="1" t="s">
        <v>268</v>
      </c>
      <c r="F21" s="33" t="s">
        <v>28</v>
      </c>
      <c r="G21" s="33"/>
      <c r="H21" s="80">
        <f t="shared" ref="H21:O21" si="13">H356</f>
        <v>0</v>
      </c>
      <c r="I21" s="80">
        <f t="shared" si="13"/>
        <v>0</v>
      </c>
      <c r="J21" s="80">
        <f t="shared" si="13"/>
        <v>0</v>
      </c>
      <c r="K21" s="80">
        <f t="shared" si="13"/>
        <v>4.5</v>
      </c>
      <c r="L21" s="80">
        <f t="shared" si="13"/>
        <v>13.1</v>
      </c>
      <c r="M21" s="80">
        <f t="shared" si="13"/>
        <v>16.928000000000001</v>
      </c>
      <c r="N21" s="80">
        <f t="shared" si="13"/>
        <v>15.4</v>
      </c>
      <c r="O21" s="80">
        <f t="shared" si="13"/>
        <v>9.3000000000000007</v>
      </c>
      <c r="P21" s="80">
        <f>'Growth Drivers'!V37</f>
        <v>19.221925577144393</v>
      </c>
      <c r="Q21" s="80">
        <f t="shared" si="7"/>
        <v>19.606364088687283</v>
      </c>
      <c r="R21" s="80">
        <f t="shared" si="7"/>
        <v>19.998491370461029</v>
      </c>
      <c r="S21" s="80">
        <f t="shared" ref="S21:Y21" si="14">R21*(S41/R41)</f>
        <v>20.398461197870251</v>
      </c>
      <c r="T21" s="80">
        <f t="shared" si="14"/>
        <v>20.806430421827656</v>
      </c>
      <c r="U21" s="80">
        <f t="shared" si="14"/>
        <v>21.222559030264211</v>
      </c>
      <c r="V21" s="80">
        <f t="shared" si="14"/>
        <v>21.647010210869496</v>
      </c>
      <c r="W21" s="80">
        <f t="shared" si="14"/>
        <v>22.079950415086888</v>
      </c>
      <c r="X21" s="80">
        <f t="shared" si="14"/>
        <v>22.521549423388628</v>
      </c>
      <c r="Y21" s="80">
        <f t="shared" si="14"/>
        <v>22.9719804118564</v>
      </c>
    </row>
    <row r="22" spans="1:37" ht="12.75" customHeight="1" x14ac:dyDescent="0.25">
      <c r="A22" s="1"/>
      <c r="B22" s="1"/>
      <c r="C22" s="1"/>
      <c r="D22" s="1"/>
      <c r="E22" s="1" t="s">
        <v>322</v>
      </c>
      <c r="F22" s="33" t="s">
        <v>28</v>
      </c>
      <c r="G22" s="33"/>
      <c r="H22" s="80">
        <f t="shared" ref="H22:J22" si="15">H362 -H356</f>
        <v>94.825000000000003</v>
      </c>
      <c r="I22" s="80">
        <f t="shared" si="15"/>
        <v>139.017</v>
      </c>
      <c r="J22" s="80">
        <f t="shared" si="15"/>
        <v>122.616</v>
      </c>
      <c r="K22" s="80">
        <f>K362 -K356  + 66.431</f>
        <v>185.73099999999994</v>
      </c>
      <c r="L22" s="80">
        <f>L362 -L356</f>
        <v>66.200000000000102</v>
      </c>
      <c r="M22" s="80">
        <f>M362 -M356</f>
        <v>71.88300000000001</v>
      </c>
      <c r="N22" s="80">
        <f>N362 -N356</f>
        <v>53.600000000000058</v>
      </c>
      <c r="O22" s="80">
        <f>O362 -O356</f>
        <v>43.77523494525542</v>
      </c>
      <c r="P22" s="80">
        <f>8*150%+17*150%</f>
        <v>37.5</v>
      </c>
      <c r="Q22" s="80">
        <f>P22*1.02</f>
        <v>38.25</v>
      </c>
      <c r="R22" s="80">
        <f>Q22*102%</f>
        <v>39.015000000000001</v>
      </c>
      <c r="S22" s="80">
        <f t="shared" ref="S22:Y22" si="16">R22*102%</f>
        <v>39.795300000000005</v>
      </c>
      <c r="T22" s="80">
        <f t="shared" si="16"/>
        <v>40.591206000000007</v>
      </c>
      <c r="U22" s="80">
        <f t="shared" si="16"/>
        <v>41.403030120000011</v>
      </c>
      <c r="V22" s="80">
        <f t="shared" si="16"/>
        <v>42.231090722400012</v>
      </c>
      <c r="W22" s="80">
        <f t="shared" si="16"/>
        <v>43.075712536848016</v>
      </c>
      <c r="X22" s="80">
        <f t="shared" si="16"/>
        <v>43.937226787584976</v>
      </c>
      <c r="Y22" s="80">
        <f t="shared" si="16"/>
        <v>44.815971323336676</v>
      </c>
      <c r="Z22" s="149"/>
    </row>
    <row r="23" spans="1:37" ht="12.75" customHeight="1" x14ac:dyDescent="0.25">
      <c r="A23" s="2"/>
      <c r="B23" s="2"/>
      <c r="C23" s="2"/>
      <c r="D23" s="2"/>
      <c r="E23" s="2" t="s">
        <v>612</v>
      </c>
      <c r="F23" s="193" t="s">
        <v>28</v>
      </c>
      <c r="G23" s="193"/>
      <c r="H23" s="268">
        <f t="shared" ref="H23:Y23" si="17">SUM(H18:H22)</f>
        <v>817.39969857635947</v>
      </c>
      <c r="I23" s="268">
        <f t="shared" si="17"/>
        <v>884.78800000000001</v>
      </c>
      <c r="J23" s="268">
        <f t="shared" si="17"/>
        <v>885.21799999999985</v>
      </c>
      <c r="K23" s="268">
        <f t="shared" si="17"/>
        <v>821.47699999999986</v>
      </c>
      <c r="L23" s="268">
        <f t="shared" si="17"/>
        <v>789.5780000000002</v>
      </c>
      <c r="M23" s="268">
        <f t="shared" si="17"/>
        <v>628.30600000000004</v>
      </c>
      <c r="N23" s="268">
        <f t="shared" si="17"/>
        <v>898.87900000000002</v>
      </c>
      <c r="O23" s="268">
        <f t="shared" si="17"/>
        <v>920.94423494525529</v>
      </c>
      <c r="P23" s="268">
        <f t="shared" si="17"/>
        <v>913.220426815682</v>
      </c>
      <c r="Q23" s="268">
        <f t="shared" si="17"/>
        <v>877.2016205573434</v>
      </c>
      <c r="R23" s="268">
        <f t="shared" si="17"/>
        <v>894.74565296849028</v>
      </c>
      <c r="S23" s="268">
        <f t="shared" si="17"/>
        <v>912.64056602786002</v>
      </c>
      <c r="T23" s="268">
        <f t="shared" si="17"/>
        <v>930.89337734841729</v>
      </c>
      <c r="U23" s="268">
        <f t="shared" si="17"/>
        <v>949.51124489538563</v>
      </c>
      <c r="V23" s="268">
        <f t="shared" si="17"/>
        <v>968.50146979329338</v>
      </c>
      <c r="W23" s="268">
        <f t="shared" si="17"/>
        <v>987.87149918915907</v>
      </c>
      <c r="X23" s="268">
        <f t="shared" si="17"/>
        <v>1007.6289291729423</v>
      </c>
      <c r="Y23" s="268">
        <f t="shared" si="17"/>
        <v>1027.7815077564012</v>
      </c>
      <c r="Z23" s="149"/>
      <c r="AA23" s="194"/>
      <c r="AB23" s="194"/>
      <c r="AC23" s="194"/>
      <c r="AD23" s="194"/>
      <c r="AE23" s="194"/>
      <c r="AF23" s="194"/>
      <c r="AG23" s="194"/>
      <c r="AH23" s="194"/>
      <c r="AI23" s="194"/>
      <c r="AJ23" s="194"/>
      <c r="AK23" s="194"/>
    </row>
    <row r="24" spans="1:37" s="574" customFormat="1" ht="12.75" customHeight="1" x14ac:dyDescent="0.25">
      <c r="A24" s="2"/>
      <c r="B24" s="2"/>
      <c r="C24" s="2"/>
      <c r="D24" s="2"/>
      <c r="E24" s="2"/>
      <c r="F24" s="193"/>
      <c r="G24" s="193"/>
      <c r="H24" s="580"/>
      <c r="I24" s="580"/>
      <c r="J24" s="580"/>
      <c r="K24" s="580"/>
      <c r="L24" s="580"/>
      <c r="M24" s="580"/>
      <c r="N24" s="580"/>
      <c r="O24" s="580"/>
      <c r="P24" s="580"/>
      <c r="Q24" s="580"/>
      <c r="R24" s="580"/>
      <c r="S24" s="580"/>
      <c r="T24" s="580"/>
      <c r="U24" s="580"/>
      <c r="V24" s="580"/>
      <c r="W24" s="580"/>
      <c r="X24" s="580"/>
      <c r="Y24" s="580"/>
      <c r="Z24" s="149"/>
      <c r="AA24" s="194"/>
      <c r="AB24" s="194"/>
      <c r="AC24" s="194"/>
      <c r="AD24" s="194"/>
      <c r="AE24" s="194"/>
      <c r="AF24" s="194"/>
      <c r="AG24" s="194"/>
      <c r="AH24" s="194"/>
      <c r="AI24" s="194"/>
      <c r="AJ24" s="194"/>
      <c r="AK24" s="194"/>
    </row>
    <row r="25" spans="1:37" s="556" customFormat="1" ht="12.75" customHeight="1" x14ac:dyDescent="0.25">
      <c r="A25" s="2"/>
      <c r="B25" s="2"/>
      <c r="C25" s="2"/>
      <c r="D25" s="2"/>
      <c r="E25" s="2" t="s">
        <v>975</v>
      </c>
      <c r="F25" s="193" t="s">
        <v>28</v>
      </c>
      <c r="G25" s="193"/>
      <c r="H25" s="170"/>
      <c r="I25" s="182">
        <f t="shared" ref="I25:N25" si="18">I43-I23</f>
        <v>-573.45075816754559</v>
      </c>
      <c r="J25" s="182">
        <f t="shared" si="18"/>
        <v>-601.86436441725243</v>
      </c>
      <c r="K25" s="182">
        <f t="shared" si="18"/>
        <v>-613.49396170970601</v>
      </c>
      <c r="L25" s="182">
        <f t="shared" si="18"/>
        <v>-528.65658964577676</v>
      </c>
      <c r="M25" s="182">
        <f t="shared" si="18"/>
        <v>-476.19640139616058</v>
      </c>
      <c r="N25" s="182">
        <f t="shared" si="18"/>
        <v>-568.84753950663332</v>
      </c>
      <c r="O25" s="182">
        <f>O43-O23</f>
        <v>-634.21716611647321</v>
      </c>
      <c r="P25" s="182">
        <f t="shared" ref="P25:Y25" si="19">P43-P23</f>
        <v>-660.64790347158123</v>
      </c>
      <c r="Q25" s="182">
        <f t="shared" si="19"/>
        <v>-612.13085516061642</v>
      </c>
      <c r="R25" s="182">
        <f t="shared" si="19"/>
        <v>-624.37347226382872</v>
      </c>
      <c r="S25" s="182">
        <f t="shared" si="19"/>
        <v>-636.86094170910519</v>
      </c>
      <c r="T25" s="182">
        <f t="shared" si="19"/>
        <v>-649.59816054328735</v>
      </c>
      <c r="U25" s="182">
        <f t="shared" si="19"/>
        <v>-662.59012375415296</v>
      </c>
      <c r="V25" s="182">
        <f t="shared" si="19"/>
        <v>-675.84192622923615</v>
      </c>
      <c r="W25" s="182">
        <f t="shared" si="19"/>
        <v>-689.35876475382065</v>
      </c>
      <c r="X25" s="182">
        <f t="shared" si="19"/>
        <v>-703.14594004889705</v>
      </c>
      <c r="Y25" s="182">
        <f t="shared" si="19"/>
        <v>-717.20885884987524</v>
      </c>
    </row>
    <row r="26" spans="1:37" s="556" customFormat="1" ht="12.75" customHeight="1" x14ac:dyDescent="0.25">
      <c r="A26" s="2"/>
      <c r="B26" s="2"/>
      <c r="C26" s="2"/>
      <c r="D26" s="2"/>
      <c r="E26" s="2" t="s">
        <v>625</v>
      </c>
      <c r="F26" s="193" t="s">
        <v>8</v>
      </c>
      <c r="G26" s="193"/>
      <c r="H26" s="170"/>
      <c r="I26" s="587">
        <f t="shared" ref="I26:N26" si="20">I25/I23</f>
        <v>-0.64812221477635956</v>
      </c>
      <c r="J26" s="587">
        <f t="shared" si="20"/>
        <v>-0.67990524867010449</v>
      </c>
      <c r="K26" s="587">
        <f t="shared" si="20"/>
        <v>-0.74681818445276749</v>
      </c>
      <c r="L26" s="587">
        <f t="shared" si="20"/>
        <v>-0.66954321124167171</v>
      </c>
      <c r="M26" s="587">
        <f t="shared" si="20"/>
        <v>-0.75790522674645877</v>
      </c>
      <c r="N26" s="587">
        <f t="shared" si="20"/>
        <v>-0.63284106037256771</v>
      </c>
      <c r="O26" s="587">
        <f>O25/O23</f>
        <v>-0.68865968432298585</v>
      </c>
      <c r="P26" s="587">
        <f t="shared" ref="P26:Y26" si="21">P25/P23</f>
        <v>-0.72342655077832785</v>
      </c>
      <c r="Q26" s="587">
        <f t="shared" si="21"/>
        <v>-0.69782230312307192</v>
      </c>
      <c r="R26" s="587">
        <f t="shared" si="21"/>
        <v>-0.69782230312307192</v>
      </c>
      <c r="S26" s="587">
        <f t="shared" si="21"/>
        <v>-0.69782230312307181</v>
      </c>
      <c r="T26" s="587">
        <f t="shared" si="21"/>
        <v>-0.69782230312307181</v>
      </c>
      <c r="U26" s="587">
        <f t="shared" si="21"/>
        <v>-0.6978223031230717</v>
      </c>
      <c r="V26" s="587">
        <f t="shared" si="21"/>
        <v>-0.69782230312307181</v>
      </c>
      <c r="W26" s="587">
        <f t="shared" si="21"/>
        <v>-0.6978223031230717</v>
      </c>
      <c r="X26" s="587">
        <f t="shared" si="21"/>
        <v>-0.6978223031230717</v>
      </c>
      <c r="Y26" s="587">
        <f t="shared" si="21"/>
        <v>-0.69782230312307192</v>
      </c>
    </row>
    <row r="27" spans="1:37" s="574" customFormat="1" ht="12.75" customHeight="1" x14ac:dyDescent="0.25">
      <c r="A27" s="1"/>
      <c r="B27" s="1"/>
      <c r="C27" s="1"/>
      <c r="D27" s="1"/>
      <c r="E27" s="1"/>
      <c r="F27" s="575"/>
      <c r="G27" s="575"/>
      <c r="H27" s="52"/>
      <c r="I27" s="582"/>
      <c r="J27" s="582"/>
      <c r="K27" s="582"/>
      <c r="L27" s="582"/>
      <c r="M27" s="582"/>
      <c r="N27" s="582"/>
      <c r="O27" s="582"/>
      <c r="P27" s="582"/>
      <c r="Q27" s="582"/>
      <c r="R27" s="582"/>
      <c r="S27" s="582"/>
      <c r="T27" s="582"/>
      <c r="U27" s="582"/>
      <c r="V27" s="582"/>
      <c r="W27" s="582"/>
      <c r="X27" s="582"/>
      <c r="Y27" s="582"/>
    </row>
    <row r="28" spans="1:37" ht="12.75" customHeight="1" x14ac:dyDescent="0.25">
      <c r="A28" s="2"/>
      <c r="B28" s="2"/>
      <c r="C28" s="2"/>
      <c r="D28" s="2"/>
      <c r="E28" s="42" t="s">
        <v>613</v>
      </c>
      <c r="F28" s="193"/>
      <c r="G28" s="68"/>
      <c r="H28" s="182"/>
      <c r="I28" s="182"/>
      <c r="J28" s="182"/>
      <c r="K28" s="182"/>
      <c r="L28" s="182"/>
      <c r="M28" s="182"/>
      <c r="N28" s="182"/>
      <c r="P28" s="582"/>
      <c r="Q28" s="182"/>
      <c r="R28" s="182"/>
      <c r="S28" s="182"/>
      <c r="T28" s="182"/>
      <c r="U28" s="182"/>
      <c r="V28" s="182"/>
      <c r="W28" s="182"/>
      <c r="X28" s="182"/>
      <c r="Y28" s="182"/>
      <c r="Z28" s="194"/>
      <c r="AA28" s="194"/>
      <c r="AB28" s="194"/>
      <c r="AC28" s="194"/>
      <c r="AD28" s="194"/>
      <c r="AE28" s="194"/>
      <c r="AF28" s="194"/>
      <c r="AG28" s="194"/>
      <c r="AH28" s="194"/>
      <c r="AI28" s="194"/>
      <c r="AJ28" s="194"/>
      <c r="AK28" s="194"/>
    </row>
    <row r="29" spans="1:37" ht="12.75" customHeight="1" x14ac:dyDescent="0.25">
      <c r="A29" s="2"/>
      <c r="B29" s="2"/>
      <c r="C29" s="2"/>
      <c r="D29" s="2"/>
      <c r="E29" s="1" t="s">
        <v>355</v>
      </c>
      <c r="F29" s="33" t="s">
        <v>8</v>
      </c>
      <c r="G29" s="68"/>
      <c r="H29" s="222"/>
      <c r="I29" s="222">
        <f t="shared" ref="I29:Y29" si="22">I18/H18-1</f>
        <v>3.1833655886399193E-2</v>
      </c>
      <c r="J29" s="222">
        <f t="shared" si="22"/>
        <v>3.6293823101273492E-2</v>
      </c>
      <c r="K29" s="222">
        <f t="shared" si="22"/>
        <v>-0.18062874795566042</v>
      </c>
      <c r="L29" s="222">
        <f t="shared" si="22"/>
        <v>-3.1543579507651409E-2</v>
      </c>
      <c r="M29" s="222">
        <f t="shared" si="22"/>
        <v>-0.32032142750820414</v>
      </c>
      <c r="N29" s="222">
        <f t="shared" si="22"/>
        <v>0.72203504043126721</v>
      </c>
      <c r="O29" s="222">
        <f t="shared" si="22"/>
        <v>7.4740755233809297E-2</v>
      </c>
      <c r="P29" s="222">
        <f t="shared" si="22"/>
        <v>-9.2572503948711304E-3</v>
      </c>
      <c r="Q29" s="222">
        <f t="shared" si="22"/>
        <v>-5.2499999999999991E-2</v>
      </c>
      <c r="R29" s="222">
        <f t="shared" si="22"/>
        <v>2.0000000000000018E-2</v>
      </c>
      <c r="S29" s="222">
        <f t="shared" si="22"/>
        <v>2.0000000000000018E-2</v>
      </c>
      <c r="T29" s="222">
        <f t="shared" si="22"/>
        <v>2.0000000000000018E-2</v>
      </c>
      <c r="U29" s="222">
        <f t="shared" si="22"/>
        <v>2.0000000000000018E-2</v>
      </c>
      <c r="V29" s="222">
        <f t="shared" si="22"/>
        <v>2.0000000000000018E-2</v>
      </c>
      <c r="W29" s="222">
        <f t="shared" si="22"/>
        <v>2.0000000000000018E-2</v>
      </c>
      <c r="X29" s="222">
        <f t="shared" si="22"/>
        <v>2.0000000000000018E-2</v>
      </c>
      <c r="Y29" s="222">
        <f t="shared" si="22"/>
        <v>2.0000000000000018E-2</v>
      </c>
      <c r="Z29" s="194"/>
      <c r="AA29" s="194"/>
      <c r="AB29" s="194"/>
      <c r="AC29" s="194"/>
      <c r="AD29" s="194"/>
      <c r="AE29" s="194"/>
      <c r="AF29" s="194"/>
      <c r="AG29" s="194"/>
      <c r="AH29" s="194"/>
      <c r="AI29" s="194"/>
      <c r="AJ29" s="194"/>
      <c r="AK29" s="194"/>
    </row>
    <row r="30" spans="1:37" ht="12.75" customHeight="1" x14ac:dyDescent="0.25">
      <c r="A30" s="2"/>
      <c r="B30" s="2"/>
      <c r="C30" s="2"/>
      <c r="D30" s="2"/>
      <c r="E30" s="1" t="s">
        <v>356</v>
      </c>
      <c r="F30" s="33" t="s">
        <v>8</v>
      </c>
      <c r="G30" s="68"/>
      <c r="H30" s="222"/>
      <c r="I30" s="222">
        <f t="shared" ref="I30:Y30" si="23">I19/H19-1</f>
        <v>3.5625990491283677E-2</v>
      </c>
      <c r="J30" s="222">
        <f t="shared" si="23"/>
        <v>1.6098426883760952E-2</v>
      </c>
      <c r="K30" s="222">
        <f t="shared" si="23"/>
        <v>-6.325301204819278E-2</v>
      </c>
      <c r="L30" s="222">
        <f t="shared" si="23"/>
        <v>0.23326366559485523</v>
      </c>
      <c r="M30" s="222">
        <f t="shared" si="23"/>
        <v>-0.23118538893741269</v>
      </c>
      <c r="N30" s="222">
        <f t="shared" si="23"/>
        <v>0.30919881305637942</v>
      </c>
      <c r="O30" s="222">
        <f t="shared" si="23"/>
        <v>-2.7198549410697437E-3</v>
      </c>
      <c r="P30" s="222">
        <f t="shared" si="23"/>
        <v>9.3066978728948202E-2</v>
      </c>
      <c r="Q30" s="222">
        <f t="shared" si="23"/>
        <v>1.9999999999999796E-2</v>
      </c>
      <c r="R30" s="222">
        <f t="shared" si="23"/>
        <v>2.0000000000000018E-2</v>
      </c>
      <c r="S30" s="222">
        <f t="shared" si="23"/>
        <v>2.0000000000000018E-2</v>
      </c>
      <c r="T30" s="222">
        <f t="shared" si="23"/>
        <v>2.0000000000000018E-2</v>
      </c>
      <c r="U30" s="222">
        <f t="shared" si="23"/>
        <v>2.0000000000000018E-2</v>
      </c>
      <c r="V30" s="222">
        <f t="shared" si="23"/>
        <v>2.0000000000000018E-2</v>
      </c>
      <c r="W30" s="222">
        <f t="shared" si="23"/>
        <v>2.0000000000000018E-2</v>
      </c>
      <c r="X30" s="222">
        <f t="shared" si="23"/>
        <v>2.0000000000000018E-2</v>
      </c>
      <c r="Y30" s="222">
        <f t="shared" si="23"/>
        <v>2.0000000000000018E-2</v>
      </c>
      <c r="Z30" s="194"/>
      <c r="AA30" s="194"/>
      <c r="AB30" s="194"/>
      <c r="AC30" s="194"/>
      <c r="AD30" s="194"/>
      <c r="AE30" s="194"/>
      <c r="AF30" s="194"/>
      <c r="AG30" s="194"/>
      <c r="AH30" s="194"/>
      <c r="AI30" s="194"/>
      <c r="AJ30" s="194"/>
      <c r="AK30" s="194"/>
    </row>
    <row r="31" spans="1:37" ht="12.75" customHeight="1" x14ac:dyDescent="0.25">
      <c r="A31" s="2"/>
      <c r="B31" s="2"/>
      <c r="C31" s="2"/>
      <c r="D31" s="2"/>
      <c r="E31" s="1" t="s">
        <v>266</v>
      </c>
      <c r="F31" s="33" t="s">
        <v>8</v>
      </c>
      <c r="G31" s="68"/>
      <c r="H31" s="222"/>
      <c r="I31" s="222">
        <f t="shared" ref="I31:Y31" si="24">I20/H20-1</f>
        <v>3.1521641948261125E-2</v>
      </c>
      <c r="J31" s="222">
        <f t="shared" si="24"/>
        <v>-2.3387507028300614E-2</v>
      </c>
      <c r="K31" s="222">
        <f t="shared" si="24"/>
        <v>-0.19023728255952621</v>
      </c>
      <c r="L31" s="222">
        <f t="shared" si="24"/>
        <v>0.66651431279941753</v>
      </c>
      <c r="M31" s="222">
        <f t="shared" si="24"/>
        <v>-6.6899620096296464E-2</v>
      </c>
      <c r="N31" s="222">
        <f t="shared" si="24"/>
        <v>0.31487589810581307</v>
      </c>
      <c r="O31" s="222">
        <f t="shared" si="24"/>
        <v>0</v>
      </c>
      <c r="P31" s="222">
        <f t="shared" si="24"/>
        <v>-5.5684497935118094E-2</v>
      </c>
      <c r="Q31" s="222">
        <f t="shared" si="24"/>
        <v>-4.4999999999999929E-2</v>
      </c>
      <c r="R31" s="222">
        <f t="shared" si="24"/>
        <v>2.0000000000000018E-2</v>
      </c>
      <c r="S31" s="222">
        <f t="shared" si="24"/>
        <v>2.0000000000000018E-2</v>
      </c>
      <c r="T31" s="222">
        <f t="shared" si="24"/>
        <v>2.0000000000000018E-2</v>
      </c>
      <c r="U31" s="222">
        <f t="shared" si="24"/>
        <v>2.0000000000000018E-2</v>
      </c>
      <c r="V31" s="222">
        <f t="shared" si="24"/>
        <v>2.0000000000000018E-2</v>
      </c>
      <c r="W31" s="222">
        <f t="shared" si="24"/>
        <v>2.0000000000000018E-2</v>
      </c>
      <c r="X31" s="222">
        <f t="shared" si="24"/>
        <v>2.0000000000000018E-2</v>
      </c>
      <c r="Y31" s="222">
        <f t="shared" si="24"/>
        <v>2.0000000000000018E-2</v>
      </c>
      <c r="Z31" s="194"/>
      <c r="AA31" s="194"/>
      <c r="AB31" s="194"/>
      <c r="AC31" s="194"/>
      <c r="AD31" s="194"/>
      <c r="AE31" s="194"/>
      <c r="AF31" s="194"/>
      <c r="AG31" s="194"/>
      <c r="AH31" s="194"/>
      <c r="AI31" s="194"/>
      <c r="AJ31" s="194"/>
      <c r="AK31" s="194"/>
    </row>
    <row r="32" spans="1:37" ht="12.75" customHeight="1" x14ac:dyDescent="0.25">
      <c r="A32" s="2"/>
      <c r="B32" s="2"/>
      <c r="C32" s="2"/>
      <c r="D32" s="2"/>
      <c r="E32" s="1" t="s">
        <v>268</v>
      </c>
      <c r="F32" s="33" t="s">
        <v>8</v>
      </c>
      <c r="G32" s="68"/>
      <c r="H32" s="222"/>
      <c r="I32" s="222"/>
      <c r="J32" s="222"/>
      <c r="K32" s="222"/>
      <c r="L32" s="222">
        <f t="shared" ref="L32:Y32" si="25">L21/K21-1</f>
        <v>1.911111111111111</v>
      </c>
      <c r="M32" s="222">
        <f t="shared" si="25"/>
        <v>0.2922137404580154</v>
      </c>
      <c r="N32" s="222">
        <f t="shared" si="25"/>
        <v>-9.0264650283553904E-2</v>
      </c>
      <c r="O32" s="222">
        <f t="shared" si="25"/>
        <v>-0.39610389610389607</v>
      </c>
      <c r="P32" s="222">
        <f t="shared" si="25"/>
        <v>1.0668737179725154</v>
      </c>
      <c r="Q32" s="222">
        <f t="shared" si="25"/>
        <v>2.0000000000000018E-2</v>
      </c>
      <c r="R32" s="222">
        <f t="shared" si="25"/>
        <v>2.0000000000000018E-2</v>
      </c>
      <c r="S32" s="222">
        <f t="shared" si="25"/>
        <v>2.0000000000000018E-2</v>
      </c>
      <c r="T32" s="222">
        <f t="shared" si="25"/>
        <v>2.0000000000000018E-2</v>
      </c>
      <c r="U32" s="222">
        <f t="shared" si="25"/>
        <v>2.0000000000000018E-2</v>
      </c>
      <c r="V32" s="222">
        <f t="shared" si="25"/>
        <v>2.0000000000000018E-2</v>
      </c>
      <c r="W32" s="222">
        <f t="shared" si="25"/>
        <v>2.0000000000000018E-2</v>
      </c>
      <c r="X32" s="222">
        <f t="shared" si="25"/>
        <v>2.0000000000000018E-2</v>
      </c>
      <c r="Y32" s="222">
        <f t="shared" si="25"/>
        <v>2.0000000000000018E-2</v>
      </c>
      <c r="Z32" s="194"/>
      <c r="AA32" s="194"/>
      <c r="AB32" s="194"/>
      <c r="AC32" s="194"/>
      <c r="AD32" s="194"/>
      <c r="AE32" s="194"/>
      <c r="AF32" s="194"/>
      <c r="AG32" s="194"/>
      <c r="AH32" s="194"/>
      <c r="AI32" s="194"/>
      <c r="AJ32" s="194"/>
      <c r="AK32" s="194"/>
    </row>
    <row r="33" spans="1:37" ht="12.75" customHeight="1" x14ac:dyDescent="0.25">
      <c r="A33" s="2"/>
      <c r="B33" s="2"/>
      <c r="C33" s="2"/>
      <c r="D33" s="2"/>
      <c r="E33" s="1" t="s">
        <v>322</v>
      </c>
      <c r="F33" s="33" t="s">
        <v>8</v>
      </c>
      <c r="G33" s="68"/>
      <c r="H33" s="222"/>
      <c r="I33" s="222">
        <f t="shared" ref="I33:Y33" si="26">I22/H22-1</f>
        <v>0.46603743738465586</v>
      </c>
      <c r="J33" s="222">
        <f t="shared" si="26"/>
        <v>-0.1179783767452901</v>
      </c>
      <c r="K33" s="222">
        <f t="shared" si="26"/>
        <v>0.51473706530958396</v>
      </c>
      <c r="L33" s="222">
        <f t="shared" si="26"/>
        <v>-0.64357054018984372</v>
      </c>
      <c r="M33" s="222">
        <f t="shared" si="26"/>
        <v>8.5845921450149465E-2</v>
      </c>
      <c r="N33" s="222">
        <f t="shared" si="26"/>
        <v>-0.25434386433509937</v>
      </c>
      <c r="O33" s="222">
        <f t="shared" si="26"/>
        <v>-0.18329785549896693</v>
      </c>
      <c r="P33" s="222">
        <f t="shared" si="26"/>
        <v>-0.14335125678030336</v>
      </c>
      <c r="Q33" s="222">
        <f t="shared" si="26"/>
        <v>2.0000000000000018E-2</v>
      </c>
      <c r="R33" s="222">
        <f t="shared" si="26"/>
        <v>2.0000000000000018E-2</v>
      </c>
      <c r="S33" s="222">
        <f t="shared" si="26"/>
        <v>2.0000000000000018E-2</v>
      </c>
      <c r="T33" s="222">
        <f t="shared" si="26"/>
        <v>2.0000000000000018E-2</v>
      </c>
      <c r="U33" s="222">
        <f t="shared" si="26"/>
        <v>2.0000000000000018E-2</v>
      </c>
      <c r="V33" s="222">
        <f t="shared" si="26"/>
        <v>2.0000000000000018E-2</v>
      </c>
      <c r="W33" s="222">
        <f t="shared" si="26"/>
        <v>2.0000000000000018E-2</v>
      </c>
      <c r="X33" s="222">
        <f t="shared" si="26"/>
        <v>2.0000000000000018E-2</v>
      </c>
      <c r="Y33" s="222">
        <f t="shared" si="26"/>
        <v>2.0000000000000018E-2</v>
      </c>
      <c r="Z33" s="194"/>
      <c r="AA33" s="194"/>
      <c r="AB33" s="194"/>
      <c r="AC33" s="194"/>
      <c r="AD33" s="194"/>
      <c r="AE33" s="194"/>
      <c r="AF33" s="194"/>
      <c r="AG33" s="194"/>
      <c r="AH33" s="194"/>
      <c r="AI33" s="194"/>
      <c r="AJ33" s="194"/>
      <c r="AK33" s="194"/>
    </row>
    <row r="34" spans="1:37" ht="12.75" customHeight="1" x14ac:dyDescent="0.25">
      <c r="A34" s="2"/>
      <c r="B34" s="2"/>
      <c r="C34" s="2"/>
      <c r="D34" s="2"/>
      <c r="E34" s="2" t="s">
        <v>366</v>
      </c>
      <c r="F34" s="33" t="s">
        <v>8</v>
      </c>
      <c r="G34" s="224"/>
      <c r="H34" s="225"/>
      <c r="I34" s="225">
        <f t="shared" ref="I34:Y34" si="27">I23/H23-1</f>
        <v>8.2442288076455927E-2</v>
      </c>
      <c r="J34" s="225">
        <f t="shared" si="27"/>
        <v>4.8599212466693409E-4</v>
      </c>
      <c r="K34" s="225">
        <f t="shared" si="27"/>
        <v>-7.2005991744406472E-2</v>
      </c>
      <c r="L34" s="225">
        <f t="shared" si="27"/>
        <v>-3.8831275860431447E-2</v>
      </c>
      <c r="M34" s="225">
        <f t="shared" si="27"/>
        <v>-0.20425087831727851</v>
      </c>
      <c r="N34" s="225">
        <f t="shared" si="27"/>
        <v>0.4306388925141571</v>
      </c>
      <c r="O34" s="225">
        <f t="shared" si="27"/>
        <v>2.4547502995681647E-2</v>
      </c>
      <c r="P34" s="225">
        <f t="shared" si="27"/>
        <v>-8.3868358544341159E-3</v>
      </c>
      <c r="Q34" s="225">
        <f t="shared" si="27"/>
        <v>-3.9441524960116103E-2</v>
      </c>
      <c r="R34" s="225">
        <f t="shared" si="27"/>
        <v>2.0000000000000018E-2</v>
      </c>
      <c r="S34" s="225">
        <f t="shared" si="27"/>
        <v>2.0000000000000018E-2</v>
      </c>
      <c r="T34" s="225">
        <f t="shared" si="27"/>
        <v>2.0000000000000018E-2</v>
      </c>
      <c r="U34" s="225">
        <f t="shared" si="27"/>
        <v>2.0000000000000018E-2</v>
      </c>
      <c r="V34" s="225">
        <f t="shared" si="27"/>
        <v>2.0000000000000018E-2</v>
      </c>
      <c r="W34" s="225">
        <f t="shared" si="27"/>
        <v>1.9999999999999796E-2</v>
      </c>
      <c r="X34" s="225">
        <f t="shared" si="27"/>
        <v>2.0000000000000018E-2</v>
      </c>
      <c r="Y34" s="225">
        <f t="shared" si="27"/>
        <v>2.0000000000000018E-2</v>
      </c>
      <c r="Z34" s="194"/>
      <c r="AA34" s="194"/>
      <c r="AB34" s="194"/>
      <c r="AC34" s="194"/>
      <c r="AD34" s="194"/>
      <c r="AE34" s="194"/>
      <c r="AF34" s="194"/>
      <c r="AG34" s="194"/>
      <c r="AH34" s="194"/>
      <c r="AI34" s="194"/>
      <c r="AJ34" s="194"/>
      <c r="AK34" s="194"/>
    </row>
    <row r="35" spans="1:37" ht="15.75" customHeight="1" x14ac:dyDescent="0.25">
      <c r="A35" s="1"/>
      <c r="B35" s="1"/>
      <c r="C35" s="1"/>
      <c r="D35" s="1"/>
      <c r="E35" s="1"/>
      <c r="F35" s="33"/>
      <c r="G35" s="33"/>
      <c r="H35" s="1"/>
      <c r="I35" s="1"/>
      <c r="J35" s="1"/>
      <c r="K35" s="162"/>
      <c r="L35" s="162"/>
      <c r="M35" s="162"/>
      <c r="N35" s="198"/>
      <c r="O35" s="198"/>
      <c r="P35" s="162"/>
      <c r="Q35" s="162"/>
      <c r="R35" s="162"/>
      <c r="S35" s="162"/>
      <c r="T35" s="162"/>
      <c r="U35" s="162"/>
      <c r="V35" s="162"/>
      <c r="W35" s="162"/>
      <c r="X35" s="162"/>
      <c r="Y35" s="162"/>
      <c r="Z35" s="1"/>
      <c r="AA35" s="1"/>
      <c r="AB35" s="1"/>
      <c r="AC35" s="1"/>
      <c r="AD35" s="1"/>
      <c r="AE35" s="1"/>
      <c r="AF35" s="1"/>
      <c r="AG35" s="1"/>
      <c r="AH35" s="1"/>
      <c r="AI35" s="1"/>
      <c r="AJ35" s="1"/>
      <c r="AK35" s="1"/>
    </row>
    <row r="36" spans="1:37" ht="9" customHeight="1" x14ac:dyDescent="0.25">
      <c r="A36" s="1"/>
      <c r="B36" s="1"/>
      <c r="C36" s="188" t="s">
        <v>614</v>
      </c>
      <c r="D36" s="189"/>
      <c r="E36" s="189"/>
      <c r="F36" s="190"/>
      <c r="G36" s="190"/>
      <c r="H36" s="191"/>
      <c r="I36" s="191"/>
      <c r="J36" s="191"/>
      <c r="K36" s="191"/>
      <c r="L36" s="191"/>
      <c r="M36" s="191"/>
      <c r="N36" s="191"/>
      <c r="O36" s="191"/>
      <c r="P36" s="191"/>
      <c r="Q36" s="191"/>
      <c r="R36" s="191"/>
      <c r="S36" s="191"/>
      <c r="T36" s="191"/>
      <c r="U36" s="191"/>
      <c r="V36" s="191"/>
      <c r="W36" s="191"/>
      <c r="X36" s="191"/>
      <c r="Y36" s="191"/>
      <c r="Z36" s="1"/>
      <c r="AA36" s="1"/>
      <c r="AB36" s="1"/>
      <c r="AC36" s="1"/>
      <c r="AD36" s="1"/>
      <c r="AE36" s="1"/>
      <c r="AF36" s="1"/>
      <c r="AG36" s="1"/>
      <c r="AH36" s="1"/>
      <c r="AI36" s="1"/>
      <c r="AJ36" s="1"/>
      <c r="AK36" s="1"/>
    </row>
    <row r="37" spans="1:37" ht="9" customHeight="1" x14ac:dyDescent="0.25">
      <c r="A37" s="1"/>
      <c r="B37" s="1"/>
      <c r="C37" s="2"/>
      <c r="D37" s="1"/>
      <c r="E37" s="1"/>
      <c r="F37" s="33"/>
      <c r="G37" s="33"/>
      <c r="H37" s="76"/>
      <c r="I37" s="76"/>
      <c r="J37" s="76"/>
      <c r="K37" s="76"/>
      <c r="L37" s="76"/>
      <c r="M37" s="76"/>
      <c r="N37" s="76"/>
      <c r="O37" s="76"/>
      <c r="P37" s="76"/>
      <c r="Q37" s="76"/>
      <c r="R37" s="76"/>
      <c r="S37" s="76"/>
      <c r="T37" s="76"/>
      <c r="U37" s="76"/>
      <c r="V37" s="76"/>
      <c r="W37" s="76"/>
      <c r="X37" s="76"/>
      <c r="Y37" s="76"/>
      <c r="Z37" s="1"/>
      <c r="AA37" s="1"/>
      <c r="AB37" s="1"/>
      <c r="AC37" s="1"/>
      <c r="AD37" s="1"/>
      <c r="AE37" s="1"/>
      <c r="AF37" s="1"/>
      <c r="AG37" s="1"/>
      <c r="AH37" s="1"/>
      <c r="AI37" s="1"/>
      <c r="AJ37" s="1"/>
      <c r="AK37" s="1"/>
    </row>
    <row r="38" spans="1:37" ht="12.75" customHeight="1" x14ac:dyDescent="0.25">
      <c r="A38" s="1"/>
      <c r="B38" s="1"/>
      <c r="C38" s="1"/>
      <c r="D38" s="1"/>
      <c r="E38" s="1" t="s">
        <v>355</v>
      </c>
      <c r="F38" s="33" t="s">
        <v>28</v>
      </c>
      <c r="G38" s="33"/>
      <c r="H38" s="80">
        <f t="shared" ref="H38:O38" si="28">H157</f>
        <v>251.3</v>
      </c>
      <c r="I38" s="80">
        <f t="shared" si="28"/>
        <v>260.7</v>
      </c>
      <c r="J38" s="80">
        <f t="shared" si="28"/>
        <v>267.89999999999998</v>
      </c>
      <c r="K38" s="80">
        <f t="shared" si="28"/>
        <v>193.9</v>
      </c>
      <c r="L38" s="80">
        <f t="shared" si="28"/>
        <v>203.4</v>
      </c>
      <c r="M38" s="80">
        <f t="shared" si="28"/>
        <v>100.9</v>
      </c>
      <c r="N38" s="80">
        <f t="shared" si="28"/>
        <v>252.6</v>
      </c>
      <c r="O38" s="80">
        <f t="shared" si="28"/>
        <v>237</v>
      </c>
      <c r="P38" s="80">
        <f>'Growth Drivers'!G44</f>
        <v>211.32542849077399</v>
      </c>
      <c r="Q38" s="80">
        <f>'Growth Drivers'!E44</f>
        <v>200.23084349500834</v>
      </c>
      <c r="R38" s="80">
        <f>Q38*102%</f>
        <v>204.2354603649085</v>
      </c>
      <c r="S38" s="80">
        <f t="shared" ref="S38:Y38" si="29">R38*102%</f>
        <v>208.32016957220668</v>
      </c>
      <c r="T38" s="80">
        <f t="shared" si="29"/>
        <v>212.48657296365081</v>
      </c>
      <c r="U38" s="80">
        <f t="shared" si="29"/>
        <v>216.73630442292384</v>
      </c>
      <c r="V38" s="80">
        <f t="shared" si="29"/>
        <v>221.0710305113823</v>
      </c>
      <c r="W38" s="80">
        <f t="shared" si="29"/>
        <v>225.49245112160995</v>
      </c>
      <c r="X38" s="80">
        <f t="shared" si="29"/>
        <v>230.00230014404215</v>
      </c>
      <c r="Y38" s="80">
        <f t="shared" si="29"/>
        <v>234.602346146923</v>
      </c>
    </row>
    <row r="39" spans="1:37" ht="12.75" customHeight="1" x14ac:dyDescent="0.25">
      <c r="A39" s="1"/>
      <c r="B39" s="1"/>
      <c r="C39" s="1"/>
      <c r="D39" s="1"/>
      <c r="E39" s="1" t="s">
        <v>356</v>
      </c>
      <c r="F39" s="33" t="s">
        <v>28</v>
      </c>
      <c r="G39" s="33"/>
      <c r="H39" s="80">
        <f t="shared" ref="H39:O39" si="30">H242</f>
        <v>25.172000000000001</v>
      </c>
      <c r="I39" s="80">
        <f t="shared" si="30"/>
        <v>28.686</v>
      </c>
      <c r="J39" s="80">
        <f t="shared" si="30"/>
        <v>29.2</v>
      </c>
      <c r="K39" s="80">
        <f t="shared" si="30"/>
        <v>25.099999999999998</v>
      </c>
      <c r="L39" s="80">
        <f t="shared" si="30"/>
        <v>38.400000000000006</v>
      </c>
      <c r="M39" s="80">
        <f t="shared" si="30"/>
        <v>27.5</v>
      </c>
      <c r="N39" s="80">
        <f t="shared" si="30"/>
        <v>39.300000000000004</v>
      </c>
      <c r="O39" s="80">
        <f t="shared" si="30"/>
        <v>35</v>
      </c>
      <c r="P39" s="80">
        <f>'Growth Drivers'!G45+'Growth Drivers'!G46</f>
        <v>35.663654955266303</v>
      </c>
      <c r="Q39" s="80">
        <f>'Growth Drivers'!E45+'Growth Drivers'!E46</f>
        <v>36.376928054371625</v>
      </c>
      <c r="R39" s="80">
        <f t="shared" ref="R39:R42" si="31">Q39*102%</f>
        <v>37.10446661545906</v>
      </c>
      <c r="S39" s="80">
        <f t="shared" ref="S39:Y39" si="32">R39*102%</f>
        <v>37.846555947768245</v>
      </c>
      <c r="T39" s="80">
        <f t="shared" si="32"/>
        <v>38.603487066723609</v>
      </c>
      <c r="U39" s="80">
        <f t="shared" si="32"/>
        <v>39.375556808058079</v>
      </c>
      <c r="V39" s="80">
        <f t="shared" si="32"/>
        <v>40.163067944219243</v>
      </c>
      <c r="W39" s="80">
        <f t="shared" si="32"/>
        <v>40.966329303103628</v>
      </c>
      <c r="X39" s="80">
        <f t="shared" si="32"/>
        <v>41.785655889165703</v>
      </c>
      <c r="Y39" s="80">
        <f t="shared" si="32"/>
        <v>42.621369006949017</v>
      </c>
    </row>
    <row r="40" spans="1:37" ht="12.75" customHeight="1" x14ac:dyDescent="0.25">
      <c r="A40" s="1"/>
      <c r="B40" s="1"/>
      <c r="C40" s="1"/>
      <c r="D40" s="1"/>
      <c r="E40" s="1" t="s">
        <v>266</v>
      </c>
      <c r="F40" s="33" t="s">
        <v>28</v>
      </c>
      <c r="G40" s="33"/>
      <c r="H40" s="80">
        <f t="shared" ref="H40:O40" si="33">H315</f>
        <v>21.173566809462567</v>
      </c>
      <c r="I40" s="80">
        <f t="shared" si="33"/>
        <v>24.421241832454477</v>
      </c>
      <c r="J40" s="80">
        <f t="shared" si="33"/>
        <v>22.247635582747442</v>
      </c>
      <c r="K40" s="80">
        <f t="shared" si="33"/>
        <v>11.783038290293858</v>
      </c>
      <c r="L40" s="80">
        <f t="shared" si="33"/>
        <v>44.421410354223433</v>
      </c>
      <c r="M40" s="80">
        <f t="shared" si="33"/>
        <v>21.909598603839438</v>
      </c>
      <c r="N40" s="80">
        <f t="shared" si="33"/>
        <v>38.131460493366745</v>
      </c>
      <c r="O40" s="80">
        <f t="shared" si="33"/>
        <v>40.21806882878203</v>
      </c>
      <c r="P40" s="80">
        <f>'Growth Drivers'!G48/0.92</f>
        <v>34.186382287301697</v>
      </c>
      <c r="Q40" s="80">
        <f>'Growth Drivers'!E48/0.92</f>
        <v>32.647995084373122</v>
      </c>
      <c r="R40" s="80">
        <f t="shared" si="31"/>
        <v>33.300954986060582</v>
      </c>
      <c r="S40" s="80">
        <f t="shared" ref="S40:Y40" si="34">R40*102%</f>
        <v>33.966974085781793</v>
      </c>
      <c r="T40" s="80">
        <f t="shared" si="34"/>
        <v>34.64631356749743</v>
      </c>
      <c r="U40" s="80">
        <f t="shared" si="34"/>
        <v>35.339239838847377</v>
      </c>
      <c r="V40" s="80">
        <f t="shared" si="34"/>
        <v>36.046024635624327</v>
      </c>
      <c r="W40" s="80">
        <f t="shared" si="34"/>
        <v>36.766945128336815</v>
      </c>
      <c r="X40" s="80">
        <f t="shared" si="34"/>
        <v>37.502284030903553</v>
      </c>
      <c r="Y40" s="80">
        <f t="shared" si="34"/>
        <v>38.252329711521625</v>
      </c>
    </row>
    <row r="41" spans="1:37" ht="12.75" customHeight="1" x14ac:dyDescent="0.25">
      <c r="A41" s="1"/>
      <c r="B41" s="1"/>
      <c r="C41" s="1"/>
      <c r="D41" s="1"/>
      <c r="E41" s="1" t="s">
        <v>688</v>
      </c>
      <c r="F41" s="33" t="s">
        <v>28</v>
      </c>
      <c r="G41" s="33"/>
      <c r="H41" s="80">
        <f t="shared" ref="H41:O41" si="35">H369</f>
        <v>0</v>
      </c>
      <c r="I41" s="80">
        <f t="shared" si="35"/>
        <v>0</v>
      </c>
      <c r="J41" s="80">
        <f t="shared" si="35"/>
        <v>0</v>
      </c>
      <c r="K41" s="80">
        <f t="shared" si="35"/>
        <v>2.2000000000000002</v>
      </c>
      <c r="L41" s="80">
        <f t="shared" si="35"/>
        <v>9.1</v>
      </c>
      <c r="M41" s="80">
        <f t="shared" si="35"/>
        <v>12.9</v>
      </c>
      <c r="N41" s="80">
        <f t="shared" si="35"/>
        <v>10.7</v>
      </c>
      <c r="O41" s="80">
        <f t="shared" si="35"/>
        <v>3.6</v>
      </c>
      <c r="P41" s="577">
        <f>'Growth Drivers'!G51</f>
        <v>7.4407453847010556</v>
      </c>
      <c r="Q41" s="577">
        <f>'Growth Drivers'!E51</f>
        <v>7.5895602923950767</v>
      </c>
      <c r="R41" s="80">
        <f t="shared" si="31"/>
        <v>7.7413514982429783</v>
      </c>
      <c r="S41" s="80">
        <f t="shared" ref="S41:Y41" si="36">R41*102%</f>
        <v>7.8961785282078383</v>
      </c>
      <c r="T41" s="80">
        <f t="shared" si="36"/>
        <v>8.0541020987719953</v>
      </c>
      <c r="U41" s="80">
        <f t="shared" si="36"/>
        <v>8.2151841407474357</v>
      </c>
      <c r="V41" s="80">
        <f t="shared" si="36"/>
        <v>8.3794878235623838</v>
      </c>
      <c r="W41" s="80">
        <f t="shared" si="36"/>
        <v>8.5470775800336316</v>
      </c>
      <c r="X41" s="80">
        <f t="shared" si="36"/>
        <v>8.7180191316343052</v>
      </c>
      <c r="Y41" s="80">
        <f t="shared" si="36"/>
        <v>8.8923795142669917</v>
      </c>
    </row>
    <row r="42" spans="1:37" ht="12.75" customHeight="1" x14ac:dyDescent="0.25">
      <c r="A42" s="1"/>
      <c r="B42" s="1"/>
      <c r="C42" s="1"/>
      <c r="D42" s="1"/>
      <c r="E42" s="1" t="s">
        <v>833</v>
      </c>
      <c r="F42" s="33" t="s">
        <v>28</v>
      </c>
      <c r="G42" s="33"/>
      <c r="H42" s="80">
        <f t="shared" ref="H42:O42" si="37">H375-H369</f>
        <v>-17.895000000000003</v>
      </c>
      <c r="I42" s="80">
        <f t="shared" si="37"/>
        <v>-2.4699999999999989</v>
      </c>
      <c r="J42" s="80">
        <f t="shared" si="37"/>
        <v>-35.994</v>
      </c>
      <c r="K42" s="80">
        <f t="shared" si="37"/>
        <v>-25</v>
      </c>
      <c r="L42" s="80">
        <f t="shared" si="37"/>
        <v>-34.40000000000002</v>
      </c>
      <c r="M42" s="80">
        <f t="shared" si="37"/>
        <v>-11.1</v>
      </c>
      <c r="N42" s="80">
        <f t="shared" si="37"/>
        <v>-10.7</v>
      </c>
      <c r="O42" s="80">
        <f t="shared" si="37"/>
        <v>-29.090999999999951</v>
      </c>
      <c r="P42" s="80">
        <f>'Growth Drivers'!G47+'Growth Drivers'!G50+'Growth Drivers'!G52+'Growth Drivers'!G53</f>
        <v>-36.043687773942224</v>
      </c>
      <c r="Q42" s="80">
        <f>'Growth Drivers'!E47+'Growth Drivers'!E50+'Growth Drivers'!E52+'Growth Drivers'!E53</f>
        <v>-11.774561529421071</v>
      </c>
      <c r="R42" s="80">
        <f t="shared" si="31"/>
        <v>-12.010052760009492</v>
      </c>
      <c r="S42" s="80">
        <f t="shared" ref="S42:Y42" si="38">R42*102%</f>
        <v>-12.250253815209682</v>
      </c>
      <c r="T42" s="80">
        <f t="shared" si="38"/>
        <v>-12.495258891513876</v>
      </c>
      <c r="U42" s="80">
        <f t="shared" si="38"/>
        <v>-12.745164069344154</v>
      </c>
      <c r="V42" s="80">
        <f t="shared" si="38"/>
        <v>-13.000067350731038</v>
      </c>
      <c r="W42" s="80">
        <f t="shared" si="38"/>
        <v>-13.260068697745659</v>
      </c>
      <c r="X42" s="80">
        <f t="shared" si="38"/>
        <v>-13.525270071700572</v>
      </c>
      <c r="Y42" s="80">
        <f t="shared" si="38"/>
        <v>-13.795775473134583</v>
      </c>
    </row>
    <row r="43" spans="1:37" ht="12.75" customHeight="1" x14ac:dyDescent="0.25">
      <c r="A43" s="2"/>
      <c r="B43" s="2"/>
      <c r="C43" s="2"/>
      <c r="D43" s="2"/>
      <c r="E43" s="2" t="s">
        <v>615</v>
      </c>
      <c r="F43" s="193" t="s">
        <v>28</v>
      </c>
      <c r="G43" s="193"/>
      <c r="H43" s="268">
        <f t="shared" ref="H43:Y43" si="39">SUM(H38:H42)</f>
        <v>279.75056680946261</v>
      </c>
      <c r="I43" s="268">
        <f t="shared" si="39"/>
        <v>311.33724183245442</v>
      </c>
      <c r="J43" s="268">
        <f t="shared" si="39"/>
        <v>283.35363558274742</v>
      </c>
      <c r="K43" s="268">
        <f t="shared" si="39"/>
        <v>207.98303829029385</v>
      </c>
      <c r="L43" s="268">
        <f t="shared" si="39"/>
        <v>260.92141035422344</v>
      </c>
      <c r="M43" s="268">
        <f t="shared" si="39"/>
        <v>152.10959860383946</v>
      </c>
      <c r="N43" s="268">
        <f t="shared" si="39"/>
        <v>330.03146049336669</v>
      </c>
      <c r="O43" s="268">
        <f t="shared" si="39"/>
        <v>286.72706882878208</v>
      </c>
      <c r="P43" s="268">
        <f>SUM(P38:P42)</f>
        <v>252.57252334410083</v>
      </c>
      <c r="Q43" s="268">
        <f t="shared" si="39"/>
        <v>265.07076539672704</v>
      </c>
      <c r="R43" s="268">
        <f t="shared" si="39"/>
        <v>270.37218070466162</v>
      </c>
      <c r="S43" s="268">
        <f t="shared" si="39"/>
        <v>275.77962431875483</v>
      </c>
      <c r="T43" s="268">
        <f t="shared" si="39"/>
        <v>281.29521680513</v>
      </c>
      <c r="U43" s="268">
        <f t="shared" si="39"/>
        <v>286.92112114123262</v>
      </c>
      <c r="V43" s="268">
        <f t="shared" si="39"/>
        <v>292.65954356405723</v>
      </c>
      <c r="W43" s="268">
        <f t="shared" si="39"/>
        <v>298.51273443533836</v>
      </c>
      <c r="X43" s="268">
        <f t="shared" si="39"/>
        <v>304.48298912404522</v>
      </c>
      <c r="Y43" s="268">
        <f t="shared" si="39"/>
        <v>310.57264890652601</v>
      </c>
      <c r="Z43" s="194"/>
      <c r="AA43" s="194"/>
      <c r="AB43" s="194"/>
      <c r="AC43" s="194"/>
      <c r="AD43" s="194"/>
      <c r="AE43" s="194"/>
      <c r="AF43" s="194"/>
      <c r="AG43" s="194"/>
      <c r="AH43" s="194"/>
      <c r="AI43" s="194"/>
      <c r="AJ43" s="194"/>
      <c r="AK43" s="194"/>
    </row>
    <row r="44" spans="1:37" s="574" customFormat="1" ht="12.75" customHeight="1" x14ac:dyDescent="0.25">
      <c r="A44" s="2"/>
      <c r="B44" s="2"/>
      <c r="C44" s="2"/>
      <c r="D44" s="2"/>
      <c r="E44" s="2"/>
      <c r="F44" s="193"/>
      <c r="G44" s="193"/>
      <c r="H44" s="580"/>
      <c r="I44" s="580"/>
      <c r="J44" s="580"/>
      <c r="K44" s="580"/>
      <c r="L44" s="580"/>
      <c r="M44" s="580"/>
      <c r="N44" s="580"/>
      <c r="O44" s="580"/>
      <c r="P44" s="580"/>
      <c r="Q44" s="580"/>
      <c r="R44" s="580"/>
      <c r="S44" s="580"/>
      <c r="T44" s="580"/>
      <c r="U44" s="580"/>
      <c r="V44" s="580"/>
      <c r="W44" s="580"/>
      <c r="X44" s="580"/>
      <c r="Y44" s="580"/>
      <c r="Z44" s="194"/>
      <c r="AA44" s="194"/>
      <c r="AB44" s="194"/>
      <c r="AC44" s="194"/>
      <c r="AD44" s="194"/>
      <c r="AE44" s="194"/>
      <c r="AF44" s="194"/>
      <c r="AG44" s="194"/>
      <c r="AH44" s="194"/>
      <c r="AI44" s="194"/>
      <c r="AJ44" s="194"/>
      <c r="AK44" s="194"/>
    </row>
    <row r="45" spans="1:37" s="574" customFormat="1" ht="12.75" customHeight="1" x14ac:dyDescent="0.25">
      <c r="A45" s="2"/>
      <c r="B45" s="2"/>
      <c r="C45" s="2"/>
      <c r="D45" s="2"/>
      <c r="E45" s="2" t="s">
        <v>625</v>
      </c>
      <c r="F45" s="193" t="s">
        <v>8</v>
      </c>
      <c r="G45" s="193"/>
      <c r="H45" s="580"/>
      <c r="I45" s="581">
        <f>I43/H43-1</f>
        <v>0.11291013771030323</v>
      </c>
      <c r="J45" s="581">
        <f t="shared" ref="J45:Y45" si="40">J43/I43-1</f>
        <v>-8.9881975201560826E-2</v>
      </c>
      <c r="K45" s="581">
        <f t="shared" si="40"/>
        <v>-0.26599481293912386</v>
      </c>
      <c r="L45" s="581">
        <f t="shared" si="40"/>
        <v>0.25453216040646764</v>
      </c>
      <c r="M45" s="581">
        <f t="shared" si="40"/>
        <v>-0.41702906481558</v>
      </c>
      <c r="N45" s="581">
        <f t="shared" si="40"/>
        <v>1.1696951640304718</v>
      </c>
      <c r="O45" s="581">
        <f t="shared" si="40"/>
        <v>-0.13121292012539809</v>
      </c>
      <c r="P45" s="581">
        <f t="shared" si="40"/>
        <v>-0.11911866439466345</v>
      </c>
      <c r="Q45" s="581">
        <f t="shared" si="40"/>
        <v>4.9483775539585606E-2</v>
      </c>
      <c r="R45" s="581">
        <f t="shared" si="40"/>
        <v>2.000000000000024E-2</v>
      </c>
      <c r="S45" s="581">
        <f t="shared" si="40"/>
        <v>2.0000000000000018E-2</v>
      </c>
      <c r="T45" s="581">
        <f t="shared" si="40"/>
        <v>2.000000000000024E-2</v>
      </c>
      <c r="U45" s="581">
        <f t="shared" si="40"/>
        <v>2.0000000000000018E-2</v>
      </c>
      <c r="V45" s="581">
        <f t="shared" si="40"/>
        <v>1.9999999999999796E-2</v>
      </c>
      <c r="W45" s="581">
        <f t="shared" si="40"/>
        <v>2.0000000000000018E-2</v>
      </c>
      <c r="X45" s="581">
        <f t="shared" si="40"/>
        <v>2.000000000000024E-2</v>
      </c>
      <c r="Y45" s="581">
        <f t="shared" si="40"/>
        <v>1.9999999999999574E-2</v>
      </c>
      <c r="Z45" s="194"/>
      <c r="AA45" s="194"/>
      <c r="AB45" s="194"/>
      <c r="AC45" s="194"/>
      <c r="AD45" s="194"/>
      <c r="AE45" s="194"/>
      <c r="AF45" s="194"/>
      <c r="AG45" s="194"/>
      <c r="AH45" s="194"/>
      <c r="AI45" s="194"/>
      <c r="AJ45" s="194"/>
      <c r="AK45" s="194"/>
    </row>
    <row r="46" spans="1:37" ht="12.75" customHeight="1" x14ac:dyDescent="0.25">
      <c r="A46" s="1"/>
      <c r="B46" s="1"/>
      <c r="C46" s="1"/>
      <c r="D46" s="1"/>
      <c r="E46" s="1"/>
      <c r="F46" s="33"/>
      <c r="G46" s="33"/>
      <c r="H46" s="39"/>
      <c r="I46" s="579"/>
      <c r="J46" s="579"/>
      <c r="K46" s="579"/>
      <c r="L46" s="579"/>
      <c r="M46" s="579"/>
      <c r="N46" s="579"/>
      <c r="O46" s="579"/>
      <c r="P46" s="579"/>
      <c r="Q46" s="579"/>
      <c r="R46" s="578"/>
      <c r="S46" s="39"/>
      <c r="T46" s="39"/>
      <c r="U46" s="39"/>
      <c r="V46" s="39"/>
      <c r="W46" s="39"/>
      <c r="X46" s="39"/>
      <c r="Y46" s="39"/>
      <c r="Z46" s="373"/>
    </row>
    <row r="47" spans="1:37" ht="12.75" customHeight="1" x14ac:dyDescent="0.25">
      <c r="A47" s="2"/>
      <c r="B47" s="2"/>
      <c r="C47" s="2"/>
      <c r="D47" s="2"/>
      <c r="E47" s="42" t="s">
        <v>153</v>
      </c>
      <c r="F47" s="193"/>
      <c r="G47" s="68"/>
      <c r="H47" s="182"/>
      <c r="I47" s="182"/>
      <c r="J47" s="182"/>
      <c r="K47" s="182"/>
      <c r="L47" s="182"/>
      <c r="M47" s="182"/>
      <c r="N47" s="182"/>
      <c r="O47" s="182"/>
      <c r="P47" s="182"/>
      <c r="Q47" s="182"/>
      <c r="R47" s="182"/>
      <c r="S47" s="182"/>
      <c r="T47" s="182"/>
      <c r="U47" s="182"/>
      <c r="V47" s="182"/>
      <c r="W47" s="182"/>
      <c r="X47" s="182"/>
      <c r="Y47" s="182"/>
      <c r="Z47" s="269"/>
      <c r="AA47" s="194"/>
      <c r="AB47" s="194"/>
      <c r="AC47" s="194"/>
      <c r="AD47" s="194"/>
      <c r="AE47" s="194"/>
      <c r="AF47" s="194"/>
      <c r="AG47" s="194"/>
      <c r="AH47" s="194"/>
      <c r="AI47" s="194"/>
      <c r="AJ47" s="194"/>
      <c r="AK47" s="194"/>
    </row>
    <row r="48" spans="1:37" ht="12.75" customHeight="1" x14ac:dyDescent="0.25">
      <c r="A48" s="2"/>
      <c r="B48" s="2"/>
      <c r="C48" s="2"/>
      <c r="D48" s="2"/>
      <c r="E48" s="1" t="s">
        <v>355</v>
      </c>
      <c r="F48" s="33" t="s">
        <v>8</v>
      </c>
      <c r="G48" s="68"/>
      <c r="H48" s="222">
        <f t="shared" ref="H48:Y48" si="41">H38/H18</f>
        <v>0.48829870745602788</v>
      </c>
      <c r="I48" s="222">
        <f t="shared" si="41"/>
        <v>0.49093548915591856</v>
      </c>
      <c r="J48" s="222">
        <f t="shared" si="41"/>
        <v>0.48682536798110121</v>
      </c>
      <c r="K48" s="222">
        <f t="shared" si="41"/>
        <v>0.43002883122643598</v>
      </c>
      <c r="L48" s="222">
        <f t="shared" si="41"/>
        <v>0.46579050419417556</v>
      </c>
      <c r="M48" s="222">
        <f t="shared" si="41"/>
        <v>0.33995956873315369</v>
      </c>
      <c r="N48" s="222">
        <f t="shared" si="41"/>
        <v>0.49422813539424765</v>
      </c>
      <c r="O48" s="222">
        <f t="shared" si="41"/>
        <v>0.43145821955215735</v>
      </c>
      <c r="P48" s="222">
        <f t="shared" si="41"/>
        <v>0.38831239759694158</v>
      </c>
      <c r="Q48" s="222">
        <f t="shared" si="41"/>
        <v>0.38831239759694158</v>
      </c>
      <c r="R48" s="222">
        <f t="shared" si="41"/>
        <v>0.38831239759694153</v>
      </c>
      <c r="S48" s="222">
        <f t="shared" si="41"/>
        <v>0.38831239759694158</v>
      </c>
      <c r="T48" s="222">
        <f t="shared" si="41"/>
        <v>0.38831239759694158</v>
      </c>
      <c r="U48" s="222">
        <f t="shared" si="41"/>
        <v>0.38831239759694164</v>
      </c>
      <c r="V48" s="222">
        <f t="shared" si="41"/>
        <v>0.38831239759694164</v>
      </c>
      <c r="W48" s="222">
        <f t="shared" si="41"/>
        <v>0.38831239759694164</v>
      </c>
      <c r="X48" s="222">
        <f t="shared" si="41"/>
        <v>0.38831239759694169</v>
      </c>
      <c r="Y48" s="474">
        <f t="shared" si="41"/>
        <v>0.38831239759694164</v>
      </c>
      <c r="Z48" s="194"/>
      <c r="AA48" s="194"/>
      <c r="AB48" s="194"/>
      <c r="AC48" s="194"/>
      <c r="AD48" s="194"/>
      <c r="AE48" s="194"/>
      <c r="AF48" s="194"/>
      <c r="AG48" s="194"/>
      <c r="AH48" s="194"/>
      <c r="AI48" s="194"/>
      <c r="AJ48" s="194"/>
      <c r="AK48" s="194"/>
    </row>
    <row r="49" spans="1:37" ht="12.75" customHeight="1" x14ac:dyDescent="0.25">
      <c r="A49" s="2"/>
      <c r="B49" s="2"/>
      <c r="C49" s="2"/>
      <c r="D49" s="2"/>
      <c r="E49" s="1" t="s">
        <v>356</v>
      </c>
      <c r="F49" s="33" t="s">
        <v>8</v>
      </c>
      <c r="G49" s="68"/>
      <c r="H49" s="222">
        <f t="shared" ref="H49:Y49" si="42">H39/H19</f>
        <v>0.39892234548335975</v>
      </c>
      <c r="I49" s="222">
        <f t="shared" si="42"/>
        <v>0.4389728836383669</v>
      </c>
      <c r="J49" s="222">
        <f t="shared" si="42"/>
        <v>0.43975903614457829</v>
      </c>
      <c r="K49" s="222">
        <f t="shared" si="42"/>
        <v>0.40353697749196138</v>
      </c>
      <c r="L49" s="222">
        <f t="shared" si="42"/>
        <v>0.5005931507385053</v>
      </c>
      <c r="M49" s="222">
        <f t="shared" si="42"/>
        <v>0.46629927935565912</v>
      </c>
      <c r="N49" s="222">
        <f t="shared" si="42"/>
        <v>0.50900142468592158</v>
      </c>
      <c r="O49" s="222">
        <f t="shared" si="42"/>
        <v>0.45454545454545453</v>
      </c>
      <c r="P49" s="222">
        <f t="shared" si="42"/>
        <v>0.42372915757365137</v>
      </c>
      <c r="Q49" s="222">
        <f t="shared" si="42"/>
        <v>0.42372915757365143</v>
      </c>
      <c r="R49" s="222">
        <f t="shared" si="42"/>
        <v>0.42372915757365143</v>
      </c>
      <c r="S49" s="222">
        <f t="shared" si="42"/>
        <v>0.42372915757365148</v>
      </c>
      <c r="T49" s="222">
        <f t="shared" si="42"/>
        <v>0.42372915757365143</v>
      </c>
      <c r="U49" s="222">
        <f t="shared" si="42"/>
        <v>0.42372915757365143</v>
      </c>
      <c r="V49" s="222">
        <f t="shared" si="42"/>
        <v>0.42372915757365143</v>
      </c>
      <c r="W49" s="222">
        <f t="shared" si="42"/>
        <v>0.42372915757365143</v>
      </c>
      <c r="X49" s="222">
        <f t="shared" si="42"/>
        <v>0.42372915757365137</v>
      </c>
      <c r="Y49" s="474">
        <f t="shared" si="42"/>
        <v>0.42372915757365137</v>
      </c>
      <c r="Z49" s="194"/>
      <c r="AA49" s="194"/>
      <c r="AB49" s="194"/>
      <c r="AC49" s="194"/>
      <c r="AD49" s="194"/>
      <c r="AE49" s="194"/>
      <c r="AF49" s="194"/>
      <c r="AG49" s="194"/>
      <c r="AH49" s="194"/>
      <c r="AI49" s="194"/>
      <c r="AJ49" s="194"/>
      <c r="AK49" s="194"/>
    </row>
    <row r="50" spans="1:37" ht="12.75" customHeight="1" x14ac:dyDescent="0.25">
      <c r="A50" s="2"/>
      <c r="B50" s="2"/>
      <c r="C50" s="2"/>
      <c r="D50" s="2"/>
      <c r="E50" s="1" t="s">
        <v>266</v>
      </c>
      <c r="F50" s="33" t="s">
        <v>8</v>
      </c>
      <c r="G50" s="68"/>
      <c r="H50" s="222">
        <f t="shared" ref="H50:Y50" si="43">H40/H20</f>
        <v>0.14619529573213497</v>
      </c>
      <c r="I50" s="222">
        <f t="shared" si="43"/>
        <v>0.16346650400582666</v>
      </c>
      <c r="J50" s="222">
        <f t="shared" si="43"/>
        <v>0.15248341751824818</v>
      </c>
      <c r="K50" s="222">
        <f t="shared" si="43"/>
        <v>9.9732858414959949E-2</v>
      </c>
      <c r="L50" s="222">
        <f t="shared" si="43"/>
        <v>0.22561307901907357</v>
      </c>
      <c r="M50" s="222">
        <f t="shared" si="43"/>
        <v>0.11925538103548573</v>
      </c>
      <c r="N50" s="222">
        <f t="shared" si="43"/>
        <v>0.15784914659317523</v>
      </c>
      <c r="O50" s="222">
        <f t="shared" si="43"/>
        <v>0.16648687881633004</v>
      </c>
      <c r="P50" s="222">
        <f t="shared" si="43"/>
        <v>0.14986313868613141</v>
      </c>
      <c r="Q50" s="222">
        <f t="shared" si="43"/>
        <v>0.14986313868613141</v>
      </c>
      <c r="R50" s="222">
        <f t="shared" si="43"/>
        <v>0.14986313868613138</v>
      </c>
      <c r="S50" s="222">
        <f t="shared" si="43"/>
        <v>0.14986313868613138</v>
      </c>
      <c r="T50" s="222">
        <f t="shared" si="43"/>
        <v>0.14986313868613141</v>
      </c>
      <c r="U50" s="222">
        <f t="shared" si="43"/>
        <v>0.14986313868613138</v>
      </c>
      <c r="V50" s="222">
        <f t="shared" si="43"/>
        <v>0.14986313868613138</v>
      </c>
      <c r="W50" s="222">
        <f t="shared" si="43"/>
        <v>0.14986313868613138</v>
      </c>
      <c r="X50" s="222">
        <f t="shared" si="43"/>
        <v>0.14986313868613141</v>
      </c>
      <c r="Y50" s="474">
        <f t="shared" si="43"/>
        <v>0.14986313868613141</v>
      </c>
      <c r="Z50" s="194"/>
      <c r="AA50" s="194"/>
      <c r="AB50" s="194"/>
      <c r="AC50" s="194"/>
      <c r="AD50" s="194"/>
      <c r="AE50" s="194"/>
      <c r="AF50" s="194"/>
      <c r="AG50" s="194"/>
      <c r="AH50" s="194"/>
      <c r="AI50" s="194"/>
      <c r="AJ50" s="194"/>
      <c r="AK50" s="194"/>
    </row>
    <row r="51" spans="1:37" ht="12.75" customHeight="1" x14ac:dyDescent="0.25">
      <c r="A51" s="2"/>
      <c r="B51" s="2"/>
      <c r="C51" s="2"/>
      <c r="D51" s="2"/>
      <c r="E51" s="1" t="s">
        <v>268</v>
      </c>
      <c r="F51" s="33" t="s">
        <v>8</v>
      </c>
      <c r="G51" s="68"/>
      <c r="H51" s="222"/>
      <c r="I51" s="222"/>
      <c r="J51" s="222"/>
      <c r="K51" s="222">
        <f t="shared" ref="K51:Y51" si="44">K41/K21</f>
        <v>0.48888888888888893</v>
      </c>
      <c r="L51" s="222">
        <f t="shared" si="44"/>
        <v>0.69465648854961837</v>
      </c>
      <c r="M51" s="222">
        <f t="shared" si="44"/>
        <v>0.76205103969754251</v>
      </c>
      <c r="N51" s="222">
        <f t="shared" si="44"/>
        <v>0.69480519480519476</v>
      </c>
      <c r="O51" s="222">
        <f t="shared" si="44"/>
        <v>0.38709677419354838</v>
      </c>
      <c r="P51" s="222">
        <f t="shared" si="44"/>
        <v>0.38709677419354838</v>
      </c>
      <c r="Q51" s="222">
        <f t="shared" si="44"/>
        <v>0.38709677419354838</v>
      </c>
      <c r="R51" s="222">
        <f t="shared" si="44"/>
        <v>0.38709677419354838</v>
      </c>
      <c r="S51" s="222">
        <f t="shared" si="44"/>
        <v>0.38709677419354832</v>
      </c>
      <c r="T51" s="222">
        <f t="shared" si="44"/>
        <v>0.38709677419354838</v>
      </c>
      <c r="U51" s="222">
        <f t="shared" si="44"/>
        <v>0.38709677419354838</v>
      </c>
      <c r="V51" s="222">
        <f t="shared" si="44"/>
        <v>0.38709677419354832</v>
      </c>
      <c r="W51" s="222">
        <f t="shared" si="44"/>
        <v>0.38709677419354827</v>
      </c>
      <c r="X51" s="222">
        <f t="shared" si="44"/>
        <v>0.38709677419354827</v>
      </c>
      <c r="Y51" s="474">
        <f t="shared" si="44"/>
        <v>0.38709677419354832</v>
      </c>
      <c r="Z51" s="194"/>
      <c r="AA51" s="194"/>
      <c r="AB51" s="194"/>
      <c r="AC51" s="194"/>
      <c r="AD51" s="194"/>
      <c r="AE51" s="194"/>
      <c r="AF51" s="194"/>
      <c r="AG51" s="194"/>
      <c r="AH51" s="194"/>
      <c r="AI51" s="194"/>
      <c r="AJ51" s="194"/>
      <c r="AK51" s="194"/>
    </row>
    <row r="52" spans="1:37" ht="12.75" customHeight="1" x14ac:dyDescent="0.25">
      <c r="A52" s="2"/>
      <c r="B52" s="2"/>
      <c r="C52" s="2"/>
      <c r="D52" s="2"/>
      <c r="E52" s="1" t="s">
        <v>322</v>
      </c>
      <c r="F52" s="33" t="s">
        <v>8</v>
      </c>
      <c r="G52" s="68"/>
      <c r="H52" s="222">
        <f t="shared" ref="H52:Y52" si="45">H42/H22</f>
        <v>-0.18871605589243345</v>
      </c>
      <c r="I52" s="222">
        <f t="shared" si="45"/>
        <v>-1.7767611155470188E-2</v>
      </c>
      <c r="J52" s="222">
        <f t="shared" si="45"/>
        <v>-0.29355059698571151</v>
      </c>
      <c r="K52" s="222">
        <f t="shared" si="45"/>
        <v>-0.13460327032105576</v>
      </c>
      <c r="L52" s="222">
        <f t="shared" si="45"/>
        <v>-0.51963746223564899</v>
      </c>
      <c r="M52" s="222">
        <f t="shared" si="45"/>
        <v>-0.15441759525896245</v>
      </c>
      <c r="N52" s="222">
        <f t="shared" si="45"/>
        <v>-0.19962686567164156</v>
      </c>
      <c r="O52" s="222">
        <f t="shared" si="45"/>
        <v>-0.66455382904011073</v>
      </c>
      <c r="P52" s="222">
        <f t="shared" si="45"/>
        <v>-0.961165007305126</v>
      </c>
      <c r="Q52" s="222">
        <f t="shared" si="45"/>
        <v>-0.30783167397179267</v>
      </c>
      <c r="R52" s="222">
        <f t="shared" si="45"/>
        <v>-0.30783167397179267</v>
      </c>
      <c r="S52" s="222">
        <f t="shared" si="45"/>
        <v>-0.30783167397179267</v>
      </c>
      <c r="T52" s="222">
        <f t="shared" si="45"/>
        <v>-0.30783167397179267</v>
      </c>
      <c r="U52" s="222">
        <f t="shared" si="45"/>
        <v>-0.30783167397179262</v>
      </c>
      <c r="V52" s="222">
        <f t="shared" si="45"/>
        <v>-0.30783167397179267</v>
      </c>
      <c r="W52" s="222">
        <f t="shared" si="45"/>
        <v>-0.30783167397179262</v>
      </c>
      <c r="X52" s="222">
        <f t="shared" si="45"/>
        <v>-0.30783167397179262</v>
      </c>
      <c r="Y52" s="474">
        <f t="shared" si="45"/>
        <v>-0.30783167397179262</v>
      </c>
      <c r="Z52" s="194"/>
      <c r="AA52" s="194"/>
      <c r="AB52" s="194"/>
      <c r="AC52" s="194"/>
      <c r="AD52" s="194"/>
      <c r="AE52" s="194"/>
      <c r="AF52" s="194"/>
      <c r="AG52" s="194"/>
      <c r="AH52" s="194"/>
      <c r="AI52" s="194"/>
      <c r="AJ52" s="194"/>
      <c r="AK52" s="194"/>
    </row>
    <row r="53" spans="1:37" ht="12.75" customHeight="1" x14ac:dyDescent="0.25">
      <c r="A53" s="2"/>
      <c r="B53" s="2"/>
      <c r="C53" s="2"/>
      <c r="D53" s="2"/>
      <c r="E53" s="2" t="s">
        <v>366</v>
      </c>
      <c r="F53" s="33" t="s">
        <v>8</v>
      </c>
      <c r="G53" s="224"/>
      <c r="H53" s="222">
        <f t="shared" ref="H53:Y53" si="46">H43/H23</f>
        <v>0.34224451917060378</v>
      </c>
      <c r="I53" s="222">
        <f t="shared" si="46"/>
        <v>0.35187778522364049</v>
      </c>
      <c r="J53" s="222">
        <f t="shared" si="46"/>
        <v>0.32009475132989551</v>
      </c>
      <c r="K53" s="222">
        <f t="shared" si="46"/>
        <v>0.25318181554723246</v>
      </c>
      <c r="L53" s="222">
        <f t="shared" si="46"/>
        <v>0.33045678875832835</v>
      </c>
      <c r="M53" s="222">
        <f t="shared" si="46"/>
        <v>0.24209477325354117</v>
      </c>
      <c r="N53" s="222">
        <f t="shared" si="46"/>
        <v>0.36715893962743229</v>
      </c>
      <c r="O53" s="222">
        <f t="shared" si="46"/>
        <v>0.31134031567701415</v>
      </c>
      <c r="P53" s="222">
        <f t="shared" si="46"/>
        <v>0.27657344922167221</v>
      </c>
      <c r="Q53" s="222">
        <f t="shared" si="46"/>
        <v>0.30217769687692814</v>
      </c>
      <c r="R53" s="222">
        <f t="shared" si="46"/>
        <v>0.30217769687692819</v>
      </c>
      <c r="S53" s="222">
        <f t="shared" si="46"/>
        <v>0.30217769687692814</v>
      </c>
      <c r="T53" s="222">
        <f t="shared" si="46"/>
        <v>0.30217769687692819</v>
      </c>
      <c r="U53" s="222">
        <f t="shared" si="46"/>
        <v>0.30217769687692825</v>
      </c>
      <c r="V53" s="222">
        <f t="shared" si="46"/>
        <v>0.30217769687692819</v>
      </c>
      <c r="W53" s="222">
        <f t="shared" si="46"/>
        <v>0.30217769687692825</v>
      </c>
      <c r="X53" s="222">
        <f t="shared" si="46"/>
        <v>0.3021776968769283</v>
      </c>
      <c r="Y53" s="474">
        <f t="shared" si="46"/>
        <v>0.30217769687692819</v>
      </c>
      <c r="Z53" s="194"/>
      <c r="AA53" s="194"/>
      <c r="AB53" s="194"/>
      <c r="AC53" s="194"/>
      <c r="AD53" s="194"/>
      <c r="AE53" s="194"/>
      <c r="AF53" s="194"/>
      <c r="AG53" s="194"/>
      <c r="AH53" s="194"/>
      <c r="AI53" s="194"/>
      <c r="AJ53" s="194"/>
      <c r="AK53" s="194"/>
    </row>
    <row r="54" spans="1:37" ht="12.75" customHeight="1" x14ac:dyDescent="0.25">
      <c r="A54" s="2"/>
      <c r="B54" s="2"/>
      <c r="C54" s="2"/>
      <c r="D54" s="2"/>
      <c r="E54" s="2"/>
      <c r="F54" s="33"/>
      <c r="G54" s="224"/>
      <c r="H54" s="226"/>
      <c r="I54" s="226"/>
      <c r="J54" s="226"/>
      <c r="K54" s="226"/>
      <c r="L54" s="226"/>
      <c r="M54" s="226"/>
      <c r="N54" s="226"/>
      <c r="O54" s="226"/>
      <c r="P54" s="226"/>
      <c r="Q54" s="226"/>
      <c r="R54" s="226"/>
      <c r="S54" s="226"/>
      <c r="T54" s="226"/>
      <c r="U54" s="226"/>
      <c r="V54" s="226"/>
      <c r="W54" s="226"/>
      <c r="X54" s="226"/>
      <c r="Y54" s="226"/>
      <c r="Z54" s="194"/>
      <c r="AA54" s="194"/>
      <c r="AB54" s="194"/>
      <c r="AC54" s="194"/>
      <c r="AD54" s="194"/>
      <c r="AE54" s="194"/>
      <c r="AF54" s="194"/>
      <c r="AG54" s="194"/>
      <c r="AH54" s="194"/>
      <c r="AI54" s="194"/>
      <c r="AJ54" s="194"/>
      <c r="AK54" s="194"/>
    </row>
    <row r="55" spans="1:37" ht="9" customHeight="1" x14ac:dyDescent="0.25">
      <c r="A55" s="1"/>
      <c r="B55" s="1"/>
      <c r="C55" s="188" t="s">
        <v>616</v>
      </c>
      <c r="D55" s="189"/>
      <c r="E55" s="189"/>
      <c r="F55" s="190"/>
      <c r="G55" s="190"/>
      <c r="H55" s="191"/>
      <c r="I55" s="191"/>
      <c r="J55" s="191"/>
      <c r="K55" s="191"/>
      <c r="L55" s="191"/>
      <c r="M55" s="191"/>
      <c r="N55" s="191"/>
      <c r="O55" s="191"/>
      <c r="P55" s="191"/>
      <c r="Q55" s="191"/>
      <c r="R55" s="191"/>
      <c r="S55" s="191"/>
      <c r="T55" s="191"/>
      <c r="U55" s="191"/>
      <c r="V55" s="191"/>
      <c r="W55" s="191"/>
      <c r="X55" s="191"/>
      <c r="Y55" s="191"/>
      <c r="Z55" s="1"/>
      <c r="AA55" s="1"/>
      <c r="AB55" s="1"/>
      <c r="AC55" s="1"/>
      <c r="AD55" s="1"/>
      <c r="AE55" s="1"/>
      <c r="AF55" s="1"/>
      <c r="AG55" s="1"/>
      <c r="AH55" s="1"/>
      <c r="AI55" s="1"/>
      <c r="AJ55" s="1"/>
      <c r="AK55" s="1"/>
    </row>
    <row r="56" spans="1:37" ht="9" customHeight="1" x14ac:dyDescent="0.25">
      <c r="A56" s="1"/>
      <c r="B56" s="1"/>
      <c r="C56" s="2"/>
      <c r="D56" s="1"/>
      <c r="E56" s="1"/>
      <c r="F56" s="33"/>
      <c r="G56" s="33"/>
      <c r="H56" s="76"/>
      <c r="I56" s="76"/>
      <c r="J56" s="76"/>
      <c r="K56" s="76"/>
      <c r="L56" s="76"/>
      <c r="M56" s="76"/>
      <c r="N56" s="76"/>
      <c r="O56" s="76"/>
      <c r="P56" s="76"/>
      <c r="Q56" s="76"/>
      <c r="R56" s="76"/>
      <c r="S56" s="76"/>
      <c r="T56" s="76"/>
      <c r="U56" s="76"/>
      <c r="V56" s="76"/>
      <c r="W56" s="76"/>
      <c r="X56" s="76"/>
      <c r="Y56" s="76"/>
      <c r="Z56" s="1"/>
      <c r="AA56" s="1"/>
      <c r="AB56" s="1"/>
      <c r="AC56" s="1"/>
      <c r="AD56" s="1"/>
      <c r="AE56" s="1"/>
      <c r="AF56" s="1"/>
      <c r="AG56" s="1"/>
      <c r="AH56" s="1"/>
      <c r="AI56" s="1"/>
      <c r="AJ56" s="1"/>
      <c r="AK56" s="1"/>
    </row>
    <row r="57" spans="1:37" ht="12.75" customHeight="1" x14ac:dyDescent="0.25">
      <c r="A57" s="1"/>
      <c r="B57" s="1"/>
      <c r="C57" s="1"/>
      <c r="D57" s="1"/>
      <c r="E57" s="1" t="s">
        <v>355</v>
      </c>
      <c r="F57" s="33" t="s">
        <v>28</v>
      </c>
      <c r="G57" s="33"/>
      <c r="H57" s="80">
        <f t="shared" ref="H57:O57" si="47">H161</f>
        <v>200.483</v>
      </c>
      <c r="I57" s="80">
        <f t="shared" si="47"/>
        <v>210.315</v>
      </c>
      <c r="J57" s="80">
        <f t="shared" si="47"/>
        <v>220.48699999999997</v>
      </c>
      <c r="K57" s="80">
        <f t="shared" si="47"/>
        <v>147.827</v>
      </c>
      <c r="L57" s="80">
        <f t="shared" si="47"/>
        <v>157.886</v>
      </c>
      <c r="M57" s="80">
        <f t="shared" si="47"/>
        <v>58.45</v>
      </c>
      <c r="N57" s="80">
        <f t="shared" si="47"/>
        <v>214.57499999999999</v>
      </c>
      <c r="O57" s="80">
        <f t="shared" si="47"/>
        <v>196.3</v>
      </c>
      <c r="P57" s="80">
        <f>P38+P74</f>
        <v>161.40330349077399</v>
      </c>
      <c r="Q57" s="80">
        <f t="shared" ref="Q57:Y57" si="48">Q38+Q74</f>
        <v>150.30871849500835</v>
      </c>
      <c r="R57" s="80">
        <f t="shared" si="48"/>
        <v>154.31333536490851</v>
      </c>
      <c r="S57" s="80">
        <f t="shared" si="48"/>
        <v>158.39804457220669</v>
      </c>
      <c r="T57" s="80">
        <f t="shared" si="48"/>
        <v>162.56444796365082</v>
      </c>
      <c r="U57" s="80">
        <f t="shared" si="48"/>
        <v>166.81417942292384</v>
      </c>
      <c r="V57" s="80">
        <f t="shared" si="48"/>
        <v>171.14890551138231</v>
      </c>
      <c r="W57" s="80">
        <f t="shared" si="48"/>
        <v>175.57032612160995</v>
      </c>
      <c r="X57" s="80">
        <f t="shared" si="48"/>
        <v>180.08017514404216</v>
      </c>
      <c r="Y57" s="80">
        <f t="shared" si="48"/>
        <v>184.680221146923</v>
      </c>
    </row>
    <row r="58" spans="1:37" ht="12.75" customHeight="1" x14ac:dyDescent="0.25">
      <c r="A58" s="1"/>
      <c r="B58" s="1"/>
      <c r="C58" s="1"/>
      <c r="D58" s="1"/>
      <c r="E58" s="1" t="s">
        <v>356</v>
      </c>
      <c r="F58" s="33" t="s">
        <v>28</v>
      </c>
      <c r="G58" s="33"/>
      <c r="H58" s="80">
        <f t="shared" ref="H58:O58" si="49">H246</f>
        <v>19.481999999999999</v>
      </c>
      <c r="I58" s="80">
        <f t="shared" si="49"/>
        <v>23.285</v>
      </c>
      <c r="J58" s="80">
        <f t="shared" si="49"/>
        <v>23.799999999999997</v>
      </c>
      <c r="K58" s="80">
        <f t="shared" si="49"/>
        <v>19.299999999999997</v>
      </c>
      <c r="L58" s="80">
        <f t="shared" si="49"/>
        <v>33.000000000000007</v>
      </c>
      <c r="M58" s="80">
        <f t="shared" si="49"/>
        <v>21.8</v>
      </c>
      <c r="N58" s="80">
        <f t="shared" si="49"/>
        <v>34.000000000000007</v>
      </c>
      <c r="O58" s="80">
        <f t="shared" si="49"/>
        <v>29.6</v>
      </c>
      <c r="P58" s="80">
        <f>P39+P75</f>
        <v>30.152279955266302</v>
      </c>
      <c r="Q58" s="80">
        <f t="shared" ref="Q58:Y58" si="50">Q39+Q75</f>
        <v>30.887881179371625</v>
      </c>
      <c r="R58" s="80">
        <f t="shared" si="50"/>
        <v>31.60441388108406</v>
      </c>
      <c r="S58" s="80">
        <f t="shared" si="50"/>
        <v>32.33399662159637</v>
      </c>
      <c r="T58" s="80">
        <f t="shared" si="50"/>
        <v>33.126857824780252</v>
      </c>
      <c r="U58" s="80">
        <f t="shared" si="50"/>
        <v>33.889348910871803</v>
      </c>
      <c r="V58" s="80">
        <f t="shared" si="50"/>
        <v>34.703584059884676</v>
      </c>
      <c r="W58" s="80">
        <f t="shared" si="50"/>
        <v>35.486909933227246</v>
      </c>
      <c r="X58" s="80">
        <f t="shared" si="50"/>
        <v>36.29630909805477</v>
      </c>
      <c r="Y58" s="80">
        <f t="shared" si="50"/>
        <v>37.13477574194922</v>
      </c>
    </row>
    <row r="59" spans="1:37" ht="12.75" customHeight="1" x14ac:dyDescent="0.25">
      <c r="A59" s="1"/>
      <c r="B59" s="1"/>
      <c r="C59" s="1"/>
      <c r="D59" s="1"/>
      <c r="E59" s="1" t="s">
        <v>266</v>
      </c>
      <c r="F59" s="33" t="s">
        <v>28</v>
      </c>
      <c r="G59" s="33"/>
      <c r="H59" s="80">
        <f t="shared" ref="H59:O59" si="51">H317</f>
        <v>-29.643433190537433</v>
      </c>
      <c r="I59" s="80">
        <f t="shared" si="51"/>
        <v>-25.963758167545521</v>
      </c>
      <c r="J59" s="80">
        <f t="shared" si="51"/>
        <v>4.5689990863970777</v>
      </c>
      <c r="K59" s="80">
        <f t="shared" si="51"/>
        <v>-7.2591932324131836</v>
      </c>
      <c r="L59" s="80">
        <f t="shared" si="51"/>
        <v>21.888810899182563</v>
      </c>
      <c r="M59" s="80">
        <f t="shared" si="51"/>
        <v>-11.115113438045359</v>
      </c>
      <c r="N59" s="80">
        <f t="shared" si="51"/>
        <v>4.543741743366752</v>
      </c>
      <c r="O59" s="80">
        <f t="shared" si="51"/>
        <v>7.4926813160470616</v>
      </c>
      <c r="P59" s="80">
        <f>P40+P76</f>
        <v>1.7122215649619434</v>
      </c>
      <c r="Q59" s="80">
        <f t="shared" ref="Q59:Y59" si="52">Q40+Q76</f>
        <v>2.4666892717409006</v>
      </c>
      <c r="R59" s="80">
        <f t="shared" si="52"/>
        <v>5.6451109468493321</v>
      </c>
      <c r="S59" s="80">
        <f t="shared" si="52"/>
        <v>5.0639791037129314</v>
      </c>
      <c r="T59" s="80">
        <f t="shared" si="52"/>
        <v>4.5107231530083425</v>
      </c>
      <c r="U59" s="80">
        <f t="shared" si="52"/>
        <v>4.2532755544272618</v>
      </c>
      <c r="V59" s="80">
        <f t="shared" si="52"/>
        <v>5.202403820887298</v>
      </c>
      <c r="W59" s="80">
        <f t="shared" si="52"/>
        <v>6.2663365555076531</v>
      </c>
      <c r="X59" s="80">
        <f t="shared" si="52"/>
        <v>7.2797728255626204</v>
      </c>
      <c r="Y59" s="80">
        <f t="shared" si="52"/>
        <v>8.3112746958055475</v>
      </c>
    </row>
    <row r="60" spans="1:37" ht="12.75" customHeight="1" x14ac:dyDescent="0.25">
      <c r="A60" s="1"/>
      <c r="B60" s="1"/>
      <c r="C60" s="1"/>
      <c r="D60" s="1"/>
      <c r="E60" s="1" t="s">
        <v>617</v>
      </c>
      <c r="F60" s="33" t="s">
        <v>28</v>
      </c>
      <c r="G60" s="33"/>
      <c r="H60" s="80">
        <f t="shared" ref="H60:O60" si="53">H378</f>
        <v>-38.628</v>
      </c>
      <c r="I60" s="80">
        <f t="shared" si="53"/>
        <v>-22.774000000000001</v>
      </c>
      <c r="J60" s="80">
        <f t="shared" si="53"/>
        <v>-50.183999999999997</v>
      </c>
      <c r="K60" s="80">
        <f t="shared" si="53"/>
        <v>-39.399999999999991</v>
      </c>
      <c r="L60" s="80">
        <f t="shared" si="53"/>
        <v>-44.500000000000028</v>
      </c>
      <c r="M60" s="80">
        <f t="shared" si="53"/>
        <v>-13.900000000000002</v>
      </c>
      <c r="N60" s="80">
        <f t="shared" si="53"/>
        <v>-16.700000000000003</v>
      </c>
      <c r="O60" s="80">
        <f t="shared" si="53"/>
        <v>-40.711999999999939</v>
      </c>
      <c r="P60" s="80">
        <f>P41+P42+P77</f>
        <v>-45.933942389241167</v>
      </c>
      <c r="Q60" s="80">
        <f t="shared" ref="Q60:Y60" si="54">Q41+Q42+Q77</f>
        <v>-21.090751237025991</v>
      </c>
      <c r="R60" s="80">
        <f t="shared" si="54"/>
        <v>-20.749670011766511</v>
      </c>
      <c r="S60" s="80">
        <f t="shared" si="54"/>
        <v>-21.121415130751842</v>
      </c>
      <c r="T60" s="80">
        <f t="shared" si="54"/>
        <v>-21.229414116960633</v>
      </c>
      <c r="U60" s="80">
        <f t="shared" si="54"/>
        <v>-21.016769418342811</v>
      </c>
      <c r="V60" s="80">
        <f t="shared" si="54"/>
        <v>-21.205717703133008</v>
      </c>
      <c r="W60" s="80">
        <f t="shared" si="54"/>
        <v>-21.283771565671927</v>
      </c>
      <c r="X60" s="80">
        <f t="shared" si="54"/>
        <v>-21.546753944021148</v>
      </c>
      <c r="Y60" s="80">
        <f t="shared" si="54"/>
        <v>-21.568961838316838</v>
      </c>
    </row>
    <row r="61" spans="1:37" ht="12.75" customHeight="1" x14ac:dyDescent="0.25">
      <c r="A61" s="2"/>
      <c r="B61" s="2"/>
      <c r="C61" s="2"/>
      <c r="D61" s="2"/>
      <c r="E61" s="2" t="s">
        <v>618</v>
      </c>
      <c r="F61" s="193" t="s">
        <v>28</v>
      </c>
      <c r="G61" s="193"/>
      <c r="H61" s="268">
        <f t="shared" ref="H61:Y61" si="55">SUM(H57:H60)</f>
        <v>151.6935668094626</v>
      </c>
      <c r="I61" s="268">
        <f t="shared" si="55"/>
        <v>184.86224183245446</v>
      </c>
      <c r="J61" s="268">
        <f t="shared" si="55"/>
        <v>198.67199908639705</v>
      </c>
      <c r="K61" s="268">
        <f t="shared" si="55"/>
        <v>120.46780676758682</v>
      </c>
      <c r="L61" s="268">
        <f t="shared" si="55"/>
        <v>168.27481089918254</v>
      </c>
      <c r="M61" s="268">
        <f t="shared" si="55"/>
        <v>55.234886561954639</v>
      </c>
      <c r="N61" s="268">
        <f t="shared" si="55"/>
        <v>236.41874174336675</v>
      </c>
      <c r="O61" s="268">
        <f t="shared" si="55"/>
        <v>192.68068131604713</v>
      </c>
      <c r="P61" s="268">
        <f t="shared" si="55"/>
        <v>147.33386262176106</v>
      </c>
      <c r="Q61" s="268">
        <f t="shared" si="55"/>
        <v>162.57253770909489</v>
      </c>
      <c r="R61" s="268">
        <f t="shared" si="55"/>
        <v>170.81319018107541</v>
      </c>
      <c r="S61" s="268">
        <f t="shared" si="55"/>
        <v>174.67460516676417</v>
      </c>
      <c r="T61" s="268">
        <f t="shared" si="55"/>
        <v>178.97261482447877</v>
      </c>
      <c r="U61" s="268">
        <f t="shared" si="55"/>
        <v>183.94003446988009</v>
      </c>
      <c r="V61" s="268">
        <f t="shared" si="55"/>
        <v>189.84917568902125</v>
      </c>
      <c r="W61" s="268">
        <f t="shared" si="55"/>
        <v>196.03980104467291</v>
      </c>
      <c r="X61" s="268">
        <f t="shared" si="55"/>
        <v>202.10950312363838</v>
      </c>
      <c r="Y61" s="268">
        <f t="shared" si="55"/>
        <v>208.55730974636094</v>
      </c>
      <c r="Z61" s="194"/>
      <c r="AA61" s="194"/>
      <c r="AB61" s="194"/>
      <c r="AC61" s="194"/>
      <c r="AD61" s="194"/>
      <c r="AE61" s="194"/>
      <c r="AF61" s="194"/>
      <c r="AG61" s="194"/>
      <c r="AH61" s="194"/>
      <c r="AI61" s="194"/>
      <c r="AJ61" s="194"/>
      <c r="AK61" s="194"/>
    </row>
    <row r="62" spans="1:37" s="574" customFormat="1" ht="12.75" customHeight="1" x14ac:dyDescent="0.25">
      <c r="A62" s="2"/>
      <c r="B62" s="2"/>
      <c r="C62" s="2"/>
      <c r="D62" s="2"/>
      <c r="E62" s="2"/>
      <c r="F62" s="193"/>
      <c r="G62" s="193"/>
      <c r="H62" s="580"/>
      <c r="I62" s="580"/>
      <c r="J62" s="580"/>
      <c r="K62" s="580"/>
      <c r="L62" s="580"/>
      <c r="M62" s="580"/>
      <c r="N62" s="580"/>
      <c r="O62" s="580"/>
      <c r="P62" s="580"/>
      <c r="Q62" s="580"/>
      <c r="R62" s="580"/>
      <c r="S62" s="580"/>
      <c r="T62" s="580"/>
      <c r="U62" s="580"/>
      <c r="V62" s="580"/>
      <c r="W62" s="580"/>
      <c r="X62" s="580"/>
      <c r="Y62" s="580"/>
      <c r="Z62" s="194"/>
      <c r="AA62" s="194"/>
      <c r="AB62" s="194"/>
      <c r="AC62" s="194"/>
      <c r="AD62" s="194"/>
      <c r="AE62" s="194"/>
      <c r="AF62" s="194"/>
      <c r="AG62" s="194"/>
      <c r="AH62" s="194"/>
      <c r="AI62" s="194"/>
      <c r="AJ62" s="194"/>
      <c r="AK62" s="194"/>
    </row>
    <row r="63" spans="1:37" ht="12.75" customHeight="1" x14ac:dyDescent="0.25">
      <c r="A63" s="1"/>
      <c r="B63" s="1"/>
      <c r="C63" s="1"/>
      <c r="D63" s="1"/>
      <c r="E63" s="584" t="s">
        <v>625</v>
      </c>
      <c r="F63" s="585" t="s">
        <v>8</v>
      </c>
      <c r="G63" s="585"/>
      <c r="H63" s="378"/>
      <c r="I63" s="586">
        <f>I61/H61-1</f>
        <v>0.21865577901964661</v>
      </c>
      <c r="J63" s="586">
        <f t="shared" ref="J63:Y63" si="56">J61/I61-1</f>
        <v>7.4702963228471253E-2</v>
      </c>
      <c r="K63" s="586">
        <f t="shared" si="56"/>
        <v>-0.39363469778547577</v>
      </c>
      <c r="L63" s="586">
        <f t="shared" si="56"/>
        <v>0.39684464600428604</v>
      </c>
      <c r="M63" s="586">
        <f t="shared" si="56"/>
        <v>-0.67175784499887403</v>
      </c>
      <c r="N63" s="586">
        <f t="shared" si="56"/>
        <v>3.2802430937951836</v>
      </c>
      <c r="O63" s="586">
        <f t="shared" si="56"/>
        <v>-0.18500250912762839</v>
      </c>
      <c r="P63" s="586">
        <f t="shared" si="56"/>
        <v>-0.23534699163693185</v>
      </c>
      <c r="Q63" s="586">
        <f t="shared" si="56"/>
        <v>0.10342954984119923</v>
      </c>
      <c r="R63" s="586">
        <f t="shared" si="56"/>
        <v>5.0689080628895766E-2</v>
      </c>
      <c r="S63" s="586">
        <f t="shared" si="56"/>
        <v>2.2606070301686598E-2</v>
      </c>
      <c r="T63" s="586">
        <f t="shared" si="56"/>
        <v>2.460580720140304E-2</v>
      </c>
      <c r="U63" s="586">
        <f t="shared" si="56"/>
        <v>2.7755194001456207E-2</v>
      </c>
      <c r="V63" s="586">
        <f t="shared" si="56"/>
        <v>3.212536757520712E-2</v>
      </c>
      <c r="W63" s="586">
        <f t="shared" si="56"/>
        <v>3.2608123438956138E-2</v>
      </c>
      <c r="X63" s="586">
        <f t="shared" si="56"/>
        <v>3.0961580488353624E-2</v>
      </c>
      <c r="Y63" s="586">
        <f t="shared" si="56"/>
        <v>3.1902540568704341E-2</v>
      </c>
    </row>
    <row r="64" spans="1:37" s="574" customFormat="1" ht="12.75" customHeight="1" x14ac:dyDescent="0.25">
      <c r="A64" s="1"/>
      <c r="B64" s="1"/>
      <c r="C64" s="1"/>
      <c r="D64" s="1"/>
      <c r="E64" s="1"/>
      <c r="F64" s="575"/>
      <c r="G64" s="575"/>
      <c r="H64" s="52"/>
      <c r="I64" s="583"/>
      <c r="J64" s="583"/>
      <c r="K64" s="583"/>
      <c r="L64" s="583"/>
      <c r="M64" s="583"/>
      <c r="N64" s="583"/>
      <c r="O64" s="583"/>
      <c r="P64" s="583"/>
      <c r="Q64" s="583"/>
      <c r="R64" s="583"/>
      <c r="S64" s="583"/>
      <c r="T64" s="583"/>
      <c r="U64" s="583"/>
      <c r="V64" s="583"/>
      <c r="W64" s="583"/>
      <c r="X64" s="583"/>
      <c r="Y64" s="583"/>
    </row>
    <row r="65" spans="1:37" ht="12.75" customHeight="1" x14ac:dyDescent="0.25">
      <c r="A65" s="2"/>
      <c r="B65" s="2"/>
      <c r="C65" s="2"/>
      <c r="D65" s="2"/>
      <c r="E65" s="42" t="s">
        <v>153</v>
      </c>
      <c r="F65" s="193"/>
      <c r="G65" s="68"/>
      <c r="H65" s="182"/>
      <c r="I65" s="182"/>
      <c r="J65" s="182"/>
      <c r="K65" s="182"/>
      <c r="L65" s="182"/>
      <c r="M65" s="182"/>
      <c r="N65" s="182"/>
      <c r="O65" s="182"/>
      <c r="P65" s="182"/>
      <c r="Q65" s="182"/>
      <c r="R65" s="182"/>
      <c r="S65" s="182"/>
      <c r="T65" s="182"/>
      <c r="U65" s="182"/>
      <c r="V65" s="182"/>
      <c r="W65" s="182"/>
      <c r="X65" s="182"/>
      <c r="Y65" s="182"/>
      <c r="Z65" s="194"/>
      <c r="AA65" s="194"/>
      <c r="AB65" s="194"/>
      <c r="AC65" s="194"/>
      <c r="AD65" s="194"/>
      <c r="AE65" s="194"/>
      <c r="AF65" s="194"/>
      <c r="AG65" s="194"/>
      <c r="AH65" s="194"/>
      <c r="AI65" s="194"/>
      <c r="AJ65" s="194"/>
      <c r="AK65" s="194"/>
    </row>
    <row r="66" spans="1:37" ht="12.75" customHeight="1" x14ac:dyDescent="0.25">
      <c r="A66" s="2"/>
      <c r="B66" s="2"/>
      <c r="C66" s="2"/>
      <c r="D66" s="2"/>
      <c r="E66" s="1" t="s">
        <v>355</v>
      </c>
      <c r="F66" s="33" t="s">
        <v>8</v>
      </c>
      <c r="G66" s="68"/>
      <c r="H66" s="222">
        <f t="shared" ref="H66:Y66" si="57">H57 / H18</f>
        <v>0.38955666441268139</v>
      </c>
      <c r="I66" s="222">
        <f t="shared" si="57"/>
        <v>0.39605330802388578</v>
      </c>
      <c r="J66" s="222">
        <f t="shared" si="57"/>
        <v>0.40066690895874973</v>
      </c>
      <c r="K66" s="222">
        <f t="shared" si="57"/>
        <v>0.32784874695054333</v>
      </c>
      <c r="L66" s="222">
        <f t="shared" si="57"/>
        <v>0.36156243630875906</v>
      </c>
      <c r="M66" s="222">
        <f t="shared" si="57"/>
        <v>0.196933962264151</v>
      </c>
      <c r="N66" s="222">
        <f t="shared" si="57"/>
        <v>0.41982977890823708</v>
      </c>
      <c r="O66" s="222">
        <f t="shared" si="57"/>
        <v>0.35736391771345355</v>
      </c>
      <c r="P66" s="222">
        <f t="shared" si="57"/>
        <v>0.29658003869281407</v>
      </c>
      <c r="Q66" s="222">
        <f t="shared" si="57"/>
        <v>0.29149724308071201</v>
      </c>
      <c r="R66" s="222">
        <f t="shared" si="57"/>
        <v>0.29339557944377531</v>
      </c>
      <c r="S66" s="222">
        <f t="shared" si="57"/>
        <v>0.29525669352520995</v>
      </c>
      <c r="T66" s="222">
        <f t="shared" si="57"/>
        <v>0.29708131517367531</v>
      </c>
      <c r="U66" s="222">
        <f t="shared" si="57"/>
        <v>0.29887015992707272</v>
      </c>
      <c r="V66" s="222">
        <f t="shared" si="57"/>
        <v>0.30062392929314857</v>
      </c>
      <c r="W66" s="222">
        <f t="shared" si="57"/>
        <v>0.3023433110245955</v>
      </c>
      <c r="X66" s="222">
        <f t="shared" si="57"/>
        <v>0.30402897938875917</v>
      </c>
      <c r="Y66" s="222">
        <f t="shared" si="57"/>
        <v>0.30568159543205686</v>
      </c>
      <c r="Z66" s="194"/>
      <c r="AA66" s="194"/>
      <c r="AB66" s="194"/>
      <c r="AC66" s="194"/>
      <c r="AD66" s="194"/>
      <c r="AE66" s="194"/>
      <c r="AF66" s="194"/>
      <c r="AG66" s="194"/>
      <c r="AH66" s="194"/>
      <c r="AI66" s="194"/>
      <c r="AJ66" s="194"/>
      <c r="AK66" s="194"/>
    </row>
    <row r="67" spans="1:37" ht="12.75" customHeight="1" x14ac:dyDescent="0.25">
      <c r="A67" s="2"/>
      <c r="B67" s="2"/>
      <c r="C67" s="2"/>
      <c r="D67" s="2"/>
      <c r="E67" s="1" t="s">
        <v>356</v>
      </c>
      <c r="F67" s="33" t="s">
        <v>8</v>
      </c>
      <c r="G67" s="68"/>
      <c r="H67" s="222">
        <f t="shared" ref="H67:Y67" si="58">H58 / H19</f>
        <v>0.30874801901743265</v>
      </c>
      <c r="I67" s="222">
        <f t="shared" si="58"/>
        <v>0.35632307033115018</v>
      </c>
      <c r="J67" s="222">
        <f t="shared" si="58"/>
        <v>0.35843373493975894</v>
      </c>
      <c r="K67" s="222">
        <f t="shared" si="58"/>
        <v>0.31028938906752407</v>
      </c>
      <c r="L67" s="222">
        <f t="shared" si="58"/>
        <v>0.43019723891590306</v>
      </c>
      <c r="M67" s="222">
        <f t="shared" si="58"/>
        <v>0.36964815599830431</v>
      </c>
      <c r="N67" s="222">
        <f t="shared" si="58"/>
        <v>0.4403574666493979</v>
      </c>
      <c r="O67" s="222">
        <f t="shared" si="58"/>
        <v>0.38441558441558443</v>
      </c>
      <c r="P67" s="222">
        <f t="shared" si="58"/>
        <v>0.35824707816390666</v>
      </c>
      <c r="Q67" s="222">
        <f t="shared" si="58"/>
        <v>0.35979112507267669</v>
      </c>
      <c r="R67" s="222">
        <f t="shared" si="58"/>
        <v>0.36091912621272648</v>
      </c>
      <c r="S67" s="222">
        <f t="shared" si="58"/>
        <v>0.36201067194507142</v>
      </c>
      <c r="T67" s="222">
        <f t="shared" si="58"/>
        <v>0.36361522302103277</v>
      </c>
      <c r="U67" s="222">
        <f t="shared" si="58"/>
        <v>0.36469084957255871</v>
      </c>
      <c r="V67" s="222">
        <f t="shared" si="58"/>
        <v>0.36613040763978399</v>
      </c>
      <c r="W67" s="222">
        <f t="shared" si="58"/>
        <v>0.36705359515232977</v>
      </c>
      <c r="X67" s="222">
        <f t="shared" si="58"/>
        <v>0.36806421126775524</v>
      </c>
      <c r="Y67" s="222">
        <f t="shared" si="58"/>
        <v>0.36918305555265363</v>
      </c>
      <c r="Z67" s="194"/>
      <c r="AA67" s="194"/>
      <c r="AB67" s="194"/>
      <c r="AC67" s="194"/>
      <c r="AD67" s="194"/>
      <c r="AE67" s="194"/>
      <c r="AF67" s="194"/>
      <c r="AG67" s="194"/>
      <c r="AH67" s="194"/>
      <c r="AI67" s="194"/>
      <c r="AJ67" s="194"/>
      <c r="AK67" s="194"/>
    </row>
    <row r="68" spans="1:37" ht="12.75" customHeight="1" x14ac:dyDescent="0.25">
      <c r="A68" s="2"/>
      <c r="B68" s="2"/>
      <c r="C68" s="2"/>
      <c r="D68" s="2"/>
      <c r="E68" s="1" t="s">
        <v>266</v>
      </c>
      <c r="F68" s="33" t="s">
        <v>8</v>
      </c>
      <c r="G68" s="68"/>
      <c r="H68" s="222">
        <f t="shared" ref="H68:Y68" si="59">H59 / H20</f>
        <v>-0.20467644968865803</v>
      </c>
      <c r="I68" s="222">
        <f t="shared" si="59"/>
        <v>-0.17379152164412381</v>
      </c>
      <c r="J68" s="222">
        <f t="shared" si="59"/>
        <v>3.1315534306569331E-2</v>
      </c>
      <c r="K68" s="222">
        <f t="shared" si="59"/>
        <v>-6.1442564559216421E-2</v>
      </c>
      <c r="L68" s="222">
        <f t="shared" si="59"/>
        <v>0.1111716621253406</v>
      </c>
      <c r="M68" s="222">
        <f t="shared" si="59"/>
        <v>-6.0500290866782928E-2</v>
      </c>
      <c r="N68" s="222">
        <f t="shared" si="59"/>
        <v>1.8809291520711483E-2</v>
      </c>
      <c r="O68" s="222">
        <f t="shared" si="59"/>
        <v>3.1016733587699838E-2</v>
      </c>
      <c r="P68" s="222">
        <f t="shared" si="59"/>
        <v>7.5058804320043138E-3</v>
      </c>
      <c r="Q68" s="222">
        <f t="shared" si="59"/>
        <v>1.1322771749724951E-2</v>
      </c>
      <c r="R68" s="222">
        <f t="shared" si="59"/>
        <v>2.5404498011555639E-2</v>
      </c>
      <c r="S68" s="222">
        <f t="shared" si="59"/>
        <v>2.2342402381997025E-2</v>
      </c>
      <c r="T68" s="222">
        <f t="shared" si="59"/>
        <v>1.9511199312361973E-2</v>
      </c>
      <c r="U68" s="222">
        <f t="shared" si="59"/>
        <v>1.8036868568485166E-2</v>
      </c>
      <c r="V68" s="222">
        <f t="shared" si="59"/>
        <v>2.1629252412493926E-2</v>
      </c>
      <c r="W68" s="222">
        <f t="shared" si="59"/>
        <v>2.5541770223065006E-2</v>
      </c>
      <c r="X68" s="222">
        <f t="shared" si="59"/>
        <v>2.9090750943644234E-2</v>
      </c>
      <c r="Y68" s="222">
        <f t="shared" si="59"/>
        <v>3.2561512508893803E-2</v>
      </c>
      <c r="Z68" s="194"/>
      <c r="AA68" s="194"/>
      <c r="AB68" s="194"/>
      <c r="AC68" s="194"/>
      <c r="AD68" s="194"/>
      <c r="AE68" s="194"/>
      <c r="AF68" s="194"/>
      <c r="AG68" s="194"/>
      <c r="AH68" s="194"/>
      <c r="AI68" s="194"/>
      <c r="AJ68" s="194"/>
      <c r="AK68" s="194"/>
    </row>
    <row r="69" spans="1:37" ht="12.75" customHeight="1" x14ac:dyDescent="0.25">
      <c r="A69" s="2"/>
      <c r="B69" s="2"/>
      <c r="C69" s="2"/>
      <c r="D69" s="2"/>
      <c r="E69" s="1" t="s">
        <v>322</v>
      </c>
      <c r="F69" s="33" t="s">
        <v>8</v>
      </c>
      <c r="G69" s="68"/>
      <c r="H69" s="222">
        <f t="shared" ref="H69:Y69" si="60">H60 / H22</f>
        <v>-0.40736092802530977</v>
      </c>
      <c r="I69" s="222">
        <f t="shared" si="60"/>
        <v>-0.16382169087233936</v>
      </c>
      <c r="J69" s="222">
        <f t="shared" si="60"/>
        <v>-0.40927774515560772</v>
      </c>
      <c r="K69" s="222">
        <f t="shared" si="60"/>
        <v>-0.21213475402598383</v>
      </c>
      <c r="L69" s="222">
        <f t="shared" si="60"/>
        <v>-0.6722054380664646</v>
      </c>
      <c r="M69" s="222">
        <f t="shared" si="60"/>
        <v>-0.19336978145041248</v>
      </c>
      <c r="N69" s="222">
        <f t="shared" si="60"/>
        <v>-0.31156716417910418</v>
      </c>
      <c r="O69" s="222">
        <f t="shared" si="60"/>
        <v>-0.930023563572273</v>
      </c>
      <c r="P69" s="222">
        <f t="shared" si="60"/>
        <v>-1.2249051303797645</v>
      </c>
      <c r="Q69" s="222">
        <f t="shared" si="60"/>
        <v>-0.55139218920329391</v>
      </c>
      <c r="R69" s="222">
        <f t="shared" si="60"/>
        <v>-0.53183826763466646</v>
      </c>
      <c r="S69" s="222">
        <f t="shared" si="60"/>
        <v>-0.53075149906526242</v>
      </c>
      <c r="T69" s="222">
        <f t="shared" si="60"/>
        <v>-0.52300525677804766</v>
      </c>
      <c r="U69" s="222">
        <f t="shared" si="60"/>
        <v>-0.50761428227424643</v>
      </c>
      <c r="V69" s="222">
        <f t="shared" si="60"/>
        <v>-0.50213521224269908</v>
      </c>
      <c r="W69" s="222">
        <f t="shared" si="60"/>
        <v>-0.49410143935437562</v>
      </c>
      <c r="X69" s="222">
        <f t="shared" si="60"/>
        <v>-0.49039858724332275</v>
      </c>
      <c r="Y69" s="222">
        <f t="shared" si="60"/>
        <v>-0.48127846393648055</v>
      </c>
      <c r="Z69" s="194"/>
      <c r="AA69" s="194"/>
      <c r="AB69" s="194"/>
      <c r="AC69" s="194"/>
      <c r="AD69" s="194"/>
      <c r="AE69" s="194"/>
      <c r="AF69" s="194"/>
      <c r="AG69" s="194"/>
      <c r="AH69" s="194"/>
      <c r="AI69" s="194"/>
      <c r="AJ69" s="194"/>
      <c r="AK69" s="194"/>
    </row>
    <row r="70" spans="1:37" ht="12.75" customHeight="1" x14ac:dyDescent="0.25">
      <c r="A70" s="2"/>
      <c r="B70" s="2"/>
      <c r="C70" s="2"/>
      <c r="D70" s="2"/>
      <c r="E70" s="2" t="s">
        <v>366</v>
      </c>
      <c r="F70" s="33" t="s">
        <v>8</v>
      </c>
      <c r="G70" s="224"/>
      <c r="H70" s="222">
        <f t="shared" ref="H70:Y70" si="61">H61 / H23</f>
        <v>0.18558064931227983</v>
      </c>
      <c r="I70" s="222">
        <f t="shared" si="61"/>
        <v>0.2089339387881102</v>
      </c>
      <c r="J70" s="222">
        <f t="shared" si="61"/>
        <v>0.22443285053670067</v>
      </c>
      <c r="K70" s="222">
        <f t="shared" si="61"/>
        <v>0.14664781456764686</v>
      </c>
      <c r="L70" s="222">
        <f t="shared" si="61"/>
        <v>0.2131199335584103</v>
      </c>
      <c r="M70" s="222">
        <f t="shared" si="61"/>
        <v>8.7910805502342232E-2</v>
      </c>
      <c r="N70" s="222">
        <f t="shared" si="61"/>
        <v>0.263015090733421</v>
      </c>
      <c r="O70" s="222">
        <f t="shared" si="61"/>
        <v>0.20922079101510513</v>
      </c>
      <c r="P70" s="222">
        <f t="shared" si="61"/>
        <v>0.16133439232793015</v>
      </c>
      <c r="Q70" s="222">
        <f t="shared" si="61"/>
        <v>0.18533086795462364</v>
      </c>
      <c r="R70" s="222">
        <f t="shared" si="61"/>
        <v>0.19090697966999884</v>
      </c>
      <c r="S70" s="222">
        <f t="shared" si="61"/>
        <v>0.19139474144460933</v>
      </c>
      <c r="T70" s="222">
        <f t="shared" si="61"/>
        <v>0.19225898387446838</v>
      </c>
      <c r="U70" s="222">
        <f t="shared" si="61"/>
        <v>0.19372075418669324</v>
      </c>
      <c r="V70" s="222">
        <f t="shared" si="61"/>
        <v>0.19602363198224226</v>
      </c>
      <c r="W70" s="222">
        <f t="shared" si="61"/>
        <v>0.19844666154007035</v>
      </c>
      <c r="X70" s="222">
        <f t="shared" si="61"/>
        <v>0.20057929786665515</v>
      </c>
      <c r="Y70" s="222">
        <f t="shared" si="61"/>
        <v>0.2029198892687141</v>
      </c>
      <c r="Z70" s="194"/>
      <c r="AA70" s="194"/>
      <c r="AB70" s="194"/>
      <c r="AC70" s="194"/>
      <c r="AD70" s="194"/>
      <c r="AE70" s="194"/>
      <c r="AF70" s="194"/>
      <c r="AG70" s="194"/>
      <c r="AH70" s="194"/>
      <c r="AI70" s="194"/>
      <c r="AJ70" s="194"/>
      <c r="AK70" s="194"/>
    </row>
    <row r="71" spans="1:37" ht="12.75" customHeight="1" x14ac:dyDescent="0.25">
      <c r="A71" s="2"/>
      <c r="B71" s="2"/>
      <c r="C71" s="2"/>
      <c r="D71" s="2"/>
      <c r="E71" s="2"/>
      <c r="F71" s="33"/>
      <c r="G71" s="224"/>
      <c r="H71" s="226"/>
      <c r="I71" s="226"/>
      <c r="J71" s="226"/>
      <c r="K71" s="226"/>
      <c r="L71" s="226"/>
      <c r="M71" s="226"/>
      <c r="N71" s="226"/>
      <c r="O71" s="226"/>
      <c r="P71" s="226"/>
      <c r="Q71" s="226"/>
      <c r="R71" s="226"/>
      <c r="S71" s="226"/>
      <c r="T71" s="226"/>
      <c r="U71" s="226"/>
      <c r="V71" s="226"/>
      <c r="W71" s="226"/>
      <c r="X71" s="226"/>
      <c r="Y71" s="226"/>
      <c r="Z71" s="194"/>
      <c r="AA71" s="194"/>
      <c r="AB71" s="194"/>
      <c r="AC71" s="194"/>
      <c r="AD71" s="194"/>
      <c r="AE71" s="194"/>
      <c r="AF71" s="194"/>
      <c r="AG71" s="194"/>
      <c r="AH71" s="194"/>
      <c r="AI71" s="194"/>
      <c r="AJ71" s="194"/>
      <c r="AK71" s="194"/>
    </row>
    <row r="72" spans="1:37" ht="12.75" customHeight="1" x14ac:dyDescent="0.25">
      <c r="A72" s="2"/>
      <c r="B72" s="2"/>
      <c r="C72" s="188" t="s">
        <v>278</v>
      </c>
      <c r="D72" s="189"/>
      <c r="E72" s="189"/>
      <c r="F72" s="190"/>
      <c r="G72" s="190"/>
      <c r="H72" s="191"/>
      <c r="I72" s="191"/>
      <c r="J72" s="191"/>
      <c r="K72" s="191"/>
      <c r="L72" s="191"/>
      <c r="M72" s="191"/>
      <c r="N72" s="191"/>
      <c r="O72" s="191"/>
      <c r="P72" s="191"/>
      <c r="Q72" s="191"/>
      <c r="R72" s="191"/>
      <c r="S72" s="191"/>
      <c r="T72" s="191"/>
      <c r="U72" s="191"/>
      <c r="V72" s="191"/>
      <c r="W72" s="191"/>
      <c r="X72" s="191"/>
      <c r="Y72" s="191"/>
      <c r="Z72" s="194"/>
      <c r="AA72" s="194"/>
      <c r="AB72" s="194"/>
      <c r="AC72" s="194"/>
      <c r="AD72" s="194"/>
      <c r="AE72" s="194"/>
      <c r="AF72" s="194"/>
      <c r="AG72" s="194"/>
      <c r="AH72" s="194"/>
      <c r="AI72" s="194"/>
      <c r="AJ72" s="194"/>
      <c r="AK72" s="194"/>
    </row>
    <row r="73" spans="1:37" ht="12.75" customHeight="1" x14ac:dyDescent="0.25">
      <c r="A73" s="2"/>
      <c r="B73" s="2"/>
      <c r="C73" s="2"/>
      <c r="D73" s="2"/>
      <c r="E73" s="2"/>
      <c r="F73" s="33"/>
      <c r="G73" s="224"/>
      <c r="H73" s="226"/>
      <c r="I73" s="226"/>
      <c r="J73" s="226"/>
      <c r="K73" s="226"/>
      <c r="L73" s="226"/>
      <c r="M73" s="226"/>
      <c r="N73" s="226"/>
      <c r="O73" s="226"/>
      <c r="P73" s="226"/>
      <c r="Q73" s="226"/>
      <c r="R73" s="226"/>
      <c r="S73" s="226"/>
      <c r="T73" s="226"/>
      <c r="U73" s="226"/>
      <c r="V73" s="226"/>
      <c r="W73" s="226"/>
      <c r="X73" s="226"/>
      <c r="Y73" s="226"/>
      <c r="Z73" s="194"/>
      <c r="AA73" s="194"/>
      <c r="AB73" s="194"/>
      <c r="AC73" s="194"/>
      <c r="AD73" s="194"/>
      <c r="AE73" s="194"/>
      <c r="AF73" s="194"/>
      <c r="AG73" s="194"/>
      <c r="AH73" s="194"/>
      <c r="AI73" s="194"/>
      <c r="AJ73" s="194"/>
      <c r="AK73" s="194"/>
    </row>
    <row r="74" spans="1:37" ht="12.75" customHeight="1" x14ac:dyDescent="0.25">
      <c r="A74" s="2"/>
      <c r="B74" s="2"/>
      <c r="C74" s="2"/>
      <c r="D74" s="2"/>
      <c r="E74" s="1" t="s">
        <v>355</v>
      </c>
      <c r="F74" s="33" t="s">
        <v>28</v>
      </c>
      <c r="G74" s="33"/>
      <c r="H74" s="80">
        <f t="shared" ref="H74:Y74" si="62">H160</f>
        <v>-50.817</v>
      </c>
      <c r="I74" s="80">
        <f t="shared" si="62"/>
        <v>-50.384999999999998</v>
      </c>
      <c r="J74" s="80">
        <f t="shared" si="62"/>
        <v>-47.412999999999997</v>
      </c>
      <c r="K74" s="80">
        <f t="shared" si="62"/>
        <v>-46.073</v>
      </c>
      <c r="L74" s="80">
        <f t="shared" si="62"/>
        <v>-45.514000000000003</v>
      </c>
      <c r="M74" s="80">
        <f t="shared" si="62"/>
        <v>-42.45</v>
      </c>
      <c r="N74" s="80">
        <f t="shared" si="62"/>
        <v>-38.024999999999999</v>
      </c>
      <c r="O74" s="80">
        <f t="shared" si="62"/>
        <v>-40.700000000000003</v>
      </c>
      <c r="P74" s="80">
        <f t="shared" si="62"/>
        <v>-49.922125000000001</v>
      </c>
      <c r="Q74" s="80">
        <f t="shared" si="62"/>
        <v>-49.922125000000001</v>
      </c>
      <c r="R74" s="80">
        <f t="shared" si="62"/>
        <v>-49.922125000000001</v>
      </c>
      <c r="S74" s="80">
        <f t="shared" si="62"/>
        <v>-49.922125000000001</v>
      </c>
      <c r="T74" s="80">
        <f t="shared" si="62"/>
        <v>-49.922125000000001</v>
      </c>
      <c r="U74" s="80">
        <f t="shared" si="62"/>
        <v>-49.922125000000001</v>
      </c>
      <c r="V74" s="80">
        <f t="shared" si="62"/>
        <v>-49.922125000000001</v>
      </c>
      <c r="W74" s="80">
        <f t="shared" si="62"/>
        <v>-49.922125000000001</v>
      </c>
      <c r="X74" s="80">
        <f t="shared" si="62"/>
        <v>-49.922125000000001</v>
      </c>
      <c r="Y74" s="80">
        <f t="shared" si="62"/>
        <v>-49.922125000000001</v>
      </c>
      <c r="Z74" s="194"/>
      <c r="AA74" s="194"/>
      <c r="AB74" s="194"/>
      <c r="AC74" s="194"/>
      <c r="AD74" s="194"/>
      <c r="AE74" s="194"/>
      <c r="AF74" s="194"/>
      <c r="AG74" s="194"/>
      <c r="AH74" s="194"/>
      <c r="AI74" s="194"/>
      <c r="AJ74" s="194"/>
      <c r="AK74" s="194"/>
    </row>
    <row r="75" spans="1:37" ht="12.75" customHeight="1" x14ac:dyDescent="0.25">
      <c r="A75" s="2"/>
      <c r="B75" s="2"/>
      <c r="C75" s="2"/>
      <c r="D75" s="2"/>
      <c r="E75" s="1" t="s">
        <v>356</v>
      </c>
      <c r="F75" s="33" t="s">
        <v>28</v>
      </c>
      <c r="G75" s="33"/>
      <c r="H75" s="80">
        <f t="shared" ref="H75:Y75" si="63">H245</f>
        <v>-5.69</v>
      </c>
      <c r="I75" s="80">
        <f t="shared" si="63"/>
        <v>-5.4009999999999998</v>
      </c>
      <c r="J75" s="80">
        <f t="shared" si="63"/>
        <v>-5.4</v>
      </c>
      <c r="K75" s="80">
        <f t="shared" si="63"/>
        <v>-5.8</v>
      </c>
      <c r="L75" s="80">
        <f t="shared" si="63"/>
        <v>-5.4</v>
      </c>
      <c r="M75" s="80">
        <f t="shared" si="63"/>
        <v>-5.7</v>
      </c>
      <c r="N75" s="80">
        <f t="shared" si="63"/>
        <v>-5.3</v>
      </c>
      <c r="O75" s="80">
        <f t="shared" si="63"/>
        <v>-5.3999999999999995</v>
      </c>
      <c r="P75" s="80">
        <f t="shared" si="63"/>
        <v>-5.5113750000000001</v>
      </c>
      <c r="Q75" s="80">
        <f t="shared" si="63"/>
        <v>-5.4890468749999997</v>
      </c>
      <c r="R75" s="80">
        <f t="shared" si="63"/>
        <v>-5.5000527343750001</v>
      </c>
      <c r="S75" s="80">
        <f t="shared" si="63"/>
        <v>-5.5125593261718748</v>
      </c>
      <c r="T75" s="80">
        <f t="shared" si="63"/>
        <v>-5.4766292419433595</v>
      </c>
      <c r="U75" s="80">
        <f t="shared" si="63"/>
        <v>-5.4862078971862784</v>
      </c>
      <c r="V75" s="80">
        <f t="shared" si="63"/>
        <v>-5.4594838843345634</v>
      </c>
      <c r="W75" s="80">
        <f t="shared" si="63"/>
        <v>-5.4794193698763838</v>
      </c>
      <c r="X75" s="80">
        <f t="shared" si="63"/>
        <v>-5.4893467911109326</v>
      </c>
      <c r="Y75" s="80">
        <f t="shared" si="63"/>
        <v>-5.486593264999799</v>
      </c>
      <c r="Z75" s="194"/>
      <c r="AA75" s="194"/>
      <c r="AB75" s="194"/>
      <c r="AC75" s="194"/>
      <c r="AD75" s="194"/>
      <c r="AE75" s="194"/>
      <c r="AF75" s="194"/>
      <c r="AG75" s="194"/>
      <c r="AH75" s="194"/>
      <c r="AI75" s="194"/>
      <c r="AJ75" s="194"/>
      <c r="AK75" s="194"/>
    </row>
    <row r="76" spans="1:37" ht="12.75" customHeight="1" x14ac:dyDescent="0.25">
      <c r="A76" s="2"/>
      <c r="B76" s="2"/>
      <c r="C76" s="2"/>
      <c r="D76" s="2"/>
      <c r="E76" s="1" t="s">
        <v>266</v>
      </c>
      <c r="F76" s="33" t="s">
        <v>28</v>
      </c>
      <c r="G76" s="33"/>
      <c r="H76" s="80">
        <f t="shared" ref="H76:Y76" si="64">H316</f>
        <v>-50.817</v>
      </c>
      <c r="I76" s="80">
        <f t="shared" si="64"/>
        <v>-50.384999999999998</v>
      </c>
      <c r="J76" s="80">
        <f t="shared" si="64"/>
        <v>-17.678636496350364</v>
      </c>
      <c r="K76" s="80">
        <f t="shared" si="64"/>
        <v>-19.042231522707041</v>
      </c>
      <c r="L76" s="80">
        <f t="shared" si="64"/>
        <v>-22.53259945504087</v>
      </c>
      <c r="M76" s="80">
        <f t="shared" si="64"/>
        <v>-33.024712041884797</v>
      </c>
      <c r="N76" s="80">
        <f t="shared" si="64"/>
        <v>-33.587718749999993</v>
      </c>
      <c r="O76" s="80">
        <f t="shared" si="64"/>
        <v>-32.725387512734969</v>
      </c>
      <c r="P76" s="80">
        <f t="shared" si="64"/>
        <v>-32.474160722339754</v>
      </c>
      <c r="Q76" s="80">
        <f t="shared" si="64"/>
        <v>-30.181305812632221</v>
      </c>
      <c r="R76" s="80">
        <f t="shared" si="64"/>
        <v>-27.655844039211249</v>
      </c>
      <c r="S76" s="80">
        <f t="shared" si="64"/>
        <v>-28.902994982068861</v>
      </c>
      <c r="T76" s="80">
        <f t="shared" si="64"/>
        <v>-30.135590414489087</v>
      </c>
      <c r="U76" s="80">
        <f t="shared" si="64"/>
        <v>-31.085964284420115</v>
      </c>
      <c r="V76" s="80">
        <f t="shared" si="64"/>
        <v>-30.843620814737029</v>
      </c>
      <c r="W76" s="80">
        <f t="shared" si="64"/>
        <v>-30.500608572829162</v>
      </c>
      <c r="X76" s="80">
        <f t="shared" si="64"/>
        <v>-30.222511205340933</v>
      </c>
      <c r="Y76" s="80">
        <f t="shared" si="64"/>
        <v>-29.941055015716078</v>
      </c>
      <c r="Z76" s="194"/>
      <c r="AA76" s="194"/>
      <c r="AB76" s="194"/>
      <c r="AC76" s="194"/>
      <c r="AD76" s="194"/>
      <c r="AE76" s="194"/>
      <c r="AF76" s="194"/>
      <c r="AG76" s="194"/>
      <c r="AH76" s="194"/>
      <c r="AI76" s="194"/>
      <c r="AJ76" s="194"/>
      <c r="AK76" s="194"/>
    </row>
    <row r="77" spans="1:37" ht="12.75" customHeight="1" x14ac:dyDescent="0.25">
      <c r="A77" s="2"/>
      <c r="B77" s="2"/>
      <c r="C77" s="2"/>
      <c r="D77" s="2"/>
      <c r="E77" s="1" t="s">
        <v>617</v>
      </c>
      <c r="F77" s="33" t="s">
        <v>28</v>
      </c>
      <c r="G77" s="33"/>
      <c r="H77" s="80">
        <f t="shared" ref="H77:Y77" si="65">H377</f>
        <v>-20.733000000000001</v>
      </c>
      <c r="I77" s="80">
        <f t="shared" si="65"/>
        <v>-20.304000000000002</v>
      </c>
      <c r="J77" s="80">
        <f t="shared" si="65"/>
        <v>-14.19</v>
      </c>
      <c r="K77" s="80">
        <f t="shared" si="65"/>
        <v>-16.599999999999994</v>
      </c>
      <c r="L77" s="80">
        <f t="shared" si="65"/>
        <v>-19.200000000000003</v>
      </c>
      <c r="M77" s="80">
        <f t="shared" si="65"/>
        <v>-15.700000000000003</v>
      </c>
      <c r="N77" s="80">
        <f t="shared" si="65"/>
        <v>-16.700000000000003</v>
      </c>
      <c r="O77" s="80">
        <f t="shared" si="65"/>
        <v>-15.220999999999989</v>
      </c>
      <c r="P77" s="80">
        <f t="shared" si="65"/>
        <v>-17.331</v>
      </c>
      <c r="Q77" s="80">
        <f t="shared" si="65"/>
        <v>-16.905749999999998</v>
      </c>
      <c r="R77" s="80">
        <f t="shared" si="65"/>
        <v>-16.480968749999999</v>
      </c>
      <c r="S77" s="80">
        <f t="shared" si="65"/>
        <v>-16.767339843749998</v>
      </c>
      <c r="T77" s="80">
        <f t="shared" si="65"/>
        <v>-16.788257324218751</v>
      </c>
      <c r="U77" s="80">
        <f t="shared" si="65"/>
        <v>-16.486789489746094</v>
      </c>
      <c r="V77" s="80">
        <f t="shared" si="65"/>
        <v>-16.585138175964353</v>
      </c>
      <c r="W77" s="80">
        <f t="shared" si="65"/>
        <v>-16.570780447959898</v>
      </c>
      <c r="X77" s="80">
        <f t="shared" si="65"/>
        <v>-16.739503003954884</v>
      </c>
      <c r="Y77" s="80">
        <f t="shared" si="65"/>
        <v>-16.665565879449247</v>
      </c>
      <c r="Z77" s="194"/>
      <c r="AA77" s="194"/>
      <c r="AB77" s="194"/>
      <c r="AC77" s="194"/>
      <c r="AD77" s="194"/>
      <c r="AE77" s="194"/>
      <c r="AF77" s="194"/>
      <c r="AG77" s="194"/>
      <c r="AH77" s="194"/>
      <c r="AI77" s="194"/>
      <c r="AJ77" s="194"/>
      <c r="AK77" s="194"/>
    </row>
    <row r="78" spans="1:37" ht="12.75" customHeight="1" x14ac:dyDescent="0.25">
      <c r="A78" s="2"/>
      <c r="B78" s="2"/>
      <c r="C78" s="2"/>
      <c r="D78" s="2"/>
      <c r="E78" s="2" t="s">
        <v>619</v>
      </c>
      <c r="F78" s="193" t="s">
        <v>28</v>
      </c>
      <c r="G78" s="193"/>
      <c r="H78" s="268">
        <f t="shared" ref="H78:Y78" si="66">SUM(H74:H77)</f>
        <v>-128.05699999999999</v>
      </c>
      <c r="I78" s="268">
        <f t="shared" si="66"/>
        <v>-126.47499999999999</v>
      </c>
      <c r="J78" s="268">
        <f t="shared" si="66"/>
        <v>-84.681636496350364</v>
      </c>
      <c r="K78" s="268">
        <f t="shared" si="66"/>
        <v>-87.51523152270704</v>
      </c>
      <c r="L78" s="268">
        <f t="shared" si="66"/>
        <v>-92.646599455040871</v>
      </c>
      <c r="M78" s="268">
        <f t="shared" si="66"/>
        <v>-96.874712041884806</v>
      </c>
      <c r="N78" s="268">
        <f t="shared" si="66"/>
        <v>-93.612718749999985</v>
      </c>
      <c r="O78" s="268">
        <f t="shared" si="66"/>
        <v>-94.046387512734967</v>
      </c>
      <c r="P78" s="480">
        <f t="shared" si="66"/>
        <v>-105.23866072233976</v>
      </c>
      <c r="Q78" s="268">
        <f t="shared" si="66"/>
        <v>-102.49822768763222</v>
      </c>
      <c r="R78" s="268">
        <f t="shared" si="66"/>
        <v>-99.558990523586246</v>
      </c>
      <c r="S78" s="268">
        <f t="shared" si="66"/>
        <v>-101.10501915199073</v>
      </c>
      <c r="T78" s="268">
        <f t="shared" si="66"/>
        <v>-102.32260198065119</v>
      </c>
      <c r="U78" s="268">
        <f t="shared" si="66"/>
        <v>-102.98108667135247</v>
      </c>
      <c r="V78" s="268">
        <f t="shared" si="66"/>
        <v>-102.81036787503595</v>
      </c>
      <c r="W78" s="268">
        <f t="shared" si="66"/>
        <v>-102.47293339066545</v>
      </c>
      <c r="X78" s="268">
        <f t="shared" si="66"/>
        <v>-102.37348600040674</v>
      </c>
      <c r="Y78" s="268">
        <f t="shared" si="66"/>
        <v>-102.01533916016513</v>
      </c>
      <c r="Z78" s="194"/>
      <c r="AA78" s="194"/>
      <c r="AB78" s="194"/>
      <c r="AC78" s="194"/>
      <c r="AD78" s="194"/>
      <c r="AE78" s="194"/>
      <c r="AF78" s="194"/>
      <c r="AG78" s="194"/>
      <c r="AH78" s="194"/>
      <c r="AI78" s="194"/>
      <c r="AJ78" s="194"/>
      <c r="AK78" s="194"/>
    </row>
    <row r="79" spans="1:37" ht="12.75" customHeight="1" x14ac:dyDescent="0.25">
      <c r="A79" s="2"/>
      <c r="B79" s="2"/>
      <c r="C79" s="2"/>
      <c r="D79" s="2"/>
      <c r="E79" s="2"/>
      <c r="F79" s="33"/>
      <c r="G79" s="224"/>
      <c r="H79" s="226"/>
      <c r="I79" s="226"/>
      <c r="J79" s="226"/>
      <c r="K79" s="226"/>
      <c r="L79" s="226"/>
      <c r="M79" s="226"/>
      <c r="N79" s="226"/>
      <c r="O79" s="226"/>
      <c r="P79" s="226"/>
      <c r="Q79" s="226"/>
      <c r="R79" s="226"/>
      <c r="S79" s="226"/>
      <c r="T79" s="226"/>
      <c r="U79" s="226"/>
      <c r="V79" s="226"/>
      <c r="W79" s="226"/>
      <c r="X79" s="226"/>
      <c r="Y79" s="226"/>
      <c r="Z79" s="194"/>
      <c r="AA79" s="194"/>
      <c r="AB79" s="194"/>
      <c r="AC79" s="194"/>
      <c r="AD79" s="194"/>
      <c r="AE79" s="194"/>
      <c r="AF79" s="194"/>
      <c r="AG79" s="194"/>
      <c r="AH79" s="194"/>
      <c r="AI79" s="194"/>
      <c r="AJ79" s="194"/>
      <c r="AK79" s="194"/>
    </row>
    <row r="80" spans="1:37" ht="12.75" customHeight="1" x14ac:dyDescent="0.25">
      <c r="A80" s="2"/>
      <c r="B80" s="2"/>
      <c r="C80" s="188" t="s">
        <v>620</v>
      </c>
      <c r="D80" s="189"/>
      <c r="E80" s="189"/>
      <c r="F80" s="190"/>
      <c r="G80" s="190"/>
      <c r="H80" s="191"/>
      <c r="I80" s="191"/>
      <c r="J80" s="191"/>
      <c r="K80" s="191"/>
      <c r="L80" s="191"/>
      <c r="M80" s="191"/>
      <c r="N80" s="191"/>
      <c r="O80" s="191"/>
      <c r="P80" s="191"/>
      <c r="Q80" s="191"/>
      <c r="R80" s="191"/>
      <c r="S80" s="191"/>
      <c r="T80" s="191"/>
      <c r="U80" s="191"/>
      <c r="V80" s="191"/>
      <c r="W80" s="191"/>
      <c r="X80" s="191"/>
      <c r="Y80" s="191"/>
      <c r="Z80" s="194"/>
      <c r="AA80" s="194"/>
      <c r="AB80" s="194"/>
      <c r="AC80" s="194"/>
      <c r="AD80" s="194"/>
      <c r="AE80" s="194"/>
      <c r="AF80" s="194"/>
      <c r="AG80" s="194"/>
      <c r="AH80" s="194"/>
      <c r="AI80" s="194"/>
      <c r="AJ80" s="194"/>
      <c r="AK80" s="194"/>
    </row>
    <row r="81" spans="1:37" ht="12.75" customHeight="1" x14ac:dyDescent="0.25">
      <c r="A81" s="2"/>
      <c r="B81" s="2"/>
      <c r="C81" s="2"/>
      <c r="D81" s="2"/>
      <c r="E81" s="2"/>
      <c r="F81" s="33"/>
      <c r="G81" s="224"/>
      <c r="H81" s="226"/>
      <c r="I81" s="226"/>
      <c r="J81" s="226"/>
      <c r="K81" s="226"/>
      <c r="L81" s="226"/>
      <c r="M81" s="226"/>
      <c r="N81" s="226"/>
      <c r="O81" s="226"/>
      <c r="P81" s="478"/>
      <c r="Q81" s="226"/>
      <c r="R81" s="226"/>
      <c r="S81" s="226"/>
      <c r="T81" s="226"/>
      <c r="U81" s="226"/>
      <c r="V81" s="226"/>
      <c r="W81" s="226"/>
      <c r="X81" s="226"/>
      <c r="Y81" s="226"/>
      <c r="Z81" s="194"/>
      <c r="AA81" s="194"/>
      <c r="AB81" s="194"/>
      <c r="AC81" s="194"/>
      <c r="AD81" s="194"/>
      <c r="AE81" s="194"/>
      <c r="AF81" s="194"/>
      <c r="AG81" s="194"/>
      <c r="AH81" s="194"/>
      <c r="AI81" s="194"/>
      <c r="AJ81" s="194"/>
      <c r="AK81" s="194"/>
    </row>
    <row r="82" spans="1:37" ht="12.75" customHeight="1" x14ac:dyDescent="0.25">
      <c r="A82" s="2"/>
      <c r="B82" s="2"/>
      <c r="C82" s="2"/>
      <c r="D82" s="2"/>
      <c r="E82" s="1" t="s">
        <v>355</v>
      </c>
      <c r="F82" s="33" t="s">
        <v>28</v>
      </c>
      <c r="G82" s="33"/>
      <c r="H82" s="80">
        <f>H57*'&gt;&gt; Inputs'!$G$72</f>
        <v>56.135240000000003</v>
      </c>
      <c r="I82" s="80">
        <f>I57*'&gt;&gt; Inputs'!$G$72</f>
        <v>58.888200000000005</v>
      </c>
      <c r="J82" s="80">
        <f>J57*'&gt;&gt; Inputs'!$G$72</f>
        <v>61.736359999999998</v>
      </c>
      <c r="K82" s="80">
        <f>K57*'&gt;&gt; Inputs'!$G$72</f>
        <v>41.391560000000005</v>
      </c>
      <c r="L82" s="80">
        <f>L57*'&gt;&gt; Inputs'!$G$72</f>
        <v>44.208080000000002</v>
      </c>
      <c r="M82" s="80">
        <f>M57*'&gt;&gt; Inputs'!$G$72</f>
        <v>16.366000000000003</v>
      </c>
      <c r="N82" s="80">
        <f>N57*'&gt;&gt; Inputs'!$G$72</f>
        <v>60.081000000000003</v>
      </c>
      <c r="O82" s="80">
        <f>O57*'&gt;&gt; Inputs'!$G$72</f>
        <v>54.964000000000006</v>
      </c>
      <c r="P82" s="80">
        <f>P57*'&gt;&gt; Inputs'!$G$72</f>
        <v>45.192924977416723</v>
      </c>
      <c r="Q82" s="80">
        <f>Q57*'&gt;&gt; Inputs'!$G$72</f>
        <v>42.086441178602342</v>
      </c>
      <c r="R82" s="80">
        <f>R57*'&gt;&gt; Inputs'!$G$72</f>
        <v>43.20773390217439</v>
      </c>
      <c r="S82" s="80">
        <f>S57*'&gt;&gt; Inputs'!$G$72</f>
        <v>44.35145248021788</v>
      </c>
      <c r="T82" s="80">
        <f>T57*'&gt;&gt; Inputs'!$G$72</f>
        <v>45.518045429822237</v>
      </c>
      <c r="U82" s="80">
        <f>U57*'&gt;&gt; Inputs'!$G$72</f>
        <v>46.707970238418682</v>
      </c>
      <c r="V82" s="80">
        <f>V57*'&gt;&gt; Inputs'!$G$72</f>
        <v>47.921693543187054</v>
      </c>
      <c r="W82" s="80">
        <f>W57*'&gt;&gt; Inputs'!$G$72</f>
        <v>49.159691314050789</v>
      </c>
      <c r="X82" s="80">
        <f>X57*'&gt;&gt; Inputs'!$G$72</f>
        <v>50.422449040331806</v>
      </c>
      <c r="Y82" s="80">
        <f>Y57*'&gt;&gt; Inputs'!$G$72</f>
        <v>51.710461921138446</v>
      </c>
      <c r="Z82" s="194"/>
      <c r="AA82" s="194"/>
      <c r="AB82" s="194"/>
      <c r="AC82" s="194"/>
      <c r="AD82" s="194"/>
      <c r="AE82" s="194"/>
      <c r="AF82" s="194"/>
      <c r="AG82" s="194"/>
      <c r="AH82" s="194"/>
      <c r="AI82" s="194"/>
      <c r="AJ82" s="194"/>
      <c r="AK82" s="194"/>
    </row>
    <row r="83" spans="1:37" ht="12.75" customHeight="1" x14ac:dyDescent="0.25">
      <c r="A83" s="2"/>
      <c r="B83" s="2"/>
      <c r="C83" s="2"/>
      <c r="D83" s="2"/>
      <c r="E83" s="1" t="s">
        <v>356</v>
      </c>
      <c r="F83" s="33" t="s">
        <v>28</v>
      </c>
      <c r="G83" s="33"/>
      <c r="H83" s="80">
        <f>H58*'&gt;&gt; Inputs'!$G$72</f>
        <v>5.4549600000000007</v>
      </c>
      <c r="I83" s="80">
        <f>I58*'&gt;&gt; Inputs'!$G$72</f>
        <v>6.5198000000000009</v>
      </c>
      <c r="J83" s="80">
        <f>J58*'&gt;&gt; Inputs'!$G$72</f>
        <v>6.6639999999999997</v>
      </c>
      <c r="K83" s="80">
        <f>K58*'&gt;&gt; Inputs'!$G$72</f>
        <v>5.4039999999999999</v>
      </c>
      <c r="L83" s="80">
        <f>L58*'&gt;&gt; Inputs'!$G$72</f>
        <v>9.240000000000002</v>
      </c>
      <c r="M83" s="80">
        <f>M58*'&gt;&gt; Inputs'!$G$72</f>
        <v>6.104000000000001</v>
      </c>
      <c r="N83" s="80">
        <f>N58*'&gt;&gt; Inputs'!$G$72</f>
        <v>9.5200000000000031</v>
      </c>
      <c r="O83" s="80">
        <f>O58*'&gt;&gt; Inputs'!$G$72</f>
        <v>8.288000000000002</v>
      </c>
      <c r="P83" s="80">
        <f>P58*'&gt;&gt; Inputs'!$G$72</f>
        <v>8.442638387474565</v>
      </c>
      <c r="Q83" s="80">
        <f>Q58*'&gt;&gt; Inputs'!$G$72</f>
        <v>8.6486067302240563</v>
      </c>
      <c r="R83" s="80">
        <f>R58*'&gt;&gt; Inputs'!$G$72</f>
        <v>8.8492358867035374</v>
      </c>
      <c r="S83" s="80">
        <f>S58*'&gt;&gt; Inputs'!$G$72</f>
        <v>9.0535190540469852</v>
      </c>
      <c r="T83" s="80">
        <f>T58*'&gt;&gt; Inputs'!$G$72</f>
        <v>9.2755201909384724</v>
      </c>
      <c r="U83" s="80">
        <f>U58*'&gt;&gt; Inputs'!$G$72</f>
        <v>9.4890176950441063</v>
      </c>
      <c r="V83" s="80">
        <f>V58*'&gt;&gt; Inputs'!$G$72</f>
        <v>9.7170035367677094</v>
      </c>
      <c r="W83" s="80">
        <f>W58*'&gt;&gt; Inputs'!$G$72</f>
        <v>9.9363347813036302</v>
      </c>
      <c r="X83" s="80">
        <f>X58*'&gt;&gt; Inputs'!$G$72</f>
        <v>10.162966547455337</v>
      </c>
      <c r="Y83" s="80">
        <f>Y58*'&gt;&gt; Inputs'!$G$72</f>
        <v>10.397737207745783</v>
      </c>
      <c r="Z83" s="194"/>
      <c r="AA83" s="194"/>
      <c r="AB83" s="194"/>
      <c r="AC83" s="194"/>
      <c r="AD83" s="194"/>
      <c r="AE83" s="194"/>
      <c r="AF83" s="194"/>
      <c r="AG83" s="194"/>
      <c r="AH83" s="194"/>
      <c r="AI83" s="194"/>
      <c r="AJ83" s="194"/>
      <c r="AK83" s="194"/>
    </row>
    <row r="84" spans="1:37" ht="12.75" customHeight="1" x14ac:dyDescent="0.25">
      <c r="A84" s="2"/>
      <c r="B84" s="2"/>
      <c r="C84" s="2"/>
      <c r="D84" s="2"/>
      <c r="E84" s="1" t="s">
        <v>266</v>
      </c>
      <c r="F84" s="33" t="s">
        <v>28</v>
      </c>
      <c r="G84" s="33"/>
      <c r="H84" s="80">
        <f>H59*'&gt;&gt; Inputs'!$G$72</f>
        <v>-8.3001612933504827</v>
      </c>
      <c r="I84" s="80">
        <f>I59*'&gt;&gt; Inputs'!$G$72</f>
        <v>-7.2698522869127462</v>
      </c>
      <c r="J84" s="80">
        <f>J59*'&gt;&gt; Inputs'!$G$72</f>
        <v>1.2793197441911819</v>
      </c>
      <c r="K84" s="80">
        <f>K59*'&gt;&gt; Inputs'!$G$72</f>
        <v>-2.0325741050756916</v>
      </c>
      <c r="L84" s="80">
        <f>L59*'&gt;&gt; Inputs'!$G$72</f>
        <v>6.1288670517711177</v>
      </c>
      <c r="M84" s="80">
        <f>M59*'&gt;&gt; Inputs'!$G$72</f>
        <v>-3.112231762652701</v>
      </c>
      <c r="N84" s="80">
        <f>N59*'&gt;&gt; Inputs'!$G$72</f>
        <v>1.2722476881426907</v>
      </c>
      <c r="O84" s="80">
        <f>O59*'&gt;&gt; Inputs'!$G$72</f>
        <v>2.0979507684931775</v>
      </c>
      <c r="P84" s="80">
        <f>P59*'&gt;&gt; Inputs'!$G$72</f>
        <v>0.4794220381893442</v>
      </c>
      <c r="Q84" s="80">
        <f>Q59*'&gt;&gt; Inputs'!$G$72</f>
        <v>0.69067299608745225</v>
      </c>
      <c r="R84" s="80">
        <f>R59*'&gt;&gt; Inputs'!$G$72</f>
        <v>1.580631065117813</v>
      </c>
      <c r="S84" s="80">
        <f>S59*'&gt;&gt; Inputs'!$G$72</f>
        <v>1.417914149039621</v>
      </c>
      <c r="T84" s="80">
        <f>T59*'&gt;&gt; Inputs'!$G$72</f>
        <v>1.2630024828423361</v>
      </c>
      <c r="U84" s="80">
        <f>U59*'&gt;&gt; Inputs'!$G$72</f>
        <v>1.1909171552396334</v>
      </c>
      <c r="V84" s="80">
        <f>V59*'&gt;&gt; Inputs'!$G$72</f>
        <v>1.4566730698484436</v>
      </c>
      <c r="W84" s="80">
        <f>W59*'&gt;&gt; Inputs'!$G$72</f>
        <v>1.754574235542143</v>
      </c>
      <c r="X84" s="80">
        <f>X59*'&gt;&gt; Inputs'!$G$72</f>
        <v>2.0383363911575341</v>
      </c>
      <c r="Y84" s="80">
        <f>Y59*'&gt;&gt; Inputs'!$G$72</f>
        <v>2.3271569148255535</v>
      </c>
      <c r="Z84" s="194" t="s">
        <v>621</v>
      </c>
      <c r="AA84" s="194"/>
      <c r="AB84" s="194"/>
      <c r="AC84" s="194"/>
      <c r="AD84" s="194"/>
      <c r="AE84" s="194"/>
      <c r="AF84" s="194"/>
      <c r="AG84" s="194"/>
      <c r="AH84" s="194"/>
      <c r="AI84" s="194"/>
      <c r="AJ84" s="194"/>
      <c r="AK84" s="194"/>
    </row>
    <row r="85" spans="1:37" ht="12.75" customHeight="1" x14ac:dyDescent="0.25">
      <c r="A85" s="2"/>
      <c r="B85" s="2"/>
      <c r="C85" s="2"/>
      <c r="D85" s="2"/>
      <c r="E85" s="1" t="s">
        <v>617</v>
      </c>
      <c r="F85" s="33" t="s">
        <v>28</v>
      </c>
      <c r="G85" s="33"/>
      <c r="H85" s="80">
        <f>H60*'&gt;&gt; Inputs'!$G$72</f>
        <v>-10.815840000000001</v>
      </c>
      <c r="I85" s="80">
        <f>I60*'&gt;&gt; Inputs'!$G$72</f>
        <v>-6.3767200000000006</v>
      </c>
      <c r="J85" s="80">
        <f>J60*'&gt;&gt; Inputs'!$G$72</f>
        <v>-14.05152</v>
      </c>
      <c r="K85" s="80">
        <f>K60*'&gt;&gt; Inputs'!$G$72</f>
        <v>-11.031999999999998</v>
      </c>
      <c r="L85" s="80">
        <f>L60*'&gt;&gt; Inputs'!$G$72</f>
        <v>-12.46000000000001</v>
      </c>
      <c r="M85" s="80">
        <f>M60*'&gt;&gt; Inputs'!$G$72</f>
        <v>-3.8920000000000008</v>
      </c>
      <c r="N85" s="80">
        <f>N60*'&gt;&gt; Inputs'!$G$72</f>
        <v>-4.676000000000001</v>
      </c>
      <c r="O85" s="80">
        <f>O60*'&gt;&gt; Inputs'!$G$72</f>
        <v>-11.399359999999984</v>
      </c>
      <c r="P85" s="479">
        <f>P60*'&gt;&gt; Inputs'!$G$72</f>
        <v>-12.861503868987528</v>
      </c>
      <c r="Q85" s="80">
        <f>Q60*'&gt;&gt; Inputs'!$G$72</f>
        <v>-5.9054103463672778</v>
      </c>
      <c r="R85" s="80">
        <f>R60*'&gt;&gt; Inputs'!$G$72</f>
        <v>-5.809907603294624</v>
      </c>
      <c r="S85" s="80">
        <f>S60*'&gt;&gt; Inputs'!$G$72</f>
        <v>-5.9139962366105161</v>
      </c>
      <c r="T85" s="80">
        <f>T60*'&gt;&gt; Inputs'!$G$72</f>
        <v>-5.9442359527489783</v>
      </c>
      <c r="U85" s="80">
        <f>U60*'&gt;&gt; Inputs'!$G$72</f>
        <v>-5.8846954371359876</v>
      </c>
      <c r="V85" s="80">
        <f>V60*'&gt;&gt; Inputs'!$G$72</f>
        <v>-5.937600956877243</v>
      </c>
      <c r="W85" s="80">
        <f>W60*'&gt;&gt; Inputs'!$G$72</f>
        <v>-5.9594560383881401</v>
      </c>
      <c r="X85" s="80">
        <f>X60*'&gt;&gt; Inputs'!$G$72</f>
        <v>-6.0330911043259219</v>
      </c>
      <c r="Y85" s="80">
        <f>Y60*'&gt;&gt; Inputs'!$G$72</f>
        <v>-6.0393093147287153</v>
      </c>
      <c r="Z85" s="194"/>
      <c r="AA85" s="194"/>
      <c r="AB85" s="194"/>
      <c r="AC85" s="194"/>
      <c r="AD85" s="194"/>
      <c r="AE85" s="194"/>
      <c r="AF85" s="194"/>
      <c r="AG85" s="194"/>
      <c r="AH85" s="194"/>
      <c r="AI85" s="194"/>
      <c r="AJ85" s="194"/>
      <c r="AK85" s="194"/>
    </row>
    <row r="86" spans="1:37" ht="12.75" customHeight="1" x14ac:dyDescent="0.25">
      <c r="A86" s="2"/>
      <c r="B86" s="2"/>
      <c r="C86" s="2"/>
      <c r="D86" s="2"/>
      <c r="E86" s="2" t="s">
        <v>622</v>
      </c>
      <c r="F86" s="193" t="s">
        <v>28</v>
      </c>
      <c r="G86" s="193"/>
      <c r="H86" s="268">
        <f t="shared" ref="H86:O86" si="67">SUM(H82:H85)</f>
        <v>42.474198706649517</v>
      </c>
      <c r="I86" s="268">
        <f t="shared" si="67"/>
        <v>51.761427713087258</v>
      </c>
      <c r="J86" s="268">
        <f t="shared" si="67"/>
        <v>55.62815974419118</v>
      </c>
      <c r="K86" s="268">
        <f t="shared" si="67"/>
        <v>33.730985894924324</v>
      </c>
      <c r="L86" s="268">
        <f t="shared" si="67"/>
        <v>47.116947051771113</v>
      </c>
      <c r="M86" s="268">
        <f t="shared" si="67"/>
        <v>15.465768237347303</v>
      </c>
      <c r="N86" s="268">
        <f t="shared" si="67"/>
        <v>66.197247688142681</v>
      </c>
      <c r="O86" s="268">
        <f t="shared" si="67"/>
        <v>53.9505907684932</v>
      </c>
      <c r="P86" s="268">
        <f>SUM(P82:P84)</f>
        <v>54.114985403080631</v>
      </c>
      <c r="Q86" s="268">
        <f t="shared" ref="Q86:Y86" si="68">SUM(Q82:Q84)</f>
        <v>51.425720904913852</v>
      </c>
      <c r="R86" s="268">
        <f t="shared" si="68"/>
        <v>53.637600853995743</v>
      </c>
      <c r="S86" s="268">
        <f t="shared" si="68"/>
        <v>54.822885683304484</v>
      </c>
      <c r="T86" s="268">
        <f t="shared" si="68"/>
        <v>56.056568103603048</v>
      </c>
      <c r="U86" s="268">
        <f t="shared" si="68"/>
        <v>57.387905088702418</v>
      </c>
      <c r="V86" s="268">
        <f t="shared" si="68"/>
        <v>59.095370149803209</v>
      </c>
      <c r="W86" s="268">
        <f t="shared" si="68"/>
        <v>60.850600330896562</v>
      </c>
      <c r="X86" s="268">
        <f t="shared" si="68"/>
        <v>62.623751978944675</v>
      </c>
      <c r="Y86" s="268">
        <f t="shared" si="68"/>
        <v>64.435356043709788</v>
      </c>
      <c r="Z86" s="194"/>
      <c r="AA86" s="194"/>
      <c r="AB86" s="194"/>
      <c r="AC86" s="194"/>
      <c r="AD86" s="194"/>
      <c r="AE86" s="194"/>
      <c r="AF86" s="194"/>
      <c r="AG86" s="194"/>
      <c r="AH86" s="194"/>
      <c r="AI86" s="194"/>
      <c r="AJ86" s="194"/>
      <c r="AK86" s="194"/>
    </row>
    <row r="87" spans="1:37" ht="12.75" customHeight="1" x14ac:dyDescent="0.25">
      <c r="A87" s="2"/>
      <c r="B87" s="2"/>
      <c r="C87" s="2"/>
      <c r="D87" s="2"/>
      <c r="E87" s="2"/>
      <c r="F87" s="33"/>
      <c r="G87" s="224"/>
      <c r="H87" s="226"/>
      <c r="I87" s="226"/>
      <c r="J87" s="226"/>
      <c r="K87" s="226"/>
      <c r="L87" s="226"/>
      <c r="M87" s="226"/>
      <c r="N87" s="226"/>
      <c r="O87" s="226"/>
      <c r="P87" s="226"/>
      <c r="Q87" s="226"/>
      <c r="R87" s="226"/>
      <c r="S87" s="226"/>
      <c r="T87" s="226"/>
      <c r="U87" s="226"/>
      <c r="V87" s="226"/>
      <c r="W87" s="226"/>
      <c r="X87" s="226"/>
      <c r="Y87" s="226"/>
      <c r="Z87" s="194"/>
      <c r="AA87" s="194"/>
      <c r="AB87" s="194"/>
      <c r="AC87" s="194"/>
      <c r="AD87" s="194"/>
      <c r="AE87" s="194"/>
      <c r="AF87" s="194"/>
      <c r="AG87" s="194"/>
      <c r="AH87" s="194"/>
      <c r="AI87" s="194"/>
      <c r="AJ87" s="194"/>
      <c r="AK87" s="194"/>
    </row>
    <row r="88" spans="1:37" ht="12.75" customHeight="1" x14ac:dyDescent="0.25">
      <c r="A88" s="2"/>
      <c r="B88" s="2"/>
      <c r="C88" s="188" t="s">
        <v>623</v>
      </c>
      <c r="D88" s="189"/>
      <c r="E88" s="189"/>
      <c r="F88" s="190"/>
      <c r="G88" s="190"/>
      <c r="H88" s="191"/>
      <c r="I88" s="191"/>
      <c r="J88" s="191"/>
      <c r="K88" s="191"/>
      <c r="L88" s="191"/>
      <c r="M88" s="191"/>
      <c r="N88" s="191"/>
      <c r="O88" s="191"/>
      <c r="P88" s="191"/>
      <c r="Q88" s="191"/>
      <c r="R88" s="191"/>
      <c r="S88" s="191"/>
      <c r="T88" s="191"/>
      <c r="U88" s="191"/>
      <c r="V88" s="191"/>
      <c r="W88" s="191"/>
      <c r="X88" s="191"/>
      <c r="Y88" s="191"/>
      <c r="AA88" s="194"/>
      <c r="AB88" s="194"/>
      <c r="AC88" s="194"/>
      <c r="AD88" s="194"/>
      <c r="AE88" s="194"/>
      <c r="AF88" s="194"/>
      <c r="AG88" s="194"/>
      <c r="AH88" s="194"/>
      <c r="AI88" s="194"/>
      <c r="AJ88" s="194"/>
      <c r="AK88" s="194"/>
    </row>
    <row r="89" spans="1:37" ht="12.75" customHeight="1" x14ac:dyDescent="0.25">
      <c r="A89" s="2"/>
      <c r="B89" s="2"/>
      <c r="C89" s="2"/>
      <c r="D89" s="2"/>
      <c r="E89" s="2"/>
      <c r="F89" s="33"/>
      <c r="G89" s="224"/>
      <c r="H89" s="226"/>
      <c r="I89" s="226"/>
      <c r="J89" s="226"/>
      <c r="K89" s="226"/>
      <c r="L89" s="226"/>
      <c r="M89" s="226"/>
      <c r="N89" s="226"/>
      <c r="O89" s="226"/>
      <c r="P89" s="478"/>
      <c r="Q89" s="226"/>
      <c r="R89" s="226"/>
      <c r="S89" s="226"/>
      <c r="T89" s="226"/>
      <c r="U89" s="226"/>
      <c r="V89" s="226"/>
      <c r="W89" s="226"/>
      <c r="X89" s="226"/>
      <c r="Y89" s="226"/>
      <c r="Z89" s="194"/>
      <c r="AA89" s="194"/>
      <c r="AB89" s="194"/>
      <c r="AC89" s="194"/>
      <c r="AD89" s="194"/>
      <c r="AE89" s="194"/>
      <c r="AF89" s="194"/>
      <c r="AG89" s="194"/>
      <c r="AH89" s="194"/>
      <c r="AI89" s="194"/>
      <c r="AJ89" s="194"/>
      <c r="AK89" s="194"/>
    </row>
    <row r="90" spans="1:37" ht="12.75" customHeight="1" x14ac:dyDescent="0.25">
      <c r="A90" s="2"/>
      <c r="B90" s="2"/>
      <c r="C90" s="2"/>
      <c r="D90" s="2"/>
      <c r="E90" s="1" t="s">
        <v>624</v>
      </c>
      <c r="F90" s="33" t="s">
        <v>28</v>
      </c>
      <c r="G90" s="224"/>
      <c r="H90" s="267">
        <v>-18.399999999999999</v>
      </c>
      <c r="I90" s="267">
        <v>-13</v>
      </c>
      <c r="J90" s="267">
        <v>-11.3</v>
      </c>
      <c r="K90" s="267">
        <v>-22.4</v>
      </c>
      <c r="L90" s="267">
        <v>-33.9</v>
      </c>
      <c r="M90" s="267">
        <v>-37.5</v>
      </c>
      <c r="N90" s="267">
        <v>-29.9</v>
      </c>
      <c r="O90" s="267">
        <v>-22.5</v>
      </c>
      <c r="P90" s="80">
        <f t="shared" ref="P90:Y90" si="69">O90*(1+P91)</f>
        <v>-23.309393522616194</v>
      </c>
      <c r="Q90" s="80">
        <f t="shared" si="69"/>
        <v>-24.174502928507415</v>
      </c>
      <c r="R90" s="80">
        <f t="shared" si="69"/>
        <v>-25.099306928273556</v>
      </c>
      <c r="S90" s="80">
        <f t="shared" si="69"/>
        <v>-26.088131720454207</v>
      </c>
      <c r="T90" s="80">
        <f t="shared" si="69"/>
        <v>-27.145683239107992</v>
      </c>
      <c r="U90" s="80">
        <f t="shared" si="69"/>
        <v>-28.277082728112976</v>
      </c>
      <c r="V90" s="80">
        <f t="shared" si="69"/>
        <v>-29.48790600543435</v>
      </c>
      <c r="W90" s="80">
        <f t="shared" si="69"/>
        <v>-30.784226823148273</v>
      </c>
      <c r="X90" s="80">
        <f t="shared" si="69"/>
        <v>-32.172664776788309</v>
      </c>
      <c r="Y90" s="80">
        <f t="shared" si="69"/>
        <v>-33.660438271272689</v>
      </c>
      <c r="Z90" s="194"/>
      <c r="AA90" s="194"/>
      <c r="AB90" s="194"/>
      <c r="AC90" s="194"/>
      <c r="AD90" s="194"/>
      <c r="AE90" s="194"/>
      <c r="AF90" s="194"/>
      <c r="AG90" s="194"/>
      <c r="AH90" s="194"/>
      <c r="AI90" s="194"/>
      <c r="AJ90" s="194"/>
      <c r="AK90" s="194"/>
    </row>
    <row r="91" spans="1:37" ht="12.75" customHeight="1" x14ac:dyDescent="0.25">
      <c r="A91" s="2"/>
      <c r="B91" s="2"/>
      <c r="C91" s="2"/>
      <c r="D91" s="2"/>
      <c r="E91" s="44" t="s">
        <v>625</v>
      </c>
      <c r="F91" s="33" t="s">
        <v>8</v>
      </c>
      <c r="G91" s="224"/>
      <c r="H91" s="226"/>
      <c r="I91" s="226">
        <f t="shared" ref="I91:O91" si="70">I90/H90-1</f>
        <v>-0.29347826086956519</v>
      </c>
      <c r="J91" s="226">
        <f t="shared" si="70"/>
        <v>-0.13076923076923075</v>
      </c>
      <c r="K91" s="226">
        <f t="shared" si="70"/>
        <v>0.98230088495575196</v>
      </c>
      <c r="L91" s="226">
        <f t="shared" si="70"/>
        <v>0.51339285714285721</v>
      </c>
      <c r="M91" s="226">
        <f t="shared" si="70"/>
        <v>0.10619469026548667</v>
      </c>
      <c r="N91" s="226">
        <f t="shared" si="70"/>
        <v>-0.20266666666666666</v>
      </c>
      <c r="O91" s="226">
        <f t="shared" si="70"/>
        <v>-0.24749163879598657</v>
      </c>
      <c r="P91" s="270">
        <v>3.5973045449608498E-2</v>
      </c>
      <c r="Q91" s="270">
        <v>3.7114196259625497E-2</v>
      </c>
      <c r="R91" s="270">
        <v>3.8255347069642502E-2</v>
      </c>
      <c r="S91" s="270">
        <v>3.9396497879659501E-2</v>
      </c>
      <c r="T91" s="270">
        <v>4.0537648689676797E-2</v>
      </c>
      <c r="U91" s="270">
        <v>4.1678799499693803E-2</v>
      </c>
      <c r="V91" s="270">
        <v>4.2819950309710697E-2</v>
      </c>
      <c r="W91" s="270">
        <v>4.3961101119727702E-2</v>
      </c>
      <c r="X91" s="270">
        <v>4.5102251929744701E-2</v>
      </c>
      <c r="Y91" s="270">
        <v>4.6243402739761998E-2</v>
      </c>
      <c r="Z91" s="194"/>
      <c r="AA91" s="194"/>
      <c r="AB91" s="194"/>
      <c r="AC91" s="194"/>
      <c r="AD91" s="194"/>
      <c r="AE91" s="194"/>
      <c r="AF91" s="194"/>
      <c r="AG91" s="194"/>
      <c r="AH91" s="194"/>
      <c r="AI91" s="194"/>
      <c r="AJ91" s="194"/>
      <c r="AK91" s="194"/>
    </row>
    <row r="92" spans="1:37" ht="12.75" customHeight="1" x14ac:dyDescent="0.25">
      <c r="A92" s="2"/>
      <c r="B92" s="2"/>
      <c r="C92" s="2"/>
      <c r="D92" s="2"/>
      <c r="E92" s="2"/>
      <c r="F92" s="33"/>
      <c r="G92" s="224"/>
      <c r="H92" s="226"/>
      <c r="I92" s="226"/>
      <c r="J92" s="226"/>
      <c r="K92" s="226"/>
      <c r="L92" s="226"/>
      <c r="M92" s="226"/>
      <c r="N92" s="226"/>
      <c r="O92" s="226"/>
      <c r="P92" s="226"/>
      <c r="Q92" s="226"/>
      <c r="R92" s="226"/>
      <c r="S92" s="226"/>
      <c r="T92" s="226"/>
      <c r="U92" s="226"/>
      <c r="V92" s="226"/>
      <c r="W92" s="226"/>
      <c r="X92" s="226"/>
      <c r="Y92" s="226"/>
      <c r="Z92" s="194"/>
      <c r="AA92" s="194"/>
      <c r="AB92" s="194"/>
      <c r="AC92" s="194"/>
      <c r="AD92" s="194"/>
      <c r="AE92" s="194"/>
      <c r="AF92" s="194"/>
      <c r="AG92" s="194"/>
      <c r="AH92" s="194"/>
      <c r="AI92" s="194"/>
      <c r="AJ92" s="194"/>
      <c r="AK92" s="194"/>
    </row>
    <row r="93" spans="1:37" ht="12.75" customHeight="1" x14ac:dyDescent="0.25">
      <c r="A93" s="2"/>
      <c r="B93" s="2"/>
      <c r="C93" s="188" t="s">
        <v>736</v>
      </c>
      <c r="D93" s="189"/>
      <c r="E93" s="189"/>
      <c r="F93" s="190"/>
      <c r="G93" s="190"/>
      <c r="H93" s="191"/>
      <c r="I93" s="191"/>
      <c r="J93" s="191"/>
      <c r="K93" s="191"/>
      <c r="L93" s="191"/>
      <c r="M93" s="191"/>
      <c r="N93" s="191"/>
      <c r="O93" s="191"/>
      <c r="P93" s="191"/>
      <c r="Q93" s="191"/>
      <c r="R93" s="191"/>
      <c r="S93" s="191"/>
      <c r="T93" s="191"/>
      <c r="U93" s="191"/>
      <c r="V93" s="191"/>
      <c r="W93" s="191"/>
      <c r="X93" s="191"/>
      <c r="Y93" s="191"/>
      <c r="Z93" s="2"/>
      <c r="AA93" s="194"/>
      <c r="AB93" s="194"/>
      <c r="AC93" s="194"/>
      <c r="AD93" s="194"/>
      <c r="AE93" s="194"/>
      <c r="AF93" s="194"/>
      <c r="AG93" s="194"/>
      <c r="AH93" s="194"/>
      <c r="AI93" s="194"/>
      <c r="AJ93" s="194"/>
      <c r="AK93" s="194"/>
    </row>
    <row r="94" spans="1:37" ht="12.75" customHeight="1" x14ac:dyDescent="0.25">
      <c r="A94" s="2"/>
      <c r="B94" s="2"/>
      <c r="C94" s="2"/>
      <c r="D94" s="2"/>
      <c r="E94" s="2"/>
      <c r="F94" s="33"/>
      <c r="G94" s="224"/>
      <c r="H94" s="226"/>
      <c r="I94" s="226"/>
      <c r="J94" s="226"/>
      <c r="K94" s="226"/>
      <c r="L94" s="226"/>
      <c r="M94" s="226"/>
      <c r="N94" s="226"/>
      <c r="O94" s="226"/>
      <c r="P94" s="226"/>
      <c r="Q94" s="226"/>
      <c r="R94" s="226"/>
      <c r="S94" s="226"/>
      <c r="T94" s="226"/>
      <c r="U94" s="226"/>
      <c r="V94" s="226"/>
      <c r="W94" s="226"/>
      <c r="X94" s="226"/>
      <c r="Y94" s="226"/>
      <c r="Z94" s="194"/>
      <c r="AA94" s="194"/>
      <c r="AB94" s="194"/>
      <c r="AC94" s="194"/>
      <c r="AD94" s="194"/>
      <c r="AE94" s="194"/>
      <c r="AF94" s="194"/>
      <c r="AG94" s="194"/>
      <c r="AH94" s="194"/>
      <c r="AI94" s="194"/>
      <c r="AJ94" s="194"/>
      <c r="AK94" s="194"/>
    </row>
    <row r="95" spans="1:37" ht="12.75" customHeight="1" x14ac:dyDescent="0.25">
      <c r="A95" s="2"/>
      <c r="B95" s="2"/>
      <c r="C95" s="2"/>
      <c r="D95" s="2"/>
      <c r="E95" s="1" t="s">
        <v>355</v>
      </c>
      <c r="F95" s="33" t="s">
        <v>28</v>
      </c>
      <c r="G95" s="224"/>
      <c r="H95" s="80">
        <f t="shared" ref="H95:Y95" si="71">H57-H82</f>
        <v>144.34775999999999</v>
      </c>
      <c r="I95" s="80">
        <f t="shared" si="71"/>
        <v>151.42679999999999</v>
      </c>
      <c r="J95" s="80">
        <f t="shared" si="71"/>
        <v>158.75063999999998</v>
      </c>
      <c r="K95" s="80">
        <f t="shared" si="71"/>
        <v>106.43544</v>
      </c>
      <c r="L95" s="80">
        <f t="shared" si="71"/>
        <v>113.67792</v>
      </c>
      <c r="M95" s="80">
        <f t="shared" si="71"/>
        <v>42.084000000000003</v>
      </c>
      <c r="N95" s="80">
        <f t="shared" si="71"/>
        <v>154.49399999999997</v>
      </c>
      <c r="O95" s="80">
        <f t="shared" si="71"/>
        <v>141.33600000000001</v>
      </c>
      <c r="P95" s="80">
        <f t="shared" si="71"/>
        <v>116.21037851335727</v>
      </c>
      <c r="Q95" s="80">
        <f t="shared" si="71"/>
        <v>108.22227731640601</v>
      </c>
      <c r="R95" s="80">
        <f t="shared" si="71"/>
        <v>111.10560146273411</v>
      </c>
      <c r="S95" s="80">
        <f t="shared" si="71"/>
        <v>114.0465920919888</v>
      </c>
      <c r="T95" s="80">
        <f t="shared" si="71"/>
        <v>117.04640253382858</v>
      </c>
      <c r="U95" s="80">
        <f t="shared" si="71"/>
        <v>120.10620918450516</v>
      </c>
      <c r="V95" s="80">
        <f t="shared" si="71"/>
        <v>123.22721196819526</v>
      </c>
      <c r="W95" s="80">
        <f t="shared" si="71"/>
        <v>126.41063480755916</v>
      </c>
      <c r="X95" s="80">
        <f t="shared" si="71"/>
        <v>129.65772610371036</v>
      </c>
      <c r="Y95" s="80">
        <f t="shared" si="71"/>
        <v>132.96975922578457</v>
      </c>
      <c r="Z95" s="194"/>
      <c r="AA95" s="194"/>
      <c r="AB95" s="194"/>
      <c r="AC95" s="194"/>
      <c r="AD95" s="194"/>
      <c r="AE95" s="194"/>
      <c r="AF95" s="194"/>
      <c r="AG95" s="194"/>
      <c r="AH95" s="194"/>
      <c r="AI95" s="194"/>
      <c r="AJ95" s="194"/>
      <c r="AK95" s="194"/>
    </row>
    <row r="96" spans="1:37" ht="12.75" customHeight="1" x14ac:dyDescent="0.25">
      <c r="A96" s="2"/>
      <c r="B96" s="2"/>
      <c r="C96" s="2"/>
      <c r="D96" s="2"/>
      <c r="E96" s="1" t="s">
        <v>356</v>
      </c>
      <c r="F96" s="33" t="s">
        <v>28</v>
      </c>
      <c r="G96" s="224"/>
      <c r="H96" s="80">
        <f t="shared" ref="H96:Y96" si="72">H58-H83</f>
        <v>14.02704</v>
      </c>
      <c r="I96" s="80">
        <f t="shared" si="72"/>
        <v>16.7652</v>
      </c>
      <c r="J96" s="80">
        <f t="shared" si="72"/>
        <v>17.135999999999996</v>
      </c>
      <c r="K96" s="80">
        <f t="shared" si="72"/>
        <v>13.895999999999997</v>
      </c>
      <c r="L96" s="80">
        <f t="shared" si="72"/>
        <v>23.760000000000005</v>
      </c>
      <c r="M96" s="80">
        <f t="shared" si="72"/>
        <v>15.696</v>
      </c>
      <c r="N96" s="80">
        <f t="shared" si="72"/>
        <v>24.480000000000004</v>
      </c>
      <c r="O96" s="80">
        <f t="shared" si="72"/>
        <v>21.311999999999998</v>
      </c>
      <c r="P96" s="80">
        <f t="shared" si="72"/>
        <v>21.709641567791735</v>
      </c>
      <c r="Q96" s="80">
        <f t="shared" si="72"/>
        <v>22.239274449147569</v>
      </c>
      <c r="R96" s="80">
        <f t="shared" si="72"/>
        <v>22.755177994380524</v>
      </c>
      <c r="S96" s="80">
        <f t="shared" si="72"/>
        <v>23.280477567549383</v>
      </c>
      <c r="T96" s="80">
        <f t="shared" si="72"/>
        <v>23.85133763384178</v>
      </c>
      <c r="U96" s="80">
        <f t="shared" si="72"/>
        <v>24.400331215827698</v>
      </c>
      <c r="V96" s="80">
        <f t="shared" si="72"/>
        <v>24.986580523116967</v>
      </c>
      <c r="W96" s="80">
        <f t="shared" si="72"/>
        <v>25.550575151923617</v>
      </c>
      <c r="X96" s="80">
        <f t="shared" si="72"/>
        <v>26.133342550599433</v>
      </c>
      <c r="Y96" s="80">
        <f t="shared" si="72"/>
        <v>26.737038534203435</v>
      </c>
      <c r="Z96" s="194"/>
      <c r="AA96" s="194"/>
      <c r="AB96" s="194"/>
      <c r="AC96" s="194"/>
      <c r="AD96" s="194"/>
      <c r="AE96" s="194"/>
      <c r="AF96" s="194"/>
      <c r="AG96" s="194"/>
      <c r="AH96" s="194"/>
      <c r="AI96" s="194"/>
      <c r="AJ96" s="194"/>
      <c r="AK96" s="194"/>
    </row>
    <row r="97" spans="1:37" ht="12.75" customHeight="1" x14ac:dyDescent="0.25">
      <c r="A97" s="2"/>
      <c r="B97" s="2"/>
      <c r="C97" s="2"/>
      <c r="D97" s="2"/>
      <c r="E97" s="1" t="s">
        <v>266</v>
      </c>
      <c r="F97" s="33" t="s">
        <v>28</v>
      </c>
      <c r="G97" s="224"/>
      <c r="H97" s="80">
        <f t="shared" ref="H97:Y97" si="73">H59-H84</f>
        <v>-21.343271897186952</v>
      </c>
      <c r="I97" s="80">
        <f t="shared" si="73"/>
        <v>-18.693905880632776</v>
      </c>
      <c r="J97" s="80">
        <f t="shared" si="73"/>
        <v>3.2896793422058961</v>
      </c>
      <c r="K97" s="80">
        <f t="shared" si="73"/>
        <v>-5.226619127337492</v>
      </c>
      <c r="L97" s="80">
        <f t="shared" si="73"/>
        <v>15.759943847411446</v>
      </c>
      <c r="M97" s="80">
        <f t="shared" si="73"/>
        <v>-8.0028816753926577</v>
      </c>
      <c r="N97" s="80">
        <f t="shared" si="73"/>
        <v>3.2714940552240614</v>
      </c>
      <c r="O97" s="80">
        <f t="shared" si="73"/>
        <v>5.394730547553884</v>
      </c>
      <c r="P97" s="80">
        <f t="shared" si="73"/>
        <v>1.2327995267725993</v>
      </c>
      <c r="Q97" s="80">
        <f t="shared" si="73"/>
        <v>1.7760162756534483</v>
      </c>
      <c r="R97" s="80">
        <f t="shared" si="73"/>
        <v>4.0644798817315193</v>
      </c>
      <c r="S97" s="80">
        <f t="shared" si="73"/>
        <v>3.6460649546733102</v>
      </c>
      <c r="T97" s="80">
        <f t="shared" si="73"/>
        <v>3.2477206701660064</v>
      </c>
      <c r="U97" s="80">
        <f t="shared" si="73"/>
        <v>3.0623583991876284</v>
      </c>
      <c r="V97" s="80">
        <f t="shared" si="73"/>
        <v>3.7457307510388542</v>
      </c>
      <c r="W97" s="80">
        <f t="shared" si="73"/>
        <v>4.5117623199655101</v>
      </c>
      <c r="X97" s="80">
        <f t="shared" si="73"/>
        <v>5.2414364344050863</v>
      </c>
      <c r="Y97" s="80">
        <f t="shared" si="73"/>
        <v>5.9841177809799939</v>
      </c>
      <c r="Z97" s="194"/>
      <c r="AA97" s="194"/>
      <c r="AB97" s="194"/>
      <c r="AC97" s="194"/>
      <c r="AD97" s="194"/>
      <c r="AE97" s="194"/>
      <c r="AF97" s="194"/>
      <c r="AG97" s="194"/>
      <c r="AH97" s="194"/>
      <c r="AI97" s="194"/>
      <c r="AJ97" s="194"/>
      <c r="AK97" s="194"/>
    </row>
    <row r="98" spans="1:37" ht="12.75" customHeight="1" x14ac:dyDescent="0.25">
      <c r="A98" s="2"/>
      <c r="B98" s="2"/>
      <c r="C98" s="2"/>
      <c r="D98" s="2"/>
      <c r="E98" s="1" t="s">
        <v>617</v>
      </c>
      <c r="F98" s="33" t="s">
        <v>28</v>
      </c>
      <c r="G98" s="224"/>
      <c r="H98" s="80">
        <f t="shared" ref="H98:O98" si="74">H60-H85</f>
        <v>-27.812159999999999</v>
      </c>
      <c r="I98" s="80">
        <f t="shared" si="74"/>
        <v>-16.397280000000002</v>
      </c>
      <c r="J98" s="80">
        <f t="shared" si="74"/>
        <v>-36.132480000000001</v>
      </c>
      <c r="K98" s="80">
        <f t="shared" si="74"/>
        <v>-28.367999999999995</v>
      </c>
      <c r="L98" s="80">
        <f t="shared" si="74"/>
        <v>-32.04000000000002</v>
      </c>
      <c r="M98" s="80">
        <f t="shared" si="74"/>
        <v>-10.008000000000001</v>
      </c>
      <c r="N98" s="80">
        <f t="shared" si="74"/>
        <v>-12.024000000000001</v>
      </c>
      <c r="O98" s="80">
        <f t="shared" si="74"/>
        <v>-29.312639999999956</v>
      </c>
      <c r="P98" s="80">
        <f>P60</f>
        <v>-45.933942389241167</v>
      </c>
      <c r="Q98" s="80">
        <f t="shared" ref="Q98:Y98" si="75">Q60</f>
        <v>-21.090751237025991</v>
      </c>
      <c r="R98" s="80">
        <f t="shared" si="75"/>
        <v>-20.749670011766511</v>
      </c>
      <c r="S98" s="80">
        <f t="shared" si="75"/>
        <v>-21.121415130751842</v>
      </c>
      <c r="T98" s="80">
        <f t="shared" si="75"/>
        <v>-21.229414116960633</v>
      </c>
      <c r="U98" s="80">
        <f t="shared" si="75"/>
        <v>-21.016769418342811</v>
      </c>
      <c r="V98" s="80">
        <f t="shared" si="75"/>
        <v>-21.205717703133008</v>
      </c>
      <c r="W98" s="80">
        <f t="shared" si="75"/>
        <v>-21.283771565671927</v>
      </c>
      <c r="X98" s="80">
        <f t="shared" si="75"/>
        <v>-21.546753944021148</v>
      </c>
      <c r="Y98" s="80">
        <f t="shared" si="75"/>
        <v>-21.568961838316838</v>
      </c>
      <c r="Z98" s="194"/>
      <c r="AA98" s="194"/>
      <c r="AB98" s="194"/>
      <c r="AC98" s="194"/>
      <c r="AD98" s="194"/>
      <c r="AE98" s="194"/>
      <c r="AF98" s="194"/>
      <c r="AG98" s="194"/>
      <c r="AH98" s="194"/>
      <c r="AI98" s="194"/>
      <c r="AJ98" s="194"/>
      <c r="AK98" s="194"/>
    </row>
    <row r="99" spans="1:37" ht="12.75" customHeight="1" x14ac:dyDescent="0.25">
      <c r="A99" s="2"/>
      <c r="B99" s="2"/>
      <c r="C99" s="2"/>
      <c r="D99" s="2"/>
      <c r="E99" s="1" t="s">
        <v>623</v>
      </c>
      <c r="F99" s="33" t="s">
        <v>28</v>
      </c>
      <c r="G99" s="224"/>
      <c r="H99" s="80">
        <f t="shared" ref="H99:Y99" si="76">H90</f>
        <v>-18.399999999999999</v>
      </c>
      <c r="I99" s="80">
        <f t="shared" si="76"/>
        <v>-13</v>
      </c>
      <c r="J99" s="80">
        <f t="shared" si="76"/>
        <v>-11.3</v>
      </c>
      <c r="K99" s="80">
        <f t="shared" si="76"/>
        <v>-22.4</v>
      </c>
      <c r="L99" s="80">
        <f t="shared" si="76"/>
        <v>-33.9</v>
      </c>
      <c r="M99" s="80">
        <f t="shared" si="76"/>
        <v>-37.5</v>
      </c>
      <c r="N99" s="80">
        <f t="shared" si="76"/>
        <v>-29.9</v>
      </c>
      <c r="O99" s="80">
        <f t="shared" si="76"/>
        <v>-22.5</v>
      </c>
      <c r="P99" s="80">
        <f t="shared" si="76"/>
        <v>-23.309393522616194</v>
      </c>
      <c r="Q99" s="80">
        <f t="shared" si="76"/>
        <v>-24.174502928507415</v>
      </c>
      <c r="R99" s="80">
        <f t="shared" si="76"/>
        <v>-25.099306928273556</v>
      </c>
      <c r="S99" s="80">
        <f t="shared" si="76"/>
        <v>-26.088131720454207</v>
      </c>
      <c r="T99" s="80">
        <f t="shared" si="76"/>
        <v>-27.145683239107992</v>
      </c>
      <c r="U99" s="80">
        <f t="shared" si="76"/>
        <v>-28.277082728112976</v>
      </c>
      <c r="V99" s="80">
        <f t="shared" si="76"/>
        <v>-29.48790600543435</v>
      </c>
      <c r="W99" s="80">
        <f t="shared" si="76"/>
        <v>-30.784226823148273</v>
      </c>
      <c r="X99" s="80">
        <f t="shared" si="76"/>
        <v>-32.172664776788309</v>
      </c>
      <c r="Y99" s="80">
        <f t="shared" si="76"/>
        <v>-33.660438271272689</v>
      </c>
      <c r="Z99" s="194"/>
      <c r="AA99" s="194"/>
      <c r="AB99" s="194"/>
      <c r="AC99" s="194"/>
      <c r="AD99" s="194"/>
      <c r="AE99" s="194"/>
      <c r="AF99" s="194"/>
      <c r="AG99" s="194"/>
      <c r="AH99" s="194"/>
      <c r="AI99" s="194"/>
      <c r="AJ99" s="194"/>
      <c r="AK99" s="194"/>
    </row>
    <row r="100" spans="1:37" ht="12.75" customHeight="1" x14ac:dyDescent="0.25">
      <c r="A100" s="2"/>
      <c r="B100" s="2"/>
      <c r="C100" s="2"/>
      <c r="D100" s="2"/>
      <c r="E100" s="2" t="s">
        <v>737</v>
      </c>
      <c r="F100" s="193" t="s">
        <v>28</v>
      </c>
      <c r="G100" s="224"/>
      <c r="H100" s="268">
        <f t="shared" ref="H100:Y100" si="77">SUM(H95:H99)</f>
        <v>90.81936810281303</v>
      </c>
      <c r="I100" s="268">
        <f t="shared" si="77"/>
        <v>120.10081411936721</v>
      </c>
      <c r="J100" s="268">
        <f t="shared" si="77"/>
        <v>131.74383934220583</v>
      </c>
      <c r="K100" s="268">
        <f t="shared" si="77"/>
        <v>64.336820872662514</v>
      </c>
      <c r="L100" s="268">
        <f t="shared" si="77"/>
        <v>87.257863847411443</v>
      </c>
      <c r="M100" s="268">
        <f t="shared" si="77"/>
        <v>2.2691183246073408</v>
      </c>
      <c r="N100" s="268">
        <f t="shared" si="77"/>
        <v>140.32149405522404</v>
      </c>
      <c r="O100" s="268">
        <f t="shared" si="77"/>
        <v>116.23009054755394</v>
      </c>
      <c r="P100" s="268">
        <f t="shared" si="77"/>
        <v>69.909483696064243</v>
      </c>
      <c r="Q100" s="268">
        <f t="shared" si="77"/>
        <v>86.97231387567362</v>
      </c>
      <c r="R100" s="268">
        <f t="shared" si="77"/>
        <v>92.076282398806086</v>
      </c>
      <c r="S100" s="268">
        <f t="shared" si="77"/>
        <v>93.763587763005432</v>
      </c>
      <c r="T100" s="268">
        <f t="shared" si="77"/>
        <v>95.770363481767731</v>
      </c>
      <c r="U100" s="268">
        <f t="shared" si="77"/>
        <v>98.275046653064678</v>
      </c>
      <c r="V100" s="268">
        <f t="shared" si="77"/>
        <v>101.26589953378371</v>
      </c>
      <c r="W100" s="268">
        <f t="shared" si="77"/>
        <v>104.40497389062809</v>
      </c>
      <c r="X100" s="268">
        <f t="shared" si="77"/>
        <v>107.31308636790541</v>
      </c>
      <c r="Y100" s="268">
        <f t="shared" si="77"/>
        <v>110.4615154313785</v>
      </c>
      <c r="Z100" s="194"/>
      <c r="AA100" s="194"/>
      <c r="AB100" s="194"/>
      <c r="AC100" s="194"/>
      <c r="AD100" s="194"/>
      <c r="AE100" s="194"/>
      <c r="AF100" s="194"/>
      <c r="AG100" s="194"/>
      <c r="AH100" s="194"/>
      <c r="AI100" s="194"/>
      <c r="AJ100" s="194"/>
      <c r="AK100" s="194"/>
    </row>
    <row r="101" spans="1:37" ht="12.75" customHeight="1" x14ac:dyDescent="0.25">
      <c r="A101" s="2"/>
      <c r="B101" s="2"/>
      <c r="C101" s="2"/>
      <c r="D101" s="2"/>
      <c r="E101" s="1"/>
      <c r="F101" s="33"/>
      <c r="G101" s="224"/>
      <c r="H101" s="52"/>
      <c r="I101" s="195"/>
      <c r="J101" s="195"/>
      <c r="K101" s="195"/>
      <c r="L101" s="195"/>
      <c r="M101" s="195"/>
      <c r="N101" s="39"/>
      <c r="O101" s="39"/>
      <c r="P101" s="39"/>
      <c r="Q101" s="39"/>
      <c r="R101" s="39"/>
      <c r="S101" s="39"/>
      <c r="T101" s="39"/>
      <c r="U101" s="39"/>
      <c r="V101" s="39"/>
      <c r="W101" s="39"/>
      <c r="X101" s="39"/>
      <c r="Y101" s="39"/>
      <c r="Z101" s="194"/>
      <c r="AA101" s="194"/>
      <c r="AB101" s="194"/>
      <c r="AC101" s="194"/>
      <c r="AD101" s="194"/>
      <c r="AE101" s="194"/>
      <c r="AF101" s="194"/>
      <c r="AG101" s="194"/>
      <c r="AH101" s="194"/>
      <c r="AI101" s="194"/>
      <c r="AJ101" s="194"/>
      <c r="AK101" s="194"/>
    </row>
    <row r="102" spans="1:37" ht="12.75" customHeight="1" x14ac:dyDescent="0.25">
      <c r="A102" s="2"/>
      <c r="B102" s="2"/>
      <c r="C102" s="2"/>
      <c r="D102" s="2"/>
      <c r="E102" s="42" t="s">
        <v>153</v>
      </c>
      <c r="F102" s="193"/>
      <c r="G102" s="224"/>
      <c r="H102" s="182"/>
      <c r="I102" s="182"/>
      <c r="J102" s="182"/>
      <c r="K102" s="182"/>
      <c r="L102" s="182"/>
      <c r="M102" s="182"/>
      <c r="N102" s="182"/>
      <c r="O102" s="182"/>
      <c r="P102" s="182"/>
      <c r="Q102" s="182"/>
      <c r="R102" s="182"/>
      <c r="S102" s="182"/>
      <c r="T102" s="182"/>
      <c r="U102" s="182"/>
      <c r="V102" s="182"/>
      <c r="W102" s="182"/>
      <c r="X102" s="182"/>
      <c r="Y102" s="182"/>
      <c r="Z102" s="194"/>
      <c r="AA102" s="194"/>
      <c r="AB102" s="194"/>
      <c r="AC102" s="194"/>
      <c r="AD102" s="194"/>
      <c r="AE102" s="194"/>
      <c r="AF102" s="194"/>
      <c r="AG102" s="194"/>
      <c r="AH102" s="194"/>
      <c r="AI102" s="194"/>
      <c r="AJ102" s="194"/>
      <c r="AK102" s="194"/>
    </row>
    <row r="103" spans="1:37" ht="12.75" customHeight="1" x14ac:dyDescent="0.25">
      <c r="A103" s="2"/>
      <c r="B103" s="2"/>
      <c r="C103" s="2"/>
      <c r="D103" s="2"/>
      <c r="E103" s="1" t="s">
        <v>355</v>
      </c>
      <c r="F103" s="33" t="s">
        <v>8</v>
      </c>
      <c r="G103" s="224"/>
      <c r="H103" s="222">
        <f t="shared" ref="H103:Y103" si="78">H95 / H18</f>
        <v>0.28048079837713058</v>
      </c>
      <c r="I103" s="222">
        <f t="shared" si="78"/>
        <v>0.28515838177719771</v>
      </c>
      <c r="J103" s="222">
        <f t="shared" si="78"/>
        <v>0.28848017445029983</v>
      </c>
      <c r="K103" s="222">
        <f t="shared" si="78"/>
        <v>0.23605109780439121</v>
      </c>
      <c r="L103" s="222">
        <f t="shared" si="78"/>
        <v>0.26032495414230655</v>
      </c>
      <c r="M103" s="222">
        <f t="shared" si="78"/>
        <v>0.14179245283018871</v>
      </c>
      <c r="N103" s="222">
        <f t="shared" si="78"/>
        <v>0.30227744081393065</v>
      </c>
      <c r="O103" s="222">
        <f t="shared" si="78"/>
        <v>0.25730202075368658</v>
      </c>
      <c r="P103" s="222">
        <f t="shared" si="78"/>
        <v>0.21353762785882613</v>
      </c>
      <c r="Q103" s="222">
        <f t="shared" si="78"/>
        <v>0.20987801501811262</v>
      </c>
      <c r="R103" s="222">
        <f t="shared" si="78"/>
        <v>0.21124481719951818</v>
      </c>
      <c r="S103" s="222">
        <f t="shared" si="78"/>
        <v>0.21258481933815115</v>
      </c>
      <c r="T103" s="222">
        <f t="shared" si="78"/>
        <v>0.2138985469250462</v>
      </c>
      <c r="U103" s="222">
        <f t="shared" si="78"/>
        <v>0.21518651514749235</v>
      </c>
      <c r="V103" s="222">
        <f t="shared" si="78"/>
        <v>0.21644922909106698</v>
      </c>
      <c r="W103" s="222">
        <f t="shared" si="78"/>
        <v>0.21768718393770875</v>
      </c>
      <c r="X103" s="222">
        <f t="shared" si="78"/>
        <v>0.21890086515990662</v>
      </c>
      <c r="Y103" s="222">
        <f t="shared" si="78"/>
        <v>0.22009074871108095</v>
      </c>
      <c r="Z103" s="391">
        <f>AVERAGE(H103:Y103)</f>
        <v>0.23340698274089119</v>
      </c>
      <c r="AA103" s="194"/>
      <c r="AB103" s="194"/>
      <c r="AC103" s="194"/>
      <c r="AD103" s="194"/>
      <c r="AE103" s="194"/>
      <c r="AF103" s="194"/>
      <c r="AG103" s="194"/>
      <c r="AH103" s="194"/>
      <c r="AI103" s="194"/>
      <c r="AJ103" s="194"/>
      <c r="AK103" s="194"/>
    </row>
    <row r="104" spans="1:37" ht="12.75" customHeight="1" x14ac:dyDescent="0.25">
      <c r="A104" s="2"/>
      <c r="B104" s="2"/>
      <c r="C104" s="2"/>
      <c r="D104" s="2"/>
      <c r="E104" s="1" t="s">
        <v>356</v>
      </c>
      <c r="F104" s="33" t="s">
        <v>8</v>
      </c>
      <c r="G104" s="224"/>
      <c r="H104" s="222">
        <f t="shared" ref="H104:Y104" si="79">H96 / H19</f>
        <v>0.22229857369255149</v>
      </c>
      <c r="I104" s="222">
        <f t="shared" si="79"/>
        <v>0.2565526106384281</v>
      </c>
      <c r="J104" s="222">
        <f t="shared" si="79"/>
        <v>0.25807228915662644</v>
      </c>
      <c r="K104" s="222">
        <f t="shared" si="79"/>
        <v>0.22340836012861731</v>
      </c>
      <c r="L104" s="222">
        <f t="shared" si="79"/>
        <v>0.30974201201945017</v>
      </c>
      <c r="M104" s="222">
        <f t="shared" si="79"/>
        <v>0.26614667231877909</v>
      </c>
      <c r="N104" s="222">
        <f t="shared" si="79"/>
        <v>0.31705737598756645</v>
      </c>
      <c r="O104" s="222">
        <f t="shared" si="79"/>
        <v>0.27677922077922074</v>
      </c>
      <c r="P104" s="222">
        <f t="shared" si="79"/>
        <v>0.25793789627801278</v>
      </c>
      <c r="Q104" s="222">
        <f t="shared" si="79"/>
        <v>0.25904961005232718</v>
      </c>
      <c r="R104" s="222">
        <f t="shared" si="79"/>
        <v>0.25986177087316309</v>
      </c>
      <c r="S104" s="222">
        <f t="shared" si="79"/>
        <v>0.26064768380045139</v>
      </c>
      <c r="T104" s="222">
        <f t="shared" si="79"/>
        <v>0.26180296057514357</v>
      </c>
      <c r="U104" s="222">
        <f t="shared" si="79"/>
        <v>0.2625774116922423</v>
      </c>
      <c r="V104" s="222">
        <f t="shared" si="79"/>
        <v>0.26361389350064446</v>
      </c>
      <c r="W104" s="222">
        <f t="shared" si="79"/>
        <v>0.26427858850967745</v>
      </c>
      <c r="X104" s="222">
        <f t="shared" si="79"/>
        <v>0.26500623211278379</v>
      </c>
      <c r="Y104" s="222">
        <f t="shared" si="79"/>
        <v>0.26581179999791055</v>
      </c>
      <c r="Z104" s="391">
        <f t="shared" ref="Z104:Z106" si="80">AVERAGE(H104:Y104)</f>
        <v>0.26392472011742202</v>
      </c>
      <c r="AA104" s="194"/>
      <c r="AB104" s="194"/>
      <c r="AC104" s="194"/>
      <c r="AD104" s="194"/>
      <c r="AE104" s="194"/>
      <c r="AF104" s="194"/>
      <c r="AG104" s="194"/>
      <c r="AH104" s="194"/>
      <c r="AI104" s="194"/>
      <c r="AJ104" s="194"/>
      <c r="AK104" s="194"/>
    </row>
    <row r="105" spans="1:37" ht="12.75" customHeight="1" x14ac:dyDescent="0.25">
      <c r="A105" s="2"/>
      <c r="B105" s="2"/>
      <c r="C105" s="2"/>
      <c r="D105" s="2"/>
      <c r="E105" s="1" t="s">
        <v>266</v>
      </c>
      <c r="F105" s="33" t="s">
        <v>8</v>
      </c>
      <c r="G105" s="224"/>
      <c r="H105" s="222">
        <f t="shared" ref="H105:Y105" si="81">H97 / H20</f>
        <v>-0.14736704377583379</v>
      </c>
      <c r="I105" s="222">
        <f t="shared" si="81"/>
        <v>-0.12512989558376916</v>
      </c>
      <c r="J105" s="222">
        <f t="shared" si="81"/>
        <v>2.2547184700729916E-2</v>
      </c>
      <c r="K105" s="222">
        <f t="shared" si="81"/>
        <v>-4.4238646482635827E-2</v>
      </c>
      <c r="L105" s="222">
        <f t="shared" si="81"/>
        <v>8.0043596730245248E-2</v>
      </c>
      <c r="M105" s="222">
        <f t="shared" si="81"/>
        <v>-4.3560209424083701E-2</v>
      </c>
      <c r="N105" s="222">
        <f t="shared" si="81"/>
        <v>1.3542689894912268E-2</v>
      </c>
      <c r="O105" s="222">
        <f t="shared" si="81"/>
        <v>2.2332048183143882E-2</v>
      </c>
      <c r="P105" s="222">
        <f t="shared" si="81"/>
        <v>5.404233911043106E-3</v>
      </c>
      <c r="Q105" s="222">
        <f t="shared" si="81"/>
        <v>8.1523956598019646E-3</v>
      </c>
      <c r="R105" s="222">
        <f t="shared" si="81"/>
        <v>1.8291238568320062E-2</v>
      </c>
      <c r="S105" s="222">
        <f t="shared" si="81"/>
        <v>1.6086529715037858E-2</v>
      </c>
      <c r="T105" s="222">
        <f t="shared" si="81"/>
        <v>1.4048063504900619E-2</v>
      </c>
      <c r="U105" s="222">
        <f t="shared" si="81"/>
        <v>1.298654536930932E-2</v>
      </c>
      <c r="V105" s="222">
        <f t="shared" si="81"/>
        <v>1.5573061736995625E-2</v>
      </c>
      <c r="W105" s="222">
        <f t="shared" si="81"/>
        <v>1.8390074560606803E-2</v>
      </c>
      <c r="X105" s="222">
        <f t="shared" si="81"/>
        <v>2.0945340679423847E-2</v>
      </c>
      <c r="Y105" s="222">
        <f t="shared" si="81"/>
        <v>2.3444289006403534E-2</v>
      </c>
      <c r="Z105" s="391">
        <f t="shared" si="80"/>
        <v>-3.8060279469693528E-3</v>
      </c>
      <c r="AA105" s="194"/>
      <c r="AB105" s="194"/>
      <c r="AC105" s="194"/>
      <c r="AD105" s="194"/>
      <c r="AE105" s="194"/>
      <c r="AF105" s="194"/>
      <c r="AG105" s="194"/>
      <c r="AH105" s="194"/>
      <c r="AI105" s="194"/>
      <c r="AJ105" s="194"/>
      <c r="AK105" s="194"/>
    </row>
    <row r="106" spans="1:37" ht="12.75" customHeight="1" x14ac:dyDescent="0.25">
      <c r="A106" s="2"/>
      <c r="B106" s="2"/>
      <c r="C106" s="2"/>
      <c r="D106" s="2"/>
      <c r="E106" s="1" t="s">
        <v>322</v>
      </c>
      <c r="F106" s="33" t="s">
        <v>8</v>
      </c>
      <c r="G106" s="224"/>
      <c r="H106" s="222">
        <f>H98 / (H21+H22)</f>
        <v>-0.29329986817822301</v>
      </c>
      <c r="I106" s="222">
        <f t="shared" ref="I106:Y106" si="82">I98 / (I21+I22)</f>
        <v>-0.11795161742808435</v>
      </c>
      <c r="J106" s="222">
        <f t="shared" si="82"/>
        <v>-0.29467997651203759</v>
      </c>
      <c r="K106" s="222">
        <f t="shared" si="82"/>
        <v>-0.1491239598172748</v>
      </c>
      <c r="L106" s="222">
        <f t="shared" si="82"/>
        <v>-0.4040353089533415</v>
      </c>
      <c r="M106" s="222">
        <f t="shared" si="82"/>
        <v>-0.11268874351150196</v>
      </c>
      <c r="N106" s="222">
        <f t="shared" si="82"/>
        <v>-0.17426086956521727</v>
      </c>
      <c r="O106" s="222">
        <f t="shared" si="82"/>
        <v>-0.55228469605899155</v>
      </c>
      <c r="P106" s="222">
        <f t="shared" si="82"/>
        <v>-0.80980929194247686</v>
      </c>
      <c r="Q106" s="222">
        <f t="shared" si="82"/>
        <v>-0.36453640959352795</v>
      </c>
      <c r="R106" s="222">
        <f t="shared" si="82"/>
        <v>-0.35160892077218597</v>
      </c>
      <c r="S106" s="222">
        <f t="shared" si="82"/>
        <v>-0.35089043632480549</v>
      </c>
      <c r="T106" s="222">
        <f t="shared" si="82"/>
        <v>-0.34576924054707259</v>
      </c>
      <c r="U106" s="222">
        <f t="shared" si="82"/>
        <v>-0.33559395933050701</v>
      </c>
      <c r="V106" s="222">
        <f t="shared" si="82"/>
        <v>-0.33197163649692152</v>
      </c>
      <c r="W106" s="222">
        <f t="shared" si="82"/>
        <v>-0.32666034848533254</v>
      </c>
      <c r="X106" s="222">
        <f t="shared" si="82"/>
        <v>-0.32421231886095681</v>
      </c>
      <c r="Y106" s="222">
        <f t="shared" si="82"/>
        <v>-0.31818282284990484</v>
      </c>
      <c r="Z106" s="391">
        <f t="shared" si="80"/>
        <v>-0.33097557917935355</v>
      </c>
      <c r="AA106" s="194"/>
      <c r="AB106" s="194"/>
      <c r="AC106" s="194"/>
      <c r="AD106" s="194"/>
      <c r="AE106" s="194"/>
      <c r="AF106" s="194"/>
      <c r="AG106" s="194"/>
      <c r="AH106" s="194"/>
      <c r="AI106" s="194"/>
      <c r="AJ106" s="194"/>
      <c r="AK106" s="194"/>
    </row>
    <row r="107" spans="1:37" ht="12.75" customHeight="1" x14ac:dyDescent="0.25">
      <c r="A107" s="2"/>
      <c r="B107" s="2"/>
      <c r="C107" s="2"/>
      <c r="D107" s="2"/>
      <c r="E107" s="2" t="s">
        <v>366</v>
      </c>
      <c r="F107" s="33" t="s">
        <v>8</v>
      </c>
      <c r="G107" s="224"/>
      <c r="H107" s="222">
        <f>H100/H23</f>
        <v>0.11110766037838085</v>
      </c>
      <c r="I107" s="222">
        <f t="shared" ref="I107:Y107" si="83">I100/I23</f>
        <v>0.13573965076308361</v>
      </c>
      <c r="J107" s="222">
        <f t="shared" si="83"/>
        <v>0.1488264352308763</v>
      </c>
      <c r="K107" s="222">
        <f t="shared" si="83"/>
        <v>7.8318468895249072E-2</v>
      </c>
      <c r="L107" s="222">
        <f t="shared" si="83"/>
        <v>0.11051202521778902</v>
      </c>
      <c r="M107" s="222">
        <f t="shared" si="83"/>
        <v>3.611486003010222E-3</v>
      </c>
      <c r="N107" s="222">
        <f t="shared" si="83"/>
        <v>0.1561072113768639</v>
      </c>
      <c r="O107" s="222">
        <f t="shared" si="83"/>
        <v>0.12620752281973202</v>
      </c>
      <c r="P107" s="222">
        <f t="shared" si="83"/>
        <v>7.655269378920089E-2</v>
      </c>
      <c r="Q107" s="222">
        <f t="shared" si="83"/>
        <v>9.9147461470048853E-2</v>
      </c>
      <c r="R107" s="222">
        <f t="shared" si="83"/>
        <v>0.10290777283278814</v>
      </c>
      <c r="S107" s="222">
        <f t="shared" si="83"/>
        <v>0.1027387903335245</v>
      </c>
      <c r="T107" s="222">
        <f t="shared" si="83"/>
        <v>0.10288005674136678</v>
      </c>
      <c r="U107" s="222">
        <f t="shared" si="83"/>
        <v>0.10350066645486893</v>
      </c>
      <c r="V107" s="222">
        <f t="shared" si="83"/>
        <v>0.10455936587829529</v>
      </c>
      <c r="W107" s="222">
        <f t="shared" si="83"/>
        <v>0.10568679628506669</v>
      </c>
      <c r="X107" s="222">
        <f t="shared" si="83"/>
        <v>0.10650060082731801</v>
      </c>
      <c r="Y107" s="222">
        <f t="shared" si="83"/>
        <v>0.10747567902103124</v>
      </c>
      <c r="Z107" s="391"/>
      <c r="AA107" s="194"/>
      <c r="AB107" s="194"/>
      <c r="AC107" s="194"/>
      <c r="AD107" s="194"/>
      <c r="AE107" s="194"/>
      <c r="AF107" s="194"/>
      <c r="AG107" s="194"/>
      <c r="AH107" s="194"/>
      <c r="AI107" s="194"/>
      <c r="AJ107" s="194"/>
      <c r="AK107" s="194"/>
    </row>
    <row r="108" spans="1:37" ht="12.75" customHeight="1" x14ac:dyDescent="0.25">
      <c r="A108" s="2"/>
      <c r="B108" s="2"/>
      <c r="D108" s="2"/>
      <c r="E108" s="2"/>
      <c r="F108" s="33"/>
      <c r="G108" s="224"/>
      <c r="Z108" s="194"/>
      <c r="AA108" s="194"/>
      <c r="AB108" s="194"/>
      <c r="AC108" s="194"/>
      <c r="AD108" s="194"/>
      <c r="AE108" s="194"/>
      <c r="AF108" s="194"/>
      <c r="AG108" s="194"/>
      <c r="AH108" s="194"/>
      <c r="AI108" s="194"/>
      <c r="AJ108" s="194"/>
      <c r="AK108" s="194"/>
    </row>
    <row r="109" spans="1:37" ht="12.75" customHeight="1" x14ac:dyDescent="0.25">
      <c r="A109" s="2"/>
      <c r="B109" s="2"/>
      <c r="C109" s="188" t="s">
        <v>626</v>
      </c>
      <c r="D109" s="189"/>
      <c r="E109" s="189"/>
      <c r="F109" s="190"/>
      <c r="G109" s="190"/>
      <c r="H109" s="191"/>
      <c r="I109" s="191"/>
      <c r="J109" s="191"/>
      <c r="K109" s="191"/>
      <c r="L109" s="191"/>
      <c r="M109" s="191"/>
      <c r="N109" s="191"/>
      <c r="O109" s="191"/>
      <c r="P109" s="191"/>
      <c r="Q109" s="191"/>
      <c r="R109" s="191"/>
      <c r="S109" s="191"/>
      <c r="T109" s="191"/>
      <c r="U109" s="191"/>
      <c r="V109" s="191"/>
      <c r="W109" s="191"/>
      <c r="X109" s="191"/>
      <c r="Y109" s="191"/>
      <c r="Z109" s="194"/>
      <c r="AA109" s="194"/>
      <c r="AB109" s="194"/>
      <c r="AC109" s="194"/>
      <c r="AD109" s="194"/>
      <c r="AE109" s="194"/>
      <c r="AF109" s="194"/>
      <c r="AG109" s="194"/>
      <c r="AH109" s="194"/>
      <c r="AI109" s="194"/>
      <c r="AJ109" s="194"/>
      <c r="AK109" s="194"/>
    </row>
    <row r="110" spans="1:37" ht="12.75" customHeight="1" x14ac:dyDescent="0.25">
      <c r="A110" s="2"/>
      <c r="B110" s="2"/>
      <c r="C110" s="2"/>
      <c r="D110" s="2"/>
      <c r="E110" s="2"/>
      <c r="F110" s="33"/>
      <c r="G110" s="224"/>
      <c r="Z110" s="194"/>
      <c r="AA110" s="194"/>
      <c r="AB110" s="194"/>
      <c r="AC110" s="194"/>
      <c r="AD110" s="194"/>
      <c r="AE110" s="194"/>
      <c r="AF110" s="194"/>
      <c r="AG110" s="194"/>
      <c r="AH110" s="194"/>
      <c r="AI110" s="194"/>
      <c r="AJ110" s="194"/>
      <c r="AK110" s="194"/>
    </row>
    <row r="111" spans="1:37" ht="12.75" customHeight="1" x14ac:dyDescent="0.25">
      <c r="A111" s="2"/>
      <c r="B111" s="2"/>
      <c r="C111" s="2"/>
      <c r="D111" s="2"/>
      <c r="E111" s="1" t="s">
        <v>627</v>
      </c>
      <c r="F111" s="33" t="s">
        <v>288</v>
      </c>
      <c r="G111" s="224"/>
      <c r="H111" s="271">
        <v>0.2</v>
      </c>
      <c r="I111" s="271">
        <v>0.2</v>
      </c>
      <c r="J111" s="271">
        <v>0.2</v>
      </c>
      <c r="K111" s="271">
        <v>0.1</v>
      </c>
      <c r="L111" s="271">
        <v>0.7</v>
      </c>
      <c r="M111" s="272">
        <v>0</v>
      </c>
      <c r="N111" s="271">
        <v>0.12</v>
      </c>
      <c r="O111" s="271">
        <v>5.2499999999999998E-2</v>
      </c>
      <c r="P111" s="273">
        <f>(P100*P113)/'&gt;&gt; Inputs'!$G$74</f>
        <v>0</v>
      </c>
      <c r="Q111" s="273">
        <f>(Q100*Q113)/'&gt;&gt; Inputs'!$G$74</f>
        <v>8.008445481852984E-2</v>
      </c>
      <c r="R111" s="273">
        <f>(R100*R113)/'&gt;&gt; Inputs'!$G$74</f>
        <v>7.4300125535476519E-2</v>
      </c>
      <c r="S111" s="273">
        <f>(S100*S113)/'&gt;&gt; Inputs'!$G$74</f>
        <v>7.5661681379289775E-2</v>
      </c>
      <c r="T111" s="273">
        <f>(T100*T113)/'&gt;&gt; Inputs'!$G$74</f>
        <v>7.728103094403195E-2</v>
      </c>
      <c r="U111" s="273">
        <f>(U100*U113)/'&gt;&gt; Inputs'!$G$74</f>
        <v>7.9302162436373475E-2</v>
      </c>
      <c r="V111" s="273">
        <f>(V100*V113)/'&gt;&gt; Inputs'!$G$74</f>
        <v>8.1715604190386426E-2</v>
      </c>
      <c r="W111" s="273">
        <f>(W100*W113)/'&gt;&gt; Inputs'!$G$74</f>
        <v>8.4248651927571749E-2</v>
      </c>
      <c r="X111" s="273">
        <f>(X100*X113)/'&gt;&gt; Inputs'!$G$74</f>
        <v>8.6595327059362182E-2</v>
      </c>
      <c r="Y111" s="273">
        <f>(Y100*Y113)/'&gt;&gt; Inputs'!$G$74</f>
        <v>8.9135923492680236E-2</v>
      </c>
      <c r="Z111" s="194"/>
      <c r="AA111" s="194"/>
      <c r="AB111" s="194"/>
      <c r="AC111" s="194"/>
      <c r="AD111" s="194"/>
      <c r="AE111" s="194"/>
      <c r="AF111" s="194"/>
      <c r="AG111" s="194"/>
      <c r="AH111" s="194"/>
      <c r="AI111" s="194"/>
      <c r="AJ111" s="194"/>
      <c r="AK111" s="194"/>
    </row>
    <row r="112" spans="1:37" ht="12.75" customHeight="1" x14ac:dyDescent="0.25">
      <c r="A112" s="2"/>
      <c r="B112" s="2"/>
      <c r="C112" s="2"/>
      <c r="D112" s="2"/>
      <c r="E112" s="44" t="s">
        <v>625</v>
      </c>
      <c r="F112" s="33" t="s">
        <v>8</v>
      </c>
      <c r="G112" s="224"/>
      <c r="H112" s="274"/>
      <c r="I112" s="274">
        <f t="shared" ref="I112:M112" si="84">I111/H111-1</f>
        <v>0</v>
      </c>
      <c r="J112" s="274">
        <f t="shared" si="84"/>
        <v>0</v>
      </c>
      <c r="K112" s="274">
        <f t="shared" si="84"/>
        <v>-0.5</v>
      </c>
      <c r="L112" s="274">
        <f t="shared" si="84"/>
        <v>5.9999999999999991</v>
      </c>
      <c r="M112" s="274">
        <f t="shared" si="84"/>
        <v>-1</v>
      </c>
      <c r="N112" s="274"/>
      <c r="O112" s="274">
        <f t="shared" ref="O112:P112" si="85">O111/N111-1</f>
        <v>-0.5625</v>
      </c>
      <c r="P112" s="274">
        <f t="shared" si="85"/>
        <v>-1</v>
      </c>
      <c r="Q112" s="274"/>
      <c r="R112" s="274">
        <f t="shared" ref="R112:Y112" si="86">R111/Q111-1</f>
        <v>-7.2227866146563957E-2</v>
      </c>
      <c r="S112" s="274">
        <f t="shared" si="86"/>
        <v>1.8325081337354554E-2</v>
      </c>
      <c r="T112" s="274">
        <f t="shared" si="86"/>
        <v>2.1402505670266914E-2</v>
      </c>
      <c r="U112" s="274">
        <f t="shared" si="86"/>
        <v>2.615300892925787E-2</v>
      </c>
      <c r="V112" s="274">
        <f t="shared" si="86"/>
        <v>3.0433492352107461E-2</v>
      </c>
      <c r="W112" s="274">
        <f t="shared" si="86"/>
        <v>3.0998335780320074E-2</v>
      </c>
      <c r="X112" s="274">
        <f t="shared" si="86"/>
        <v>2.7854156453540169E-2</v>
      </c>
      <c r="Y112" s="274">
        <f t="shared" si="86"/>
        <v>2.9338724381472003E-2</v>
      </c>
      <c r="Z112" s="194"/>
      <c r="AA112" s="194"/>
      <c r="AB112" s="194"/>
      <c r="AC112" s="194"/>
      <c r="AD112" s="194"/>
      <c r="AE112" s="194"/>
      <c r="AF112" s="194"/>
      <c r="AG112" s="194"/>
      <c r="AH112" s="194"/>
      <c r="AI112" s="194"/>
      <c r="AJ112" s="194"/>
      <c r="AK112" s="194"/>
    </row>
    <row r="113" spans="1:37" ht="12.75" customHeight="1" x14ac:dyDescent="0.25">
      <c r="A113" s="2"/>
      <c r="B113" s="2"/>
      <c r="C113" s="2"/>
      <c r="D113" s="2"/>
      <c r="E113" s="1" t="s">
        <v>628</v>
      </c>
      <c r="F113" s="33" t="s">
        <v>8</v>
      </c>
      <c r="G113" s="224"/>
      <c r="H113" s="274">
        <v>1.9976</v>
      </c>
      <c r="I113" s="274">
        <v>0.50190000000000001</v>
      </c>
      <c r="J113" s="274">
        <v>0.87909999999999999</v>
      </c>
      <c r="K113" s="274">
        <v>0.56630000000000003</v>
      </c>
      <c r="L113" s="274">
        <v>0.33329999999999999</v>
      </c>
      <c r="M113" s="274">
        <v>0</v>
      </c>
      <c r="N113" s="274">
        <v>0.63639999999999997</v>
      </c>
      <c r="O113" s="274">
        <v>0.69299999999999995</v>
      </c>
      <c r="P113" s="275">
        <v>0</v>
      </c>
      <c r="Q113" s="270">
        <v>0.7</v>
      </c>
      <c r="R113" s="270">
        <f>HARMEAN(H113:L113,N113:O113)</f>
        <v>0.61344073620152539</v>
      </c>
      <c r="S113" s="270">
        <f t="shared" ref="S113:Y113" si="87">R113+$Z$113</f>
        <v>0.61344073620152539</v>
      </c>
      <c r="T113" s="270">
        <f t="shared" si="87"/>
        <v>0.61344073620152539</v>
      </c>
      <c r="U113" s="270">
        <f t="shared" si="87"/>
        <v>0.61344073620152539</v>
      </c>
      <c r="V113" s="270">
        <f t="shared" si="87"/>
        <v>0.61344073620152539</v>
      </c>
      <c r="W113" s="270">
        <f t="shared" si="87"/>
        <v>0.61344073620152539</v>
      </c>
      <c r="X113" s="270">
        <f t="shared" si="87"/>
        <v>0.61344073620152539</v>
      </c>
      <c r="Y113" s="270">
        <f t="shared" si="87"/>
        <v>0.61344073620152539</v>
      </c>
      <c r="Z113" s="477"/>
      <c r="AA113" s="17" t="s">
        <v>629</v>
      </c>
      <c r="AB113" s="194"/>
      <c r="AC113" s="194"/>
      <c r="AD113" s="194"/>
      <c r="AE113" s="194"/>
      <c r="AF113" s="194"/>
      <c r="AG113" s="194"/>
      <c r="AH113" s="194"/>
      <c r="AI113" s="194"/>
      <c r="AJ113" s="194"/>
      <c r="AK113" s="194"/>
    </row>
    <row r="114" spans="1:37" ht="12.75" customHeight="1" x14ac:dyDescent="0.25">
      <c r="A114" s="2"/>
      <c r="B114" s="2"/>
      <c r="C114" s="2"/>
      <c r="D114" s="2"/>
      <c r="E114" s="2"/>
      <c r="F114" s="33"/>
      <c r="G114" s="224"/>
      <c r="O114" s="223"/>
      <c r="Q114" s="432"/>
      <c r="Z114" s="194"/>
      <c r="AA114" s="194"/>
      <c r="AB114" s="194"/>
      <c r="AC114" s="194"/>
      <c r="AD114" s="194"/>
      <c r="AE114" s="194"/>
      <c r="AF114" s="194"/>
      <c r="AG114" s="194"/>
      <c r="AH114" s="194"/>
      <c r="AI114" s="194"/>
      <c r="AJ114" s="194"/>
      <c r="AK114" s="194"/>
    </row>
    <row r="115" spans="1:37" ht="12.75" customHeight="1" x14ac:dyDescent="0.25">
      <c r="A115" s="2"/>
      <c r="B115" s="2"/>
      <c r="C115" s="2"/>
      <c r="D115" s="2"/>
      <c r="E115" s="1" t="s">
        <v>630</v>
      </c>
      <c r="F115" s="33" t="s">
        <v>288</v>
      </c>
      <c r="G115" s="224"/>
      <c r="H115" s="277">
        <f>(H100*H113)/'&gt;&gt; Inputs'!$G$74</f>
        <v>0.23864710156462413</v>
      </c>
      <c r="I115" s="277">
        <f>(I100*I113)/'&gt;&gt; Inputs'!$G$74</f>
        <v>7.9292535611276513E-2</v>
      </c>
      <c r="J115" s="277">
        <f>(J100*J113)/'&gt;&gt; Inputs'!$G$74</f>
        <v>0.15234834988579138</v>
      </c>
      <c r="K115" s="277">
        <f>(K100*K113)/'&gt;&gt; Inputs'!$G$74</f>
        <v>4.7926456210574044E-2</v>
      </c>
      <c r="L115" s="277">
        <f>(L100*L113)/'&gt;&gt; Inputs'!$G$74</f>
        <v>3.8256836017473587E-2</v>
      </c>
      <c r="M115" s="277"/>
      <c r="N115" s="277">
        <f>(N100*N113)/'&gt;&gt; Inputs'!$G$74</f>
        <v>0.11746906987682135</v>
      </c>
      <c r="O115" s="277">
        <f>(O100*O113)/'&gt;&gt; Inputs'!$G$74</f>
        <v>0.10595488138710568</v>
      </c>
      <c r="Z115" s="194"/>
      <c r="AA115" s="194"/>
      <c r="AB115" s="194"/>
      <c r="AC115" s="194"/>
      <c r="AD115" s="194"/>
      <c r="AE115" s="194"/>
      <c r="AF115" s="194"/>
      <c r="AG115" s="194"/>
      <c r="AH115" s="194"/>
      <c r="AI115" s="194"/>
      <c r="AJ115" s="194"/>
      <c r="AK115" s="194"/>
    </row>
    <row r="116" spans="1:37" ht="12.75" customHeight="1" x14ac:dyDescent="0.25">
      <c r="A116" s="2"/>
      <c r="B116" s="2"/>
      <c r="C116" s="2"/>
      <c r="D116" s="2"/>
      <c r="E116" s="1" t="s">
        <v>631</v>
      </c>
      <c r="F116" s="33" t="s">
        <v>288</v>
      </c>
      <c r="G116" s="224"/>
      <c r="H116" s="278">
        <f>H111-H115</f>
        <v>-3.8647101564624115E-2</v>
      </c>
      <c r="I116" s="278">
        <f t="shared" ref="I116:L116" si="88">I111-I115</f>
        <v>0.1207074643887235</v>
      </c>
      <c r="J116" s="278">
        <f t="shared" si="88"/>
        <v>4.7651650114208632E-2</v>
      </c>
      <c r="K116" s="278">
        <f t="shared" si="88"/>
        <v>5.2073543789425962E-2</v>
      </c>
      <c r="L116" s="278">
        <f t="shared" si="88"/>
        <v>0.66174316398252642</v>
      </c>
      <c r="M116" s="278"/>
      <c r="N116" s="278">
        <f t="shared" ref="N116:O116" si="89">N111-N115</f>
        <v>2.5309301231786485E-3</v>
      </c>
      <c r="O116" s="278">
        <f t="shared" si="89"/>
        <v>-5.3454881387105684E-2</v>
      </c>
      <c r="Z116" s="2"/>
      <c r="AA116" s="2"/>
      <c r="AB116" s="2"/>
      <c r="AC116" s="194"/>
      <c r="AD116" s="194"/>
      <c r="AE116" s="194"/>
      <c r="AF116" s="194"/>
      <c r="AG116" s="194"/>
      <c r="AH116" s="194"/>
      <c r="AI116" s="194"/>
      <c r="AJ116" s="194"/>
      <c r="AK116" s="194"/>
    </row>
    <row r="117" spans="1:37" ht="12.75" customHeight="1" x14ac:dyDescent="0.25">
      <c r="A117" s="2"/>
      <c r="B117" s="2"/>
      <c r="C117" s="2"/>
      <c r="D117" s="2"/>
      <c r="E117" s="2" t="s">
        <v>632</v>
      </c>
      <c r="F117" s="33" t="s">
        <v>288</v>
      </c>
      <c r="G117" s="224"/>
      <c r="H117" s="2"/>
      <c r="I117" s="277"/>
      <c r="J117" s="277"/>
      <c r="K117" s="277"/>
      <c r="L117" s="277"/>
      <c r="M117" s="277"/>
      <c r="N117" s="277"/>
      <c r="O117" s="277"/>
      <c r="P117" s="279">
        <v>0</v>
      </c>
      <c r="Q117" s="279">
        <f t="shared" ref="Q117:X117" si="90">Q111+$Z$117</f>
        <v>0.19331370759657746</v>
      </c>
      <c r="R117" s="279">
        <f t="shared" si="90"/>
        <v>0.18752937831352415</v>
      </c>
      <c r="S117" s="279">
        <f t="shared" si="90"/>
        <v>0.1888909341573374</v>
      </c>
      <c r="T117" s="279">
        <f t="shared" si="90"/>
        <v>0.19051028372207957</v>
      </c>
      <c r="U117" s="279">
        <f t="shared" si="90"/>
        <v>0.1925314152144211</v>
      </c>
      <c r="V117" s="279">
        <f t="shared" si="90"/>
        <v>0.19494485696843405</v>
      </c>
      <c r="W117" s="279">
        <f t="shared" si="90"/>
        <v>0.19747790470561938</v>
      </c>
      <c r="X117" s="279">
        <f t="shared" si="90"/>
        <v>0.19982457983740981</v>
      </c>
      <c r="Y117" s="279">
        <f>Y111+$Z$117</f>
        <v>0.20236517627072786</v>
      </c>
      <c r="Z117" s="276">
        <f>AVERAGE(H116,I116,J116,K116,N116,O116,L116)</f>
        <v>0.11322925277804763</v>
      </c>
      <c r="AA117" s="17" t="s">
        <v>633</v>
      </c>
      <c r="AB117" s="194"/>
      <c r="AC117" s="194"/>
      <c r="AD117" s="194"/>
      <c r="AE117" s="194"/>
      <c r="AF117" s="194"/>
      <c r="AG117" s="194"/>
      <c r="AH117" s="194"/>
      <c r="AI117" s="194"/>
      <c r="AJ117" s="194"/>
      <c r="AK117" s="194"/>
    </row>
    <row r="118" spans="1:37" ht="12.75" customHeight="1" x14ac:dyDescent="0.25">
      <c r="A118" s="2"/>
      <c r="B118" s="2"/>
      <c r="C118" s="2"/>
      <c r="D118" s="2"/>
      <c r="E118" s="2"/>
      <c r="F118" s="33"/>
      <c r="G118" s="224"/>
      <c r="H118" s="277"/>
      <c r="I118" s="277"/>
      <c r="J118" s="277"/>
      <c r="K118" s="277"/>
      <c r="L118" s="277"/>
      <c r="M118" s="277"/>
      <c r="N118" s="277"/>
      <c r="O118" s="277"/>
      <c r="P118" s="2"/>
      <c r="Q118" s="2"/>
      <c r="R118" s="2"/>
      <c r="S118" s="2"/>
      <c r="T118" s="2"/>
      <c r="U118" s="2"/>
      <c r="V118" s="2"/>
      <c r="W118" s="2"/>
      <c r="X118" s="2"/>
      <c r="Y118" s="2"/>
      <c r="Z118" s="404"/>
      <c r="AA118" s="194"/>
      <c r="AB118" s="194"/>
      <c r="AC118" s="194"/>
      <c r="AD118" s="194"/>
      <c r="AE118" s="194"/>
      <c r="AF118" s="194"/>
      <c r="AG118" s="194"/>
      <c r="AH118" s="194"/>
      <c r="AI118" s="194"/>
      <c r="AJ118" s="194"/>
      <c r="AK118" s="194"/>
    </row>
    <row r="119" spans="1:37" ht="12.75" customHeight="1" x14ac:dyDescent="0.25">
      <c r="A119" s="2"/>
      <c r="B119" s="2"/>
      <c r="C119" s="188" t="s">
        <v>734</v>
      </c>
      <c r="D119" s="189"/>
      <c r="E119" s="189"/>
      <c r="F119" s="190"/>
      <c r="G119" s="190"/>
      <c r="H119" s="191"/>
      <c r="I119" s="191"/>
      <c r="J119" s="191"/>
      <c r="K119" s="191"/>
      <c r="L119" s="191"/>
      <c r="M119" s="191"/>
      <c r="N119" s="191"/>
      <c r="O119" s="191"/>
      <c r="P119" s="191"/>
      <c r="Q119" s="191"/>
      <c r="R119" s="191"/>
      <c r="S119" s="191"/>
      <c r="T119" s="191"/>
      <c r="U119" s="191"/>
      <c r="V119" s="191"/>
      <c r="W119" s="191"/>
      <c r="X119" s="191"/>
      <c r="Y119" s="191"/>
      <c r="Z119" s="194"/>
      <c r="AA119" s="194"/>
      <c r="AB119" s="194"/>
      <c r="AC119" s="194"/>
      <c r="AD119" s="194"/>
      <c r="AE119" s="194"/>
      <c r="AF119" s="194"/>
      <c r="AG119" s="194"/>
      <c r="AH119" s="194"/>
      <c r="AI119" s="194"/>
      <c r="AJ119" s="194"/>
      <c r="AK119" s="194"/>
    </row>
    <row r="120" spans="1:37" ht="12.75" customHeight="1" x14ac:dyDescent="0.25">
      <c r="A120" s="2"/>
      <c r="B120" s="2"/>
      <c r="C120" s="2"/>
      <c r="D120" s="2"/>
      <c r="E120" s="2"/>
      <c r="F120" s="33"/>
      <c r="G120" s="224"/>
      <c r="H120" s="277"/>
      <c r="I120" s="277"/>
      <c r="J120" s="277"/>
      <c r="K120" s="277"/>
      <c r="L120" s="277"/>
      <c r="M120" s="277"/>
      <c r="N120" s="277"/>
      <c r="O120" s="277"/>
      <c r="P120" s="2"/>
      <c r="Q120" s="2"/>
      <c r="R120" s="2"/>
      <c r="S120" s="2"/>
      <c r="T120" s="2"/>
      <c r="U120" s="2"/>
      <c r="V120" s="2"/>
      <c r="W120" s="2"/>
      <c r="X120" s="2"/>
      <c r="Y120" s="2"/>
      <c r="Z120" s="194"/>
      <c r="AA120" s="194"/>
      <c r="AB120" s="194"/>
      <c r="AC120" s="194"/>
      <c r="AD120" s="194"/>
      <c r="AE120" s="194"/>
      <c r="AF120" s="194"/>
      <c r="AG120" s="194"/>
      <c r="AH120" s="194"/>
      <c r="AI120" s="194"/>
      <c r="AJ120" s="194"/>
      <c r="AK120" s="194"/>
    </row>
    <row r="121" spans="1:37" ht="12.75" customHeight="1" x14ac:dyDescent="0.25">
      <c r="A121" s="2"/>
      <c r="B121" s="2"/>
      <c r="C121" s="2"/>
      <c r="D121" s="2"/>
      <c r="E121" s="1" t="s">
        <v>735</v>
      </c>
      <c r="F121" s="33" t="s">
        <v>288</v>
      </c>
      <c r="G121" s="224"/>
      <c r="H121" s="277"/>
      <c r="I121" s="277"/>
      <c r="J121" s="277"/>
      <c r="K121" s="277"/>
      <c r="L121" s="277"/>
      <c r="M121" s="277"/>
      <c r="N121" s="277"/>
      <c r="O121" s="277"/>
      <c r="P121" s="273">
        <f>(P100*(1-P113))/'&gt;&gt; Inputs'!$G$74</f>
        <v>9.1961332109293983E-2</v>
      </c>
      <c r="Q121" s="273">
        <f>(Q100*(1-Q113))/'&gt;&gt; Inputs'!$G$74</f>
        <v>3.432190920794137E-2</v>
      </c>
      <c r="R121" s="273">
        <f>(R100*(1-R113))/'&gt;&gt; Inputs'!$G$74</f>
        <v>4.6820173705732819E-2</v>
      </c>
      <c r="S121" s="273">
        <f>(S100*(1-S113))/'&gt;&gt; Inputs'!$G$74</f>
        <v>4.7678157197119451E-2</v>
      </c>
      <c r="T121" s="273">
        <f>(T100*(1-T113))/'&gt;&gt; Inputs'!$G$74</f>
        <v>4.8698589226878683E-2</v>
      </c>
      <c r="U121" s="273">
        <f>(U100*(1-U113))/'&gt;&gt; Inputs'!$G$74</f>
        <v>4.9972203865771503E-2</v>
      </c>
      <c r="V121" s="273">
        <f>(V100*(1-V113))/'&gt;&gt; Inputs'!$G$74</f>
        <v>5.1493032549938401E-2</v>
      </c>
      <c r="W121" s="273">
        <f>(W100*(1-W113))/'&gt;&gt; Inputs'!$G$74</f>
        <v>5.308923086326834E-2</v>
      </c>
      <c r="X121" s="273">
        <f>(X100*(1-X113))/'&gt;&gt; Inputs'!$G$74</f>
        <v>5.4567986605731922E-2</v>
      </c>
      <c r="Y121" s="273">
        <f>(Y100*(1-Y113))/'&gt;&gt; Inputs'!$G$74</f>
        <v>5.6168941724809358E-2</v>
      </c>
      <c r="Z121" s="194"/>
      <c r="AA121" s="194"/>
      <c r="AB121" s="194"/>
      <c r="AC121" s="194"/>
      <c r="AD121" s="194"/>
      <c r="AE121" s="194"/>
      <c r="AF121" s="194"/>
      <c r="AG121" s="194"/>
      <c r="AH121" s="194"/>
      <c r="AI121" s="194"/>
      <c r="AJ121" s="194"/>
      <c r="AK121" s="194"/>
    </row>
    <row r="122" spans="1:37" ht="12.75" customHeight="1" x14ac:dyDescent="0.25">
      <c r="A122" s="2"/>
      <c r="B122" s="2"/>
      <c r="C122" s="2"/>
      <c r="D122" s="2"/>
      <c r="E122" s="17" t="s">
        <v>625</v>
      </c>
      <c r="F122" s="33" t="s">
        <v>8</v>
      </c>
      <c r="G122" s="224"/>
      <c r="H122" s="277"/>
      <c r="I122" s="277"/>
      <c r="J122" s="277"/>
      <c r="K122" s="277"/>
      <c r="L122" s="277"/>
      <c r="M122" s="277"/>
      <c r="N122" s="277"/>
      <c r="O122" s="277"/>
      <c r="P122" s="274"/>
      <c r="Q122" s="274">
        <f t="shared" ref="Q122" si="91">Q121/P121-1</f>
        <v>-0.62677890347270582</v>
      </c>
      <c r="R122" s="274">
        <f t="shared" ref="R122" si="92">R121/Q121-1</f>
        <v>0.36414828854857562</v>
      </c>
      <c r="S122" s="274">
        <f t="shared" ref="S122" si="93">S121/R121-1</f>
        <v>1.8325081337354776E-2</v>
      </c>
      <c r="T122" s="274">
        <f t="shared" ref="T122" si="94">T121/S121-1</f>
        <v>2.1402505670266914E-2</v>
      </c>
      <c r="U122" s="274">
        <f t="shared" ref="U122" si="95">U121/T121-1</f>
        <v>2.615300892925787E-2</v>
      </c>
      <c r="V122" s="274">
        <f t="shared" ref="V122" si="96">V121/U121-1</f>
        <v>3.0433492352107239E-2</v>
      </c>
      <c r="W122" s="274">
        <f t="shared" ref="W122" si="97">W121/V121-1</f>
        <v>3.0998335780320074E-2</v>
      </c>
      <c r="X122" s="274">
        <f t="shared" ref="X122" si="98">X121/W121-1</f>
        <v>2.7854156453539947E-2</v>
      </c>
      <c r="Y122" s="274">
        <f t="shared" ref="Y122" si="99">Y121/X121-1</f>
        <v>2.9338724381472225E-2</v>
      </c>
      <c r="Z122" s="194"/>
      <c r="AA122" s="194"/>
      <c r="AB122" s="194"/>
      <c r="AC122" s="194"/>
      <c r="AD122" s="194"/>
      <c r="AE122" s="194"/>
      <c r="AF122" s="194"/>
      <c r="AG122" s="194"/>
      <c r="AH122" s="194"/>
      <c r="AI122" s="194"/>
      <c r="AJ122" s="194"/>
      <c r="AK122" s="194"/>
    </row>
    <row r="123" spans="1:37" ht="12.75" customHeight="1" x14ac:dyDescent="0.25">
      <c r="A123" s="2"/>
      <c r="B123" s="2"/>
      <c r="C123" s="2"/>
      <c r="D123" s="2"/>
      <c r="E123" s="2"/>
      <c r="F123" s="33"/>
      <c r="G123" s="224"/>
      <c r="H123" s="277"/>
      <c r="I123" s="277"/>
      <c r="J123" s="277"/>
      <c r="K123" s="277"/>
      <c r="L123" s="277"/>
      <c r="M123" s="277"/>
      <c r="N123" s="277"/>
      <c r="O123" s="277"/>
      <c r="P123" s="2"/>
      <c r="Q123" s="2"/>
      <c r="R123" s="2"/>
      <c r="S123" s="2"/>
      <c r="T123" s="2"/>
      <c r="U123" s="2"/>
      <c r="V123" s="2"/>
      <c r="W123" s="2"/>
      <c r="X123" s="2"/>
      <c r="Y123" s="2"/>
      <c r="Z123" s="194"/>
      <c r="AA123" s="194"/>
      <c r="AB123" s="194"/>
      <c r="AC123" s="194"/>
      <c r="AD123" s="194"/>
      <c r="AE123" s="194"/>
      <c r="AF123" s="194"/>
      <c r="AG123" s="194"/>
      <c r="AH123" s="194"/>
      <c r="AI123" s="194"/>
      <c r="AJ123" s="194"/>
      <c r="AK123" s="194"/>
    </row>
    <row r="124" spans="1:37" ht="12.75" customHeight="1" x14ac:dyDescent="0.25">
      <c r="A124" s="2"/>
      <c r="B124" s="2"/>
      <c r="C124" s="2"/>
      <c r="D124" s="2"/>
      <c r="E124" s="2"/>
      <c r="F124" s="33"/>
      <c r="G124" s="224"/>
      <c r="H124" s="277"/>
      <c r="I124" s="277"/>
      <c r="J124" s="277"/>
      <c r="K124" s="277"/>
      <c r="L124" s="277"/>
      <c r="M124" s="277"/>
      <c r="N124" s="277"/>
      <c r="O124" s="277"/>
      <c r="P124" s="2"/>
      <c r="Q124" s="2"/>
      <c r="R124" s="2"/>
      <c r="S124" s="2"/>
      <c r="T124" s="2"/>
      <c r="U124" s="2"/>
      <c r="V124" s="2"/>
      <c r="W124" s="2"/>
      <c r="X124" s="2"/>
      <c r="Y124" s="2"/>
      <c r="Z124" s="194"/>
      <c r="AA124" s="194"/>
      <c r="AB124" s="194"/>
      <c r="AC124" s="194"/>
      <c r="AD124" s="194"/>
      <c r="AE124" s="194"/>
      <c r="AF124" s="194"/>
      <c r="AG124" s="194"/>
      <c r="AH124" s="194"/>
      <c r="AI124" s="194"/>
      <c r="AJ124" s="194"/>
      <c r="AK124" s="194"/>
    </row>
    <row r="125" spans="1:37" ht="12.75" hidden="1" customHeight="1" outlineLevel="1" x14ac:dyDescent="0.25">
      <c r="A125" s="2"/>
      <c r="B125" s="2"/>
      <c r="C125" s="2"/>
      <c r="D125" s="2"/>
      <c r="E125" s="2"/>
      <c r="F125" s="33"/>
      <c r="G125" s="224"/>
      <c r="H125" s="2"/>
      <c r="I125" s="226"/>
      <c r="J125" s="226"/>
      <c r="K125" s="226"/>
      <c r="L125" s="226"/>
      <c r="M125" s="226"/>
      <c r="N125" s="226"/>
      <c r="O125" s="226"/>
      <c r="P125" s="226"/>
      <c r="Q125" s="226"/>
      <c r="R125" s="226"/>
      <c r="S125" s="226"/>
      <c r="T125" s="226"/>
      <c r="U125" s="226"/>
      <c r="V125" s="226"/>
      <c r="W125" s="226"/>
      <c r="X125" s="226"/>
      <c r="Y125" s="226"/>
      <c r="Z125" s="194"/>
      <c r="AA125" s="194"/>
      <c r="AB125" s="194"/>
      <c r="AC125" s="194"/>
      <c r="AD125" s="194"/>
      <c r="AE125" s="194"/>
      <c r="AF125" s="194"/>
      <c r="AG125" s="194"/>
      <c r="AH125" s="194"/>
      <c r="AI125" s="194"/>
      <c r="AJ125" s="194"/>
      <c r="AK125" s="194"/>
    </row>
    <row r="126" spans="1:37" ht="15.75" hidden="1" customHeight="1" outlineLevel="1" x14ac:dyDescent="0.25">
      <c r="A126" s="1"/>
      <c r="B126" s="1"/>
      <c r="C126" s="280" t="s">
        <v>634</v>
      </c>
      <c r="D126" s="281"/>
      <c r="E126" s="281"/>
      <c r="F126" s="282"/>
      <c r="G126" s="282"/>
      <c r="H126" s="281"/>
      <c r="I126" s="281"/>
      <c r="J126" s="281"/>
      <c r="K126" s="283"/>
      <c r="L126" s="283"/>
      <c r="M126" s="283"/>
      <c r="N126" s="284"/>
      <c r="O126" s="283"/>
      <c r="P126" s="283"/>
      <c r="Q126" s="283"/>
      <c r="R126" s="283"/>
      <c r="S126" s="283"/>
      <c r="T126" s="283"/>
      <c r="U126" s="283"/>
      <c r="V126" s="283"/>
      <c r="W126" s="283"/>
      <c r="X126" s="283"/>
      <c r="Y126" s="283"/>
      <c r="Z126" s="1"/>
      <c r="AA126" s="1"/>
      <c r="AB126" s="1"/>
      <c r="AC126" s="1"/>
      <c r="AD126" s="1"/>
      <c r="AE126" s="1"/>
      <c r="AF126" s="1"/>
      <c r="AG126" s="1"/>
      <c r="AH126" s="1"/>
      <c r="AI126" s="1"/>
      <c r="AJ126" s="1"/>
      <c r="AK126" s="1"/>
    </row>
    <row r="127" spans="1:37" ht="15.75" hidden="1" customHeight="1" outlineLevel="1" x14ac:dyDescent="0.25">
      <c r="A127" s="1"/>
      <c r="B127" s="1"/>
      <c r="C127" s="2"/>
      <c r="D127" s="1"/>
      <c r="E127" s="1"/>
      <c r="F127" s="33"/>
      <c r="G127" s="33"/>
      <c r="H127" s="285"/>
      <c r="I127" s="285"/>
      <c r="J127" s="285"/>
      <c r="K127" s="285"/>
      <c r="L127" s="285"/>
      <c r="M127" s="285"/>
      <c r="N127" s="285"/>
      <c r="O127" s="162"/>
      <c r="P127" s="162"/>
      <c r="Q127" s="162"/>
      <c r="R127" s="162"/>
      <c r="S127" s="162"/>
      <c r="T127" s="162"/>
      <c r="U127" s="162"/>
      <c r="V127" s="162"/>
      <c r="W127" s="162"/>
      <c r="X127" s="162"/>
      <c r="Y127" s="162"/>
      <c r="Z127" s="1"/>
      <c r="AA127" s="1"/>
      <c r="AB127" s="1"/>
      <c r="AC127" s="1"/>
      <c r="AD127" s="1"/>
      <c r="AE127" s="1"/>
      <c r="AF127" s="1"/>
      <c r="AG127" s="1"/>
      <c r="AH127" s="1"/>
      <c r="AI127" s="1"/>
      <c r="AJ127" s="1"/>
      <c r="AK127" s="1"/>
    </row>
    <row r="128" spans="1:37" ht="15.75" hidden="1" customHeight="1" outlineLevel="1" x14ac:dyDescent="0.25">
      <c r="A128" s="1"/>
      <c r="B128" s="1"/>
      <c r="C128" s="2"/>
      <c r="D128" s="1"/>
      <c r="E128" s="1" t="s">
        <v>635</v>
      </c>
      <c r="F128" s="33" t="s">
        <v>28</v>
      </c>
      <c r="G128" s="33"/>
      <c r="H128" s="482"/>
      <c r="I128" s="482"/>
      <c r="J128" s="482"/>
      <c r="K128" s="482"/>
      <c r="L128" s="482"/>
      <c r="M128" s="482"/>
      <c r="N128" s="482"/>
      <c r="O128" s="482"/>
      <c r="P128" s="287"/>
      <c r="Q128" s="287"/>
      <c r="R128" s="287"/>
      <c r="S128" s="287"/>
      <c r="T128" s="287"/>
      <c r="U128" s="287"/>
      <c r="V128" s="287"/>
      <c r="W128" s="287"/>
      <c r="X128" s="287"/>
      <c r="Y128" s="287"/>
      <c r="Z128" s="1"/>
      <c r="AA128" s="1"/>
      <c r="AB128" s="1"/>
      <c r="AC128" s="1"/>
      <c r="AD128" s="1"/>
      <c r="AE128" s="1"/>
      <c r="AF128" s="1"/>
      <c r="AG128" s="1"/>
      <c r="AH128" s="1"/>
      <c r="AI128" s="1"/>
      <c r="AJ128" s="1"/>
      <c r="AK128" s="1"/>
    </row>
    <row r="129" spans="1:37" ht="15.75" hidden="1" customHeight="1" outlineLevel="1" x14ac:dyDescent="0.25">
      <c r="A129" s="1"/>
      <c r="B129" s="1"/>
      <c r="C129" s="2"/>
      <c r="D129" s="1"/>
      <c r="E129" s="44" t="s">
        <v>625</v>
      </c>
      <c r="F129" s="33" t="s">
        <v>8</v>
      </c>
      <c r="G129" s="33"/>
      <c r="H129" s="482"/>
      <c r="I129" s="483"/>
      <c r="J129" s="483"/>
      <c r="K129" s="483"/>
      <c r="L129" s="483"/>
      <c r="M129" s="483"/>
      <c r="N129" s="483"/>
      <c r="O129" s="483"/>
      <c r="P129" s="287"/>
      <c r="Q129" s="287"/>
      <c r="R129" s="287"/>
      <c r="S129" s="287"/>
      <c r="T129" s="287"/>
      <c r="U129" s="287"/>
      <c r="V129" s="287"/>
      <c r="W129" s="287"/>
      <c r="X129" s="287"/>
      <c r="Y129" s="287"/>
      <c r="Z129" s="1"/>
      <c r="AA129" s="1"/>
      <c r="AB129" s="1"/>
      <c r="AC129" s="1"/>
      <c r="AD129" s="1"/>
      <c r="AE129" s="1"/>
      <c r="AF129" s="1"/>
      <c r="AG129" s="1"/>
      <c r="AH129" s="1"/>
      <c r="AI129" s="1"/>
      <c r="AJ129" s="1"/>
      <c r="AK129" s="1"/>
    </row>
    <row r="130" spans="1:37" ht="15.75" hidden="1" customHeight="1" outlineLevel="1" x14ac:dyDescent="0.25">
      <c r="A130" s="1"/>
      <c r="B130" s="1"/>
      <c r="C130" s="2"/>
      <c r="D130" s="1"/>
      <c r="E130" s="290" t="s">
        <v>636</v>
      </c>
      <c r="F130" s="33" t="s">
        <v>28</v>
      </c>
      <c r="G130" s="33"/>
      <c r="H130" s="482"/>
      <c r="I130" s="482"/>
      <c r="J130" s="482"/>
      <c r="K130" s="482"/>
      <c r="L130" s="482"/>
      <c r="M130" s="482"/>
      <c r="N130" s="482"/>
      <c r="O130" s="482"/>
      <c r="P130" s="287"/>
      <c r="Q130" s="287"/>
      <c r="R130" s="287"/>
      <c r="S130" s="287"/>
      <c r="T130" s="287"/>
      <c r="U130" s="287"/>
      <c r="V130" s="287"/>
      <c r="W130" s="287"/>
      <c r="X130" s="287"/>
      <c r="Y130" s="287"/>
      <c r="Z130" s="1"/>
      <c r="AA130" s="1"/>
      <c r="AB130" s="1"/>
      <c r="AC130" s="1"/>
      <c r="AD130" s="1"/>
      <c r="AE130" s="1"/>
      <c r="AF130" s="1"/>
      <c r="AG130" s="1"/>
      <c r="AH130" s="1"/>
      <c r="AI130" s="1"/>
      <c r="AJ130" s="1"/>
      <c r="AK130" s="1"/>
    </row>
    <row r="131" spans="1:37" ht="15.75" hidden="1" customHeight="1" outlineLevel="1" x14ac:dyDescent="0.25">
      <c r="A131" s="1"/>
      <c r="B131" s="1"/>
      <c r="C131" s="2"/>
      <c r="D131" s="1"/>
      <c r="E131" s="291" t="s">
        <v>625</v>
      </c>
      <c r="F131" s="33" t="s">
        <v>8</v>
      </c>
      <c r="G131" s="33"/>
      <c r="H131" s="482"/>
      <c r="I131" s="483"/>
      <c r="J131" s="483"/>
      <c r="K131" s="483"/>
      <c r="L131" s="483"/>
      <c r="M131" s="483"/>
      <c r="N131" s="483"/>
      <c r="O131" s="483"/>
      <c r="P131" s="287"/>
      <c r="Q131" s="287"/>
      <c r="R131" s="287"/>
      <c r="S131" s="287"/>
      <c r="T131" s="287"/>
      <c r="U131" s="287"/>
      <c r="V131" s="287"/>
      <c r="W131" s="287"/>
      <c r="X131" s="287"/>
      <c r="Y131" s="287"/>
      <c r="Z131" s="1"/>
      <c r="AA131" s="1"/>
      <c r="AB131" s="1"/>
      <c r="AC131" s="1"/>
      <c r="AD131" s="1"/>
      <c r="AE131" s="1"/>
      <c r="AF131" s="1"/>
      <c r="AG131" s="1"/>
      <c r="AH131" s="1"/>
      <c r="AI131" s="1"/>
      <c r="AJ131" s="1"/>
      <c r="AK131" s="1"/>
    </row>
    <row r="132" spans="1:37" ht="15.75" hidden="1" customHeight="1" outlineLevel="1" x14ac:dyDescent="0.25">
      <c r="A132" s="1"/>
      <c r="B132" s="1"/>
      <c r="C132" s="2"/>
      <c r="D132" s="1"/>
      <c r="E132" s="290" t="s">
        <v>637</v>
      </c>
      <c r="F132" s="33" t="s">
        <v>28</v>
      </c>
      <c r="G132" s="33"/>
      <c r="H132" s="292">
        <v>-52.055999999999997</v>
      </c>
      <c r="I132" s="292">
        <v>-53.6</v>
      </c>
      <c r="J132" s="292">
        <v>-56.3</v>
      </c>
      <c r="K132" s="292">
        <v>-46.4</v>
      </c>
      <c r="L132" s="292">
        <v>-51.622999999999998</v>
      </c>
      <c r="M132" s="292">
        <v>-33.799999999999997</v>
      </c>
      <c r="N132" s="292">
        <v>-57.7</v>
      </c>
      <c r="O132" s="292">
        <v>-59</v>
      </c>
      <c r="P132" s="292">
        <v>-52.5793125</v>
      </c>
      <c r="Q132" s="292">
        <v>-50.213243437499997</v>
      </c>
      <c r="R132" s="292">
        <v>-50.966442089062497</v>
      </c>
      <c r="S132" s="292">
        <v>-51.730938720398427</v>
      </c>
      <c r="T132" s="292">
        <v>-52.506902801204397</v>
      </c>
      <c r="U132" s="292">
        <v>-53.294506343222466</v>
      </c>
      <c r="V132" s="292">
        <v>-54.093923938370793</v>
      </c>
      <c r="W132" s="292">
        <v>-54.905332797446356</v>
      </c>
      <c r="X132" s="292">
        <v>-55.728912789408042</v>
      </c>
      <c r="Y132" s="292">
        <v>-56.564846481249162</v>
      </c>
      <c r="Z132" s="293">
        <v>0.13</v>
      </c>
      <c r="AA132" s="17" t="s">
        <v>638</v>
      </c>
      <c r="AB132" s="1"/>
      <c r="AC132" s="1"/>
      <c r="AD132" s="1"/>
      <c r="AE132" s="1"/>
      <c r="AF132" s="1"/>
      <c r="AG132" s="1"/>
      <c r="AH132" s="1"/>
      <c r="AI132" s="1"/>
      <c r="AJ132" s="1"/>
      <c r="AK132" s="1"/>
    </row>
    <row r="133" spans="1:37" ht="15.75" hidden="1" customHeight="1" outlineLevel="1" x14ac:dyDescent="0.25">
      <c r="A133" s="1"/>
      <c r="B133" s="1"/>
      <c r="C133" s="2"/>
      <c r="D133" s="1"/>
      <c r="E133" s="294" t="s">
        <v>639</v>
      </c>
      <c r="F133" s="33" t="s">
        <v>28</v>
      </c>
      <c r="G133" s="33"/>
      <c r="H133" s="171">
        <v>351.64400000000001</v>
      </c>
      <c r="I133" s="171">
        <v>360.5</v>
      </c>
      <c r="J133" s="171">
        <v>378</v>
      </c>
      <c r="K133" s="171">
        <v>312.40000000000003</v>
      </c>
      <c r="L133" s="171">
        <v>345.77699999999999</v>
      </c>
      <c r="M133" s="171">
        <v>226.7</v>
      </c>
      <c r="N133" s="171">
        <v>387.2</v>
      </c>
      <c r="O133" s="171">
        <v>397.5</v>
      </c>
      <c r="P133" s="171">
        <v>404.45625000000001</v>
      </c>
      <c r="Q133" s="171">
        <v>386.25571874999997</v>
      </c>
      <c r="R133" s="171">
        <v>392.04955453124995</v>
      </c>
      <c r="S133" s="171">
        <v>397.93029784921868</v>
      </c>
      <c r="T133" s="171">
        <v>403.8992523169569</v>
      </c>
      <c r="U133" s="171">
        <v>409.95774110171124</v>
      </c>
      <c r="V133" s="171">
        <v>416.10710721823688</v>
      </c>
      <c r="W133" s="171">
        <v>422.34871382651039</v>
      </c>
      <c r="X133" s="171">
        <v>428.683944533908</v>
      </c>
      <c r="Y133" s="171">
        <v>435.11420370191661</v>
      </c>
      <c r="Z133" s="1"/>
      <c r="AA133" s="1"/>
      <c r="AB133" s="1"/>
      <c r="AC133" s="1"/>
      <c r="AD133" s="1"/>
      <c r="AE133" s="1"/>
      <c r="AF133" s="1"/>
      <c r="AG133" s="1"/>
      <c r="AH133" s="1"/>
      <c r="AI133" s="1"/>
      <c r="AJ133" s="1"/>
      <c r="AK133" s="1"/>
    </row>
    <row r="134" spans="1:37" ht="15.75" hidden="1" customHeight="1" outlineLevel="1" x14ac:dyDescent="0.25">
      <c r="A134" s="1"/>
      <c r="B134" s="1"/>
      <c r="C134" s="2"/>
      <c r="D134" s="1"/>
      <c r="E134" s="290" t="s">
        <v>625</v>
      </c>
      <c r="F134" s="33"/>
      <c r="G134" s="33"/>
      <c r="H134" s="171"/>
      <c r="I134" s="288">
        <f>I133/H133-1</f>
        <v>2.5184561658950555E-2</v>
      </c>
      <c r="J134" s="288">
        <f t="shared" ref="J134:O134" si="100">J133/I133-1</f>
        <v>4.8543689320388328E-2</v>
      </c>
      <c r="K134" s="481">
        <f t="shared" si="100"/>
        <v>-0.17354497354497345</v>
      </c>
      <c r="L134" s="481">
        <f t="shared" si="100"/>
        <v>0.10684058898847626</v>
      </c>
      <c r="M134" s="481">
        <f t="shared" si="100"/>
        <v>-0.34437513194920422</v>
      </c>
      <c r="N134" s="481">
        <f t="shared" si="100"/>
        <v>0.70798411998235555</v>
      </c>
      <c r="O134" s="288">
        <f t="shared" si="100"/>
        <v>2.6601239669421517E-2</v>
      </c>
      <c r="P134" s="289">
        <v>1.7500000000000002E-2</v>
      </c>
      <c r="Q134" s="289">
        <f>-7.5%+3%</f>
        <v>-4.4999999999999998E-2</v>
      </c>
      <c r="R134" s="289">
        <f>1.5%</f>
        <v>1.4999999999999999E-2</v>
      </c>
      <c r="S134" s="289">
        <f t="shared" ref="S134:Y134" si="101">1.5%</f>
        <v>1.4999999999999999E-2</v>
      </c>
      <c r="T134" s="289">
        <f t="shared" si="101"/>
        <v>1.4999999999999999E-2</v>
      </c>
      <c r="U134" s="289">
        <f t="shared" si="101"/>
        <v>1.4999999999999999E-2</v>
      </c>
      <c r="V134" s="289">
        <f t="shared" si="101"/>
        <v>1.4999999999999999E-2</v>
      </c>
      <c r="W134" s="289">
        <f t="shared" si="101"/>
        <v>1.4999999999999999E-2</v>
      </c>
      <c r="X134" s="289">
        <f t="shared" si="101"/>
        <v>1.4999999999999999E-2</v>
      </c>
      <c r="Y134" s="289">
        <f t="shared" si="101"/>
        <v>1.4999999999999999E-2</v>
      </c>
      <c r="Z134" s="1"/>
      <c r="AA134" s="1"/>
      <c r="AB134" s="1"/>
      <c r="AC134" s="1"/>
      <c r="AD134" s="1"/>
      <c r="AE134" s="1"/>
      <c r="AF134" s="1"/>
      <c r="AG134" s="1"/>
      <c r="AH134" s="1"/>
      <c r="AI134" s="1"/>
      <c r="AJ134" s="1"/>
      <c r="AK134" s="1"/>
    </row>
    <row r="135" spans="1:37" ht="15.75" hidden="1" customHeight="1" outlineLevel="1" x14ac:dyDescent="0.25">
      <c r="A135" s="1"/>
      <c r="B135" s="1"/>
      <c r="C135" s="2"/>
      <c r="D135" s="1"/>
      <c r="E135" s="294"/>
      <c r="F135" s="33"/>
      <c r="G135" s="33"/>
      <c r="H135" s="171"/>
      <c r="I135" s="171"/>
      <c r="J135" s="295"/>
      <c r="K135" s="295"/>
      <c r="L135" s="295"/>
      <c r="M135" s="295"/>
      <c r="N135" s="295"/>
      <c r="O135" s="295"/>
      <c r="P135" s="295"/>
      <c r="Q135" s="171"/>
      <c r="R135" s="171"/>
      <c r="S135" s="171"/>
      <c r="T135" s="171"/>
      <c r="U135" s="171"/>
      <c r="V135" s="171"/>
      <c r="W135" s="171"/>
      <c r="X135" s="171"/>
      <c r="Y135" s="171"/>
      <c r="Z135" s="1"/>
      <c r="AA135" s="1"/>
      <c r="AB135" s="1"/>
      <c r="AC135" s="1"/>
      <c r="AD135" s="1"/>
      <c r="AE135" s="1"/>
      <c r="AF135" s="1"/>
      <c r="AG135" s="1"/>
      <c r="AH135" s="1"/>
      <c r="AI135" s="1"/>
      <c r="AJ135" s="1"/>
      <c r="AK135" s="1"/>
    </row>
    <row r="136" spans="1:37" ht="15.75" hidden="1" customHeight="1" outlineLevel="1" x14ac:dyDescent="0.25">
      <c r="A136" s="1"/>
      <c r="B136" s="1"/>
      <c r="C136" s="2"/>
      <c r="D136" s="1"/>
      <c r="E136" s="296" t="s">
        <v>640</v>
      </c>
      <c r="F136" s="33" t="s">
        <v>28</v>
      </c>
      <c r="G136" s="33"/>
      <c r="H136" s="371"/>
      <c r="I136" s="297"/>
      <c r="J136" s="298"/>
      <c r="K136" s="298"/>
      <c r="L136" s="298"/>
      <c r="M136" s="298"/>
      <c r="N136" s="298"/>
      <c r="O136" s="298"/>
      <c r="P136" s="295"/>
      <c r="Q136" s="287"/>
      <c r="R136" s="287"/>
      <c r="S136" s="287"/>
      <c r="T136" s="287"/>
      <c r="U136" s="287"/>
      <c r="V136" s="287"/>
      <c r="W136" s="287"/>
      <c r="X136" s="287"/>
      <c r="Y136" s="287"/>
      <c r="Z136" s="1"/>
      <c r="AA136" s="1"/>
      <c r="AB136" s="1"/>
      <c r="AC136" s="1"/>
      <c r="AD136" s="1"/>
      <c r="AE136" s="1"/>
      <c r="AF136" s="1"/>
      <c r="AG136" s="1"/>
      <c r="AH136" s="1"/>
      <c r="AI136" s="1"/>
      <c r="AJ136" s="1"/>
      <c r="AK136" s="1"/>
    </row>
    <row r="137" spans="1:37" ht="15.75" hidden="1" customHeight="1" outlineLevel="1" x14ac:dyDescent="0.25">
      <c r="A137" s="1"/>
      <c r="B137" s="1"/>
      <c r="C137" s="2"/>
      <c r="D137" s="1"/>
      <c r="E137" s="296" t="s">
        <v>641</v>
      </c>
      <c r="F137" s="33" t="s">
        <v>28</v>
      </c>
      <c r="G137" s="33"/>
      <c r="H137" s="371"/>
      <c r="I137" s="297"/>
      <c r="J137" s="297"/>
      <c r="K137" s="297"/>
      <c r="L137" s="297"/>
      <c r="M137" s="297"/>
      <c r="N137" s="286"/>
      <c r="O137" s="286"/>
      <c r="P137" s="287"/>
      <c r="Q137" s="287"/>
      <c r="R137" s="287"/>
      <c r="S137" s="287"/>
      <c r="T137" s="287"/>
      <c r="U137" s="287"/>
      <c r="V137" s="287"/>
      <c r="W137" s="287"/>
      <c r="X137" s="287"/>
      <c r="Y137" s="287"/>
      <c r="Z137" s="1"/>
      <c r="AA137" s="1"/>
      <c r="AB137" s="1"/>
      <c r="AC137" s="1"/>
      <c r="AD137" s="1"/>
      <c r="AE137" s="1"/>
      <c r="AF137" s="1"/>
      <c r="AG137" s="1"/>
      <c r="AH137" s="1"/>
      <c r="AI137" s="1"/>
      <c r="AJ137" s="1"/>
      <c r="AK137" s="1"/>
    </row>
    <row r="138" spans="1:37" ht="15.75" hidden="1" customHeight="1" outlineLevel="1" x14ac:dyDescent="0.25">
      <c r="A138" s="1"/>
      <c r="B138" s="1"/>
      <c r="C138" s="2"/>
      <c r="D138" s="1"/>
      <c r="E138" s="296" t="s">
        <v>642</v>
      </c>
      <c r="F138" s="33" t="s">
        <v>28</v>
      </c>
      <c r="G138" s="33"/>
      <c r="H138" s="371"/>
      <c r="I138" s="297"/>
      <c r="J138" s="297"/>
      <c r="K138" s="299"/>
      <c r="L138" s="297"/>
      <c r="M138" s="297"/>
      <c r="N138" s="286"/>
      <c r="O138" s="286"/>
      <c r="P138" s="300"/>
      <c r="Q138" s="300"/>
      <c r="R138" s="300"/>
      <c r="S138" s="300"/>
      <c r="T138" s="300"/>
      <c r="U138" s="300"/>
      <c r="V138" s="300"/>
      <c r="W138" s="300"/>
      <c r="X138" s="300"/>
      <c r="Y138" s="300"/>
      <c r="Z138" s="301"/>
      <c r="AA138" s="1"/>
      <c r="AB138" s="1"/>
      <c r="AC138" s="1"/>
      <c r="AD138" s="1"/>
      <c r="AE138" s="1"/>
      <c r="AF138" s="1"/>
      <c r="AG138" s="1"/>
      <c r="AH138" s="1"/>
      <c r="AI138" s="1"/>
      <c r="AJ138" s="1"/>
      <c r="AK138" s="1"/>
    </row>
    <row r="139" spans="1:37" ht="15.75" hidden="1" customHeight="1" outlineLevel="1" x14ac:dyDescent="0.25">
      <c r="A139" s="1"/>
      <c r="B139" s="1"/>
      <c r="C139" s="2"/>
      <c r="D139" s="1"/>
      <c r="E139" s="296" t="s">
        <v>322</v>
      </c>
      <c r="F139" s="33"/>
      <c r="G139" s="33"/>
      <c r="H139" s="297"/>
      <c r="I139" s="297"/>
      <c r="J139" s="297"/>
      <c r="K139" s="299"/>
      <c r="L139" s="297"/>
      <c r="M139" s="286"/>
      <c r="N139" s="286"/>
      <c r="O139" s="286"/>
      <c r="P139" s="300"/>
      <c r="Q139" s="300"/>
      <c r="R139" s="300"/>
      <c r="S139" s="300"/>
      <c r="T139" s="300"/>
      <c r="U139" s="300"/>
      <c r="V139" s="300"/>
      <c r="W139" s="300"/>
      <c r="X139" s="300"/>
      <c r="Y139" s="300"/>
      <c r="Z139" s="1"/>
      <c r="AA139" s="1"/>
      <c r="AB139" s="1"/>
      <c r="AC139" s="1"/>
      <c r="AD139" s="1"/>
      <c r="AE139" s="1"/>
      <c r="AF139" s="1"/>
      <c r="AG139" s="1"/>
      <c r="AH139" s="1"/>
      <c r="AI139" s="1"/>
      <c r="AJ139" s="1"/>
      <c r="AK139" s="1"/>
    </row>
    <row r="140" spans="1:37" ht="15.75" hidden="1" customHeight="1" outlineLevel="1" x14ac:dyDescent="0.25">
      <c r="A140" s="1"/>
      <c r="B140" s="1"/>
      <c r="C140" s="2"/>
      <c r="D140" s="1"/>
      <c r="E140" s="294" t="s">
        <v>643</v>
      </c>
      <c r="F140" s="33" t="s">
        <v>28</v>
      </c>
      <c r="G140" s="33"/>
      <c r="H140" s="302">
        <v>163</v>
      </c>
      <c r="I140" s="302">
        <v>170.52699999999999</v>
      </c>
      <c r="J140" s="302">
        <v>172.3</v>
      </c>
      <c r="K140" s="302">
        <v>138.5</v>
      </c>
      <c r="L140" s="302">
        <v>90.9</v>
      </c>
      <c r="M140" s="302">
        <v>70.099999999999994</v>
      </c>
      <c r="N140" s="302">
        <v>123.9</v>
      </c>
      <c r="O140" s="302">
        <v>151.80000000000001</v>
      </c>
      <c r="P140" s="302">
        <f t="shared" ref="P140:Y140" si="102">O140*(1+P141)</f>
        <v>166.221</v>
      </c>
      <c r="Q140" s="302">
        <f t="shared" si="102"/>
        <v>173.70094499999999</v>
      </c>
      <c r="R140" s="302">
        <f t="shared" si="102"/>
        <v>178.91197334999998</v>
      </c>
      <c r="S140" s="302">
        <f t="shared" si="102"/>
        <v>184.27933255049999</v>
      </c>
      <c r="T140" s="302">
        <f t="shared" si="102"/>
        <v>189.80771252701498</v>
      </c>
      <c r="U140" s="302">
        <f t="shared" si="102"/>
        <v>195.50194390282545</v>
      </c>
      <c r="V140" s="302">
        <f t="shared" si="102"/>
        <v>201.3670022199102</v>
      </c>
      <c r="W140" s="302">
        <f t="shared" si="102"/>
        <v>207.40801228650753</v>
      </c>
      <c r="X140" s="302">
        <f t="shared" si="102"/>
        <v>213.63025265510277</v>
      </c>
      <c r="Y140" s="302">
        <f t="shared" si="102"/>
        <v>220.03916023475585</v>
      </c>
      <c r="Z140" s="1"/>
      <c r="AA140" s="1"/>
      <c r="AB140" s="1"/>
      <c r="AC140" s="1"/>
      <c r="AD140" s="1"/>
      <c r="AE140" s="1"/>
      <c r="AF140" s="1"/>
      <c r="AG140" s="1"/>
      <c r="AH140" s="1"/>
      <c r="AI140" s="1"/>
      <c r="AJ140" s="1"/>
      <c r="AK140" s="1"/>
    </row>
    <row r="141" spans="1:37" ht="15.75" hidden="1" customHeight="1" outlineLevel="1" x14ac:dyDescent="0.25">
      <c r="A141" s="1"/>
      <c r="B141" s="1"/>
      <c r="C141" s="2"/>
      <c r="D141" s="1"/>
      <c r="E141" s="291" t="s">
        <v>625</v>
      </c>
      <c r="F141" s="33"/>
      <c r="G141" s="33"/>
      <c r="H141" s="302"/>
      <c r="I141" s="288">
        <f t="shared" ref="I141:O141" si="103">I140/H140-1</f>
        <v>4.6177914110429263E-2</v>
      </c>
      <c r="J141" s="288">
        <f t="shared" si="103"/>
        <v>1.0397180505140158E-2</v>
      </c>
      <c r="K141" s="288">
        <f t="shared" si="103"/>
        <v>-0.19616947185142197</v>
      </c>
      <c r="L141" s="288">
        <f t="shared" si="103"/>
        <v>-0.34368231046931408</v>
      </c>
      <c r="M141" s="288">
        <f t="shared" si="103"/>
        <v>-0.22882288228822889</v>
      </c>
      <c r="N141" s="288">
        <f t="shared" si="103"/>
        <v>0.76747503566333841</v>
      </c>
      <c r="O141" s="288">
        <f t="shared" si="103"/>
        <v>0.22518159806295412</v>
      </c>
      <c r="P141" s="289">
        <f>4.5%+5%</f>
        <v>9.5000000000000001E-2</v>
      </c>
      <c r="Q141" s="289">
        <v>4.4999999999999998E-2</v>
      </c>
      <c r="R141" s="289">
        <v>0.03</v>
      </c>
      <c r="S141" s="289">
        <v>0.03</v>
      </c>
      <c r="T141" s="289">
        <v>0.03</v>
      </c>
      <c r="U141" s="289">
        <v>0.03</v>
      </c>
      <c r="V141" s="289">
        <v>0.03</v>
      </c>
      <c r="W141" s="289">
        <v>0.03</v>
      </c>
      <c r="X141" s="289">
        <v>0.03</v>
      </c>
      <c r="Y141" s="289">
        <v>0.03</v>
      </c>
      <c r="Z141" s="1"/>
      <c r="AA141" s="1"/>
      <c r="AB141" s="1"/>
      <c r="AC141" s="1"/>
      <c r="AD141" s="1"/>
      <c r="AE141" s="1"/>
      <c r="AF141" s="1"/>
      <c r="AG141" s="1"/>
      <c r="AH141" s="1"/>
      <c r="AI141" s="1"/>
      <c r="AJ141" s="1"/>
      <c r="AK141" s="1"/>
    </row>
    <row r="142" spans="1:37" ht="15.75" hidden="1" customHeight="1" outlineLevel="1" x14ac:dyDescent="0.25">
      <c r="A142" s="1"/>
      <c r="B142" s="1"/>
      <c r="C142" s="2"/>
      <c r="D142" s="1"/>
      <c r="E142" s="294" t="s">
        <v>644</v>
      </c>
      <c r="F142" s="33" t="s">
        <v>28</v>
      </c>
      <c r="G142" s="33"/>
      <c r="H142" s="303">
        <f t="shared" ref="H142:Y142" si="104">SUM(H133,H140)</f>
        <v>514.64400000000001</v>
      </c>
      <c r="I142" s="303">
        <f t="shared" si="104"/>
        <v>531.02700000000004</v>
      </c>
      <c r="J142" s="303">
        <f t="shared" si="104"/>
        <v>550.29999999999995</v>
      </c>
      <c r="K142" s="303">
        <f t="shared" si="104"/>
        <v>450.90000000000003</v>
      </c>
      <c r="L142" s="303">
        <f t="shared" si="104"/>
        <v>436.67700000000002</v>
      </c>
      <c r="M142" s="303">
        <f t="shared" si="104"/>
        <v>296.79999999999995</v>
      </c>
      <c r="N142" s="303">
        <f t="shared" si="104"/>
        <v>511.1</v>
      </c>
      <c r="O142" s="303">
        <f t="shared" si="104"/>
        <v>549.29999999999995</v>
      </c>
      <c r="P142" s="303">
        <f>SUM(P133,P140)</f>
        <v>570.67724999999996</v>
      </c>
      <c r="Q142" s="303">
        <f t="shared" si="104"/>
        <v>559.95666374999996</v>
      </c>
      <c r="R142" s="303">
        <f t="shared" si="104"/>
        <v>570.96152788124994</v>
      </c>
      <c r="S142" s="303">
        <f t="shared" si="104"/>
        <v>582.20963039971866</v>
      </c>
      <c r="T142" s="303">
        <f t="shared" si="104"/>
        <v>593.70696484397195</v>
      </c>
      <c r="U142" s="303">
        <f t="shared" si="104"/>
        <v>605.45968500453671</v>
      </c>
      <c r="V142" s="303">
        <f t="shared" si="104"/>
        <v>617.47410943814702</v>
      </c>
      <c r="W142" s="303">
        <f t="shared" si="104"/>
        <v>629.75672611301798</v>
      </c>
      <c r="X142" s="303">
        <f t="shared" si="104"/>
        <v>642.31419718901077</v>
      </c>
      <c r="Y142" s="303">
        <f t="shared" si="104"/>
        <v>655.15336393667246</v>
      </c>
      <c r="Z142" s="17"/>
      <c r="AA142" s="1"/>
      <c r="AB142" s="1"/>
      <c r="AC142" s="1"/>
      <c r="AD142" s="1"/>
      <c r="AE142" s="1"/>
      <c r="AF142" s="1"/>
      <c r="AG142" s="1"/>
      <c r="AH142" s="1"/>
      <c r="AI142" s="1"/>
      <c r="AJ142" s="1"/>
      <c r="AK142" s="1"/>
    </row>
    <row r="143" spans="1:37" ht="15.75" hidden="1" customHeight="1" outlineLevel="1" x14ac:dyDescent="0.25">
      <c r="A143" s="1"/>
      <c r="B143" s="1"/>
      <c r="C143" s="2"/>
      <c r="D143" s="1"/>
      <c r="E143" s="294"/>
      <c r="F143" s="33"/>
      <c r="G143" s="33"/>
      <c r="H143" s="171"/>
      <c r="I143" s="171"/>
      <c r="J143" s="171"/>
      <c r="K143" s="171"/>
      <c r="L143" s="171"/>
      <c r="M143" s="171"/>
      <c r="N143" s="171"/>
      <c r="O143" s="171"/>
      <c r="P143" s="171"/>
      <c r="Q143" s="171"/>
      <c r="R143" s="171"/>
      <c r="S143" s="171"/>
      <c r="T143" s="171"/>
      <c r="U143" s="171"/>
      <c r="V143" s="171"/>
      <c r="W143" s="171"/>
      <c r="X143" s="171"/>
      <c r="Y143" s="171"/>
      <c r="Z143" s="1"/>
      <c r="AA143" s="1"/>
      <c r="AB143" s="1"/>
      <c r="AC143" s="1"/>
      <c r="AD143" s="1"/>
      <c r="AE143" s="1"/>
      <c r="AF143" s="1"/>
      <c r="AG143" s="1"/>
      <c r="AH143" s="1"/>
      <c r="AI143" s="1"/>
      <c r="AJ143" s="1"/>
      <c r="AK143" s="1"/>
    </row>
    <row r="144" spans="1:37" ht="12.75" hidden="1" customHeight="1" outlineLevel="1" x14ac:dyDescent="0.25">
      <c r="A144" s="2"/>
      <c r="B144" s="2"/>
      <c r="C144" s="2"/>
      <c r="D144" s="2"/>
      <c r="E144" s="42" t="s">
        <v>613</v>
      </c>
      <c r="F144" s="193"/>
      <c r="G144" s="68"/>
      <c r="H144" s="182"/>
      <c r="I144" s="182"/>
      <c r="J144" s="182"/>
      <c r="K144" s="182"/>
      <c r="L144" s="182"/>
      <c r="M144" s="182"/>
      <c r="N144" s="182"/>
      <c r="O144" s="182"/>
      <c r="P144" s="182"/>
      <c r="Q144" s="182"/>
      <c r="R144" s="182"/>
      <c r="S144" s="182"/>
      <c r="T144" s="182"/>
      <c r="U144" s="182"/>
      <c r="V144" s="182"/>
      <c r="W144" s="182"/>
      <c r="X144" s="182"/>
      <c r="Y144" s="182"/>
      <c r="Z144" s="194"/>
      <c r="AA144" s="194"/>
      <c r="AB144" s="194"/>
      <c r="AC144" s="194"/>
      <c r="AD144" s="194"/>
      <c r="AE144" s="194"/>
      <c r="AF144" s="194"/>
      <c r="AG144" s="194"/>
      <c r="AH144" s="194"/>
      <c r="AI144" s="194"/>
      <c r="AJ144" s="194"/>
      <c r="AK144" s="194"/>
    </row>
    <row r="145" spans="1:37" ht="12.75" hidden="1" customHeight="1" outlineLevel="1" x14ac:dyDescent="0.25">
      <c r="A145" s="2"/>
      <c r="B145" s="2"/>
      <c r="C145" s="2"/>
      <c r="D145" s="2"/>
      <c r="E145" s="1" t="s">
        <v>635</v>
      </c>
      <c r="F145" s="33" t="s">
        <v>8</v>
      </c>
      <c r="G145" s="68"/>
      <c r="H145" s="222"/>
      <c r="I145" s="222" t="e">
        <f t="shared" ref="I145:O145" si="105">I128 / H128 -1</f>
        <v>#DIV/0!</v>
      </c>
      <c r="J145" s="222" t="e">
        <f t="shared" si="105"/>
        <v>#DIV/0!</v>
      </c>
      <c r="K145" s="222" t="e">
        <f t="shared" si="105"/>
        <v>#DIV/0!</v>
      </c>
      <c r="L145" s="222" t="e">
        <f t="shared" si="105"/>
        <v>#DIV/0!</v>
      </c>
      <c r="M145" s="222" t="e">
        <f t="shared" si="105"/>
        <v>#DIV/0!</v>
      </c>
      <c r="N145" s="222" t="e">
        <f t="shared" si="105"/>
        <v>#DIV/0!</v>
      </c>
      <c r="O145" s="222" t="e">
        <f t="shared" si="105"/>
        <v>#DIV/0!</v>
      </c>
      <c r="P145" s="222"/>
      <c r="Q145" s="222"/>
      <c r="R145" s="222"/>
      <c r="S145" s="222"/>
      <c r="T145" s="222"/>
      <c r="U145" s="222"/>
      <c r="V145" s="222"/>
      <c r="W145" s="222"/>
      <c r="X145" s="222"/>
      <c r="Y145" s="222"/>
      <c r="Z145" s="194"/>
      <c r="AA145" s="194"/>
      <c r="AB145" s="194"/>
      <c r="AC145" s="194"/>
      <c r="AD145" s="194"/>
      <c r="AE145" s="194"/>
      <c r="AF145" s="194"/>
      <c r="AG145" s="194"/>
      <c r="AH145" s="194"/>
      <c r="AI145" s="194"/>
      <c r="AJ145" s="194"/>
      <c r="AK145" s="194"/>
    </row>
    <row r="146" spans="1:37" ht="12.75" hidden="1" customHeight="1" outlineLevel="1" x14ac:dyDescent="0.25">
      <c r="A146" s="2"/>
      <c r="B146" s="2"/>
      <c r="C146" s="2"/>
      <c r="D146" s="2"/>
      <c r="E146" s="290" t="s">
        <v>636</v>
      </c>
      <c r="F146" s="33" t="s">
        <v>8</v>
      </c>
      <c r="G146" s="68"/>
      <c r="H146" s="222"/>
      <c r="I146" s="222" t="e">
        <f t="shared" ref="I146:O146" si="106">I130 / H130 -1</f>
        <v>#DIV/0!</v>
      </c>
      <c r="J146" s="222" t="e">
        <f t="shared" si="106"/>
        <v>#DIV/0!</v>
      </c>
      <c r="K146" s="222" t="e">
        <f t="shared" si="106"/>
        <v>#DIV/0!</v>
      </c>
      <c r="L146" s="222" t="e">
        <f t="shared" si="106"/>
        <v>#DIV/0!</v>
      </c>
      <c r="M146" s="222" t="e">
        <f t="shared" si="106"/>
        <v>#DIV/0!</v>
      </c>
      <c r="N146" s="222" t="e">
        <f t="shared" si="106"/>
        <v>#DIV/0!</v>
      </c>
      <c r="O146" s="222" t="e">
        <f t="shared" si="106"/>
        <v>#DIV/0!</v>
      </c>
      <c r="P146" s="222"/>
      <c r="Q146" s="222"/>
      <c r="R146" s="222"/>
      <c r="S146" s="222"/>
      <c r="T146" s="222"/>
      <c r="U146" s="222"/>
      <c r="V146" s="222"/>
      <c r="W146" s="222"/>
      <c r="X146" s="222"/>
      <c r="Y146" s="222"/>
      <c r="Z146" s="194"/>
      <c r="AA146" s="194"/>
      <c r="AB146" s="194"/>
      <c r="AC146" s="194"/>
      <c r="AD146" s="194"/>
      <c r="AE146" s="194"/>
      <c r="AF146" s="194"/>
      <c r="AG146" s="194"/>
      <c r="AH146" s="194"/>
      <c r="AI146" s="194"/>
      <c r="AJ146" s="194"/>
      <c r="AK146" s="194"/>
    </row>
    <row r="147" spans="1:37" ht="12.75" hidden="1" customHeight="1" outlineLevel="1" x14ac:dyDescent="0.25">
      <c r="A147" s="2"/>
      <c r="B147" s="2"/>
      <c r="C147" s="2"/>
      <c r="D147" s="2"/>
      <c r="E147" s="290" t="s">
        <v>640</v>
      </c>
      <c r="F147" s="33" t="s">
        <v>8</v>
      </c>
      <c r="G147" s="68"/>
      <c r="H147" s="222"/>
      <c r="I147" s="222" t="e">
        <f t="shared" ref="I147:O147" si="107">I136 / H136 -1</f>
        <v>#DIV/0!</v>
      </c>
      <c r="J147" s="222" t="e">
        <f t="shared" si="107"/>
        <v>#DIV/0!</v>
      </c>
      <c r="K147" s="222" t="e">
        <f t="shared" si="107"/>
        <v>#DIV/0!</v>
      </c>
      <c r="L147" s="222" t="e">
        <f t="shared" si="107"/>
        <v>#DIV/0!</v>
      </c>
      <c r="M147" s="222" t="e">
        <f t="shared" si="107"/>
        <v>#DIV/0!</v>
      </c>
      <c r="N147" s="222" t="e">
        <f t="shared" si="107"/>
        <v>#DIV/0!</v>
      </c>
      <c r="O147" s="222" t="e">
        <f t="shared" si="107"/>
        <v>#DIV/0!</v>
      </c>
      <c r="P147" s="222"/>
      <c r="Q147" s="222"/>
      <c r="R147" s="222"/>
      <c r="S147" s="222"/>
      <c r="T147" s="222"/>
      <c r="U147" s="222"/>
      <c r="V147" s="222"/>
      <c r="W147" s="222"/>
      <c r="X147" s="222"/>
      <c r="Y147" s="222"/>
      <c r="Z147" s="194"/>
      <c r="AA147" s="194"/>
      <c r="AB147" s="194"/>
      <c r="AC147" s="194"/>
      <c r="AD147" s="194"/>
      <c r="AE147" s="194"/>
      <c r="AF147" s="194"/>
      <c r="AG147" s="194"/>
      <c r="AH147" s="194"/>
      <c r="AI147" s="194"/>
      <c r="AJ147" s="194"/>
      <c r="AK147" s="194"/>
    </row>
    <row r="148" spans="1:37" ht="12.75" hidden="1" customHeight="1" outlineLevel="1" x14ac:dyDescent="0.25">
      <c r="A148" s="2"/>
      <c r="B148" s="2"/>
      <c r="C148" s="2"/>
      <c r="D148" s="2"/>
      <c r="E148" s="290" t="s">
        <v>641</v>
      </c>
      <c r="F148" s="33" t="s">
        <v>8</v>
      </c>
      <c r="G148" s="68"/>
      <c r="H148" s="222"/>
      <c r="I148" s="222" t="e">
        <f t="shared" ref="I148:O148" si="108">I137 / H137 -1</f>
        <v>#DIV/0!</v>
      </c>
      <c r="J148" s="222" t="e">
        <f t="shared" si="108"/>
        <v>#DIV/0!</v>
      </c>
      <c r="K148" s="222" t="e">
        <f t="shared" si="108"/>
        <v>#DIV/0!</v>
      </c>
      <c r="L148" s="222" t="e">
        <f t="shared" si="108"/>
        <v>#DIV/0!</v>
      </c>
      <c r="M148" s="222" t="e">
        <f t="shared" si="108"/>
        <v>#DIV/0!</v>
      </c>
      <c r="N148" s="222" t="e">
        <f t="shared" si="108"/>
        <v>#DIV/0!</v>
      </c>
      <c r="O148" s="222" t="e">
        <f t="shared" si="108"/>
        <v>#DIV/0!</v>
      </c>
      <c r="P148" s="222"/>
      <c r="Q148" s="222"/>
      <c r="R148" s="222"/>
      <c r="S148" s="222"/>
      <c r="T148" s="222"/>
      <c r="U148" s="222"/>
      <c r="V148" s="222"/>
      <c r="W148" s="222"/>
      <c r="X148" s="222"/>
      <c r="Y148" s="222"/>
      <c r="Z148" s="194"/>
      <c r="AA148" s="194"/>
      <c r="AB148" s="194"/>
      <c r="AC148" s="194"/>
      <c r="AD148" s="194"/>
      <c r="AE148" s="194"/>
      <c r="AF148" s="194"/>
      <c r="AG148" s="194"/>
      <c r="AH148" s="194"/>
      <c r="AI148" s="194"/>
      <c r="AJ148" s="194"/>
      <c r="AK148" s="194"/>
    </row>
    <row r="149" spans="1:37" ht="12.75" hidden="1" customHeight="1" outlineLevel="1" x14ac:dyDescent="0.25">
      <c r="A149" s="2"/>
      <c r="B149" s="2"/>
      <c r="C149" s="2"/>
      <c r="D149" s="2"/>
      <c r="E149" s="290" t="s">
        <v>642</v>
      </c>
      <c r="F149" s="33" t="s">
        <v>8</v>
      </c>
      <c r="G149" s="68"/>
      <c r="H149" s="222"/>
      <c r="I149" s="222" t="e">
        <f t="shared" ref="I149:O149" si="109">I138 / H138 -1</f>
        <v>#DIV/0!</v>
      </c>
      <c r="J149" s="222" t="e">
        <f t="shared" si="109"/>
        <v>#DIV/0!</v>
      </c>
      <c r="K149" s="222" t="e">
        <f t="shared" si="109"/>
        <v>#DIV/0!</v>
      </c>
      <c r="L149" s="222" t="e">
        <f t="shared" si="109"/>
        <v>#DIV/0!</v>
      </c>
      <c r="M149" s="222" t="e">
        <f t="shared" si="109"/>
        <v>#DIV/0!</v>
      </c>
      <c r="N149" s="222" t="e">
        <f t="shared" si="109"/>
        <v>#DIV/0!</v>
      </c>
      <c r="O149" s="222" t="e">
        <f t="shared" si="109"/>
        <v>#DIV/0!</v>
      </c>
      <c r="P149" s="222"/>
      <c r="Q149" s="222"/>
      <c r="R149" s="222"/>
      <c r="S149" s="222"/>
      <c r="T149" s="222"/>
      <c r="U149" s="222"/>
      <c r="V149" s="222"/>
      <c r="W149" s="222"/>
      <c r="X149" s="222"/>
      <c r="Y149" s="222"/>
      <c r="Z149" s="194"/>
      <c r="AA149" s="194"/>
      <c r="AB149" s="194"/>
      <c r="AC149" s="194"/>
      <c r="AD149" s="194"/>
      <c r="AE149" s="194"/>
      <c r="AF149" s="194"/>
      <c r="AG149" s="194"/>
      <c r="AH149" s="194"/>
      <c r="AI149" s="194"/>
      <c r="AJ149" s="194"/>
      <c r="AK149" s="194"/>
    </row>
    <row r="150" spans="1:37" ht="12.75" hidden="1" customHeight="1" outlineLevel="1" x14ac:dyDescent="0.25">
      <c r="A150" s="2"/>
      <c r="B150" s="2"/>
      <c r="C150" s="2"/>
      <c r="D150" s="2"/>
      <c r="E150" s="2" t="s">
        <v>366</v>
      </c>
      <c r="F150" s="33" t="s">
        <v>8</v>
      </c>
      <c r="G150" s="224"/>
      <c r="H150" s="225"/>
      <c r="I150" s="222">
        <f t="shared" ref="I150:O150" si="110">I142 / H142 -1</f>
        <v>3.1833655886399193E-2</v>
      </c>
      <c r="J150" s="222">
        <f t="shared" si="110"/>
        <v>3.6293823101273492E-2</v>
      </c>
      <c r="K150" s="222">
        <f t="shared" si="110"/>
        <v>-0.18062874795566042</v>
      </c>
      <c r="L150" s="222">
        <f t="shared" si="110"/>
        <v>-3.1543579507651409E-2</v>
      </c>
      <c r="M150" s="222">
        <f t="shared" si="110"/>
        <v>-0.32032142750820414</v>
      </c>
      <c r="N150" s="222">
        <f t="shared" si="110"/>
        <v>0.72203504043126721</v>
      </c>
      <c r="O150" s="222">
        <f t="shared" si="110"/>
        <v>7.4740755233809297E-2</v>
      </c>
      <c r="P150" s="222"/>
      <c r="Q150" s="222"/>
      <c r="R150" s="222"/>
      <c r="S150" s="222"/>
      <c r="T150" s="222"/>
      <c r="U150" s="222"/>
      <c r="V150" s="222"/>
      <c r="W150" s="222"/>
      <c r="X150" s="222"/>
      <c r="Y150" s="222"/>
      <c r="Z150" s="194"/>
      <c r="AA150" s="194"/>
      <c r="AB150" s="194"/>
      <c r="AC150" s="194"/>
      <c r="AD150" s="194"/>
      <c r="AE150" s="194"/>
      <c r="AF150" s="194"/>
      <c r="AG150" s="194"/>
      <c r="AH150" s="194"/>
      <c r="AI150" s="194"/>
      <c r="AJ150" s="194"/>
      <c r="AK150" s="194"/>
    </row>
    <row r="151" spans="1:37" ht="15.75" hidden="1" customHeight="1" outlineLevel="1" collapsed="1" x14ac:dyDescent="0.25">
      <c r="A151" s="1"/>
      <c r="B151" s="1"/>
      <c r="C151" s="2"/>
      <c r="D151" s="1"/>
      <c r="E151" s="290"/>
      <c r="F151" s="33"/>
      <c r="G151" s="33"/>
      <c r="H151" s="274"/>
      <c r="I151" s="304">
        <f t="shared" ref="I151:Y151" si="111">I142/H142-1</f>
        <v>3.1833655886399193E-2</v>
      </c>
      <c r="J151" s="304">
        <f t="shared" si="111"/>
        <v>3.6293823101273492E-2</v>
      </c>
      <c r="K151" s="304">
        <f t="shared" si="111"/>
        <v>-0.18062874795566042</v>
      </c>
      <c r="L151" s="304">
        <f t="shared" si="111"/>
        <v>-3.1543579507651409E-2</v>
      </c>
      <c r="M151" s="304">
        <f t="shared" si="111"/>
        <v>-0.32032142750820414</v>
      </c>
      <c r="N151" s="304">
        <f t="shared" si="111"/>
        <v>0.72203504043126721</v>
      </c>
      <c r="O151" s="304">
        <f t="shared" si="111"/>
        <v>7.4740755233809297E-2</v>
      </c>
      <c r="P151" s="304">
        <f t="shared" si="111"/>
        <v>3.8917258328782012E-2</v>
      </c>
      <c r="Q151" s="304">
        <f t="shared" si="111"/>
        <v>-1.8785725644398843E-2</v>
      </c>
      <c r="R151" s="304">
        <f t="shared" si="111"/>
        <v>1.9653063966684536E-2</v>
      </c>
      <c r="S151" s="304">
        <f t="shared" si="111"/>
        <v>1.9700280963252714E-2</v>
      </c>
      <c r="T151" s="304">
        <f t="shared" si="111"/>
        <v>1.9747757240565988E-2</v>
      </c>
      <c r="U151" s="304">
        <f t="shared" si="111"/>
        <v>1.979548978956891E-2</v>
      </c>
      <c r="V151" s="304">
        <f t="shared" si="111"/>
        <v>1.9843475513188435E-2</v>
      </c>
      <c r="W151" s="304">
        <f t="shared" si="111"/>
        <v>1.9891711226641018E-2</v>
      </c>
      <c r="X151" s="304">
        <f t="shared" si="111"/>
        <v>1.9940193657795424E-2</v>
      </c>
      <c r="Y151" s="304">
        <f t="shared" si="111"/>
        <v>1.9988919447601061E-2</v>
      </c>
      <c r="Z151" s="1"/>
      <c r="AA151" s="1"/>
      <c r="AB151" s="1"/>
      <c r="AC151" s="1"/>
      <c r="AD151" s="1"/>
      <c r="AE151" s="1"/>
      <c r="AF151" s="1"/>
      <c r="AG151" s="1"/>
      <c r="AH151" s="1"/>
      <c r="AI151" s="1"/>
      <c r="AJ151" s="1"/>
      <c r="AK151" s="1"/>
    </row>
    <row r="152" spans="1:37" ht="15.75" hidden="1" customHeight="1" outlineLevel="1" x14ac:dyDescent="0.25">
      <c r="A152" s="1"/>
      <c r="B152" s="1"/>
      <c r="C152" s="2"/>
      <c r="D152" s="1"/>
      <c r="E152" s="290"/>
      <c r="F152" s="33"/>
      <c r="G152" s="33"/>
      <c r="H152" s="274"/>
      <c r="I152" s="274"/>
      <c r="J152" s="305"/>
      <c r="K152" s="305"/>
      <c r="L152" s="305"/>
      <c r="M152" s="305"/>
      <c r="N152" s="305"/>
      <c r="O152" s="305"/>
      <c r="P152" s="305"/>
      <c r="Q152" s="305"/>
      <c r="R152" s="305"/>
      <c r="S152" s="305"/>
      <c r="T152" s="305"/>
      <c r="U152" s="305"/>
      <c r="V152" s="305"/>
      <c r="W152" s="305"/>
      <c r="X152" s="305"/>
      <c r="Y152" s="305"/>
      <c r="Z152" s="1"/>
      <c r="AA152" s="1"/>
      <c r="AB152" s="1"/>
      <c r="AC152" s="1"/>
      <c r="AD152" s="1"/>
      <c r="AE152" s="1"/>
      <c r="AF152" s="1"/>
      <c r="AG152" s="1"/>
      <c r="AH152" s="1"/>
      <c r="AI152" s="1"/>
      <c r="AJ152" s="1"/>
      <c r="AK152" s="1"/>
    </row>
    <row r="153" spans="1:37" ht="15.75" hidden="1" customHeight="1" outlineLevel="1" x14ac:dyDescent="0.25">
      <c r="A153" s="1"/>
      <c r="B153" s="1"/>
      <c r="C153" s="2"/>
      <c r="D153" s="1"/>
      <c r="E153" s="290" t="s">
        <v>162</v>
      </c>
      <c r="F153" s="33"/>
      <c r="G153" s="33"/>
      <c r="H153" s="297">
        <f t="shared" ref="H153:I153" si="112">SUM(H175,H182)</f>
        <v>0</v>
      </c>
      <c r="I153" s="297">
        <f t="shared" si="112"/>
        <v>0</v>
      </c>
      <c r="J153" s="300"/>
      <c r="K153" s="300"/>
      <c r="L153" s="300"/>
      <c r="M153" s="300"/>
      <c r="N153" s="300"/>
      <c r="O153" s="300"/>
      <c r="P153" s="300"/>
      <c r="Q153" s="300"/>
      <c r="R153" s="300"/>
      <c r="S153" s="300"/>
      <c r="T153" s="300"/>
      <c r="U153" s="300"/>
      <c r="V153" s="300"/>
      <c r="W153" s="300"/>
      <c r="X153" s="300"/>
      <c r="Y153" s="300"/>
      <c r="Z153" s="1"/>
      <c r="AA153" s="1"/>
      <c r="AB153" s="1"/>
      <c r="AC153" s="1"/>
      <c r="AD153" s="1"/>
      <c r="AE153" s="1"/>
      <c r="AF153" s="1"/>
      <c r="AG153" s="1"/>
      <c r="AH153" s="1"/>
      <c r="AI153" s="1"/>
      <c r="AJ153" s="1"/>
      <c r="AK153" s="1"/>
    </row>
    <row r="154" spans="1:37" ht="15.75" hidden="1" customHeight="1" outlineLevel="1" x14ac:dyDescent="0.25">
      <c r="A154" s="1"/>
      <c r="B154" s="1"/>
      <c r="C154" s="2"/>
      <c r="D154" s="1"/>
      <c r="E154" s="290" t="s">
        <v>645</v>
      </c>
      <c r="F154" s="33"/>
      <c r="G154" s="33"/>
      <c r="H154" s="297">
        <f t="shared" ref="H154:I154" si="113">SUM(H189,H197,H210,H216,H203)</f>
        <v>0</v>
      </c>
      <c r="I154" s="297">
        <f t="shared" si="113"/>
        <v>0</v>
      </c>
      <c r="J154" s="300"/>
      <c r="K154" s="300"/>
      <c r="L154" s="300"/>
      <c r="M154" s="300"/>
      <c r="N154" s="300"/>
      <c r="O154" s="300"/>
      <c r="P154" s="300"/>
      <c r="Q154" s="300"/>
      <c r="R154" s="300"/>
      <c r="S154" s="300"/>
      <c r="T154" s="300"/>
      <c r="U154" s="300"/>
      <c r="V154" s="300"/>
      <c r="W154" s="300"/>
      <c r="X154" s="300"/>
      <c r="Y154" s="300"/>
      <c r="Z154" s="1"/>
      <c r="AA154" s="1"/>
      <c r="AB154" s="1"/>
      <c r="AC154" s="1"/>
      <c r="AD154" s="1"/>
      <c r="AE154" s="1"/>
      <c r="AF154" s="1"/>
      <c r="AG154" s="1"/>
      <c r="AH154" s="1"/>
      <c r="AI154" s="1"/>
      <c r="AJ154" s="1"/>
      <c r="AK154" s="1"/>
    </row>
    <row r="155" spans="1:37" ht="15.75" hidden="1" customHeight="1" outlineLevel="1" x14ac:dyDescent="0.25">
      <c r="A155" s="1"/>
      <c r="B155" s="1"/>
      <c r="C155" s="2"/>
      <c r="D155" s="1"/>
      <c r="E155" s="290" t="s">
        <v>646</v>
      </c>
      <c r="F155" s="33" t="s">
        <v>28</v>
      </c>
      <c r="G155" s="33"/>
      <c r="H155" s="80">
        <f t="shared" ref="H155:Y155" si="114">H157 - SUM(H153:H154,-H156)</f>
        <v>251.3</v>
      </c>
      <c r="I155" s="80">
        <f t="shared" si="114"/>
        <v>260.7</v>
      </c>
      <c r="J155" s="80">
        <f t="shared" si="114"/>
        <v>267.89999999999998</v>
      </c>
      <c r="K155" s="80">
        <f t="shared" si="114"/>
        <v>193.9</v>
      </c>
      <c r="L155" s="80">
        <f t="shared" si="114"/>
        <v>203.4</v>
      </c>
      <c r="M155" s="80">
        <f t="shared" si="114"/>
        <v>100.9</v>
      </c>
      <c r="N155" s="80">
        <f t="shared" si="114"/>
        <v>252.6</v>
      </c>
      <c r="O155" s="80">
        <f t="shared" si="114"/>
        <v>237</v>
      </c>
      <c r="P155" s="80">
        <f t="shared" si="114"/>
        <v>255.13827126559744</v>
      </c>
      <c r="Q155" s="80">
        <f t="shared" si="114"/>
        <v>247.73133616481206</v>
      </c>
      <c r="R155" s="80">
        <f t="shared" si="114"/>
        <v>249.51724294875237</v>
      </c>
      <c r="S155" s="80">
        <f t="shared" si="114"/>
        <v>251.21963653517673</v>
      </c>
      <c r="T155" s="80">
        <f t="shared" si="114"/>
        <v>256.2897711695893</v>
      </c>
      <c r="U155" s="80">
        <f t="shared" si="114"/>
        <v>258.99216361490932</v>
      </c>
      <c r="V155" s="80">
        <f t="shared" si="114"/>
        <v>272.94312364850504</v>
      </c>
      <c r="W155" s="80">
        <f t="shared" si="114"/>
        <v>274.74537666454557</v>
      </c>
      <c r="X155" s="80">
        <f t="shared" si="114"/>
        <v>280.61522517553851</v>
      </c>
      <c r="Y155" s="80">
        <f t="shared" si="114"/>
        <v>285.41061490642517</v>
      </c>
      <c r="Z155" s="276">
        <v>2.5000000000000001E-2</v>
      </c>
      <c r="AA155" s="17" t="s">
        <v>647</v>
      </c>
      <c r="AB155" s="1"/>
      <c r="AC155" s="1"/>
      <c r="AD155" s="1"/>
      <c r="AE155" s="1"/>
      <c r="AF155" s="1"/>
      <c r="AG155" s="1"/>
      <c r="AH155" s="1"/>
      <c r="AI155" s="1"/>
      <c r="AJ155" s="1"/>
      <c r="AK155" s="1"/>
    </row>
    <row r="156" spans="1:37" ht="15.75" hidden="1" customHeight="1" outlineLevel="1" x14ac:dyDescent="0.25">
      <c r="A156" s="1"/>
      <c r="B156" s="1"/>
      <c r="C156" s="2"/>
      <c r="D156" s="1"/>
      <c r="E156" s="290" t="s">
        <v>648</v>
      </c>
      <c r="F156" s="33" t="s">
        <v>28</v>
      </c>
      <c r="G156" s="33"/>
      <c r="H156" s="306"/>
      <c r="I156" s="306"/>
      <c r="J156" s="307"/>
      <c r="K156" s="307"/>
      <c r="L156" s="307"/>
      <c r="M156" s="307"/>
      <c r="N156" s="307"/>
      <c r="O156" s="307"/>
      <c r="P156" s="308"/>
      <c r="Q156" s="308"/>
      <c r="R156" s="308"/>
      <c r="S156" s="308"/>
      <c r="T156" s="308"/>
      <c r="U156" s="308"/>
      <c r="V156" s="308"/>
      <c r="W156" s="308"/>
      <c r="X156" s="308"/>
      <c r="Y156" s="308"/>
      <c r="Z156" s="1"/>
      <c r="AA156" s="1"/>
      <c r="AB156" s="1"/>
      <c r="AC156" s="1"/>
      <c r="AD156" s="1"/>
      <c r="AE156" s="1"/>
      <c r="AF156" s="1"/>
      <c r="AG156" s="1"/>
      <c r="AH156" s="1"/>
      <c r="AI156" s="1"/>
      <c r="AJ156" s="1"/>
      <c r="AK156" s="1"/>
    </row>
    <row r="157" spans="1:37" ht="15.75" hidden="1" customHeight="1" outlineLevel="1" x14ac:dyDescent="0.25">
      <c r="A157" s="1"/>
      <c r="B157" s="1"/>
      <c r="C157" s="2"/>
      <c r="D157" s="1"/>
      <c r="E157" s="294" t="s">
        <v>649</v>
      </c>
      <c r="F157" s="33" t="s">
        <v>28</v>
      </c>
      <c r="G157" s="33"/>
      <c r="H157" s="309">
        <v>251.3</v>
      </c>
      <c r="I157" s="309">
        <v>260.7</v>
      </c>
      <c r="J157" s="309">
        <v>267.89999999999998</v>
      </c>
      <c r="K157" s="309">
        <v>193.9</v>
      </c>
      <c r="L157" s="309">
        <v>203.4</v>
      </c>
      <c r="M157" s="309">
        <v>100.9</v>
      </c>
      <c r="N157" s="309">
        <v>252.6</v>
      </c>
      <c r="O157" s="309">
        <v>237</v>
      </c>
      <c r="P157" s="309">
        <f>P142*P159</f>
        <v>255.13827126559744</v>
      </c>
      <c r="Q157" s="309">
        <f t="shared" ref="Q157:Y157" si="115">Q142*Q159</f>
        <v>247.73133616481206</v>
      </c>
      <c r="R157" s="309">
        <f t="shared" si="115"/>
        <v>249.51724294875237</v>
      </c>
      <c r="S157" s="309">
        <f t="shared" si="115"/>
        <v>251.21963653517673</v>
      </c>
      <c r="T157" s="309">
        <f t="shared" si="115"/>
        <v>256.2897711695893</v>
      </c>
      <c r="U157" s="309">
        <f t="shared" si="115"/>
        <v>258.99216361490932</v>
      </c>
      <c r="V157" s="309">
        <f t="shared" si="115"/>
        <v>272.94312364850504</v>
      </c>
      <c r="W157" s="309">
        <f t="shared" si="115"/>
        <v>274.74537666454557</v>
      </c>
      <c r="X157" s="309">
        <f t="shared" si="115"/>
        <v>280.61522517553851</v>
      </c>
      <c r="Y157" s="309">
        <f t="shared" si="115"/>
        <v>285.41061490642517</v>
      </c>
      <c r="Z157" s="17"/>
      <c r="AA157" s="1"/>
      <c r="AB157" s="1"/>
      <c r="AC157" s="1"/>
      <c r="AD157" s="1"/>
      <c r="AE157" s="1"/>
      <c r="AF157" s="1"/>
      <c r="AG157" s="1"/>
      <c r="AH157" s="1"/>
      <c r="AI157" s="1"/>
      <c r="AJ157" s="1"/>
      <c r="AK157" s="1"/>
    </row>
    <row r="158" spans="1:37" ht="15.75" hidden="1" customHeight="1" outlineLevel="1" x14ac:dyDescent="0.25">
      <c r="A158" s="1"/>
      <c r="B158" s="1"/>
      <c r="C158" s="2"/>
      <c r="D158" s="1"/>
      <c r="E158" s="294"/>
      <c r="F158" s="33"/>
      <c r="G158" s="33"/>
      <c r="H158" s="302"/>
      <c r="I158" s="310">
        <f t="shared" ref="I158:O158" si="116">I157/H157-1</f>
        <v>3.740549144448857E-2</v>
      </c>
      <c r="J158" s="310">
        <f t="shared" si="116"/>
        <v>2.7617951668584606E-2</v>
      </c>
      <c r="K158" s="310">
        <f t="shared" si="116"/>
        <v>-0.27622247107129516</v>
      </c>
      <c r="L158" s="310">
        <f t="shared" si="116"/>
        <v>4.8994326972666258E-2</v>
      </c>
      <c r="M158" s="310">
        <f t="shared" si="116"/>
        <v>-0.50393313667649942</v>
      </c>
      <c r="N158" s="310">
        <f t="shared" si="116"/>
        <v>1.5034687809712586</v>
      </c>
      <c r="O158" s="310">
        <f t="shared" si="116"/>
        <v>-6.1757719714964354E-2</v>
      </c>
      <c r="P158" s="310">
        <f t="shared" ref="P158" si="117">P157/O157-1</f>
        <v>7.6532790150200203E-2</v>
      </c>
      <c r="Q158" s="310">
        <f t="shared" ref="Q158" si="118">Q157/P157-1</f>
        <v>-2.9031062506004068E-2</v>
      </c>
      <c r="R158" s="310">
        <f t="shared" ref="R158" si="119">R157/Q157-1</f>
        <v>7.2090467503560518E-3</v>
      </c>
      <c r="S158" s="310">
        <f t="shared" ref="S158" si="120">S157/R157-1</f>
        <v>6.822749266967465E-3</v>
      </c>
      <c r="T158" s="310">
        <f t="shared" ref="T158" si="121">T157/S157-1</f>
        <v>2.0182079332411673E-2</v>
      </c>
      <c r="U158" s="310">
        <f t="shared" ref="U158" si="122">U157/T157-1</f>
        <v>1.0544285216641747E-2</v>
      </c>
      <c r="V158" s="310">
        <f t="shared" ref="V158" si="123">V157/U157-1</f>
        <v>5.386634035128246E-2</v>
      </c>
      <c r="W158" s="310">
        <f t="shared" ref="W158" si="124">W157/V157-1</f>
        <v>6.6030350644095126E-3</v>
      </c>
      <c r="X158" s="310">
        <f t="shared" ref="X158" si="125">X157/W157-1</f>
        <v>2.1364685303366659E-2</v>
      </c>
      <c r="Y158" s="310">
        <f t="shared" ref="Y158" si="126">Y157/X157-1</f>
        <v>1.7088843728585656E-2</v>
      </c>
      <c r="Z158" s="17"/>
      <c r="AA158" s="1"/>
      <c r="AB158" s="1"/>
      <c r="AC158" s="1"/>
      <c r="AD158" s="1"/>
      <c r="AE158" s="1"/>
      <c r="AF158" s="1"/>
      <c r="AG158" s="1"/>
      <c r="AH158" s="1"/>
      <c r="AI158" s="1"/>
      <c r="AJ158" s="1"/>
      <c r="AK158" s="1"/>
    </row>
    <row r="159" spans="1:37" ht="15.75" hidden="1" customHeight="1" outlineLevel="1" x14ac:dyDescent="0.25">
      <c r="A159" s="1"/>
      <c r="B159" s="1"/>
      <c r="C159" s="2"/>
      <c r="D159" s="1"/>
      <c r="E159" s="291" t="s">
        <v>650</v>
      </c>
      <c r="F159" s="33" t="s">
        <v>8</v>
      </c>
      <c r="G159" s="33"/>
      <c r="H159" s="274">
        <f t="shared" ref="H159:O159" si="127">H157/H142</f>
        <v>0.48829870745602788</v>
      </c>
      <c r="I159" s="274">
        <f t="shared" si="127"/>
        <v>0.49093548915591856</v>
      </c>
      <c r="J159" s="274">
        <f t="shared" si="127"/>
        <v>0.48682536798110121</v>
      </c>
      <c r="K159" s="274">
        <f t="shared" si="127"/>
        <v>0.43002883122643598</v>
      </c>
      <c r="L159" s="274">
        <f t="shared" si="127"/>
        <v>0.46579050419417556</v>
      </c>
      <c r="M159" s="274">
        <f t="shared" si="127"/>
        <v>0.33995956873315369</v>
      </c>
      <c r="N159" s="274">
        <f t="shared" si="127"/>
        <v>0.49422813539424765</v>
      </c>
      <c r="O159" s="274">
        <f t="shared" si="127"/>
        <v>0.43145821955215735</v>
      </c>
      <c r="P159" s="289">
        <f>HARMEAN(H159:O159)</f>
        <v>0.44707980082541832</v>
      </c>
      <c r="Q159" s="289">
        <f t="shared" ref="Q159:Y159" si="128">HARMEAN(I159:P159)</f>
        <v>0.44241162254551719</v>
      </c>
      <c r="R159" s="289">
        <f t="shared" si="128"/>
        <v>0.43701235681267758</v>
      </c>
      <c r="S159" s="289">
        <f t="shared" si="128"/>
        <v>0.43149344053738986</v>
      </c>
      <c r="T159" s="289">
        <f t="shared" si="128"/>
        <v>0.43167721846911983</v>
      </c>
      <c r="U159" s="289">
        <f t="shared" si="128"/>
        <v>0.42776120364309428</v>
      </c>
      <c r="V159" s="289">
        <f t="shared" si="128"/>
        <v>0.44203168922639019</v>
      </c>
      <c r="W159" s="289">
        <f t="shared" si="128"/>
        <v>0.43627223858382252</v>
      </c>
      <c r="X159" s="289">
        <f t="shared" si="128"/>
        <v>0.43688155485836661</v>
      </c>
      <c r="Y159" s="289">
        <f t="shared" si="128"/>
        <v>0.4356393947082185</v>
      </c>
      <c r="Z159" s="17"/>
      <c r="AA159" s="1"/>
      <c r="AB159" s="1"/>
      <c r="AC159" s="1"/>
      <c r="AD159" s="1"/>
      <c r="AE159" s="1"/>
      <c r="AF159" s="1"/>
      <c r="AG159" s="1"/>
      <c r="AH159" s="1"/>
      <c r="AI159" s="1"/>
      <c r="AJ159" s="1"/>
      <c r="AK159" s="1"/>
    </row>
    <row r="160" spans="1:37" ht="15.75" hidden="1" customHeight="1" outlineLevel="1" x14ac:dyDescent="0.25">
      <c r="A160" s="1"/>
      <c r="B160" s="1"/>
      <c r="C160" s="2"/>
      <c r="D160" s="1"/>
      <c r="E160" s="290" t="s">
        <v>278</v>
      </c>
      <c r="F160" s="33" t="s">
        <v>28</v>
      </c>
      <c r="G160" s="33"/>
      <c r="H160" s="292">
        <v>-50.817</v>
      </c>
      <c r="I160" s="292">
        <v>-50.384999999999998</v>
      </c>
      <c r="J160" s="292">
        <v>-47.412999999999997</v>
      </c>
      <c r="K160" s="292">
        <v>-46.073</v>
      </c>
      <c r="L160" s="292">
        <v>-45.514000000000003</v>
      </c>
      <c r="M160" s="292">
        <v>-42.45</v>
      </c>
      <c r="N160" s="292">
        <v>-38.024999999999999</v>
      </c>
      <c r="O160" s="292">
        <v>-40.700000000000003</v>
      </c>
      <c r="P160" s="80">
        <f>'Regular Dep. Calculation'!J3</f>
        <v>-49.922125000000001</v>
      </c>
      <c r="Q160" s="80">
        <f>'Regular Dep. Calculation'!K3</f>
        <v>-49.922125000000001</v>
      </c>
      <c r="R160" s="80">
        <f>'Regular Dep. Calculation'!L3</f>
        <v>-49.922125000000001</v>
      </c>
      <c r="S160" s="80">
        <f>'Regular Dep. Calculation'!M3</f>
        <v>-49.922125000000001</v>
      </c>
      <c r="T160" s="80">
        <f>'Regular Dep. Calculation'!N3</f>
        <v>-49.922125000000001</v>
      </c>
      <c r="U160" s="80">
        <f>'Regular Dep. Calculation'!O3</f>
        <v>-49.922125000000001</v>
      </c>
      <c r="V160" s="80">
        <f>'Regular Dep. Calculation'!P3</f>
        <v>-49.922125000000001</v>
      </c>
      <c r="W160" s="80">
        <f>'Regular Dep. Calculation'!Q3</f>
        <v>-49.922125000000001</v>
      </c>
      <c r="X160" s="80">
        <f>'Regular Dep. Calculation'!R3</f>
        <v>-49.922125000000001</v>
      </c>
      <c r="Y160" s="80">
        <f>'Regular Dep. Calculation'!S3</f>
        <v>-49.922125000000001</v>
      </c>
      <c r="Z160" s="17"/>
      <c r="AA160" s="1"/>
      <c r="AB160" s="1"/>
      <c r="AC160" s="1"/>
      <c r="AD160" s="1"/>
      <c r="AE160" s="1"/>
      <c r="AF160" s="1"/>
      <c r="AG160" s="1"/>
      <c r="AH160" s="1"/>
      <c r="AI160" s="1"/>
      <c r="AJ160" s="1"/>
      <c r="AK160" s="1"/>
    </row>
    <row r="161" spans="1:37" ht="15.75" hidden="1" customHeight="1" outlineLevel="1" x14ac:dyDescent="0.25">
      <c r="A161" s="1"/>
      <c r="B161" s="1"/>
      <c r="C161" s="2"/>
      <c r="D161" s="1"/>
      <c r="E161" s="290" t="s">
        <v>230</v>
      </c>
      <c r="F161" s="33" t="s">
        <v>28</v>
      </c>
      <c r="G161" s="33"/>
      <c r="H161" s="287">
        <f t="shared" ref="H161:Y161" si="129">H157 + H160</f>
        <v>200.483</v>
      </c>
      <c r="I161" s="287">
        <f t="shared" si="129"/>
        <v>210.315</v>
      </c>
      <c r="J161" s="287">
        <f t="shared" si="129"/>
        <v>220.48699999999997</v>
      </c>
      <c r="K161" s="287">
        <f t="shared" si="129"/>
        <v>147.827</v>
      </c>
      <c r="L161" s="287">
        <f t="shared" si="129"/>
        <v>157.886</v>
      </c>
      <c r="M161" s="287">
        <f t="shared" si="129"/>
        <v>58.45</v>
      </c>
      <c r="N161" s="287">
        <f t="shared" si="129"/>
        <v>214.57499999999999</v>
      </c>
      <c r="O161" s="287">
        <f t="shared" si="129"/>
        <v>196.3</v>
      </c>
      <c r="P161" s="287">
        <f t="shared" si="129"/>
        <v>205.21614626559744</v>
      </c>
      <c r="Q161" s="287">
        <f t="shared" si="129"/>
        <v>197.80921116481207</v>
      </c>
      <c r="R161" s="287">
        <f t="shared" si="129"/>
        <v>199.59511794875237</v>
      </c>
      <c r="S161" s="287">
        <f t="shared" si="129"/>
        <v>201.29751153517674</v>
      </c>
      <c r="T161" s="287">
        <f t="shared" si="129"/>
        <v>206.36764616958931</v>
      </c>
      <c r="U161" s="287">
        <f t="shared" si="129"/>
        <v>209.07003861490932</v>
      </c>
      <c r="V161" s="287">
        <f t="shared" si="129"/>
        <v>223.02099864850504</v>
      </c>
      <c r="W161" s="287">
        <f t="shared" si="129"/>
        <v>224.82325166454558</v>
      </c>
      <c r="X161" s="287">
        <f t="shared" si="129"/>
        <v>230.69310017553852</v>
      </c>
      <c r="Y161" s="287">
        <f t="shared" si="129"/>
        <v>235.48848990642517</v>
      </c>
      <c r="Z161" s="1"/>
      <c r="AA161" s="1"/>
      <c r="AB161" s="1"/>
      <c r="AC161" s="1"/>
      <c r="AD161" s="1"/>
      <c r="AE161" s="1"/>
      <c r="AF161" s="1"/>
      <c r="AG161" s="1"/>
      <c r="AH161" s="1"/>
      <c r="AI161" s="1"/>
      <c r="AJ161" s="1"/>
      <c r="AK161" s="1"/>
    </row>
    <row r="162" spans="1:37" ht="15.75" hidden="1" customHeight="1" outlineLevel="1" x14ac:dyDescent="0.25">
      <c r="A162" s="1"/>
      <c r="B162" s="1"/>
      <c r="C162" s="2"/>
      <c r="D162" s="1"/>
      <c r="E162" s="291" t="s">
        <v>650</v>
      </c>
      <c r="F162" s="33" t="s">
        <v>8</v>
      </c>
      <c r="G162" s="33"/>
      <c r="H162" s="274">
        <f t="shared" ref="H162:Y162" si="130">H161/H142</f>
        <v>0.38955666441268139</v>
      </c>
      <c r="I162" s="274">
        <f t="shared" si="130"/>
        <v>0.39605330802388578</v>
      </c>
      <c r="J162" s="274">
        <f t="shared" si="130"/>
        <v>0.40066690895874973</v>
      </c>
      <c r="K162" s="274">
        <f t="shared" si="130"/>
        <v>0.32784874695054333</v>
      </c>
      <c r="L162" s="274">
        <f t="shared" si="130"/>
        <v>0.36156243630875906</v>
      </c>
      <c r="M162" s="274">
        <f t="shared" si="130"/>
        <v>0.196933962264151</v>
      </c>
      <c r="N162" s="274">
        <f t="shared" si="130"/>
        <v>0.41982977890823708</v>
      </c>
      <c r="O162" s="274">
        <f t="shared" si="130"/>
        <v>0.35736391771345355</v>
      </c>
      <c r="P162" s="274">
        <f t="shared" si="130"/>
        <v>0.35960106393867541</v>
      </c>
      <c r="Q162" s="274">
        <f t="shared" si="130"/>
        <v>0.35325807150877414</v>
      </c>
      <c r="R162" s="274">
        <f t="shared" si="130"/>
        <v>0.3495771749970949</v>
      </c>
      <c r="S162" s="274">
        <f t="shared" si="130"/>
        <v>0.34574747826994034</v>
      </c>
      <c r="T162" s="274">
        <f t="shared" si="130"/>
        <v>0.3475917555116157</v>
      </c>
      <c r="U162" s="274">
        <f t="shared" si="130"/>
        <v>0.34530794335768661</v>
      </c>
      <c r="V162" s="274">
        <f t="shared" si="130"/>
        <v>0.36118275283061935</v>
      </c>
      <c r="W162" s="274">
        <f t="shared" si="130"/>
        <v>0.35700015949364888</v>
      </c>
      <c r="X162" s="274">
        <f t="shared" si="130"/>
        <v>0.35915927311762896</v>
      </c>
      <c r="Y162" s="274">
        <f t="shared" si="130"/>
        <v>0.35944025150298647</v>
      </c>
      <c r="Z162" s="17"/>
      <c r="AA162" s="1"/>
      <c r="AB162" s="1"/>
      <c r="AC162" s="1"/>
      <c r="AD162" s="1"/>
      <c r="AE162" s="1"/>
      <c r="AF162" s="1"/>
      <c r="AG162" s="1"/>
      <c r="AH162" s="1"/>
      <c r="AI162" s="1"/>
      <c r="AJ162" s="1"/>
      <c r="AK162" s="1"/>
    </row>
    <row r="163" spans="1:37" ht="15.75" hidden="1" customHeight="1" outlineLevel="1" x14ac:dyDescent="0.25">
      <c r="A163" s="1"/>
      <c r="B163" s="1"/>
      <c r="C163" s="2"/>
      <c r="D163" s="1"/>
      <c r="E163" s="291"/>
      <c r="F163" s="33"/>
      <c r="G163" s="33"/>
      <c r="H163" s="274"/>
      <c r="I163" s="274"/>
      <c r="J163" s="274"/>
      <c r="K163" s="274"/>
      <c r="L163" s="274"/>
      <c r="M163" s="274"/>
      <c r="N163" s="274"/>
      <c r="O163" s="274"/>
      <c r="P163" s="274"/>
      <c r="Q163" s="274"/>
      <c r="R163" s="274"/>
      <c r="S163" s="274"/>
      <c r="T163" s="274"/>
      <c r="U163" s="274"/>
      <c r="V163" s="274"/>
      <c r="W163" s="274"/>
      <c r="X163" s="274"/>
      <c r="Y163" s="274"/>
      <c r="Z163" s="17"/>
      <c r="AA163" s="1"/>
      <c r="AB163" s="1"/>
      <c r="AC163" s="1"/>
      <c r="AD163" s="1"/>
      <c r="AE163" s="1"/>
      <c r="AF163" s="1"/>
      <c r="AG163" s="1"/>
      <c r="AH163" s="1"/>
      <c r="AI163" s="1"/>
      <c r="AJ163" s="1"/>
      <c r="AK163" s="1"/>
    </row>
    <row r="164" spans="1:37" ht="15.75" hidden="1" customHeight="1" outlineLevel="1" x14ac:dyDescent="0.25">
      <c r="A164" s="1"/>
      <c r="B164" s="1"/>
      <c r="C164" s="2"/>
      <c r="D164" s="1"/>
      <c r="E164" s="311" t="s">
        <v>651</v>
      </c>
      <c r="F164" s="312"/>
      <c r="G164" s="312"/>
      <c r="H164" s="306"/>
      <c r="I164" s="306"/>
      <c r="J164" s="306"/>
      <c r="K164" s="306"/>
      <c r="L164" s="306"/>
      <c r="M164" s="306"/>
      <c r="N164" s="306"/>
      <c r="O164" s="306"/>
      <c r="P164" s="306"/>
      <c r="Q164" s="306"/>
      <c r="R164" s="306"/>
      <c r="S164" s="306"/>
      <c r="T164" s="306"/>
      <c r="U164" s="306"/>
      <c r="V164" s="306"/>
      <c r="W164" s="306"/>
      <c r="X164" s="306"/>
      <c r="Y164" s="306"/>
      <c r="Z164" s="17"/>
      <c r="AA164" s="1"/>
      <c r="AB164" s="1"/>
      <c r="AC164" s="1"/>
      <c r="AD164" s="1"/>
      <c r="AE164" s="1"/>
      <c r="AF164" s="1"/>
      <c r="AG164" s="1"/>
      <c r="AH164" s="1"/>
      <c r="AI164" s="1"/>
      <c r="AJ164" s="1"/>
      <c r="AK164" s="1"/>
    </row>
    <row r="165" spans="1:37" ht="15.75" hidden="1" customHeight="1" outlineLevel="1" x14ac:dyDescent="0.25">
      <c r="A165" s="1"/>
      <c r="B165" s="1"/>
      <c r="C165" s="2"/>
      <c r="D165" s="1"/>
      <c r="E165" s="311" t="s">
        <v>652</v>
      </c>
      <c r="F165" s="312"/>
      <c r="G165" s="312"/>
      <c r="H165" s="306"/>
      <c r="I165" s="306"/>
      <c r="J165" s="306"/>
      <c r="K165" s="306"/>
      <c r="L165" s="306"/>
      <c r="M165" s="306"/>
      <c r="N165" s="306"/>
      <c r="O165" s="306"/>
      <c r="P165" s="306"/>
      <c r="Q165" s="306"/>
      <c r="R165" s="306"/>
      <c r="S165" s="306"/>
      <c r="T165" s="306"/>
      <c r="U165" s="306"/>
      <c r="V165" s="306"/>
      <c r="W165" s="306"/>
      <c r="X165" s="306"/>
      <c r="Y165" s="306"/>
      <c r="Z165" s="17"/>
      <c r="AA165" s="1"/>
      <c r="AB165" s="1"/>
      <c r="AC165" s="1"/>
      <c r="AD165" s="1"/>
      <c r="AE165" s="1"/>
      <c r="AF165" s="1"/>
      <c r="AG165" s="1"/>
      <c r="AH165" s="1"/>
      <c r="AI165" s="1"/>
      <c r="AJ165" s="1"/>
      <c r="AK165" s="1"/>
    </row>
    <row r="166" spans="1:37" ht="15.75" hidden="1" customHeight="1" outlineLevel="1" x14ac:dyDescent="0.25">
      <c r="A166" s="1"/>
      <c r="B166" s="1"/>
      <c r="C166" s="2"/>
      <c r="D166" s="1"/>
      <c r="E166" s="311" t="s">
        <v>653</v>
      </c>
      <c r="F166" s="312"/>
      <c r="G166" s="312"/>
      <c r="H166" s="306"/>
      <c r="I166" s="306"/>
      <c r="J166" s="306"/>
      <c r="K166" s="306"/>
      <c r="L166" s="306"/>
      <c r="M166" s="306"/>
      <c r="N166" s="306"/>
      <c r="O166" s="306"/>
      <c r="P166" s="306"/>
      <c r="Q166" s="306"/>
      <c r="R166" s="306"/>
      <c r="S166" s="306"/>
      <c r="T166" s="306"/>
      <c r="U166" s="306"/>
      <c r="V166" s="306"/>
      <c r="W166" s="306"/>
      <c r="X166" s="306"/>
      <c r="Y166" s="306"/>
      <c r="Z166" s="17"/>
      <c r="AA166" s="1"/>
      <c r="AB166" s="1"/>
      <c r="AC166" s="1"/>
      <c r="AD166" s="1"/>
      <c r="AE166" s="1"/>
      <c r="AF166" s="1"/>
      <c r="AG166" s="1"/>
      <c r="AH166" s="1"/>
      <c r="AI166" s="1"/>
      <c r="AJ166" s="1"/>
      <c r="AK166" s="1"/>
    </row>
    <row r="167" spans="1:37" ht="15.75" hidden="1" customHeight="1" outlineLevel="1" x14ac:dyDescent="0.25">
      <c r="A167" s="1"/>
      <c r="B167" s="1"/>
      <c r="C167" s="2"/>
      <c r="D167" s="1"/>
      <c r="E167" s="291"/>
      <c r="F167" s="33"/>
      <c r="G167" s="33"/>
      <c r="H167" s="274"/>
      <c r="I167" s="274"/>
      <c r="J167" s="274"/>
      <c r="K167" s="274"/>
      <c r="L167" s="274"/>
      <c r="M167" s="274"/>
      <c r="N167" s="274"/>
      <c r="O167" s="274"/>
      <c r="P167" s="274"/>
      <c r="Q167" s="274"/>
      <c r="R167" s="274"/>
      <c r="S167" s="274"/>
      <c r="T167" s="274"/>
      <c r="U167" s="274"/>
      <c r="V167" s="274"/>
      <c r="W167" s="274"/>
      <c r="X167" s="274"/>
      <c r="Y167" s="274"/>
      <c r="Z167" s="17"/>
      <c r="AA167" s="1"/>
      <c r="AB167" s="1"/>
      <c r="AC167" s="1"/>
      <c r="AD167" s="1"/>
      <c r="AE167" s="1"/>
      <c r="AF167" s="1"/>
      <c r="AG167" s="1"/>
      <c r="AH167" s="1"/>
      <c r="AI167" s="1"/>
      <c r="AJ167" s="1"/>
      <c r="AK167" s="1"/>
    </row>
    <row r="168" spans="1:37" ht="15.75" hidden="1" customHeight="1" outlineLevel="1" x14ac:dyDescent="0.25">
      <c r="A168" s="1"/>
      <c r="B168" s="1"/>
      <c r="C168" s="2"/>
      <c r="D168" s="1"/>
      <c r="E168" s="290"/>
      <c r="F168" s="33"/>
      <c r="G168" s="33"/>
      <c r="H168" s="274"/>
      <c r="I168" s="274"/>
      <c r="J168" s="305"/>
      <c r="K168" s="305"/>
      <c r="L168" s="305"/>
      <c r="M168" s="305"/>
      <c r="N168" s="305"/>
      <c r="O168" s="305"/>
      <c r="P168" s="305"/>
      <c r="Q168" s="305"/>
      <c r="R168" s="305"/>
      <c r="S168" s="305"/>
      <c r="T168" s="305"/>
      <c r="U168" s="305"/>
      <c r="V168" s="305"/>
      <c r="W168" s="305"/>
      <c r="X168" s="305"/>
      <c r="Y168" s="305"/>
      <c r="Z168" s="1"/>
      <c r="AA168" s="1"/>
      <c r="AB168" s="1"/>
      <c r="AC168" s="1"/>
      <c r="AD168" s="1"/>
      <c r="AE168" s="1"/>
      <c r="AF168" s="1"/>
      <c r="AG168" s="1"/>
      <c r="AH168" s="1"/>
      <c r="AI168" s="1"/>
      <c r="AJ168" s="1"/>
      <c r="AK168" s="1"/>
    </row>
    <row r="169" spans="1:37" ht="11.25" hidden="1" customHeight="1" outlineLevel="1" x14ac:dyDescent="0.25">
      <c r="A169" s="1"/>
      <c r="B169" s="1"/>
      <c r="C169" s="1"/>
      <c r="D169" s="1"/>
      <c r="E169" s="313"/>
      <c r="F169" s="33"/>
      <c r="G169" s="33"/>
      <c r="H169" s="195"/>
      <c r="I169" s="195"/>
      <c r="J169" s="195"/>
      <c r="K169" s="195"/>
      <c r="L169" s="195"/>
      <c r="M169" s="195"/>
      <c r="N169" s="49"/>
      <c r="O169" s="49"/>
      <c r="P169" s="49"/>
      <c r="Q169" s="49"/>
      <c r="R169" s="49"/>
      <c r="S169" s="49"/>
      <c r="T169" s="49"/>
      <c r="U169" s="49"/>
      <c r="V169" s="49"/>
      <c r="W169" s="49"/>
      <c r="X169" s="49"/>
      <c r="Y169" s="49"/>
    </row>
    <row r="170" spans="1:37" ht="11.25" hidden="1" customHeight="1" outlineLevel="1" x14ac:dyDescent="0.25">
      <c r="A170" s="1"/>
      <c r="B170" s="1"/>
      <c r="C170" s="1"/>
      <c r="D170" s="1"/>
      <c r="E170" s="314" t="s">
        <v>654</v>
      </c>
      <c r="F170" s="315"/>
      <c r="G170" s="315"/>
      <c r="H170" s="316"/>
      <c r="I170" s="316"/>
      <c r="J170" s="316"/>
      <c r="K170" s="316"/>
      <c r="L170" s="316"/>
      <c r="M170" s="316"/>
      <c r="N170" s="317"/>
      <c r="O170" s="317"/>
      <c r="P170" s="317"/>
      <c r="Q170" s="317"/>
      <c r="R170" s="317"/>
      <c r="S170" s="317"/>
      <c r="T170" s="317"/>
      <c r="U170" s="317"/>
      <c r="V170" s="317"/>
      <c r="W170" s="317"/>
      <c r="X170" s="317"/>
      <c r="Y170" s="317"/>
    </row>
    <row r="171" spans="1:37" ht="11.25" hidden="1" customHeight="1" outlineLevel="1" x14ac:dyDescent="0.25">
      <c r="A171" s="1"/>
      <c r="B171" s="1"/>
      <c r="C171" s="1"/>
      <c r="D171" s="1"/>
      <c r="E171" s="314" t="s">
        <v>655</v>
      </c>
      <c r="F171" s="315"/>
      <c r="G171" s="315"/>
      <c r="H171" s="316"/>
      <c r="I171" s="316"/>
      <c r="J171" s="316"/>
      <c r="K171" s="316"/>
      <c r="L171" s="316"/>
      <c r="M171" s="316"/>
      <c r="N171" s="317"/>
      <c r="O171" s="317"/>
      <c r="P171" s="317"/>
      <c r="Q171" s="317"/>
      <c r="R171" s="317"/>
      <c r="S171" s="317"/>
      <c r="T171" s="317"/>
      <c r="U171" s="317"/>
      <c r="V171" s="317"/>
      <c r="W171" s="317"/>
      <c r="X171" s="317"/>
      <c r="Y171" s="317"/>
    </row>
    <row r="172" spans="1:37" ht="11.25" hidden="1" customHeight="1" outlineLevel="1" x14ac:dyDescent="0.25">
      <c r="A172" s="1"/>
      <c r="B172" s="1"/>
      <c r="C172" s="1"/>
      <c r="D172" s="1"/>
      <c r="E172" s="318" t="s">
        <v>656</v>
      </c>
      <c r="F172" s="315" t="s">
        <v>11</v>
      </c>
      <c r="G172" s="315"/>
      <c r="H172" s="319">
        <v>2117</v>
      </c>
      <c r="I172" s="319">
        <v>2117</v>
      </c>
      <c r="J172" s="319">
        <v>2117</v>
      </c>
      <c r="K172" s="319">
        <v>2117</v>
      </c>
      <c r="L172" s="319">
        <v>2117</v>
      </c>
      <c r="M172" s="319">
        <v>2117</v>
      </c>
      <c r="N172" s="319">
        <v>2117</v>
      </c>
      <c r="O172" s="319">
        <v>2117</v>
      </c>
      <c r="P172" s="320"/>
      <c r="Q172" s="320"/>
      <c r="R172" s="320"/>
      <c r="S172" s="320"/>
      <c r="T172" s="320"/>
      <c r="U172" s="320"/>
      <c r="V172" s="320"/>
      <c r="W172" s="320"/>
      <c r="X172" s="320"/>
      <c r="Y172" s="320"/>
      <c r="Z172" s="192"/>
    </row>
    <row r="173" spans="1:37" ht="11.25" hidden="1" customHeight="1" outlineLevel="1" x14ac:dyDescent="0.25">
      <c r="A173" s="1"/>
      <c r="B173" s="1"/>
      <c r="C173" s="1"/>
      <c r="D173" s="1"/>
      <c r="E173" s="318" t="s">
        <v>657</v>
      </c>
      <c r="F173" s="315" t="s">
        <v>658</v>
      </c>
      <c r="G173" s="315"/>
      <c r="H173" s="321">
        <f t="shared" ref="H173:L173" si="131">((H128 / H172) / 362 ) * 1000000</f>
        <v>0</v>
      </c>
      <c r="I173" s="321">
        <f t="shared" si="131"/>
        <v>0</v>
      </c>
      <c r="J173" s="321">
        <f t="shared" si="131"/>
        <v>0</v>
      </c>
      <c r="K173" s="321">
        <f t="shared" si="131"/>
        <v>0</v>
      </c>
      <c r="L173" s="321">
        <f t="shared" si="131"/>
        <v>0</v>
      </c>
      <c r="M173" s="321">
        <f>((M128 / M172) / 255 ) * 1000000</f>
        <v>0</v>
      </c>
      <c r="N173" s="321">
        <f t="shared" ref="N173:O173" si="132">((N128 / N172) / 362 ) * 1000000</f>
        <v>0</v>
      </c>
      <c r="O173" s="321">
        <f t="shared" si="132"/>
        <v>0</v>
      </c>
      <c r="P173" s="317"/>
      <c r="Q173" s="317"/>
      <c r="R173" s="317"/>
      <c r="S173" s="317"/>
      <c r="T173" s="317"/>
      <c r="U173" s="317"/>
      <c r="V173" s="317"/>
      <c r="W173" s="317"/>
      <c r="X173" s="317"/>
      <c r="Y173" s="317"/>
    </row>
    <row r="174" spans="1:37" ht="11.25" hidden="1" customHeight="1" outlineLevel="1" x14ac:dyDescent="0.25">
      <c r="A174" s="1"/>
      <c r="B174" s="1"/>
      <c r="C174" s="1"/>
      <c r="D174" s="1"/>
      <c r="E174" s="322" t="s">
        <v>659</v>
      </c>
      <c r="F174" s="315" t="s">
        <v>8</v>
      </c>
      <c r="G174" s="315"/>
      <c r="H174" s="316"/>
      <c r="I174" s="323" t="e">
        <f t="shared" ref="I174:O174" si="133">I173 / H173 -1</f>
        <v>#DIV/0!</v>
      </c>
      <c r="J174" s="323" t="e">
        <f t="shared" si="133"/>
        <v>#DIV/0!</v>
      </c>
      <c r="K174" s="323" t="e">
        <f t="shared" si="133"/>
        <v>#DIV/0!</v>
      </c>
      <c r="L174" s="323" t="e">
        <f t="shared" si="133"/>
        <v>#DIV/0!</v>
      </c>
      <c r="M174" s="323" t="e">
        <f t="shared" si="133"/>
        <v>#DIV/0!</v>
      </c>
      <c r="N174" s="323" t="e">
        <f t="shared" si="133"/>
        <v>#DIV/0!</v>
      </c>
      <c r="O174" s="323" t="e">
        <f t="shared" si="133"/>
        <v>#DIV/0!</v>
      </c>
      <c r="P174" s="324"/>
      <c r="Q174" s="324"/>
      <c r="R174" s="324"/>
      <c r="S174" s="324"/>
      <c r="T174" s="324"/>
      <c r="U174" s="324"/>
      <c r="V174" s="324"/>
      <c r="W174" s="324"/>
      <c r="X174" s="324"/>
      <c r="Y174" s="324"/>
      <c r="Z174" s="17"/>
    </row>
    <row r="175" spans="1:37" ht="11.25" hidden="1" customHeight="1" outlineLevel="1" x14ac:dyDescent="0.25">
      <c r="A175" s="1"/>
      <c r="B175" s="1"/>
      <c r="C175" s="1"/>
      <c r="D175" s="1"/>
      <c r="E175" s="318" t="s">
        <v>151</v>
      </c>
      <c r="F175" s="315" t="s">
        <v>28</v>
      </c>
      <c r="G175" s="315"/>
      <c r="H175" s="316">
        <f t="shared" ref="H175:O175" si="134">H176 * H128</f>
        <v>0</v>
      </c>
      <c r="I175" s="316">
        <f t="shared" si="134"/>
        <v>0</v>
      </c>
      <c r="J175" s="316">
        <f t="shared" si="134"/>
        <v>0</v>
      </c>
      <c r="K175" s="316">
        <f t="shared" si="134"/>
        <v>0</v>
      </c>
      <c r="L175" s="316">
        <f t="shared" si="134"/>
        <v>0</v>
      </c>
      <c r="M175" s="316">
        <f t="shared" si="134"/>
        <v>0</v>
      </c>
      <c r="N175" s="316">
        <f t="shared" si="134"/>
        <v>0</v>
      </c>
      <c r="O175" s="316">
        <f t="shared" si="134"/>
        <v>0</v>
      </c>
      <c r="P175" s="316"/>
      <c r="Q175" s="316"/>
      <c r="R175" s="316"/>
      <c r="S175" s="316"/>
      <c r="T175" s="316"/>
      <c r="U175" s="316"/>
      <c r="V175" s="316"/>
      <c r="W175" s="316"/>
      <c r="X175" s="316"/>
      <c r="Y175" s="316"/>
    </row>
    <row r="176" spans="1:37" ht="11.25" hidden="1" customHeight="1" outlineLevel="1" x14ac:dyDescent="0.25">
      <c r="A176" s="1"/>
      <c r="B176" s="1"/>
      <c r="C176" s="1"/>
      <c r="D176" s="1"/>
      <c r="E176" s="322" t="s">
        <v>650</v>
      </c>
      <c r="F176" s="315" t="s">
        <v>8</v>
      </c>
      <c r="G176" s="315"/>
      <c r="H176" s="325">
        <v>0.75</v>
      </c>
      <c r="I176" s="325">
        <v>0.75</v>
      </c>
      <c r="J176" s="325">
        <v>0.75</v>
      </c>
      <c r="K176" s="325">
        <v>0.75</v>
      </c>
      <c r="L176" s="325">
        <v>0.75</v>
      </c>
      <c r="M176" s="325">
        <v>0.75</v>
      </c>
      <c r="N176" s="325">
        <v>0.75</v>
      </c>
      <c r="O176" s="325">
        <v>0.75</v>
      </c>
      <c r="P176" s="325"/>
      <c r="Q176" s="325"/>
      <c r="R176" s="325"/>
      <c r="S176" s="325"/>
      <c r="T176" s="325"/>
      <c r="U176" s="325"/>
      <c r="V176" s="325"/>
      <c r="W176" s="325"/>
      <c r="X176" s="325"/>
      <c r="Y176" s="325"/>
      <c r="Z176" s="192"/>
    </row>
    <row r="177" spans="1:26" ht="11.25" hidden="1" customHeight="1" outlineLevel="1" x14ac:dyDescent="0.25">
      <c r="A177" s="1"/>
      <c r="B177" s="1"/>
      <c r="C177" s="1"/>
      <c r="D177" s="1"/>
      <c r="E177" s="322"/>
      <c r="F177" s="315"/>
      <c r="G177" s="315"/>
      <c r="H177" s="316"/>
      <c r="I177" s="316"/>
      <c r="J177" s="316"/>
      <c r="K177" s="316"/>
      <c r="L177" s="316"/>
      <c r="M177" s="316"/>
      <c r="N177" s="317"/>
      <c r="O177" s="317"/>
      <c r="P177" s="317"/>
      <c r="Q177" s="317"/>
      <c r="R177" s="317"/>
      <c r="S177" s="317"/>
      <c r="T177" s="317"/>
      <c r="U177" s="317"/>
      <c r="V177" s="317"/>
      <c r="W177" s="317"/>
      <c r="X177" s="317"/>
      <c r="Y177" s="317"/>
    </row>
    <row r="178" spans="1:26" ht="11.25" hidden="1" customHeight="1" outlineLevel="1" x14ac:dyDescent="0.25">
      <c r="A178" s="1"/>
      <c r="B178" s="1"/>
      <c r="C178" s="1"/>
      <c r="D178" s="1"/>
      <c r="E178" s="314" t="s">
        <v>660</v>
      </c>
      <c r="F178" s="315"/>
      <c r="G178" s="315"/>
      <c r="H178" s="316"/>
      <c r="I178" s="316"/>
      <c r="J178" s="316"/>
      <c r="K178" s="316"/>
      <c r="L178" s="316"/>
      <c r="M178" s="316"/>
      <c r="N178" s="317"/>
      <c r="O178" s="317"/>
      <c r="P178" s="317"/>
      <c r="Q178" s="317"/>
      <c r="R178" s="317"/>
      <c r="S178" s="317"/>
      <c r="T178" s="317"/>
      <c r="U178" s="317"/>
      <c r="V178" s="317"/>
      <c r="W178" s="317"/>
      <c r="X178" s="317"/>
      <c r="Y178" s="317"/>
    </row>
    <row r="179" spans="1:26" ht="11.25" hidden="1" customHeight="1" outlineLevel="1" x14ac:dyDescent="0.25">
      <c r="A179" s="1"/>
      <c r="B179" s="1"/>
      <c r="C179" s="1"/>
      <c r="D179" s="1"/>
      <c r="E179" s="318" t="s">
        <v>661</v>
      </c>
      <c r="F179" s="315" t="s">
        <v>11</v>
      </c>
      <c r="G179" s="315"/>
      <c r="H179" s="319">
        <v>150</v>
      </c>
      <c r="I179" s="319">
        <v>150</v>
      </c>
      <c r="J179" s="319">
        <v>150</v>
      </c>
      <c r="K179" s="319">
        <v>150</v>
      </c>
      <c r="L179" s="319">
        <v>150</v>
      </c>
      <c r="M179" s="319">
        <v>150</v>
      </c>
      <c r="N179" s="319">
        <v>150</v>
      </c>
      <c r="O179" s="319">
        <v>150</v>
      </c>
      <c r="P179" s="320"/>
      <c r="Q179" s="320"/>
      <c r="R179" s="320"/>
      <c r="S179" s="320"/>
      <c r="T179" s="320"/>
      <c r="U179" s="320"/>
      <c r="V179" s="320"/>
      <c r="W179" s="320"/>
      <c r="X179" s="320"/>
      <c r="Y179" s="320"/>
    </row>
    <row r="180" spans="1:26" ht="11.25" hidden="1" customHeight="1" outlineLevel="1" x14ac:dyDescent="0.25">
      <c r="A180" s="1"/>
      <c r="B180" s="1"/>
      <c r="C180" s="1"/>
      <c r="D180" s="1"/>
      <c r="E180" s="318" t="s">
        <v>657</v>
      </c>
      <c r="F180" s="315" t="s">
        <v>658</v>
      </c>
      <c r="G180" s="315"/>
      <c r="H180" s="321">
        <f t="shared" ref="H180:O180" si="135">((H130 / H179) / 362 ) * 1000000</f>
        <v>0</v>
      </c>
      <c r="I180" s="321">
        <f t="shared" si="135"/>
        <v>0</v>
      </c>
      <c r="J180" s="321">
        <f t="shared" si="135"/>
        <v>0</v>
      </c>
      <c r="K180" s="321">
        <f t="shared" si="135"/>
        <v>0</v>
      </c>
      <c r="L180" s="321">
        <f t="shared" si="135"/>
        <v>0</v>
      </c>
      <c r="M180" s="321">
        <f t="shared" si="135"/>
        <v>0</v>
      </c>
      <c r="N180" s="321">
        <f t="shared" si="135"/>
        <v>0</v>
      </c>
      <c r="O180" s="321">
        <f t="shared" si="135"/>
        <v>0</v>
      </c>
      <c r="P180" s="317"/>
      <c r="Q180" s="317"/>
      <c r="R180" s="317"/>
      <c r="S180" s="317"/>
      <c r="T180" s="317"/>
      <c r="U180" s="317"/>
      <c r="V180" s="317"/>
      <c r="W180" s="317"/>
      <c r="X180" s="317"/>
      <c r="Y180" s="317"/>
    </row>
    <row r="181" spans="1:26" ht="11.25" hidden="1" customHeight="1" outlineLevel="1" x14ac:dyDescent="0.25">
      <c r="A181" s="1"/>
      <c r="B181" s="1"/>
      <c r="C181" s="1"/>
      <c r="D181" s="1"/>
      <c r="E181" s="322" t="s">
        <v>659</v>
      </c>
      <c r="F181" s="315" t="s">
        <v>8</v>
      </c>
      <c r="G181" s="315"/>
      <c r="H181" s="316"/>
      <c r="I181" s="323" t="e">
        <f t="shared" ref="I181:O181" si="136">I180 / H180 -1</f>
        <v>#DIV/0!</v>
      </c>
      <c r="J181" s="323" t="e">
        <f t="shared" si="136"/>
        <v>#DIV/0!</v>
      </c>
      <c r="K181" s="323" t="e">
        <f t="shared" si="136"/>
        <v>#DIV/0!</v>
      </c>
      <c r="L181" s="323" t="e">
        <f t="shared" si="136"/>
        <v>#DIV/0!</v>
      </c>
      <c r="M181" s="323" t="e">
        <f t="shared" si="136"/>
        <v>#DIV/0!</v>
      </c>
      <c r="N181" s="323" t="e">
        <f t="shared" si="136"/>
        <v>#DIV/0!</v>
      </c>
      <c r="O181" s="323" t="e">
        <f t="shared" si="136"/>
        <v>#DIV/0!</v>
      </c>
      <c r="P181" s="324"/>
      <c r="Q181" s="324"/>
      <c r="R181" s="324"/>
      <c r="S181" s="324"/>
      <c r="T181" s="324"/>
      <c r="U181" s="324"/>
      <c r="V181" s="324"/>
      <c r="W181" s="324"/>
      <c r="X181" s="324"/>
      <c r="Y181" s="324"/>
      <c r="Z181" s="17"/>
    </row>
    <row r="182" spans="1:26" ht="11.25" hidden="1" customHeight="1" outlineLevel="1" x14ac:dyDescent="0.25">
      <c r="A182" s="1"/>
      <c r="B182" s="1"/>
      <c r="C182" s="1"/>
      <c r="D182" s="1"/>
      <c r="E182" s="318" t="s">
        <v>151</v>
      </c>
      <c r="F182" s="315" t="s">
        <v>28</v>
      </c>
      <c r="G182" s="315"/>
      <c r="H182" s="316">
        <f t="shared" ref="H182:O182" si="137">H130 * H183</f>
        <v>0</v>
      </c>
      <c r="I182" s="316">
        <f t="shared" si="137"/>
        <v>0</v>
      </c>
      <c r="J182" s="316">
        <f t="shared" si="137"/>
        <v>0</v>
      </c>
      <c r="K182" s="316">
        <f t="shared" si="137"/>
        <v>0</v>
      </c>
      <c r="L182" s="316">
        <f t="shared" si="137"/>
        <v>0</v>
      </c>
      <c r="M182" s="316">
        <f t="shared" si="137"/>
        <v>0</v>
      </c>
      <c r="N182" s="316">
        <f t="shared" si="137"/>
        <v>0</v>
      </c>
      <c r="O182" s="316">
        <f t="shared" si="137"/>
        <v>0</v>
      </c>
      <c r="P182" s="316"/>
      <c r="Q182" s="316"/>
      <c r="R182" s="316"/>
      <c r="S182" s="316"/>
      <c r="T182" s="316"/>
      <c r="U182" s="316"/>
      <c r="V182" s="316"/>
      <c r="W182" s="316"/>
      <c r="X182" s="316"/>
      <c r="Y182" s="316"/>
    </row>
    <row r="183" spans="1:26" ht="11.25" hidden="1" customHeight="1" outlineLevel="1" x14ac:dyDescent="0.25">
      <c r="A183" s="1"/>
      <c r="B183" s="1"/>
      <c r="C183" s="1"/>
      <c r="D183" s="1"/>
      <c r="E183" s="322" t="s">
        <v>650</v>
      </c>
      <c r="F183" s="315" t="s">
        <v>8</v>
      </c>
      <c r="G183" s="315"/>
      <c r="H183" s="325">
        <v>0.55000000000000004</v>
      </c>
      <c r="I183" s="325">
        <v>0.55000000000000004</v>
      </c>
      <c r="J183" s="325">
        <v>0.55000000000000004</v>
      </c>
      <c r="K183" s="325">
        <v>0.55000000000000004</v>
      </c>
      <c r="L183" s="325">
        <v>0.55000000000000004</v>
      </c>
      <c r="M183" s="325">
        <v>0.55000000000000004</v>
      </c>
      <c r="N183" s="325">
        <v>0.55000000000000004</v>
      </c>
      <c r="O183" s="325">
        <v>0.55000000000000004</v>
      </c>
      <c r="P183" s="325"/>
      <c r="Q183" s="325"/>
      <c r="R183" s="325"/>
      <c r="S183" s="325"/>
      <c r="T183" s="325"/>
      <c r="U183" s="325"/>
      <c r="V183" s="325"/>
      <c r="W183" s="325"/>
      <c r="X183" s="325"/>
      <c r="Y183" s="325"/>
    </row>
    <row r="184" spans="1:26" ht="11.25" hidden="1" customHeight="1" outlineLevel="1" x14ac:dyDescent="0.25">
      <c r="A184" s="1"/>
      <c r="B184" s="1"/>
      <c r="C184" s="1"/>
      <c r="D184" s="1"/>
      <c r="E184" s="322"/>
      <c r="F184" s="315"/>
      <c r="G184" s="315"/>
      <c r="H184" s="316"/>
      <c r="I184" s="316"/>
      <c r="J184" s="316"/>
      <c r="K184" s="316"/>
      <c r="L184" s="316"/>
      <c r="M184" s="316"/>
      <c r="N184" s="317"/>
      <c r="O184" s="317"/>
      <c r="P184" s="317"/>
      <c r="Q184" s="317"/>
      <c r="R184" s="317"/>
      <c r="S184" s="317"/>
      <c r="T184" s="317"/>
      <c r="U184" s="317"/>
      <c r="V184" s="317"/>
      <c r="W184" s="317"/>
      <c r="X184" s="317"/>
      <c r="Y184" s="317"/>
    </row>
    <row r="185" spans="1:26" ht="11.25" hidden="1" customHeight="1" outlineLevel="1" x14ac:dyDescent="0.25">
      <c r="A185" s="1"/>
      <c r="B185" s="1"/>
      <c r="C185" s="1"/>
      <c r="D185" s="1"/>
      <c r="E185" s="314" t="s">
        <v>640</v>
      </c>
      <c r="F185" s="315"/>
      <c r="G185" s="315"/>
      <c r="H185" s="316"/>
      <c r="I185" s="316"/>
      <c r="J185" s="316"/>
      <c r="K185" s="316"/>
      <c r="L185" s="316"/>
      <c r="M185" s="316"/>
      <c r="N185" s="317"/>
      <c r="O185" s="317"/>
      <c r="P185" s="317"/>
      <c r="Q185" s="317"/>
      <c r="R185" s="317"/>
      <c r="S185" s="317"/>
      <c r="T185" s="317"/>
      <c r="U185" s="317"/>
      <c r="V185" s="317"/>
      <c r="W185" s="317"/>
      <c r="X185" s="317"/>
      <c r="Y185" s="317"/>
    </row>
    <row r="186" spans="1:26" ht="11.25" hidden="1" customHeight="1" outlineLevel="1" x14ac:dyDescent="0.25">
      <c r="A186" s="1"/>
      <c r="B186" s="1"/>
      <c r="C186" s="1"/>
      <c r="D186" s="1"/>
      <c r="E186" s="318" t="s">
        <v>662</v>
      </c>
      <c r="F186" s="315" t="s">
        <v>11</v>
      </c>
      <c r="G186" s="315"/>
      <c r="H186" s="326">
        <v>22</v>
      </c>
      <c r="I186" s="326">
        <v>23</v>
      </c>
      <c r="J186" s="326">
        <v>23</v>
      </c>
      <c r="K186" s="326">
        <v>23</v>
      </c>
      <c r="L186" s="326">
        <v>23</v>
      </c>
      <c r="M186" s="326">
        <v>23</v>
      </c>
      <c r="N186" s="319">
        <v>17</v>
      </c>
      <c r="O186" s="319">
        <v>17</v>
      </c>
      <c r="P186" s="320"/>
      <c r="Q186" s="320"/>
      <c r="R186" s="320"/>
      <c r="S186" s="320"/>
      <c r="T186" s="320"/>
      <c r="U186" s="320"/>
      <c r="V186" s="320"/>
      <c r="W186" s="320"/>
      <c r="X186" s="320"/>
      <c r="Y186" s="320"/>
    </row>
    <row r="187" spans="1:26" ht="11.25" hidden="1" customHeight="1" outlineLevel="1" x14ac:dyDescent="0.25">
      <c r="A187" s="1"/>
      <c r="B187" s="1"/>
      <c r="C187" s="1"/>
      <c r="D187" s="1"/>
      <c r="E187" s="318" t="s">
        <v>663</v>
      </c>
      <c r="F187" s="315" t="s">
        <v>658</v>
      </c>
      <c r="G187" s="315"/>
      <c r="H187" s="321">
        <f t="shared" ref="H187:O187" si="138">((H136 / H186) / 362 ) * 1000000</f>
        <v>0</v>
      </c>
      <c r="I187" s="321">
        <f t="shared" si="138"/>
        <v>0</v>
      </c>
      <c r="J187" s="321">
        <f t="shared" si="138"/>
        <v>0</v>
      </c>
      <c r="K187" s="321">
        <f t="shared" si="138"/>
        <v>0</v>
      </c>
      <c r="L187" s="321">
        <f t="shared" si="138"/>
        <v>0</v>
      </c>
      <c r="M187" s="321">
        <f t="shared" si="138"/>
        <v>0</v>
      </c>
      <c r="N187" s="321">
        <f t="shared" si="138"/>
        <v>0</v>
      </c>
      <c r="O187" s="321">
        <f t="shared" si="138"/>
        <v>0</v>
      </c>
      <c r="P187" s="317"/>
      <c r="Q187" s="317"/>
      <c r="R187" s="317"/>
      <c r="S187" s="317"/>
      <c r="T187" s="317"/>
      <c r="U187" s="317"/>
      <c r="V187" s="317"/>
      <c r="W187" s="317"/>
      <c r="X187" s="317"/>
      <c r="Y187" s="317"/>
    </row>
    <row r="188" spans="1:26" ht="11.25" hidden="1" customHeight="1" outlineLevel="1" x14ac:dyDescent="0.25">
      <c r="A188" s="1"/>
      <c r="B188" s="1"/>
      <c r="C188" s="1"/>
      <c r="D188" s="1"/>
      <c r="E188" s="322" t="s">
        <v>659</v>
      </c>
      <c r="F188" s="315" t="s">
        <v>8</v>
      </c>
      <c r="G188" s="315"/>
      <c r="H188" s="316"/>
      <c r="I188" s="323" t="e">
        <f t="shared" ref="I188:O188" si="139">I187 / H187 -1</f>
        <v>#DIV/0!</v>
      </c>
      <c r="J188" s="323" t="e">
        <f t="shared" si="139"/>
        <v>#DIV/0!</v>
      </c>
      <c r="K188" s="323" t="e">
        <f t="shared" si="139"/>
        <v>#DIV/0!</v>
      </c>
      <c r="L188" s="323" t="e">
        <f t="shared" si="139"/>
        <v>#DIV/0!</v>
      </c>
      <c r="M188" s="323" t="e">
        <f t="shared" si="139"/>
        <v>#DIV/0!</v>
      </c>
      <c r="N188" s="323" t="e">
        <f t="shared" si="139"/>
        <v>#DIV/0!</v>
      </c>
      <c r="O188" s="323" t="e">
        <f t="shared" si="139"/>
        <v>#DIV/0!</v>
      </c>
      <c r="P188" s="324"/>
      <c r="Q188" s="324"/>
      <c r="R188" s="324"/>
      <c r="S188" s="324"/>
      <c r="T188" s="324"/>
      <c r="U188" s="324"/>
      <c r="V188" s="324"/>
      <c r="W188" s="324"/>
      <c r="X188" s="324"/>
      <c r="Y188" s="324"/>
    </row>
    <row r="189" spans="1:26" ht="11.25" hidden="1" customHeight="1" outlineLevel="1" x14ac:dyDescent="0.25">
      <c r="A189" s="1"/>
      <c r="B189" s="1"/>
      <c r="C189" s="1"/>
      <c r="D189" s="1"/>
      <c r="E189" s="318" t="s">
        <v>151</v>
      </c>
      <c r="F189" s="315" t="s">
        <v>28</v>
      </c>
      <c r="G189" s="315"/>
      <c r="H189" s="327">
        <f t="shared" ref="H189:O189" si="140">H136 * H190</f>
        <v>0</v>
      </c>
      <c r="I189" s="327">
        <f t="shared" si="140"/>
        <v>0</v>
      </c>
      <c r="J189" s="327">
        <f t="shared" si="140"/>
        <v>0</v>
      </c>
      <c r="K189" s="327">
        <f t="shared" si="140"/>
        <v>0</v>
      </c>
      <c r="L189" s="327">
        <f t="shared" si="140"/>
        <v>0</v>
      </c>
      <c r="M189" s="327">
        <f t="shared" si="140"/>
        <v>0</v>
      </c>
      <c r="N189" s="327">
        <f t="shared" si="140"/>
        <v>0</v>
      </c>
      <c r="O189" s="327">
        <f t="shared" si="140"/>
        <v>0</v>
      </c>
      <c r="P189" s="327"/>
      <c r="Q189" s="327"/>
      <c r="R189" s="327"/>
      <c r="S189" s="327"/>
      <c r="T189" s="327"/>
      <c r="U189" s="327"/>
      <c r="V189" s="327"/>
      <c r="W189" s="327"/>
      <c r="X189" s="327"/>
      <c r="Y189" s="327"/>
    </row>
    <row r="190" spans="1:26" ht="11.25" hidden="1" customHeight="1" outlineLevel="1" x14ac:dyDescent="0.25">
      <c r="A190" s="1"/>
      <c r="B190" s="1"/>
      <c r="C190" s="1"/>
      <c r="D190" s="1"/>
      <c r="E190" s="322" t="s">
        <v>650</v>
      </c>
      <c r="F190" s="315" t="s">
        <v>8</v>
      </c>
      <c r="G190" s="315"/>
      <c r="H190" s="325">
        <v>0.15</v>
      </c>
      <c r="I190" s="325">
        <v>0.15</v>
      </c>
      <c r="J190" s="325">
        <v>0.15</v>
      </c>
      <c r="K190" s="325">
        <v>0.15</v>
      </c>
      <c r="L190" s="325">
        <v>0.15</v>
      </c>
      <c r="M190" s="325">
        <v>0.08</v>
      </c>
      <c r="N190" s="325">
        <v>0.01</v>
      </c>
      <c r="O190" s="325">
        <v>0.01</v>
      </c>
      <c r="P190" s="325"/>
      <c r="Q190" s="325"/>
      <c r="R190" s="325"/>
      <c r="S190" s="325"/>
      <c r="T190" s="325"/>
      <c r="U190" s="325"/>
      <c r="V190" s="325"/>
      <c r="W190" s="325"/>
      <c r="X190" s="325"/>
      <c r="Y190" s="325"/>
    </row>
    <row r="191" spans="1:26" ht="11.25" hidden="1" customHeight="1" outlineLevel="1" x14ac:dyDescent="0.25">
      <c r="A191" s="1"/>
      <c r="B191" s="1"/>
      <c r="C191" s="1"/>
      <c r="D191" s="1"/>
      <c r="E191" s="318"/>
      <c r="F191" s="315"/>
      <c r="G191" s="315"/>
      <c r="H191" s="316"/>
      <c r="I191" s="316"/>
      <c r="J191" s="316"/>
      <c r="K191" s="316"/>
      <c r="L191" s="316"/>
      <c r="M191" s="316"/>
      <c r="N191" s="317"/>
      <c r="O191" s="317"/>
      <c r="P191" s="324"/>
      <c r="Q191" s="324"/>
      <c r="R191" s="324"/>
      <c r="S191" s="324"/>
      <c r="T191" s="324"/>
      <c r="U191" s="324"/>
      <c r="V191" s="324"/>
      <c r="W191" s="324"/>
      <c r="X191" s="324"/>
      <c r="Y191" s="324"/>
    </row>
    <row r="192" spans="1:26" ht="11.25" hidden="1" customHeight="1" outlineLevel="1" x14ac:dyDescent="0.25">
      <c r="A192" s="1"/>
      <c r="B192" s="1"/>
      <c r="C192" s="1"/>
      <c r="D192" s="1"/>
      <c r="E192" s="314" t="s">
        <v>664</v>
      </c>
      <c r="F192" s="315"/>
      <c r="G192" s="315"/>
      <c r="H192" s="316"/>
      <c r="I192" s="316"/>
      <c r="J192" s="316"/>
      <c r="K192" s="316"/>
      <c r="L192" s="316"/>
      <c r="M192" s="316"/>
      <c r="N192" s="317"/>
      <c r="O192" s="317"/>
      <c r="P192" s="317"/>
      <c r="Q192" s="317"/>
      <c r="R192" s="317"/>
      <c r="S192" s="317"/>
      <c r="T192" s="317"/>
      <c r="U192" s="317"/>
      <c r="V192" s="317"/>
      <c r="W192" s="317"/>
      <c r="X192" s="317"/>
      <c r="Y192" s="317"/>
    </row>
    <row r="193" spans="1:26" ht="11.25" hidden="1" customHeight="1" outlineLevel="1" x14ac:dyDescent="0.25">
      <c r="A193" s="1"/>
      <c r="B193" s="1"/>
      <c r="C193" s="1"/>
      <c r="D193" s="1"/>
      <c r="E193" s="318" t="s">
        <v>664</v>
      </c>
      <c r="F193" s="315" t="s">
        <v>11</v>
      </c>
      <c r="G193" s="315"/>
      <c r="H193" s="326">
        <v>635</v>
      </c>
      <c r="I193" s="326">
        <v>635</v>
      </c>
      <c r="J193" s="326">
        <v>635</v>
      </c>
      <c r="K193" s="326">
        <v>639</v>
      </c>
      <c r="L193" s="326">
        <v>639</v>
      </c>
      <c r="M193" s="326">
        <v>639</v>
      </c>
      <c r="N193" s="326">
        <v>639</v>
      </c>
      <c r="O193" s="326">
        <v>639</v>
      </c>
      <c r="P193" s="320"/>
      <c r="Q193" s="320"/>
      <c r="R193" s="320"/>
      <c r="S193" s="320"/>
      <c r="T193" s="320"/>
      <c r="U193" s="320"/>
      <c r="V193" s="320"/>
      <c r="W193" s="320"/>
      <c r="X193" s="320"/>
      <c r="Y193" s="320"/>
    </row>
    <row r="194" spans="1:26" ht="11.25" hidden="1" customHeight="1" outlineLevel="1" x14ac:dyDescent="0.25">
      <c r="A194" s="1"/>
      <c r="B194" s="1"/>
      <c r="C194" s="1"/>
      <c r="D194" s="1"/>
      <c r="E194" s="318" t="s">
        <v>665</v>
      </c>
      <c r="F194" s="315" t="s">
        <v>658</v>
      </c>
      <c r="G194" s="315"/>
      <c r="H194" s="321">
        <f t="shared" ref="H194:O194" si="141">((H137 / H193) / 362 ) * 1000000</f>
        <v>0</v>
      </c>
      <c r="I194" s="321">
        <f t="shared" si="141"/>
        <v>0</v>
      </c>
      <c r="J194" s="321">
        <f t="shared" si="141"/>
        <v>0</v>
      </c>
      <c r="K194" s="321">
        <f t="shared" si="141"/>
        <v>0</v>
      </c>
      <c r="L194" s="321">
        <f t="shared" si="141"/>
        <v>0</v>
      </c>
      <c r="M194" s="321">
        <f t="shared" si="141"/>
        <v>0</v>
      </c>
      <c r="N194" s="321">
        <f t="shared" si="141"/>
        <v>0</v>
      </c>
      <c r="O194" s="321">
        <f t="shared" si="141"/>
        <v>0</v>
      </c>
      <c r="P194" s="317"/>
      <c r="Q194" s="317"/>
      <c r="R194" s="317"/>
      <c r="S194" s="317"/>
      <c r="T194" s="317"/>
      <c r="U194" s="317"/>
      <c r="V194" s="317"/>
      <c r="W194" s="317"/>
      <c r="X194" s="317"/>
      <c r="Y194" s="317"/>
    </row>
    <row r="195" spans="1:26" ht="11.25" hidden="1" customHeight="1" outlineLevel="1" x14ac:dyDescent="0.25">
      <c r="A195" s="1"/>
      <c r="B195" s="1"/>
      <c r="C195" s="1"/>
      <c r="D195" s="1"/>
      <c r="E195" s="322" t="s">
        <v>659</v>
      </c>
      <c r="F195" s="315" t="s">
        <v>8</v>
      </c>
      <c r="G195" s="315"/>
      <c r="H195" s="316"/>
      <c r="I195" s="323" t="e">
        <f t="shared" ref="I195:O195" si="142">I194 / H194 -1</f>
        <v>#DIV/0!</v>
      </c>
      <c r="J195" s="323" t="e">
        <f t="shared" si="142"/>
        <v>#DIV/0!</v>
      </c>
      <c r="K195" s="323" t="e">
        <f t="shared" si="142"/>
        <v>#DIV/0!</v>
      </c>
      <c r="L195" s="323" t="e">
        <f t="shared" si="142"/>
        <v>#DIV/0!</v>
      </c>
      <c r="M195" s="323" t="e">
        <f t="shared" si="142"/>
        <v>#DIV/0!</v>
      </c>
      <c r="N195" s="323" t="e">
        <f t="shared" si="142"/>
        <v>#DIV/0!</v>
      </c>
      <c r="O195" s="323" t="e">
        <f t="shared" si="142"/>
        <v>#DIV/0!</v>
      </c>
      <c r="P195" s="324"/>
      <c r="Q195" s="324"/>
      <c r="R195" s="324"/>
      <c r="S195" s="324"/>
      <c r="T195" s="324"/>
      <c r="U195" s="324"/>
      <c r="V195" s="324"/>
      <c r="W195" s="324"/>
      <c r="X195" s="324"/>
      <c r="Y195" s="324"/>
    </row>
    <row r="196" spans="1:26" ht="11.25" hidden="1" customHeight="1" outlineLevel="1" x14ac:dyDescent="0.25">
      <c r="A196" s="1"/>
      <c r="B196" s="1"/>
      <c r="C196" s="1"/>
      <c r="D196" s="1"/>
      <c r="E196" s="318" t="s">
        <v>666</v>
      </c>
      <c r="F196" s="315" t="s">
        <v>8</v>
      </c>
      <c r="G196" s="315"/>
      <c r="H196" s="324"/>
      <c r="I196" s="324"/>
      <c r="J196" s="324"/>
      <c r="K196" s="324"/>
      <c r="L196" s="324"/>
      <c r="M196" s="324"/>
      <c r="N196" s="328">
        <v>0.77</v>
      </c>
      <c r="O196" s="328">
        <v>0.77</v>
      </c>
      <c r="P196" s="324"/>
      <c r="Q196" s="324"/>
      <c r="R196" s="324"/>
      <c r="S196" s="324"/>
      <c r="T196" s="324"/>
      <c r="U196" s="324"/>
      <c r="V196" s="324"/>
      <c r="W196" s="324"/>
      <c r="X196" s="324"/>
      <c r="Y196" s="324"/>
      <c r="Z196" s="192"/>
    </row>
    <row r="197" spans="1:26" ht="11.25" hidden="1" customHeight="1" outlineLevel="1" x14ac:dyDescent="0.25">
      <c r="A197" s="1"/>
      <c r="B197" s="1"/>
      <c r="C197" s="1"/>
      <c r="D197" s="1"/>
      <c r="E197" s="318" t="s">
        <v>151</v>
      </c>
      <c r="F197" s="315" t="s">
        <v>28</v>
      </c>
      <c r="G197" s="315"/>
      <c r="H197" s="317">
        <f t="shared" ref="H197:O197" si="143">H137 * H198</f>
        <v>0</v>
      </c>
      <c r="I197" s="317">
        <f t="shared" si="143"/>
        <v>0</v>
      </c>
      <c r="J197" s="317">
        <f t="shared" si="143"/>
        <v>0</v>
      </c>
      <c r="K197" s="317">
        <f t="shared" si="143"/>
        <v>0</v>
      </c>
      <c r="L197" s="317">
        <f t="shared" si="143"/>
        <v>0</v>
      </c>
      <c r="M197" s="317">
        <f t="shared" si="143"/>
        <v>0</v>
      </c>
      <c r="N197" s="317">
        <f t="shared" si="143"/>
        <v>0</v>
      </c>
      <c r="O197" s="317">
        <f t="shared" si="143"/>
        <v>0</v>
      </c>
      <c r="P197" s="317"/>
      <c r="Q197" s="317"/>
      <c r="R197" s="317"/>
      <c r="S197" s="317"/>
      <c r="T197" s="317"/>
      <c r="U197" s="317"/>
      <c r="V197" s="317"/>
      <c r="W197" s="317"/>
      <c r="X197" s="317"/>
      <c r="Y197" s="317"/>
      <c r="Z197" s="192"/>
    </row>
    <row r="198" spans="1:26" ht="11.25" hidden="1" customHeight="1" outlineLevel="1" x14ac:dyDescent="0.25">
      <c r="A198" s="1"/>
      <c r="B198" s="1"/>
      <c r="C198" s="1"/>
      <c r="D198" s="1"/>
      <c r="E198" s="322" t="s">
        <v>650</v>
      </c>
      <c r="F198" s="315" t="s">
        <v>8</v>
      </c>
      <c r="G198" s="315"/>
      <c r="H198" s="324">
        <v>0.6</v>
      </c>
      <c r="I198" s="324">
        <v>0.6</v>
      </c>
      <c r="J198" s="324">
        <v>0.6</v>
      </c>
      <c r="K198" s="324">
        <v>0.6</v>
      </c>
      <c r="L198" s="324">
        <v>0.6</v>
      </c>
      <c r="M198" s="324">
        <v>0.6</v>
      </c>
      <c r="N198" s="324">
        <v>0.6</v>
      </c>
      <c r="O198" s="324">
        <v>0.6</v>
      </c>
      <c r="P198" s="324"/>
      <c r="Q198" s="324"/>
      <c r="R198" s="324"/>
      <c r="S198" s="324"/>
      <c r="T198" s="324"/>
      <c r="U198" s="324"/>
      <c r="V198" s="324"/>
      <c r="W198" s="324"/>
      <c r="X198" s="324"/>
      <c r="Y198" s="324"/>
    </row>
    <row r="199" spans="1:26" ht="11.25" hidden="1" customHeight="1" outlineLevel="1" x14ac:dyDescent="0.25">
      <c r="A199" s="1"/>
      <c r="B199" s="1"/>
      <c r="C199" s="1"/>
      <c r="D199" s="1"/>
      <c r="E199" s="318"/>
      <c r="F199" s="315"/>
      <c r="G199" s="315"/>
      <c r="H199" s="316"/>
      <c r="I199" s="316"/>
      <c r="J199" s="316"/>
      <c r="K199" s="316"/>
      <c r="L199" s="316"/>
      <c r="M199" s="316"/>
      <c r="N199" s="317"/>
      <c r="O199" s="317"/>
      <c r="P199" s="317"/>
      <c r="Q199" s="317"/>
      <c r="R199" s="317"/>
      <c r="S199" s="317"/>
      <c r="T199" s="317"/>
      <c r="U199" s="317"/>
      <c r="V199" s="317"/>
      <c r="W199" s="317"/>
      <c r="X199" s="317"/>
      <c r="Y199" s="317"/>
    </row>
    <row r="200" spans="1:26" ht="11.25" hidden="1" customHeight="1" outlineLevel="1" x14ac:dyDescent="0.25">
      <c r="A200" s="1"/>
      <c r="B200" s="1"/>
      <c r="C200" s="1"/>
      <c r="D200" s="1"/>
      <c r="E200" s="314" t="s">
        <v>642</v>
      </c>
      <c r="F200" s="315"/>
      <c r="G200" s="315"/>
      <c r="H200" s="316"/>
      <c r="I200" s="316"/>
      <c r="J200" s="316"/>
      <c r="K200" s="316"/>
      <c r="L200" s="316"/>
      <c r="M200" s="316"/>
      <c r="N200" s="317"/>
      <c r="O200" s="317"/>
      <c r="P200" s="317"/>
      <c r="Q200" s="317"/>
      <c r="R200" s="317"/>
      <c r="S200" s="317"/>
      <c r="T200" s="317"/>
      <c r="U200" s="317"/>
      <c r="V200" s="317"/>
      <c r="W200" s="317"/>
      <c r="X200" s="317"/>
      <c r="Y200" s="317"/>
    </row>
    <row r="201" spans="1:26" ht="11.25" hidden="1" customHeight="1" outlineLevel="1" x14ac:dyDescent="0.25">
      <c r="A201" s="1"/>
      <c r="B201" s="1"/>
      <c r="C201" s="1"/>
      <c r="D201" s="1"/>
      <c r="E201" s="318" t="s">
        <v>560</v>
      </c>
      <c r="F201" s="315" t="s">
        <v>28</v>
      </c>
      <c r="G201" s="315"/>
      <c r="H201" s="329">
        <f t="shared" ref="H201:O201" si="144">H138</f>
        <v>0</v>
      </c>
      <c r="I201" s="329">
        <f t="shared" si="144"/>
        <v>0</v>
      </c>
      <c r="J201" s="329">
        <f t="shared" si="144"/>
        <v>0</v>
      </c>
      <c r="K201" s="329">
        <f t="shared" si="144"/>
        <v>0</v>
      </c>
      <c r="L201" s="329">
        <f t="shared" si="144"/>
        <v>0</v>
      </c>
      <c r="M201" s="329">
        <f t="shared" si="144"/>
        <v>0</v>
      </c>
      <c r="N201" s="329">
        <f t="shared" si="144"/>
        <v>0</v>
      </c>
      <c r="O201" s="329">
        <f t="shared" si="144"/>
        <v>0</v>
      </c>
      <c r="P201" s="329"/>
      <c r="Q201" s="329"/>
      <c r="R201" s="329"/>
      <c r="S201" s="329"/>
      <c r="T201" s="329"/>
      <c r="U201" s="329"/>
      <c r="V201" s="329"/>
      <c r="W201" s="329"/>
      <c r="X201" s="329"/>
      <c r="Y201" s="329"/>
    </row>
    <row r="202" spans="1:26" ht="11.25" hidden="1" customHeight="1" outlineLevel="1" x14ac:dyDescent="0.25">
      <c r="A202" s="1"/>
      <c r="B202" s="1"/>
      <c r="C202" s="1"/>
      <c r="D202" s="1"/>
      <c r="E202" s="322" t="s">
        <v>659</v>
      </c>
      <c r="F202" s="315" t="s">
        <v>8</v>
      </c>
      <c r="G202" s="315"/>
      <c r="H202" s="316"/>
      <c r="I202" s="323" t="e">
        <f t="shared" ref="I202:O202" si="145">I201 / H201 -1</f>
        <v>#DIV/0!</v>
      </c>
      <c r="J202" s="323" t="e">
        <f t="shared" si="145"/>
        <v>#DIV/0!</v>
      </c>
      <c r="K202" s="323" t="e">
        <f t="shared" si="145"/>
        <v>#DIV/0!</v>
      </c>
      <c r="L202" s="323" t="e">
        <f t="shared" si="145"/>
        <v>#DIV/0!</v>
      </c>
      <c r="M202" s="323" t="e">
        <f t="shared" si="145"/>
        <v>#DIV/0!</v>
      </c>
      <c r="N202" s="323" t="e">
        <f t="shared" si="145"/>
        <v>#DIV/0!</v>
      </c>
      <c r="O202" s="323" t="e">
        <f t="shared" si="145"/>
        <v>#DIV/0!</v>
      </c>
      <c r="P202" s="325"/>
      <c r="Q202" s="325"/>
      <c r="R202" s="325"/>
      <c r="S202" s="325"/>
      <c r="T202" s="325"/>
      <c r="U202" s="325"/>
      <c r="V202" s="325"/>
      <c r="W202" s="325"/>
      <c r="X202" s="325"/>
      <c r="Y202" s="325"/>
    </row>
    <row r="203" spans="1:26" ht="11.25" hidden="1" customHeight="1" outlineLevel="1" x14ac:dyDescent="0.25">
      <c r="A203" s="1"/>
      <c r="B203" s="1"/>
      <c r="C203" s="1"/>
      <c r="D203" s="1"/>
      <c r="E203" s="318" t="s">
        <v>151</v>
      </c>
      <c r="F203" s="315" t="s">
        <v>28</v>
      </c>
      <c r="G203" s="315"/>
      <c r="H203" s="330">
        <f t="shared" ref="H203:O203" si="146">H201 * H204</f>
        <v>0</v>
      </c>
      <c r="I203" s="330">
        <f t="shared" si="146"/>
        <v>0</v>
      </c>
      <c r="J203" s="330">
        <f t="shared" si="146"/>
        <v>0</v>
      </c>
      <c r="K203" s="330">
        <f t="shared" si="146"/>
        <v>0</v>
      </c>
      <c r="L203" s="330">
        <f t="shared" si="146"/>
        <v>0</v>
      </c>
      <c r="M203" s="330">
        <f t="shared" si="146"/>
        <v>0</v>
      </c>
      <c r="N203" s="330">
        <f t="shared" si="146"/>
        <v>0</v>
      </c>
      <c r="O203" s="330">
        <f t="shared" si="146"/>
        <v>0</v>
      </c>
      <c r="P203" s="330"/>
      <c r="Q203" s="330"/>
      <c r="R203" s="330"/>
      <c r="S203" s="330"/>
      <c r="T203" s="330"/>
      <c r="U203" s="330"/>
      <c r="V203" s="330"/>
      <c r="W203" s="330"/>
      <c r="X203" s="330"/>
      <c r="Y203" s="330"/>
      <c r="Z203" s="192"/>
    </row>
    <row r="204" spans="1:26" ht="11.25" hidden="1" customHeight="1" outlineLevel="1" x14ac:dyDescent="0.25">
      <c r="A204" s="1"/>
      <c r="B204" s="1"/>
      <c r="C204" s="1"/>
      <c r="D204" s="1"/>
      <c r="E204" s="322" t="s">
        <v>650</v>
      </c>
      <c r="F204" s="315" t="s">
        <v>8</v>
      </c>
      <c r="G204" s="315"/>
      <c r="H204" s="325">
        <v>0.9</v>
      </c>
      <c r="I204" s="325">
        <v>0.9</v>
      </c>
      <c r="J204" s="325">
        <v>0.9</v>
      </c>
      <c r="K204" s="325">
        <v>0.9</v>
      </c>
      <c r="L204" s="325">
        <v>0.9</v>
      </c>
      <c r="M204" s="325">
        <v>0.9</v>
      </c>
      <c r="N204" s="325">
        <v>0.9</v>
      </c>
      <c r="O204" s="325">
        <v>0.9</v>
      </c>
      <c r="P204" s="325"/>
      <c r="Q204" s="325"/>
      <c r="R204" s="325"/>
      <c r="S204" s="325"/>
      <c r="T204" s="325"/>
      <c r="U204" s="325"/>
      <c r="V204" s="325"/>
      <c r="W204" s="325"/>
      <c r="X204" s="325"/>
      <c r="Y204" s="325"/>
      <c r="Z204" s="331"/>
    </row>
    <row r="205" spans="1:26" ht="11.25" hidden="1" customHeight="1" outlineLevel="1" x14ac:dyDescent="0.25">
      <c r="A205" s="1"/>
      <c r="B205" s="1"/>
      <c r="C205" s="1"/>
      <c r="D205" s="1"/>
      <c r="E205" s="322"/>
      <c r="F205" s="315"/>
      <c r="G205" s="315"/>
      <c r="H205" s="316"/>
      <c r="I205" s="316"/>
      <c r="J205" s="316"/>
      <c r="K205" s="316"/>
      <c r="L205" s="316"/>
      <c r="M205" s="316"/>
      <c r="N205" s="317"/>
      <c r="O205" s="317"/>
      <c r="P205" s="317"/>
      <c r="Q205" s="317"/>
      <c r="R205" s="317"/>
      <c r="S205" s="317"/>
      <c r="T205" s="317"/>
      <c r="U205" s="317"/>
      <c r="V205" s="317"/>
      <c r="W205" s="317"/>
      <c r="X205" s="317"/>
      <c r="Y205" s="317"/>
      <c r="Z205" s="331"/>
    </row>
    <row r="206" spans="1:26" ht="11.25" hidden="1" customHeight="1" outlineLevel="1" x14ac:dyDescent="0.25">
      <c r="A206" s="1"/>
      <c r="B206" s="1"/>
      <c r="C206" s="1"/>
      <c r="D206" s="1"/>
      <c r="E206" s="314" t="s">
        <v>667</v>
      </c>
      <c r="F206" s="315"/>
      <c r="G206" s="315"/>
      <c r="H206" s="316"/>
      <c r="I206" s="316"/>
      <c r="J206" s="316"/>
      <c r="K206" s="316"/>
      <c r="L206" s="316"/>
      <c r="M206" s="316"/>
      <c r="N206" s="317"/>
      <c r="O206" s="317"/>
      <c r="P206" s="317"/>
      <c r="Q206" s="317"/>
      <c r="R206" s="317"/>
      <c r="S206" s="317"/>
      <c r="T206" s="317"/>
      <c r="U206" s="317"/>
      <c r="V206" s="317"/>
      <c r="W206" s="317"/>
      <c r="X206" s="317"/>
      <c r="Y206" s="317"/>
    </row>
    <row r="207" spans="1:26" ht="11.25" hidden="1" customHeight="1" outlineLevel="1" x14ac:dyDescent="0.25">
      <c r="A207" s="1"/>
      <c r="B207" s="1"/>
      <c r="C207" s="1"/>
      <c r="D207" s="1"/>
      <c r="E207" s="318" t="s">
        <v>667</v>
      </c>
      <c r="F207" s="315" t="s">
        <v>11</v>
      </c>
      <c r="G207" s="315"/>
      <c r="H207" s="332"/>
      <c r="I207" s="332"/>
      <c r="J207" s="332"/>
      <c r="K207" s="332"/>
      <c r="L207" s="332"/>
      <c r="M207" s="332"/>
      <c r="N207" s="333"/>
      <c r="O207" s="333"/>
      <c r="P207" s="334"/>
      <c r="Q207" s="334"/>
      <c r="R207" s="334"/>
      <c r="S207" s="334"/>
      <c r="T207" s="334"/>
      <c r="U207" s="334"/>
      <c r="V207" s="334"/>
      <c r="W207" s="334"/>
      <c r="X207" s="334"/>
      <c r="Y207" s="334"/>
      <c r="Z207" s="192"/>
    </row>
    <row r="208" spans="1:26" ht="11.25" hidden="1" customHeight="1" outlineLevel="1" x14ac:dyDescent="0.25">
      <c r="A208" s="1"/>
      <c r="B208" s="1"/>
      <c r="C208" s="1"/>
      <c r="D208" s="1"/>
      <c r="E208" s="318" t="s">
        <v>668</v>
      </c>
      <c r="F208" s="315" t="s">
        <v>658</v>
      </c>
      <c r="G208" s="315"/>
      <c r="H208" s="332"/>
      <c r="I208" s="332"/>
      <c r="J208" s="332"/>
      <c r="K208" s="332"/>
      <c r="L208" s="332"/>
      <c r="M208" s="332"/>
      <c r="N208" s="333"/>
      <c r="O208" s="333"/>
      <c r="P208" s="329"/>
      <c r="Q208" s="329"/>
      <c r="R208" s="329"/>
      <c r="S208" s="329"/>
      <c r="T208" s="329"/>
      <c r="U208" s="329"/>
      <c r="V208" s="329"/>
      <c r="W208" s="329"/>
      <c r="X208" s="329"/>
      <c r="Y208" s="329"/>
    </row>
    <row r="209" spans="1:37" ht="11.25" hidden="1" customHeight="1" outlineLevel="1" x14ac:dyDescent="0.25">
      <c r="A209" s="1"/>
      <c r="B209" s="1"/>
      <c r="C209" s="1"/>
      <c r="D209" s="1"/>
      <c r="E209" s="322" t="s">
        <v>659</v>
      </c>
      <c r="F209" s="315" t="s">
        <v>8</v>
      </c>
      <c r="G209" s="315"/>
      <c r="H209" s="332"/>
      <c r="I209" s="332"/>
      <c r="J209" s="332"/>
      <c r="K209" s="332"/>
      <c r="L209" s="332"/>
      <c r="M209" s="332"/>
      <c r="N209" s="333"/>
      <c r="O209" s="333"/>
      <c r="P209" s="324"/>
      <c r="Q209" s="324"/>
      <c r="R209" s="324"/>
      <c r="S209" s="324"/>
      <c r="T209" s="324"/>
      <c r="U209" s="324"/>
      <c r="V209" s="324"/>
      <c r="W209" s="324"/>
      <c r="X209" s="324"/>
      <c r="Y209" s="324"/>
    </row>
    <row r="210" spans="1:37" ht="11.25" hidden="1" customHeight="1" outlineLevel="1" x14ac:dyDescent="0.25">
      <c r="A210" s="1"/>
      <c r="B210" s="1"/>
      <c r="C210" s="1"/>
      <c r="D210" s="1"/>
      <c r="E210" s="318" t="s">
        <v>151</v>
      </c>
      <c r="F210" s="315" t="s">
        <v>28</v>
      </c>
      <c r="G210" s="315"/>
      <c r="H210" s="332"/>
      <c r="I210" s="332"/>
      <c r="J210" s="332"/>
      <c r="K210" s="332"/>
      <c r="L210" s="332"/>
      <c r="M210" s="332"/>
      <c r="N210" s="333"/>
      <c r="O210" s="333"/>
      <c r="P210" s="330"/>
      <c r="Q210" s="330"/>
      <c r="R210" s="330"/>
      <c r="S210" s="330"/>
      <c r="T210" s="330"/>
      <c r="U210" s="330"/>
      <c r="V210" s="330"/>
      <c r="W210" s="330"/>
      <c r="X210" s="330"/>
      <c r="Y210" s="330"/>
      <c r="Z210" s="192"/>
    </row>
    <row r="211" spans="1:37" ht="11.25" hidden="1" customHeight="1" outlineLevel="1" x14ac:dyDescent="0.25">
      <c r="A211" s="1"/>
      <c r="B211" s="1"/>
      <c r="C211" s="1"/>
      <c r="D211" s="1"/>
      <c r="E211" s="322" t="s">
        <v>650</v>
      </c>
      <c r="F211" s="315" t="s">
        <v>8</v>
      </c>
      <c r="G211" s="315"/>
      <c r="H211" s="332"/>
      <c r="I211" s="332"/>
      <c r="J211" s="332"/>
      <c r="K211" s="332"/>
      <c r="L211" s="332"/>
      <c r="M211" s="332"/>
      <c r="N211" s="333"/>
      <c r="O211" s="333"/>
      <c r="P211" s="335"/>
      <c r="Q211" s="335"/>
      <c r="R211" s="335"/>
      <c r="S211" s="335"/>
      <c r="T211" s="335"/>
      <c r="U211" s="335"/>
      <c r="V211" s="335"/>
      <c r="W211" s="335"/>
      <c r="X211" s="335"/>
      <c r="Y211" s="335"/>
      <c r="Z211" s="331"/>
    </row>
    <row r="212" spans="1:37" ht="11.25" hidden="1" customHeight="1" outlineLevel="1" x14ac:dyDescent="0.25">
      <c r="A212" s="1"/>
      <c r="B212" s="1"/>
      <c r="C212" s="1"/>
      <c r="D212" s="1"/>
      <c r="E212" s="322"/>
      <c r="F212" s="315"/>
      <c r="G212" s="315"/>
      <c r="H212" s="316"/>
      <c r="I212" s="316"/>
      <c r="J212" s="316"/>
      <c r="K212" s="316"/>
      <c r="L212" s="316"/>
      <c r="M212" s="316"/>
      <c r="N212" s="317"/>
      <c r="O212" s="317"/>
      <c r="P212" s="317"/>
      <c r="Q212" s="317"/>
      <c r="R212" s="317"/>
      <c r="S212" s="317"/>
      <c r="T212" s="317"/>
      <c r="U212" s="317"/>
      <c r="V212" s="317"/>
      <c r="W212" s="317"/>
      <c r="X212" s="317"/>
      <c r="Y212" s="317"/>
    </row>
    <row r="213" spans="1:37" ht="11.25" hidden="1" customHeight="1" outlineLevel="1" x14ac:dyDescent="0.25">
      <c r="A213" s="1"/>
      <c r="B213" s="1"/>
      <c r="C213" s="1"/>
      <c r="D213" s="1"/>
      <c r="E213" s="314" t="s">
        <v>669</v>
      </c>
      <c r="F213" s="315"/>
      <c r="G213" s="315"/>
      <c r="H213" s="316"/>
      <c r="I213" s="316"/>
      <c r="J213" s="316"/>
      <c r="K213" s="316"/>
      <c r="L213" s="316"/>
      <c r="M213" s="316"/>
      <c r="N213" s="317"/>
      <c r="O213" s="317"/>
      <c r="P213" s="317"/>
      <c r="Q213" s="317"/>
      <c r="R213" s="317"/>
      <c r="S213" s="317"/>
      <c r="T213" s="317"/>
      <c r="U213" s="317"/>
      <c r="V213" s="317"/>
      <c r="W213" s="317"/>
      <c r="X213" s="317"/>
      <c r="Y213" s="317"/>
    </row>
    <row r="214" spans="1:37" ht="11.25" hidden="1" customHeight="1" outlineLevel="1" x14ac:dyDescent="0.25">
      <c r="A214" s="1"/>
      <c r="B214" s="1"/>
      <c r="C214" s="1"/>
      <c r="D214" s="1"/>
      <c r="E214" s="318" t="s">
        <v>560</v>
      </c>
      <c r="F214" s="315" t="s">
        <v>28</v>
      </c>
      <c r="G214" s="315"/>
      <c r="H214" s="316"/>
      <c r="I214" s="316"/>
      <c r="J214" s="316"/>
      <c r="K214" s="316"/>
      <c r="L214" s="316"/>
      <c r="M214" s="316"/>
      <c r="N214" s="316"/>
      <c r="O214" s="316"/>
      <c r="P214" s="336"/>
      <c r="Q214" s="333"/>
      <c r="R214" s="333"/>
      <c r="S214" s="333"/>
      <c r="T214" s="333"/>
      <c r="U214" s="333"/>
      <c r="V214" s="333"/>
      <c r="W214" s="333"/>
      <c r="X214" s="333"/>
      <c r="Y214" s="333"/>
      <c r="Z214" s="192"/>
    </row>
    <row r="215" spans="1:37" ht="11.25" hidden="1" customHeight="1" outlineLevel="1" x14ac:dyDescent="0.25">
      <c r="A215" s="1"/>
      <c r="B215" s="1"/>
      <c r="C215" s="1"/>
      <c r="D215" s="1"/>
      <c r="E215" s="322" t="s">
        <v>659</v>
      </c>
      <c r="F215" s="315" t="s">
        <v>8</v>
      </c>
      <c r="G215" s="315"/>
      <c r="H215" s="316"/>
      <c r="I215" s="316"/>
      <c r="J215" s="316"/>
      <c r="K215" s="316"/>
      <c r="L215" s="316"/>
      <c r="M215" s="316"/>
      <c r="N215" s="316"/>
      <c r="O215" s="316"/>
      <c r="P215" s="324"/>
      <c r="Q215" s="324"/>
      <c r="R215" s="324"/>
      <c r="S215" s="324"/>
      <c r="T215" s="324"/>
      <c r="U215" s="324"/>
      <c r="V215" s="324"/>
      <c r="W215" s="324"/>
      <c r="X215" s="324"/>
      <c r="Y215" s="324"/>
    </row>
    <row r="216" spans="1:37" ht="11.25" hidden="1" customHeight="1" outlineLevel="1" x14ac:dyDescent="0.25">
      <c r="A216" s="1"/>
      <c r="B216" s="1"/>
      <c r="C216" s="1"/>
      <c r="D216" s="1"/>
      <c r="E216" s="318" t="s">
        <v>151</v>
      </c>
      <c r="F216" s="315" t="s">
        <v>28</v>
      </c>
      <c r="G216" s="315"/>
      <c r="H216" s="316"/>
      <c r="I216" s="316"/>
      <c r="J216" s="316"/>
      <c r="K216" s="316"/>
      <c r="L216" s="316"/>
      <c r="M216" s="316"/>
      <c r="N216" s="316"/>
      <c r="O216" s="316"/>
      <c r="P216" s="333"/>
      <c r="Q216" s="333"/>
      <c r="R216" s="333"/>
      <c r="S216" s="333"/>
      <c r="T216" s="333"/>
      <c r="U216" s="333"/>
      <c r="V216" s="333"/>
      <c r="W216" s="333"/>
      <c r="X216" s="333"/>
      <c r="Y216" s="333"/>
      <c r="Z216" s="192"/>
    </row>
    <row r="217" spans="1:37" ht="11.25" hidden="1" customHeight="1" outlineLevel="1" x14ac:dyDescent="0.25">
      <c r="A217" s="1"/>
      <c r="B217" s="1"/>
      <c r="C217" s="1"/>
      <c r="D217" s="1"/>
      <c r="E217" s="322" t="s">
        <v>650</v>
      </c>
      <c r="F217" s="315" t="s">
        <v>8</v>
      </c>
      <c r="G217" s="315"/>
      <c r="H217" s="316"/>
      <c r="I217" s="316"/>
      <c r="J217" s="316"/>
      <c r="K217" s="316"/>
      <c r="L217" s="316"/>
      <c r="M217" s="316"/>
      <c r="N217" s="316"/>
      <c r="O217" s="316"/>
      <c r="P217" s="324"/>
      <c r="Q217" s="324"/>
      <c r="R217" s="324"/>
      <c r="S217" s="324"/>
      <c r="T217" s="324"/>
      <c r="U217" s="324"/>
      <c r="V217" s="324"/>
      <c r="W217" s="324"/>
      <c r="X217" s="324"/>
      <c r="Y217" s="324"/>
      <c r="Z217" s="331"/>
    </row>
    <row r="218" spans="1:37" ht="15.75" hidden="1" customHeight="1" outlineLevel="1" x14ac:dyDescent="0.25">
      <c r="A218" s="1"/>
      <c r="B218" s="1"/>
      <c r="C218" s="199"/>
      <c r="D218" s="200"/>
      <c r="E218" s="200"/>
      <c r="F218" s="201"/>
      <c r="G218" s="201"/>
      <c r="H218" s="200"/>
      <c r="I218" s="200"/>
      <c r="J218" s="200"/>
      <c r="K218" s="202"/>
      <c r="L218" s="202"/>
      <c r="M218" s="202"/>
      <c r="N218" s="203"/>
      <c r="O218" s="203"/>
      <c r="P218" s="202"/>
      <c r="Q218" s="202"/>
      <c r="R218" s="202"/>
      <c r="S218" s="202"/>
      <c r="T218" s="202"/>
      <c r="U218" s="202"/>
      <c r="V218" s="202"/>
      <c r="W218" s="202"/>
      <c r="X218" s="202"/>
      <c r="Y218" s="202"/>
      <c r="Z218" s="1"/>
      <c r="AA218" s="1"/>
      <c r="AB218" s="1"/>
      <c r="AC218" s="1"/>
      <c r="AD218" s="1"/>
      <c r="AE218" s="1"/>
      <c r="AF218" s="1"/>
      <c r="AG218" s="1"/>
      <c r="AH218" s="1"/>
      <c r="AI218" s="1"/>
      <c r="AJ218" s="1"/>
      <c r="AK218" s="1"/>
    </row>
    <row r="219" spans="1:37" ht="15.75" hidden="1" customHeight="1" outlineLevel="1" x14ac:dyDescent="0.25">
      <c r="A219" s="1"/>
      <c r="B219" s="1"/>
      <c r="C219" s="2"/>
      <c r="D219" s="1"/>
      <c r="E219" s="1"/>
      <c r="F219" s="33"/>
      <c r="G219" s="33"/>
      <c r="H219" s="1"/>
      <c r="I219" s="1"/>
      <c r="J219" s="1"/>
      <c r="K219" s="162"/>
      <c r="L219" s="162"/>
      <c r="M219" s="162"/>
      <c r="N219" s="162"/>
      <c r="O219" s="162"/>
      <c r="P219" s="162"/>
      <c r="Q219" s="162"/>
      <c r="R219" s="162"/>
      <c r="S219" s="162"/>
      <c r="T219" s="162"/>
      <c r="U219" s="162"/>
      <c r="V219" s="162"/>
      <c r="W219" s="162"/>
      <c r="X219" s="162"/>
      <c r="Y219" s="162"/>
      <c r="Z219" s="1"/>
      <c r="AA219" s="1"/>
      <c r="AB219" s="1"/>
      <c r="AC219" s="1"/>
      <c r="AD219" s="1"/>
      <c r="AE219" s="1"/>
      <c r="AF219" s="1"/>
      <c r="AG219" s="1"/>
      <c r="AH219" s="1"/>
      <c r="AI219" s="1"/>
      <c r="AJ219" s="1"/>
      <c r="AK219" s="1"/>
    </row>
    <row r="220" spans="1:37" ht="15.75" hidden="1" customHeight="1" outlineLevel="1" x14ac:dyDescent="0.25">
      <c r="A220" s="1"/>
      <c r="B220" s="1"/>
      <c r="C220" s="280" t="s">
        <v>356</v>
      </c>
      <c r="D220" s="281"/>
      <c r="E220" s="281"/>
      <c r="F220" s="282"/>
      <c r="G220" s="282"/>
      <c r="H220" s="281"/>
      <c r="I220" s="281"/>
      <c r="J220" s="281"/>
      <c r="K220" s="283"/>
      <c r="L220" s="283"/>
      <c r="M220" s="283"/>
      <c r="N220" s="284"/>
      <c r="O220" s="284"/>
      <c r="P220" s="283"/>
      <c r="Q220" s="283"/>
      <c r="R220" s="283"/>
      <c r="S220" s="283"/>
      <c r="T220" s="283"/>
      <c r="U220" s="283"/>
      <c r="V220" s="283"/>
      <c r="W220" s="283"/>
      <c r="X220" s="283"/>
      <c r="Y220" s="283"/>
      <c r="Z220" s="1"/>
      <c r="AA220" s="1"/>
      <c r="AB220" s="1"/>
      <c r="AC220" s="1"/>
      <c r="AD220" s="1"/>
      <c r="AE220" s="1"/>
      <c r="AF220" s="1"/>
      <c r="AG220" s="1"/>
      <c r="AH220" s="1"/>
      <c r="AI220" s="1"/>
      <c r="AJ220" s="1"/>
      <c r="AK220" s="1"/>
    </row>
    <row r="221" spans="1:37" ht="15.75" hidden="1" customHeight="1" outlineLevel="1" x14ac:dyDescent="0.25">
      <c r="A221" s="1"/>
      <c r="B221" s="1"/>
      <c r="C221" s="2"/>
      <c r="D221" s="1"/>
      <c r="E221" s="1"/>
      <c r="F221" s="33"/>
      <c r="G221" s="33"/>
      <c r="H221" s="292"/>
      <c r="I221" s="292"/>
      <c r="J221" s="292"/>
      <c r="K221" s="292"/>
      <c r="L221" s="292"/>
      <c r="M221" s="285"/>
      <c r="N221" s="285"/>
      <c r="O221" s="285"/>
      <c r="P221" s="162"/>
      <c r="Q221" s="162"/>
      <c r="R221" s="162"/>
      <c r="S221" s="162"/>
      <c r="T221" s="162"/>
      <c r="U221" s="162"/>
      <c r="V221" s="162"/>
      <c r="W221" s="162"/>
      <c r="X221" s="162"/>
      <c r="Y221" s="162"/>
      <c r="Z221" s="1"/>
      <c r="AA221" s="1"/>
      <c r="AB221" s="1"/>
      <c r="AC221" s="1"/>
      <c r="AD221" s="1"/>
      <c r="AE221" s="1"/>
      <c r="AF221" s="1"/>
      <c r="AG221" s="1"/>
      <c r="AH221" s="1"/>
      <c r="AI221" s="1"/>
      <c r="AJ221" s="1"/>
      <c r="AK221" s="1"/>
    </row>
    <row r="222" spans="1:37" ht="15.75" hidden="1" customHeight="1" outlineLevel="1" x14ac:dyDescent="0.25">
      <c r="A222" s="1"/>
      <c r="B222" s="1"/>
      <c r="C222" s="2"/>
      <c r="D222" s="1"/>
      <c r="E222" s="1" t="s">
        <v>635</v>
      </c>
      <c r="F222" s="33" t="s">
        <v>28</v>
      </c>
      <c r="G222" s="33"/>
      <c r="H222" s="286"/>
      <c r="I222" s="286"/>
      <c r="J222" s="286"/>
      <c r="K222" s="286"/>
      <c r="L222" s="286"/>
      <c r="M222" s="286"/>
      <c r="N222" s="286"/>
      <c r="O222" s="286"/>
      <c r="P222" s="287"/>
      <c r="Q222" s="287"/>
      <c r="R222" s="287"/>
      <c r="S222" s="287"/>
      <c r="T222" s="287"/>
      <c r="U222" s="287"/>
      <c r="V222" s="287"/>
      <c r="W222" s="287"/>
      <c r="X222" s="287"/>
      <c r="Y222" s="287"/>
      <c r="Z222" s="1"/>
      <c r="AA222" s="1"/>
      <c r="AB222" s="1"/>
      <c r="AC222" s="1"/>
      <c r="AD222" s="1"/>
      <c r="AE222" s="1"/>
      <c r="AF222" s="1"/>
      <c r="AG222" s="1"/>
      <c r="AH222" s="1"/>
      <c r="AI222" s="1"/>
      <c r="AJ222" s="1"/>
      <c r="AK222" s="1"/>
    </row>
    <row r="223" spans="1:37" ht="15.75" hidden="1" customHeight="1" outlineLevel="1" x14ac:dyDescent="0.25">
      <c r="A223" s="1"/>
      <c r="B223" s="1"/>
      <c r="C223" s="2"/>
      <c r="D223" s="1"/>
      <c r="E223" s="18" t="s">
        <v>625</v>
      </c>
      <c r="F223" s="33"/>
      <c r="G223" s="33"/>
      <c r="H223" s="286"/>
      <c r="I223" s="298"/>
      <c r="J223" s="298"/>
      <c r="K223" s="298"/>
      <c r="L223" s="298"/>
      <c r="M223" s="298"/>
      <c r="N223" s="298"/>
      <c r="O223" s="298"/>
      <c r="P223" s="287"/>
      <c r="Q223" s="287"/>
      <c r="R223" s="287"/>
      <c r="S223" s="287"/>
      <c r="T223" s="287"/>
      <c r="U223" s="287"/>
      <c r="V223" s="287"/>
      <c r="W223" s="287"/>
      <c r="X223" s="287"/>
      <c r="Y223" s="287"/>
      <c r="Z223" s="1"/>
      <c r="AA223" s="1"/>
      <c r="AB223" s="1"/>
      <c r="AC223" s="1"/>
      <c r="AD223" s="1"/>
      <c r="AE223" s="1"/>
      <c r="AF223" s="1"/>
      <c r="AG223" s="1"/>
      <c r="AH223" s="1"/>
      <c r="AI223" s="1"/>
      <c r="AJ223" s="1"/>
      <c r="AK223" s="1"/>
    </row>
    <row r="224" spans="1:37" ht="15.75" hidden="1" customHeight="1" outlineLevel="1" x14ac:dyDescent="0.25">
      <c r="A224" s="1"/>
      <c r="B224" s="1"/>
      <c r="C224" s="2"/>
      <c r="D224" s="1"/>
      <c r="E224" s="290" t="s">
        <v>636</v>
      </c>
      <c r="F224" s="33" t="s">
        <v>28</v>
      </c>
      <c r="G224" s="33"/>
      <c r="H224" s="286"/>
      <c r="I224" s="286"/>
      <c r="J224" s="286"/>
      <c r="K224" s="286"/>
      <c r="L224" s="286"/>
      <c r="M224" s="286"/>
      <c r="N224" s="286"/>
      <c r="O224" s="286"/>
      <c r="P224" s="287"/>
      <c r="Q224" s="287"/>
      <c r="R224" s="287"/>
      <c r="S224" s="287"/>
      <c r="T224" s="287"/>
      <c r="U224" s="287"/>
      <c r="V224" s="287"/>
      <c r="W224" s="287"/>
      <c r="X224" s="287"/>
      <c r="Y224" s="287"/>
      <c r="Z224" s="1"/>
      <c r="AA224" s="1"/>
      <c r="AB224" s="1"/>
      <c r="AC224" s="1"/>
      <c r="AD224" s="1"/>
      <c r="AE224" s="1"/>
      <c r="AF224" s="1"/>
      <c r="AG224" s="1"/>
      <c r="AH224" s="1"/>
      <c r="AI224" s="1"/>
      <c r="AJ224" s="1"/>
      <c r="AK224" s="1"/>
    </row>
    <row r="225" spans="1:37" ht="15.75" hidden="1" customHeight="1" outlineLevel="1" x14ac:dyDescent="0.25">
      <c r="A225" s="1"/>
      <c r="B225" s="1"/>
      <c r="C225" s="2"/>
      <c r="D225" s="1"/>
      <c r="E225" s="18" t="s">
        <v>625</v>
      </c>
      <c r="F225" s="33"/>
      <c r="G225" s="33"/>
      <c r="H225" s="286"/>
      <c r="I225" s="298"/>
      <c r="J225" s="298"/>
      <c r="K225" s="298"/>
      <c r="L225" s="298"/>
      <c r="M225" s="298"/>
      <c r="N225" s="298"/>
      <c r="O225" s="298"/>
      <c r="P225" s="287"/>
      <c r="Q225" s="287"/>
      <c r="R225" s="287"/>
      <c r="S225" s="287"/>
      <c r="T225" s="287"/>
      <c r="U225" s="287"/>
      <c r="V225" s="287"/>
      <c r="W225" s="287"/>
      <c r="X225" s="287"/>
      <c r="Y225" s="287"/>
      <c r="Z225" s="1"/>
      <c r="AA225" s="1"/>
      <c r="AB225" s="1"/>
      <c r="AC225" s="1"/>
      <c r="AD225" s="1"/>
      <c r="AE225" s="1"/>
      <c r="AF225" s="1"/>
      <c r="AG225" s="1"/>
      <c r="AH225" s="1"/>
      <c r="AI225" s="1"/>
      <c r="AJ225" s="1"/>
      <c r="AK225" s="1"/>
    </row>
    <row r="226" spans="1:37" ht="15.75" hidden="1" customHeight="1" outlineLevel="1" x14ac:dyDescent="0.25">
      <c r="A226" s="1"/>
      <c r="B226" s="1"/>
      <c r="C226" s="2"/>
      <c r="D226" s="1"/>
      <c r="E226" s="290" t="s">
        <v>637</v>
      </c>
      <c r="F226" s="33" t="s">
        <v>28</v>
      </c>
      <c r="G226" s="33"/>
      <c r="H226" s="292">
        <v>-8.1999999999999993</v>
      </c>
      <c r="I226" s="292">
        <v>-8.3000000000000007</v>
      </c>
      <c r="J226" s="292">
        <v>-8.5449999999999999</v>
      </c>
      <c r="K226" s="292">
        <v>-7.7</v>
      </c>
      <c r="L226" s="292">
        <v>-9.8000000000000007</v>
      </c>
      <c r="M226" s="292">
        <v>-7.6000000000000005</v>
      </c>
      <c r="N226" s="292">
        <v>-9.9</v>
      </c>
      <c r="O226" s="292">
        <v>-10</v>
      </c>
      <c r="P226" s="80">
        <v>0</v>
      </c>
      <c r="Q226" s="80">
        <v>0</v>
      </c>
      <c r="R226" s="80">
        <v>0</v>
      </c>
      <c r="S226" s="80">
        <v>0</v>
      </c>
      <c r="T226" s="80">
        <v>0</v>
      </c>
      <c r="U226" s="80">
        <v>0</v>
      </c>
      <c r="V226" s="80">
        <v>0</v>
      </c>
      <c r="W226" s="80">
        <v>0</v>
      </c>
      <c r="X226" s="80">
        <v>0</v>
      </c>
      <c r="Y226" s="80">
        <v>0</v>
      </c>
      <c r="Z226" s="293">
        <v>0.13</v>
      </c>
      <c r="AA226" s="17"/>
      <c r="AB226" s="1"/>
      <c r="AC226" s="1"/>
      <c r="AD226" s="1"/>
      <c r="AE226" s="1"/>
      <c r="AF226" s="1"/>
      <c r="AG226" s="1"/>
      <c r="AH226" s="1"/>
      <c r="AI226" s="1"/>
      <c r="AJ226" s="1"/>
      <c r="AK226" s="1"/>
    </row>
    <row r="227" spans="1:37" ht="15.75" hidden="1" customHeight="1" outlineLevel="1" x14ac:dyDescent="0.25">
      <c r="A227" s="1"/>
      <c r="B227" s="1"/>
      <c r="C227" s="2"/>
      <c r="D227" s="1"/>
      <c r="E227" s="294" t="s">
        <v>639</v>
      </c>
      <c r="F227" s="33" t="s">
        <v>28</v>
      </c>
      <c r="G227" s="33"/>
      <c r="H227" s="171">
        <v>54.2</v>
      </c>
      <c r="I227" s="171">
        <v>55.5</v>
      </c>
      <c r="J227" s="171">
        <v>56.554999999999993</v>
      </c>
      <c r="K227" s="171">
        <v>51.599999999999994</v>
      </c>
      <c r="L227" s="171">
        <v>65.400000000000006</v>
      </c>
      <c r="M227" s="171">
        <v>50.4</v>
      </c>
      <c r="N227" s="171">
        <v>66.699999999999989</v>
      </c>
      <c r="O227" s="171">
        <v>66.599999999999994</v>
      </c>
      <c r="P227" s="171">
        <v>66.932999999999993</v>
      </c>
      <c r="Q227" s="171">
        <v>64.590344999999985</v>
      </c>
      <c r="R227" s="171">
        <v>65.236248449999991</v>
      </c>
      <c r="S227" s="171">
        <v>65.888610934499994</v>
      </c>
      <c r="T227" s="171">
        <v>66.547497043844999</v>
      </c>
      <c r="U227" s="171">
        <v>67.212972014283451</v>
      </c>
      <c r="V227" s="171">
        <v>67.885101734426286</v>
      </c>
      <c r="W227" s="171">
        <v>68.563952751770543</v>
      </c>
      <c r="X227" s="171">
        <v>69.249592279288251</v>
      </c>
      <c r="Y227" s="171">
        <v>69.942088202081138</v>
      </c>
      <c r="Z227" s="1"/>
      <c r="AA227" s="1"/>
      <c r="AB227" s="1"/>
      <c r="AC227" s="1"/>
      <c r="AD227" s="1"/>
      <c r="AE227" s="1"/>
      <c r="AF227" s="1"/>
      <c r="AG227" s="1"/>
      <c r="AH227" s="1"/>
      <c r="AI227" s="1"/>
      <c r="AJ227" s="1"/>
      <c r="AK227" s="1"/>
    </row>
    <row r="228" spans="1:37" ht="15.75" hidden="1" customHeight="1" outlineLevel="1" x14ac:dyDescent="0.25">
      <c r="I228" s="373">
        <f>I227/H227-1</f>
        <v>2.3985239852398532E-2</v>
      </c>
      <c r="J228" s="373">
        <f t="shared" ref="J228:O228" si="147">J227/I227-1</f>
        <v>1.9009009009008926E-2</v>
      </c>
      <c r="K228" s="373">
        <f t="shared" si="147"/>
        <v>-8.761382724781186E-2</v>
      </c>
      <c r="L228" s="373">
        <f t="shared" si="147"/>
        <v>0.26744186046511653</v>
      </c>
      <c r="M228" s="373">
        <f t="shared" si="147"/>
        <v>-0.22935779816513768</v>
      </c>
      <c r="N228" s="373">
        <f t="shared" si="147"/>
        <v>0.32341269841269815</v>
      </c>
      <c r="O228" s="373">
        <f t="shared" si="147"/>
        <v>-1.4992503748124664E-3</v>
      </c>
      <c r="P228" s="488">
        <f>3.5%-3%</f>
        <v>5.0000000000000044E-3</v>
      </c>
      <c r="Q228" s="488">
        <f>3.5%-7%</f>
        <v>-3.5000000000000003E-2</v>
      </c>
      <c r="R228" s="488">
        <v>0.01</v>
      </c>
      <c r="S228" s="488">
        <v>0.01</v>
      </c>
      <c r="T228" s="488">
        <v>0.01</v>
      </c>
      <c r="U228" s="488">
        <v>0.01</v>
      </c>
      <c r="V228" s="488">
        <v>0.01</v>
      </c>
      <c r="W228" s="488">
        <v>0.01</v>
      </c>
      <c r="X228" s="488">
        <v>0.01</v>
      </c>
      <c r="Y228" s="488">
        <v>0.01</v>
      </c>
    </row>
    <row r="229" spans="1:37" ht="15.75" hidden="1" customHeight="1" outlineLevel="1" x14ac:dyDescent="0.25">
      <c r="A229" s="1"/>
      <c r="B229" s="1"/>
      <c r="C229" s="2"/>
      <c r="D229" s="1"/>
      <c r="E229" s="290" t="s">
        <v>643</v>
      </c>
      <c r="F229" s="33" t="s">
        <v>28</v>
      </c>
      <c r="G229" s="33"/>
      <c r="H229" s="286">
        <v>8.9</v>
      </c>
      <c r="I229" s="286">
        <f t="shared" ref="I229:N229" si="148">I231-I227</f>
        <v>9.847999999999999</v>
      </c>
      <c r="J229" s="286">
        <f t="shared" si="148"/>
        <v>9.8450000000000131</v>
      </c>
      <c r="K229" s="286">
        <f t="shared" si="148"/>
        <v>10.600000000000009</v>
      </c>
      <c r="L229" s="286">
        <f t="shared" si="148"/>
        <v>11.308999999999997</v>
      </c>
      <c r="M229" s="286">
        <f t="shared" si="148"/>
        <v>8.5750000000000099</v>
      </c>
      <c r="N229" s="286">
        <f t="shared" si="148"/>
        <v>10.510000000000005</v>
      </c>
      <c r="O229" s="286">
        <f>8.9+1.5</f>
        <v>10.4</v>
      </c>
      <c r="P229" s="287">
        <f t="shared" ref="P229:Y229" si="149">O229*(1+P230)</f>
        <v>10.868</v>
      </c>
      <c r="Q229" s="287">
        <f t="shared" si="149"/>
        <v>11.357059999999999</v>
      </c>
      <c r="R229" s="287">
        <f t="shared" si="149"/>
        <v>11.811342399999999</v>
      </c>
      <c r="S229" s="287">
        <f t="shared" si="149"/>
        <v>12.165682671999999</v>
      </c>
      <c r="T229" s="287">
        <f t="shared" si="149"/>
        <v>12.530653152159999</v>
      </c>
      <c r="U229" s="287">
        <f t="shared" si="149"/>
        <v>12.9065727467248</v>
      </c>
      <c r="V229" s="287">
        <f t="shared" si="149"/>
        <v>13.293769929126544</v>
      </c>
      <c r="W229" s="287">
        <f t="shared" si="149"/>
        <v>13.692583027000341</v>
      </c>
      <c r="X229" s="287">
        <f t="shared" si="149"/>
        <v>14.103360517810351</v>
      </c>
      <c r="Y229" s="287">
        <f t="shared" si="149"/>
        <v>14.526461333344661</v>
      </c>
      <c r="Z229" s="1"/>
      <c r="AA229" s="1"/>
      <c r="AB229" s="1"/>
      <c r="AC229" s="1"/>
      <c r="AD229" s="1"/>
      <c r="AE229" s="1"/>
      <c r="AF229" s="1"/>
      <c r="AG229" s="1"/>
      <c r="AH229" s="1"/>
      <c r="AI229" s="1"/>
      <c r="AJ229" s="1"/>
      <c r="AK229" s="1"/>
    </row>
    <row r="230" spans="1:37" ht="15.75" hidden="1" customHeight="1" outlineLevel="1" x14ac:dyDescent="0.25">
      <c r="A230" s="1"/>
      <c r="B230" s="1"/>
      <c r="C230" s="2"/>
      <c r="D230" s="1"/>
      <c r="E230" s="18" t="s">
        <v>625</v>
      </c>
      <c r="F230" s="33"/>
      <c r="G230" s="33"/>
      <c r="H230" s="286"/>
      <c r="I230" s="298">
        <f t="shared" ref="I230:O230" si="150">I229/H229-1</f>
        <v>0.10651685393258403</v>
      </c>
      <c r="J230" s="298">
        <f t="shared" si="150"/>
        <v>-3.0463038180195134E-4</v>
      </c>
      <c r="K230" s="298">
        <f t="shared" si="150"/>
        <v>7.6688674454036931E-2</v>
      </c>
      <c r="L230" s="298">
        <f t="shared" si="150"/>
        <v>6.6886792452829136E-2</v>
      </c>
      <c r="M230" s="298">
        <f t="shared" si="150"/>
        <v>-0.24175435493854347</v>
      </c>
      <c r="N230" s="298">
        <f t="shared" si="150"/>
        <v>0.22565597667638393</v>
      </c>
      <c r="O230" s="298">
        <f t="shared" si="150"/>
        <v>-1.0466222645100332E-2</v>
      </c>
      <c r="P230" s="289">
        <f>2.5%+2%</f>
        <v>4.4999999999999998E-2</v>
      </c>
      <c r="Q230" s="289">
        <f>2.5%+2%</f>
        <v>4.4999999999999998E-2</v>
      </c>
      <c r="R230" s="289">
        <v>0.04</v>
      </c>
      <c r="S230" s="289">
        <v>0.03</v>
      </c>
      <c r="T230" s="289">
        <v>0.03</v>
      </c>
      <c r="U230" s="289">
        <v>0.03</v>
      </c>
      <c r="V230" s="289">
        <v>0.03</v>
      </c>
      <c r="W230" s="289">
        <v>0.03</v>
      </c>
      <c r="X230" s="289">
        <v>0.03</v>
      </c>
      <c r="Y230" s="289">
        <v>0.03</v>
      </c>
      <c r="Z230" s="1"/>
      <c r="AA230" s="1"/>
      <c r="AB230" s="1"/>
      <c r="AC230" s="1"/>
      <c r="AD230" s="1"/>
      <c r="AE230" s="1"/>
      <c r="AF230" s="1"/>
      <c r="AG230" s="1"/>
      <c r="AH230" s="1"/>
      <c r="AI230" s="1"/>
      <c r="AJ230" s="1"/>
      <c r="AK230" s="1"/>
    </row>
    <row r="231" spans="1:37" ht="15.75" hidden="1" customHeight="1" outlineLevel="1" x14ac:dyDescent="0.25">
      <c r="A231" s="1"/>
      <c r="B231" s="1"/>
      <c r="C231" s="2"/>
      <c r="D231" s="1"/>
      <c r="E231" s="294" t="s">
        <v>670</v>
      </c>
      <c r="F231" s="33" t="s">
        <v>28</v>
      </c>
      <c r="G231" s="33"/>
      <c r="H231" s="303">
        <f>SUM(H227,H229)</f>
        <v>63.1</v>
      </c>
      <c r="I231" s="303">
        <v>65.347999999999999</v>
      </c>
      <c r="J231" s="303">
        <v>66.400000000000006</v>
      </c>
      <c r="K231" s="303">
        <v>62.2</v>
      </c>
      <c r="L231" s="303">
        <f>89.849-13.14</f>
        <v>76.709000000000003</v>
      </c>
      <c r="M231" s="303">
        <v>58.975000000000009</v>
      </c>
      <c r="N231" s="303">
        <v>77.209999999999994</v>
      </c>
      <c r="O231" s="303">
        <f t="shared" ref="O231:Y231" si="151">O227+O229</f>
        <v>77</v>
      </c>
      <c r="P231" s="303">
        <f t="shared" si="151"/>
        <v>77.800999999999988</v>
      </c>
      <c r="Q231" s="303">
        <f t="shared" si="151"/>
        <v>75.947404999999989</v>
      </c>
      <c r="R231" s="303">
        <f t="shared" si="151"/>
        <v>77.047590849999992</v>
      </c>
      <c r="S231" s="303">
        <f t="shared" si="151"/>
        <v>78.054293606499996</v>
      </c>
      <c r="T231" s="303">
        <f t="shared" si="151"/>
        <v>79.078150196004998</v>
      </c>
      <c r="U231" s="303">
        <f t="shared" si="151"/>
        <v>80.119544761008257</v>
      </c>
      <c r="V231" s="303">
        <f t="shared" si="151"/>
        <v>81.178871663552826</v>
      </c>
      <c r="W231" s="303">
        <f t="shared" si="151"/>
        <v>82.256535778770882</v>
      </c>
      <c r="X231" s="303">
        <f t="shared" si="151"/>
        <v>83.352952797098595</v>
      </c>
      <c r="Y231" s="303">
        <f t="shared" si="151"/>
        <v>84.468549535425794</v>
      </c>
      <c r="Z231" s="17"/>
      <c r="AA231" s="1"/>
      <c r="AB231" s="1"/>
      <c r="AC231" s="1"/>
      <c r="AD231" s="1"/>
      <c r="AE231" s="1"/>
      <c r="AF231" s="1"/>
      <c r="AG231" s="1"/>
      <c r="AH231" s="1"/>
      <c r="AI231" s="1"/>
      <c r="AJ231" s="1"/>
      <c r="AK231" s="1"/>
    </row>
    <row r="232" spans="1:37" ht="15.75" hidden="1" customHeight="1" outlineLevel="1" x14ac:dyDescent="0.25">
      <c r="A232" s="1"/>
      <c r="B232" s="1"/>
      <c r="C232" s="2"/>
      <c r="D232" s="1"/>
      <c r="E232" s="294"/>
      <c r="F232" s="33"/>
      <c r="G232" s="33"/>
      <c r="H232" s="171"/>
      <c r="I232" s="171"/>
      <c r="J232" s="171"/>
      <c r="K232" s="171"/>
      <c r="L232" s="171"/>
      <c r="M232" s="171"/>
      <c r="N232" s="171"/>
      <c r="O232" s="171"/>
      <c r="P232" s="171"/>
      <c r="Q232" s="171"/>
      <c r="R232" s="171"/>
      <c r="S232" s="171"/>
      <c r="T232" s="171"/>
      <c r="U232" s="171"/>
      <c r="V232" s="171"/>
      <c r="W232" s="171"/>
      <c r="X232" s="171"/>
      <c r="Y232" s="171"/>
      <c r="Z232" s="1"/>
      <c r="AA232" s="1"/>
      <c r="AB232" s="1"/>
      <c r="AC232" s="1"/>
      <c r="AD232" s="1"/>
      <c r="AE232" s="1"/>
      <c r="AF232" s="1"/>
      <c r="AG232" s="1"/>
      <c r="AH232" s="1"/>
      <c r="AI232" s="1"/>
      <c r="AJ232" s="1"/>
      <c r="AK232" s="1"/>
    </row>
    <row r="233" spans="1:37" ht="12.75" hidden="1" customHeight="1" outlineLevel="1" x14ac:dyDescent="0.25">
      <c r="A233" s="2"/>
      <c r="B233" s="2"/>
      <c r="C233" s="2"/>
      <c r="D233" s="2"/>
      <c r="E233" s="42" t="s">
        <v>613</v>
      </c>
      <c r="F233" s="193"/>
      <c r="G233" s="68"/>
      <c r="H233" s="182"/>
      <c r="I233" s="182"/>
      <c r="J233" s="182"/>
      <c r="K233" s="182"/>
      <c r="L233" s="182"/>
      <c r="M233" s="182"/>
      <c r="N233" s="182"/>
      <c r="O233" s="182"/>
      <c r="P233" s="182"/>
      <c r="Q233" s="182"/>
      <c r="R233" s="182"/>
      <c r="S233" s="182"/>
      <c r="T233" s="182"/>
      <c r="U233" s="182"/>
      <c r="V233" s="182"/>
      <c r="W233" s="182"/>
      <c r="X233" s="182"/>
      <c r="Y233" s="182"/>
      <c r="Z233" s="194"/>
      <c r="AA233" s="194"/>
      <c r="AB233" s="194"/>
      <c r="AC233" s="194"/>
      <c r="AD233" s="194"/>
      <c r="AE233" s="194"/>
      <c r="AF233" s="194"/>
      <c r="AG233" s="194"/>
      <c r="AH233" s="194"/>
      <c r="AI233" s="194"/>
      <c r="AJ233" s="194"/>
      <c r="AK233" s="194"/>
    </row>
    <row r="234" spans="1:37" ht="12.75" hidden="1" customHeight="1" outlineLevel="1" x14ac:dyDescent="0.25">
      <c r="A234" s="2"/>
      <c r="B234" s="2"/>
      <c r="C234" s="2"/>
      <c r="D234" s="2"/>
      <c r="E234" s="1" t="s">
        <v>635</v>
      </c>
      <c r="F234" s="33"/>
      <c r="G234" s="68"/>
      <c r="H234" s="222"/>
      <c r="I234" s="222" t="e">
        <f t="shared" ref="I234:Y234" si="152">I222 / H222 -1</f>
        <v>#DIV/0!</v>
      </c>
      <c r="J234" s="222" t="e">
        <f t="shared" si="152"/>
        <v>#DIV/0!</v>
      </c>
      <c r="K234" s="222" t="e">
        <f t="shared" si="152"/>
        <v>#DIV/0!</v>
      </c>
      <c r="L234" s="222" t="e">
        <f t="shared" si="152"/>
        <v>#DIV/0!</v>
      </c>
      <c r="M234" s="222" t="e">
        <f t="shared" si="152"/>
        <v>#DIV/0!</v>
      </c>
      <c r="N234" s="222" t="e">
        <f t="shared" si="152"/>
        <v>#DIV/0!</v>
      </c>
      <c r="O234" s="222" t="e">
        <f t="shared" si="152"/>
        <v>#DIV/0!</v>
      </c>
      <c r="P234" s="222" t="e">
        <f t="shared" si="152"/>
        <v>#DIV/0!</v>
      </c>
      <c r="Q234" s="222" t="e">
        <f t="shared" si="152"/>
        <v>#DIV/0!</v>
      </c>
      <c r="R234" s="222" t="e">
        <f t="shared" si="152"/>
        <v>#DIV/0!</v>
      </c>
      <c r="S234" s="222" t="e">
        <f t="shared" si="152"/>
        <v>#DIV/0!</v>
      </c>
      <c r="T234" s="222" t="e">
        <f t="shared" si="152"/>
        <v>#DIV/0!</v>
      </c>
      <c r="U234" s="222" t="e">
        <f t="shared" si="152"/>
        <v>#DIV/0!</v>
      </c>
      <c r="V234" s="222" t="e">
        <f t="shared" si="152"/>
        <v>#DIV/0!</v>
      </c>
      <c r="W234" s="222" t="e">
        <f t="shared" si="152"/>
        <v>#DIV/0!</v>
      </c>
      <c r="X234" s="222" t="e">
        <f t="shared" si="152"/>
        <v>#DIV/0!</v>
      </c>
      <c r="Y234" s="222" t="e">
        <f t="shared" si="152"/>
        <v>#DIV/0!</v>
      </c>
      <c r="Z234" s="194"/>
      <c r="AA234" s="194"/>
      <c r="AB234" s="194"/>
      <c r="AC234" s="194"/>
      <c r="AD234" s="194"/>
      <c r="AE234" s="194"/>
      <c r="AF234" s="194"/>
      <c r="AG234" s="194"/>
      <c r="AH234" s="194"/>
      <c r="AI234" s="194"/>
      <c r="AJ234" s="194"/>
      <c r="AK234" s="194"/>
    </row>
    <row r="235" spans="1:37" ht="12.75" hidden="1" customHeight="1" outlineLevel="1" x14ac:dyDescent="0.25">
      <c r="A235" s="2"/>
      <c r="B235" s="2"/>
      <c r="C235" s="2"/>
      <c r="D235" s="2"/>
      <c r="E235" s="290" t="s">
        <v>636</v>
      </c>
      <c r="F235" s="33" t="s">
        <v>8</v>
      </c>
      <c r="G235" s="68"/>
      <c r="H235" s="222"/>
      <c r="I235" s="222" t="e">
        <f t="shared" ref="I235:Y235" si="153">I224 / H224 -1</f>
        <v>#DIV/0!</v>
      </c>
      <c r="J235" s="222" t="e">
        <f t="shared" si="153"/>
        <v>#DIV/0!</v>
      </c>
      <c r="K235" s="222" t="e">
        <f t="shared" si="153"/>
        <v>#DIV/0!</v>
      </c>
      <c r="L235" s="222" t="e">
        <f t="shared" si="153"/>
        <v>#DIV/0!</v>
      </c>
      <c r="M235" s="222" t="e">
        <f t="shared" si="153"/>
        <v>#DIV/0!</v>
      </c>
      <c r="N235" s="222" t="e">
        <f t="shared" si="153"/>
        <v>#DIV/0!</v>
      </c>
      <c r="O235" s="222" t="e">
        <f t="shared" si="153"/>
        <v>#DIV/0!</v>
      </c>
      <c r="P235" s="222" t="e">
        <f t="shared" si="153"/>
        <v>#DIV/0!</v>
      </c>
      <c r="Q235" s="222" t="e">
        <f t="shared" si="153"/>
        <v>#DIV/0!</v>
      </c>
      <c r="R235" s="222" t="e">
        <f t="shared" si="153"/>
        <v>#DIV/0!</v>
      </c>
      <c r="S235" s="222" t="e">
        <f t="shared" si="153"/>
        <v>#DIV/0!</v>
      </c>
      <c r="T235" s="222" t="e">
        <f t="shared" si="153"/>
        <v>#DIV/0!</v>
      </c>
      <c r="U235" s="222" t="e">
        <f t="shared" si="153"/>
        <v>#DIV/0!</v>
      </c>
      <c r="V235" s="222" t="e">
        <f t="shared" si="153"/>
        <v>#DIV/0!</v>
      </c>
      <c r="W235" s="222" t="e">
        <f t="shared" si="153"/>
        <v>#DIV/0!</v>
      </c>
      <c r="X235" s="222" t="e">
        <f t="shared" si="153"/>
        <v>#DIV/0!</v>
      </c>
      <c r="Y235" s="222" t="e">
        <f t="shared" si="153"/>
        <v>#DIV/0!</v>
      </c>
      <c r="Z235" s="194"/>
      <c r="AA235" s="194"/>
      <c r="AB235" s="194"/>
      <c r="AC235" s="194"/>
      <c r="AD235" s="194"/>
      <c r="AE235" s="194"/>
      <c r="AF235" s="194"/>
      <c r="AG235" s="194"/>
      <c r="AH235" s="194"/>
      <c r="AI235" s="194"/>
      <c r="AJ235" s="194"/>
      <c r="AK235" s="194"/>
    </row>
    <row r="236" spans="1:37" ht="12.75" hidden="1" customHeight="1" outlineLevel="1" x14ac:dyDescent="0.25">
      <c r="A236" s="2"/>
      <c r="B236" s="2"/>
      <c r="C236" s="2"/>
      <c r="D236" s="2"/>
      <c r="E236" s="290" t="s">
        <v>645</v>
      </c>
      <c r="F236" s="33" t="s">
        <v>8</v>
      </c>
      <c r="G236" s="68"/>
      <c r="H236" s="222"/>
      <c r="I236" s="222">
        <f t="shared" ref="I236:Y236" si="154">I229 / H229 -1</f>
        <v>0.10651685393258403</v>
      </c>
      <c r="J236" s="222">
        <f t="shared" si="154"/>
        <v>-3.0463038180195134E-4</v>
      </c>
      <c r="K236" s="222">
        <f t="shared" si="154"/>
        <v>7.6688674454036931E-2</v>
      </c>
      <c r="L236" s="222">
        <f t="shared" si="154"/>
        <v>6.6886792452829136E-2</v>
      </c>
      <c r="M236" s="222">
        <f t="shared" si="154"/>
        <v>-0.24175435493854347</v>
      </c>
      <c r="N236" s="222">
        <f t="shared" si="154"/>
        <v>0.22565597667638393</v>
      </c>
      <c r="O236" s="222">
        <f t="shared" si="154"/>
        <v>-1.0466222645100332E-2</v>
      </c>
      <c r="P236" s="222">
        <f t="shared" si="154"/>
        <v>4.4999999999999929E-2</v>
      </c>
      <c r="Q236" s="222">
        <f t="shared" si="154"/>
        <v>4.4999999999999929E-2</v>
      </c>
      <c r="R236" s="222">
        <f t="shared" si="154"/>
        <v>4.0000000000000036E-2</v>
      </c>
      <c r="S236" s="222">
        <f t="shared" si="154"/>
        <v>3.0000000000000027E-2</v>
      </c>
      <c r="T236" s="222">
        <f t="shared" si="154"/>
        <v>3.0000000000000027E-2</v>
      </c>
      <c r="U236" s="222">
        <f t="shared" si="154"/>
        <v>3.0000000000000027E-2</v>
      </c>
      <c r="V236" s="222">
        <f t="shared" si="154"/>
        <v>3.0000000000000027E-2</v>
      </c>
      <c r="W236" s="222">
        <f t="shared" si="154"/>
        <v>3.0000000000000027E-2</v>
      </c>
      <c r="X236" s="222">
        <f t="shared" si="154"/>
        <v>3.0000000000000027E-2</v>
      </c>
      <c r="Y236" s="222">
        <f t="shared" si="154"/>
        <v>3.0000000000000027E-2</v>
      </c>
      <c r="Z236" s="194"/>
      <c r="AA236" s="194"/>
      <c r="AB236" s="194"/>
      <c r="AC236" s="194"/>
      <c r="AD236" s="194"/>
      <c r="AE236" s="194"/>
      <c r="AF236" s="194"/>
      <c r="AG236" s="194"/>
      <c r="AH236" s="194"/>
      <c r="AI236" s="194"/>
      <c r="AJ236" s="194"/>
      <c r="AK236" s="194"/>
    </row>
    <row r="237" spans="1:37" ht="12.75" hidden="1" customHeight="1" outlineLevel="1" x14ac:dyDescent="0.25">
      <c r="A237" s="2"/>
      <c r="B237" s="2"/>
      <c r="C237" s="2"/>
      <c r="D237" s="2"/>
      <c r="E237" s="2" t="s">
        <v>366</v>
      </c>
      <c r="F237" s="33" t="s">
        <v>8</v>
      </c>
      <c r="G237" s="224"/>
      <c r="H237" s="225"/>
      <c r="I237" s="222">
        <f t="shared" ref="I237:Y237" si="155">I231 / H231 -1</f>
        <v>3.5625990491283677E-2</v>
      </c>
      <c r="J237" s="222">
        <f t="shared" si="155"/>
        <v>1.6098426883760952E-2</v>
      </c>
      <c r="K237" s="222">
        <f t="shared" si="155"/>
        <v>-6.325301204819278E-2</v>
      </c>
      <c r="L237" s="222">
        <f t="shared" si="155"/>
        <v>0.23326366559485523</v>
      </c>
      <c r="M237" s="222">
        <f t="shared" si="155"/>
        <v>-0.23118538893741269</v>
      </c>
      <c r="N237" s="222">
        <f t="shared" si="155"/>
        <v>0.30919881305637942</v>
      </c>
      <c r="O237" s="222">
        <f t="shared" si="155"/>
        <v>-2.7198549410697437E-3</v>
      </c>
      <c r="P237" s="222">
        <f t="shared" si="155"/>
        <v>1.0402597402597191E-2</v>
      </c>
      <c r="Q237" s="222">
        <f t="shared" si="155"/>
        <v>-2.3824822303055271E-2</v>
      </c>
      <c r="R237" s="222">
        <f t="shared" si="155"/>
        <v>1.4486154596065504E-2</v>
      </c>
      <c r="S237" s="222">
        <f t="shared" si="155"/>
        <v>1.3065986170286648E-2</v>
      </c>
      <c r="T237" s="222">
        <f t="shared" si="155"/>
        <v>1.3117235993020948E-2</v>
      </c>
      <c r="U237" s="222">
        <f t="shared" si="155"/>
        <v>1.316918216248153E-2</v>
      </c>
      <c r="V237" s="222">
        <f t="shared" si="155"/>
        <v>1.3221828777291167E-2</v>
      </c>
      <c r="W237" s="222">
        <f t="shared" si="155"/>
        <v>1.3275179774417722E-2</v>
      </c>
      <c r="X237" s="222">
        <f t="shared" si="155"/>
        <v>1.3329238922442865E-2</v>
      </c>
      <c r="Y237" s="222">
        <f t="shared" si="155"/>
        <v>1.3384009814779274E-2</v>
      </c>
      <c r="Z237" s="194"/>
      <c r="AA237" s="194"/>
      <c r="AB237" s="194"/>
      <c r="AC237" s="194"/>
      <c r="AD237" s="194"/>
      <c r="AE237" s="194"/>
      <c r="AF237" s="194"/>
      <c r="AG237" s="194"/>
      <c r="AH237" s="194"/>
      <c r="AI237" s="194"/>
      <c r="AJ237" s="194"/>
      <c r="AK237" s="194"/>
    </row>
    <row r="238" spans="1:37" ht="15.75" hidden="1" customHeight="1" outlineLevel="1" x14ac:dyDescent="0.25">
      <c r="A238" s="1"/>
      <c r="B238" s="1"/>
      <c r="C238" s="2"/>
      <c r="D238" s="1"/>
      <c r="E238" s="290"/>
      <c r="F238" s="33"/>
      <c r="G238" s="33"/>
      <c r="H238" s="274"/>
      <c r="I238" s="274"/>
      <c r="J238" s="305"/>
      <c r="K238" s="305"/>
      <c r="L238" s="305"/>
      <c r="M238" s="305"/>
      <c r="N238" s="305"/>
      <c r="O238" s="305"/>
      <c r="P238" s="305"/>
      <c r="Q238" s="305"/>
      <c r="R238" s="305"/>
      <c r="S238" s="305"/>
      <c r="T238" s="305"/>
      <c r="U238" s="305"/>
      <c r="V238" s="305"/>
      <c r="W238" s="305"/>
      <c r="X238" s="305"/>
      <c r="Y238" s="305"/>
      <c r="Z238" s="1"/>
      <c r="AA238" s="1"/>
      <c r="AB238" s="1"/>
      <c r="AC238" s="1"/>
      <c r="AD238" s="1"/>
      <c r="AE238" s="1"/>
      <c r="AF238" s="1"/>
      <c r="AG238" s="1"/>
      <c r="AH238" s="1"/>
      <c r="AI238" s="1"/>
      <c r="AJ238" s="1"/>
      <c r="AK238" s="1"/>
    </row>
    <row r="239" spans="1:37" ht="15.75" hidden="1" customHeight="1" outlineLevel="1" x14ac:dyDescent="0.25">
      <c r="A239" s="1"/>
      <c r="B239" s="1"/>
      <c r="C239" s="2"/>
      <c r="D239" s="1"/>
      <c r="E239" s="290" t="s">
        <v>162</v>
      </c>
      <c r="F239" s="33"/>
      <c r="G239" s="33"/>
      <c r="H239" s="297">
        <f t="shared" ref="H239:O239" si="156">SUM(H262,H269)</f>
        <v>0</v>
      </c>
      <c r="I239" s="297">
        <f t="shared" si="156"/>
        <v>0</v>
      </c>
      <c r="J239" s="297">
        <f t="shared" si="156"/>
        <v>0</v>
      </c>
      <c r="K239" s="297">
        <f t="shared" si="156"/>
        <v>0</v>
      </c>
      <c r="L239" s="297">
        <f t="shared" si="156"/>
        <v>0</v>
      </c>
      <c r="M239" s="297">
        <f t="shared" si="156"/>
        <v>0</v>
      </c>
      <c r="N239" s="297">
        <f t="shared" si="156"/>
        <v>0</v>
      </c>
      <c r="O239" s="297">
        <f t="shared" si="156"/>
        <v>0</v>
      </c>
      <c r="P239" s="300"/>
      <c r="Q239" s="300"/>
      <c r="R239" s="300"/>
      <c r="S239" s="300"/>
      <c r="T239" s="300"/>
      <c r="U239" s="300"/>
      <c r="V239" s="300"/>
      <c r="W239" s="300"/>
      <c r="X239" s="300"/>
      <c r="Y239" s="300"/>
      <c r="Z239" s="1"/>
      <c r="AA239" s="1"/>
      <c r="AB239" s="1"/>
      <c r="AC239" s="1"/>
      <c r="AD239" s="1"/>
      <c r="AE239" s="1"/>
      <c r="AF239" s="1"/>
      <c r="AG239" s="1"/>
      <c r="AH239" s="1"/>
      <c r="AI239" s="1"/>
      <c r="AJ239" s="1"/>
      <c r="AK239" s="1"/>
    </row>
    <row r="240" spans="1:37" ht="15.75" hidden="1" customHeight="1" outlineLevel="1" x14ac:dyDescent="0.25">
      <c r="A240" s="1"/>
      <c r="B240" s="1"/>
      <c r="C240" s="2"/>
      <c r="D240" s="1"/>
      <c r="E240" s="290" t="s">
        <v>645</v>
      </c>
      <c r="F240" s="33"/>
      <c r="G240" s="33"/>
      <c r="H240" s="297">
        <f t="shared" ref="H240:O240" si="157">H276</f>
        <v>1.335</v>
      </c>
      <c r="I240" s="297">
        <f t="shared" si="157"/>
        <v>1.4771999999999998</v>
      </c>
      <c r="J240" s="297">
        <f t="shared" si="157"/>
        <v>1.476750000000002</v>
      </c>
      <c r="K240" s="297">
        <f t="shared" si="157"/>
        <v>1.5900000000000012</v>
      </c>
      <c r="L240" s="297">
        <f t="shared" si="157"/>
        <v>1.6963499999999996</v>
      </c>
      <c r="M240" s="297">
        <f t="shared" si="157"/>
        <v>0.68600000000000083</v>
      </c>
      <c r="N240" s="297">
        <f t="shared" si="157"/>
        <v>0.84080000000000044</v>
      </c>
      <c r="O240" s="297">
        <f t="shared" si="157"/>
        <v>0.83200000000000007</v>
      </c>
      <c r="P240" s="337"/>
      <c r="Q240" s="337"/>
      <c r="R240" s="337"/>
      <c r="S240" s="337"/>
      <c r="T240" s="337"/>
      <c r="U240" s="337"/>
      <c r="V240" s="337"/>
      <c r="W240" s="337"/>
      <c r="X240" s="337"/>
      <c r="Y240" s="337"/>
      <c r="Z240" s="1"/>
      <c r="AA240" s="1"/>
      <c r="AB240" s="1"/>
      <c r="AC240" s="1"/>
      <c r="AD240" s="1"/>
      <c r="AE240" s="1"/>
      <c r="AF240" s="1"/>
      <c r="AG240" s="1"/>
      <c r="AH240" s="1"/>
      <c r="AI240" s="1"/>
      <c r="AJ240" s="1"/>
      <c r="AK240" s="1"/>
    </row>
    <row r="241" spans="1:37" ht="15.75" hidden="1" customHeight="1" outlineLevel="1" x14ac:dyDescent="0.25">
      <c r="A241" s="1"/>
      <c r="B241" s="1"/>
      <c r="C241" s="2"/>
      <c r="D241" s="1"/>
      <c r="E241" s="290" t="s">
        <v>646</v>
      </c>
      <c r="F241" s="33" t="s">
        <v>28</v>
      </c>
      <c r="G241" s="33"/>
      <c r="H241" s="80">
        <f t="shared" ref="H241:O241" si="158">H242 - SUM(H239:H240,)</f>
        <v>23.837</v>
      </c>
      <c r="I241" s="80">
        <f t="shared" si="158"/>
        <v>27.2088</v>
      </c>
      <c r="J241" s="80">
        <f t="shared" si="158"/>
        <v>27.723249999999997</v>
      </c>
      <c r="K241" s="80">
        <f t="shared" si="158"/>
        <v>23.509999999999998</v>
      </c>
      <c r="L241" s="80">
        <f t="shared" si="158"/>
        <v>36.703650000000003</v>
      </c>
      <c r="M241" s="80">
        <f t="shared" si="158"/>
        <v>26.814</v>
      </c>
      <c r="N241" s="80">
        <f t="shared" si="158"/>
        <v>38.459200000000003</v>
      </c>
      <c r="O241" s="80">
        <f t="shared" si="158"/>
        <v>34.167999999999999</v>
      </c>
      <c r="P241" s="80"/>
      <c r="Q241" s="80"/>
      <c r="R241" s="80"/>
      <c r="S241" s="80"/>
      <c r="T241" s="80"/>
      <c r="U241" s="80"/>
      <c r="V241" s="80"/>
      <c r="W241" s="80"/>
      <c r="X241" s="80"/>
      <c r="Y241" s="80"/>
      <c r="Z241" s="276">
        <v>2.5000000000000001E-2</v>
      </c>
      <c r="AA241" s="17"/>
      <c r="AB241" s="1"/>
      <c r="AC241" s="1"/>
      <c r="AD241" s="1"/>
      <c r="AE241" s="1"/>
      <c r="AF241" s="1"/>
      <c r="AG241" s="1"/>
      <c r="AH241" s="1"/>
      <c r="AI241" s="1"/>
      <c r="AJ241" s="1"/>
      <c r="AK241" s="1"/>
    </row>
    <row r="242" spans="1:37" ht="15.75" hidden="1" customHeight="1" outlineLevel="1" x14ac:dyDescent="0.25">
      <c r="A242" s="1"/>
      <c r="B242" s="1"/>
      <c r="C242" s="2"/>
      <c r="D242" s="1"/>
      <c r="E242" s="294" t="s">
        <v>649</v>
      </c>
      <c r="F242" s="33" t="s">
        <v>28</v>
      </c>
      <c r="G242" s="33"/>
      <c r="H242" s="309">
        <v>25.172000000000001</v>
      </c>
      <c r="I242" s="309">
        <v>28.686</v>
      </c>
      <c r="J242" s="309">
        <f>2.3 + 26.9</f>
        <v>29.2</v>
      </c>
      <c r="K242" s="309">
        <f>24.4 + 0.7</f>
        <v>25.099999999999998</v>
      </c>
      <c r="L242" s="309">
        <f>35.2 + 3.2</f>
        <v>38.400000000000006</v>
      </c>
      <c r="M242" s="309">
        <f>24.5+3</f>
        <v>27.5</v>
      </c>
      <c r="N242" s="309">
        <f>35.2+4.1</f>
        <v>39.300000000000004</v>
      </c>
      <c r="O242" s="309">
        <f>32.5+2.5</f>
        <v>35</v>
      </c>
      <c r="P242" s="309">
        <f>P231*P244</f>
        <v>34.881173872986167</v>
      </c>
      <c r="Q242" s="309">
        <f t="shared" ref="Q242:Y242" si="159">Q231*Q244</f>
        <v>34.585668398378274</v>
      </c>
      <c r="R242" s="309">
        <f t="shared" si="159"/>
        <v>35.251474978791222</v>
      </c>
      <c r="S242" s="309">
        <f t="shared" si="159"/>
        <v>35.893365229047973</v>
      </c>
      <c r="T242" s="309">
        <f t="shared" si="159"/>
        <v>37.009784386662496</v>
      </c>
      <c r="U242" s="309">
        <f t="shared" si="159"/>
        <v>37.194601895785404</v>
      </c>
      <c r="V242" s="309">
        <f t="shared" si="159"/>
        <v>37.665578083830603</v>
      </c>
      <c r="W242" s="309">
        <f t="shared" si="159"/>
        <v>37.748262307595304</v>
      </c>
      <c r="X242" s="309">
        <f t="shared" si="159"/>
        <v>38.297373514929298</v>
      </c>
      <c r="Y242" s="309">
        <f t="shared" si="159"/>
        <v>38.930665121274728</v>
      </c>
      <c r="Z242" s="17"/>
      <c r="AA242" s="1"/>
      <c r="AB242" s="1"/>
      <c r="AC242" s="1"/>
      <c r="AD242" s="1"/>
      <c r="AE242" s="1"/>
      <c r="AF242" s="1"/>
      <c r="AG242" s="1"/>
      <c r="AH242" s="1"/>
      <c r="AI242" s="1"/>
      <c r="AJ242" s="1"/>
      <c r="AK242" s="1"/>
    </row>
    <row r="243" spans="1:37" ht="15.75" hidden="1" customHeight="1" outlineLevel="1" x14ac:dyDescent="0.25">
      <c r="A243" s="1"/>
      <c r="B243" s="1"/>
      <c r="C243" s="2"/>
      <c r="D243" s="1"/>
      <c r="E243" s="291" t="s">
        <v>625</v>
      </c>
      <c r="F243" s="33" t="s">
        <v>8</v>
      </c>
      <c r="G243" s="33"/>
      <c r="H243" s="302"/>
      <c r="I243" s="298">
        <f t="shared" ref="I243:O243" si="160">I242/H242-1</f>
        <v>0.13959955506117905</v>
      </c>
      <c r="J243" s="298">
        <f t="shared" si="160"/>
        <v>1.7918148225615216E-2</v>
      </c>
      <c r="K243" s="298">
        <f t="shared" si="160"/>
        <v>-0.1404109589041096</v>
      </c>
      <c r="L243" s="298">
        <f t="shared" si="160"/>
        <v>0.52988047808764982</v>
      </c>
      <c r="M243" s="298">
        <f t="shared" si="160"/>
        <v>-0.28385416666666674</v>
      </c>
      <c r="N243" s="298">
        <f t="shared" si="160"/>
        <v>0.42909090909090919</v>
      </c>
      <c r="O243" s="298">
        <f t="shared" si="160"/>
        <v>-0.10941475826972025</v>
      </c>
      <c r="P243" s="288">
        <f>P242/O242-1</f>
        <v>-3.395032200395165E-3</v>
      </c>
      <c r="Q243" s="288">
        <f t="shared" ref="Q243:Y243" si="161">Q242/P242-1</f>
        <v>-8.4717755108795201E-3</v>
      </c>
      <c r="R243" s="288">
        <f t="shared" si="161"/>
        <v>1.9250938647297211E-2</v>
      </c>
      <c r="S243" s="288">
        <f t="shared" si="161"/>
        <v>1.8208890568208513E-2</v>
      </c>
      <c r="T243" s="288">
        <f t="shared" si="161"/>
        <v>3.1103775042832238E-2</v>
      </c>
      <c r="U243" s="288">
        <f t="shared" si="161"/>
        <v>4.99374725321311E-3</v>
      </c>
      <c r="V243" s="288">
        <f t="shared" si="161"/>
        <v>1.2662487674012901E-2</v>
      </c>
      <c r="W243" s="288">
        <f t="shared" si="161"/>
        <v>2.1952198259289624E-3</v>
      </c>
      <c r="X243" s="288">
        <f t="shared" si="161"/>
        <v>1.4546661853187093E-2</v>
      </c>
      <c r="Y243" s="288">
        <f t="shared" si="161"/>
        <v>1.6536162880688376E-2</v>
      </c>
      <c r="Z243" s="17"/>
      <c r="AA243" s="1"/>
      <c r="AB243" s="1"/>
      <c r="AC243" s="1"/>
      <c r="AD243" s="1"/>
      <c r="AE243" s="1"/>
      <c r="AF243" s="1"/>
      <c r="AG243" s="1"/>
      <c r="AH243" s="1"/>
      <c r="AI243" s="1"/>
      <c r="AJ243" s="1"/>
      <c r="AK243" s="1"/>
    </row>
    <row r="244" spans="1:37" ht="15.75" hidden="1" customHeight="1" outlineLevel="1" x14ac:dyDescent="0.25">
      <c r="A244" s="1"/>
      <c r="B244" s="1"/>
      <c r="C244" s="2"/>
      <c r="D244" s="1"/>
      <c r="E244" s="291" t="s">
        <v>650</v>
      </c>
      <c r="F244" s="33" t="s">
        <v>8</v>
      </c>
      <c r="G244" s="33"/>
      <c r="H244" s="274">
        <f t="shared" ref="H244:O244" si="162">H242/H231</f>
        <v>0.39892234548335975</v>
      </c>
      <c r="I244" s="274">
        <f t="shared" si="162"/>
        <v>0.4389728836383669</v>
      </c>
      <c r="J244" s="274">
        <f t="shared" si="162"/>
        <v>0.43975903614457829</v>
      </c>
      <c r="K244" s="274">
        <f t="shared" si="162"/>
        <v>0.40353697749196138</v>
      </c>
      <c r="L244" s="274">
        <f t="shared" si="162"/>
        <v>0.5005931507385053</v>
      </c>
      <c r="M244" s="274">
        <f t="shared" si="162"/>
        <v>0.46629927935565912</v>
      </c>
      <c r="N244" s="274">
        <f t="shared" si="162"/>
        <v>0.50900142468592158</v>
      </c>
      <c r="O244" s="274">
        <f t="shared" si="162"/>
        <v>0.45454545454545453</v>
      </c>
      <c r="P244" s="289">
        <f>HARMEAN(H244:O244)</f>
        <v>0.44833837448087005</v>
      </c>
      <c r="Q244" s="289">
        <f t="shared" ref="Q244:Y244" si="163">HARMEAN(I244:P244)</f>
        <v>0.45538973185954512</v>
      </c>
      <c r="R244" s="289">
        <f t="shared" si="163"/>
        <v>0.45752858187896506</v>
      </c>
      <c r="S244" s="289">
        <f t="shared" si="163"/>
        <v>0.45985125956042144</v>
      </c>
      <c r="T244" s="289">
        <f t="shared" si="163"/>
        <v>0.468015302519459</v>
      </c>
      <c r="U244" s="289">
        <f t="shared" si="163"/>
        <v>0.46423880723155186</v>
      </c>
      <c r="V244" s="289">
        <f t="shared" si="163"/>
        <v>0.46398252786681016</v>
      </c>
      <c r="W244" s="289">
        <f t="shared" si="163"/>
        <v>0.45890897240213629</v>
      </c>
      <c r="X244" s="289">
        <f t="shared" si="163"/>
        <v>0.45946030980035513</v>
      </c>
      <c r="Y244" s="289">
        <f t="shared" si="163"/>
        <v>0.46088947111548723</v>
      </c>
      <c r="Z244" s="17"/>
      <c r="AA244" s="1"/>
      <c r="AB244" s="1"/>
      <c r="AC244" s="1"/>
      <c r="AD244" s="1"/>
      <c r="AE244" s="1"/>
      <c r="AF244" s="1"/>
      <c r="AG244" s="1"/>
      <c r="AH244" s="1"/>
      <c r="AI244" s="1"/>
      <c r="AJ244" s="1"/>
      <c r="AK244" s="1"/>
    </row>
    <row r="245" spans="1:37" ht="15.75" hidden="1" customHeight="1" outlineLevel="1" x14ac:dyDescent="0.25">
      <c r="A245" s="1"/>
      <c r="B245" s="1"/>
      <c r="C245" s="2"/>
      <c r="D245" s="1"/>
      <c r="E245" s="290" t="s">
        <v>278</v>
      </c>
      <c r="F245" s="33" t="s">
        <v>28</v>
      </c>
      <c r="G245" s="33"/>
      <c r="H245" s="292">
        <v>-5.69</v>
      </c>
      <c r="I245" s="292">
        <v>-5.4009999999999998</v>
      </c>
      <c r="J245" s="292">
        <v>-5.4</v>
      </c>
      <c r="K245" s="292">
        <v>-5.8</v>
      </c>
      <c r="L245" s="292">
        <v>-5.4</v>
      </c>
      <c r="M245" s="292">
        <v>-5.7</v>
      </c>
      <c r="N245" s="292">
        <v>-5.3</v>
      </c>
      <c r="O245" s="292">
        <f>-4.1-1.3</f>
        <v>-5.3999999999999995</v>
      </c>
      <c r="P245" s="292">
        <f>'Regular Dep. Calculation'!J4</f>
        <v>-5.5113750000000001</v>
      </c>
      <c r="Q245" s="292">
        <f>'Regular Dep. Calculation'!K4</f>
        <v>-5.4890468749999997</v>
      </c>
      <c r="R245" s="292">
        <f>'Regular Dep. Calculation'!L4</f>
        <v>-5.5000527343750001</v>
      </c>
      <c r="S245" s="292">
        <f>'Regular Dep. Calculation'!M4</f>
        <v>-5.5125593261718748</v>
      </c>
      <c r="T245" s="292">
        <f>'Regular Dep. Calculation'!N4</f>
        <v>-5.4766292419433595</v>
      </c>
      <c r="U245" s="292">
        <f>'Regular Dep. Calculation'!O4</f>
        <v>-5.4862078971862784</v>
      </c>
      <c r="V245" s="292">
        <f>'Regular Dep. Calculation'!P4</f>
        <v>-5.4594838843345634</v>
      </c>
      <c r="W245" s="292">
        <f>'Regular Dep. Calculation'!Q4</f>
        <v>-5.4794193698763838</v>
      </c>
      <c r="X245" s="292">
        <f>'Regular Dep. Calculation'!R4</f>
        <v>-5.4893467911109326</v>
      </c>
      <c r="Y245" s="292">
        <f>'Regular Dep. Calculation'!S4</f>
        <v>-5.486593264999799</v>
      </c>
      <c r="Z245" s="1"/>
      <c r="AA245" s="1"/>
      <c r="AB245" s="1"/>
      <c r="AC245" s="1"/>
      <c r="AD245" s="1"/>
      <c r="AE245" s="1"/>
      <c r="AF245" s="1"/>
      <c r="AG245" s="1"/>
      <c r="AH245" s="1"/>
      <c r="AI245" s="1"/>
      <c r="AJ245" s="1"/>
      <c r="AK245" s="1"/>
    </row>
    <row r="246" spans="1:37" ht="15.75" hidden="1" customHeight="1" outlineLevel="1" x14ac:dyDescent="0.25">
      <c r="A246" s="1"/>
      <c r="B246" s="1"/>
      <c r="C246" s="2"/>
      <c r="D246" s="1"/>
      <c r="E246" s="290" t="s">
        <v>230</v>
      </c>
      <c r="F246" s="33" t="s">
        <v>28</v>
      </c>
      <c r="G246" s="33"/>
      <c r="H246" s="287">
        <f t="shared" ref="H246:Y246" si="164">H242 + H245</f>
        <v>19.481999999999999</v>
      </c>
      <c r="I246" s="287">
        <f t="shared" si="164"/>
        <v>23.285</v>
      </c>
      <c r="J246" s="287">
        <f t="shared" si="164"/>
        <v>23.799999999999997</v>
      </c>
      <c r="K246" s="287">
        <f t="shared" si="164"/>
        <v>19.299999999999997</v>
      </c>
      <c r="L246" s="287">
        <f t="shared" si="164"/>
        <v>33.000000000000007</v>
      </c>
      <c r="M246" s="287">
        <f t="shared" si="164"/>
        <v>21.8</v>
      </c>
      <c r="N246" s="287">
        <f t="shared" si="164"/>
        <v>34.000000000000007</v>
      </c>
      <c r="O246" s="287">
        <f t="shared" si="164"/>
        <v>29.6</v>
      </c>
      <c r="P246" s="287">
        <f t="shared" si="164"/>
        <v>29.369798872986166</v>
      </c>
      <c r="Q246" s="287">
        <f t="shared" si="164"/>
        <v>29.096621523378275</v>
      </c>
      <c r="R246" s="287">
        <f t="shared" si="164"/>
        <v>29.751422244416222</v>
      </c>
      <c r="S246" s="287">
        <f t="shared" si="164"/>
        <v>30.380805902876098</v>
      </c>
      <c r="T246" s="287">
        <f t="shared" si="164"/>
        <v>31.533155144719135</v>
      </c>
      <c r="U246" s="287">
        <f t="shared" si="164"/>
        <v>31.708393998599124</v>
      </c>
      <c r="V246" s="287">
        <f t="shared" si="164"/>
        <v>32.206094199496036</v>
      </c>
      <c r="W246" s="287">
        <f t="shared" si="164"/>
        <v>32.268842937718922</v>
      </c>
      <c r="X246" s="287">
        <f t="shared" si="164"/>
        <v>32.808026723818365</v>
      </c>
      <c r="Y246" s="287">
        <f t="shared" si="164"/>
        <v>33.444071856274931</v>
      </c>
      <c r="Z246" s="1"/>
      <c r="AA246" s="1"/>
      <c r="AB246" s="1"/>
      <c r="AC246" s="1"/>
      <c r="AD246" s="1"/>
      <c r="AE246" s="1"/>
      <c r="AF246" s="1"/>
      <c r="AG246" s="1"/>
      <c r="AH246" s="1"/>
      <c r="AI246" s="1"/>
      <c r="AJ246" s="1"/>
      <c r="AK246" s="1"/>
    </row>
    <row r="247" spans="1:37" ht="15.75" hidden="1" customHeight="1" outlineLevel="1" x14ac:dyDescent="0.25">
      <c r="A247" s="1"/>
      <c r="B247" s="1"/>
      <c r="C247" s="2"/>
      <c r="D247" s="1"/>
      <c r="E247" s="291" t="s">
        <v>650</v>
      </c>
      <c r="F247" s="33" t="s">
        <v>8</v>
      </c>
      <c r="G247" s="33"/>
      <c r="H247" s="274">
        <f t="shared" ref="H247:Y247" si="165">H246/H231</f>
        <v>0.30874801901743265</v>
      </c>
      <c r="I247" s="274">
        <f t="shared" si="165"/>
        <v>0.35632307033115018</v>
      </c>
      <c r="J247" s="274">
        <f t="shared" si="165"/>
        <v>0.35843373493975894</v>
      </c>
      <c r="K247" s="274">
        <f t="shared" si="165"/>
        <v>0.31028938906752407</v>
      </c>
      <c r="L247" s="274">
        <f t="shared" si="165"/>
        <v>0.43019723891590306</v>
      </c>
      <c r="M247" s="274">
        <f t="shared" si="165"/>
        <v>0.36964815599830431</v>
      </c>
      <c r="N247" s="274">
        <f t="shared" si="165"/>
        <v>0.4403574666493979</v>
      </c>
      <c r="O247" s="274">
        <f t="shared" si="165"/>
        <v>0.38441558441558443</v>
      </c>
      <c r="P247" s="274">
        <f t="shared" si="165"/>
        <v>0.37749898938299215</v>
      </c>
      <c r="Q247" s="274">
        <f t="shared" si="165"/>
        <v>0.3831154141919435</v>
      </c>
      <c r="R247" s="274">
        <f t="shared" si="165"/>
        <v>0.38614344609862938</v>
      </c>
      <c r="S247" s="274">
        <f t="shared" si="165"/>
        <v>0.38922658189742593</v>
      </c>
      <c r="T247" s="274">
        <f t="shared" si="165"/>
        <v>0.39875939265853211</v>
      </c>
      <c r="U247" s="274">
        <f t="shared" si="165"/>
        <v>0.3957635317722204</v>
      </c>
      <c r="V247" s="274">
        <f t="shared" si="165"/>
        <v>0.3967300054745122</v>
      </c>
      <c r="W247" s="274">
        <f t="shared" si="165"/>
        <v>0.3922951852057816</v>
      </c>
      <c r="X247" s="274">
        <f t="shared" si="165"/>
        <v>0.39360365317448442</v>
      </c>
      <c r="Y247" s="274">
        <f t="shared" si="165"/>
        <v>0.39593519765896551</v>
      </c>
      <c r="Z247" s="17"/>
      <c r="AA247" s="301"/>
      <c r="AB247" s="1"/>
      <c r="AC247" s="1"/>
      <c r="AD247" s="1"/>
      <c r="AE247" s="1"/>
      <c r="AF247" s="1"/>
      <c r="AG247" s="1"/>
      <c r="AH247" s="1"/>
      <c r="AI247" s="1"/>
      <c r="AJ247" s="1"/>
      <c r="AK247" s="1"/>
    </row>
    <row r="248" spans="1:37" ht="15.75" hidden="1" customHeight="1" outlineLevel="1" x14ac:dyDescent="0.25">
      <c r="A248" s="1"/>
      <c r="B248" s="1"/>
      <c r="C248" s="2"/>
      <c r="D248" s="1"/>
      <c r="E248" s="290"/>
      <c r="F248" s="33"/>
      <c r="G248" s="33"/>
      <c r="H248" s="274"/>
      <c r="I248" s="274"/>
      <c r="J248" s="305"/>
      <c r="K248" s="305"/>
      <c r="L248" s="305"/>
      <c r="M248" s="305"/>
      <c r="N248" s="305"/>
      <c r="O248" s="305"/>
      <c r="P248" s="305"/>
      <c r="Q248" s="305"/>
      <c r="R248" s="305"/>
      <c r="S248" s="305"/>
      <c r="T248" s="305"/>
      <c r="U248" s="305"/>
      <c r="V248" s="305"/>
      <c r="W248" s="305"/>
      <c r="X248" s="305"/>
      <c r="Y248" s="305"/>
      <c r="Z248" s="1"/>
      <c r="AA248" s="1"/>
      <c r="AB248" s="1"/>
      <c r="AC248" s="1"/>
      <c r="AD248" s="1"/>
      <c r="AE248" s="1"/>
      <c r="AF248" s="1"/>
      <c r="AG248" s="1"/>
      <c r="AH248" s="1"/>
      <c r="AI248" s="1"/>
      <c r="AJ248" s="1"/>
      <c r="AK248" s="1"/>
    </row>
    <row r="249" spans="1:37" ht="15.75" hidden="1" customHeight="1" outlineLevel="1" x14ac:dyDescent="0.25">
      <c r="A249" s="1"/>
      <c r="B249" s="1"/>
      <c r="C249" s="2"/>
      <c r="D249" s="1"/>
      <c r="E249" s="290" t="s">
        <v>671</v>
      </c>
      <c r="F249" s="33"/>
      <c r="G249" s="33"/>
      <c r="H249" s="274"/>
      <c r="I249" s="274"/>
      <c r="J249" s="305"/>
      <c r="K249" s="305"/>
      <c r="L249" s="305"/>
      <c r="M249" s="305"/>
      <c r="N249" s="305"/>
      <c r="O249" s="305"/>
      <c r="P249" s="305"/>
      <c r="Q249" s="305"/>
      <c r="R249" s="305"/>
      <c r="S249" s="305"/>
      <c r="T249" s="305"/>
      <c r="U249" s="305"/>
      <c r="V249" s="305"/>
      <c r="W249" s="305"/>
      <c r="X249" s="305"/>
      <c r="Y249" s="305"/>
      <c r="Z249" s="1"/>
      <c r="AA249" s="1"/>
      <c r="AB249" s="1"/>
      <c r="AC249" s="1"/>
      <c r="AD249" s="1"/>
      <c r="AE249" s="1"/>
      <c r="AF249" s="1"/>
      <c r="AG249" s="1"/>
      <c r="AH249" s="1"/>
      <c r="AI249" s="1"/>
      <c r="AJ249" s="1"/>
      <c r="AK249" s="1"/>
    </row>
    <row r="250" spans="1:37" ht="15.75" hidden="1" customHeight="1" outlineLevel="1" x14ac:dyDescent="0.25">
      <c r="A250" s="1"/>
      <c r="B250" s="1"/>
      <c r="C250" s="2"/>
      <c r="D250" s="1"/>
      <c r="E250" s="290" t="s">
        <v>672</v>
      </c>
      <c r="F250" s="33" t="s">
        <v>28</v>
      </c>
      <c r="G250" s="33"/>
      <c r="H250" s="306"/>
      <c r="I250" s="306"/>
      <c r="J250" s="306"/>
      <c r="K250" s="306"/>
      <c r="L250" s="306"/>
      <c r="M250" s="306"/>
      <c r="N250" s="306"/>
      <c r="O250" s="306"/>
      <c r="P250" s="338"/>
      <c r="Q250" s="338"/>
      <c r="R250" s="338"/>
      <c r="S250" s="338"/>
      <c r="T250" s="338"/>
      <c r="U250" s="338"/>
      <c r="V250" s="338"/>
      <c r="W250" s="338"/>
      <c r="X250" s="338"/>
      <c r="Y250" s="338"/>
      <c r="Z250" s="17"/>
      <c r="AA250" s="1"/>
      <c r="AB250" s="1"/>
      <c r="AC250" s="1"/>
      <c r="AD250" s="1"/>
      <c r="AE250" s="1"/>
      <c r="AF250" s="1"/>
      <c r="AG250" s="1"/>
      <c r="AH250" s="1"/>
      <c r="AI250" s="1"/>
      <c r="AJ250" s="1"/>
      <c r="AK250" s="1"/>
    </row>
    <row r="251" spans="1:37" ht="15.75" hidden="1" customHeight="1" outlineLevel="1" x14ac:dyDescent="0.25">
      <c r="A251" s="1"/>
      <c r="B251" s="1"/>
      <c r="C251" s="1"/>
      <c r="D251" s="1"/>
      <c r="E251" s="313" t="s">
        <v>673</v>
      </c>
      <c r="F251" s="33" t="s">
        <v>28</v>
      </c>
      <c r="G251" s="33"/>
      <c r="H251" s="339"/>
      <c r="I251" s="340"/>
      <c r="J251" s="341"/>
      <c r="K251" s="341"/>
      <c r="L251" s="341"/>
      <c r="M251" s="341"/>
      <c r="N251" s="341"/>
      <c r="O251" s="341"/>
      <c r="P251" s="341"/>
      <c r="Q251" s="341"/>
      <c r="R251" s="341"/>
      <c r="S251" s="341"/>
      <c r="T251" s="341"/>
      <c r="U251" s="341"/>
      <c r="V251" s="341"/>
      <c r="W251" s="341"/>
      <c r="X251" s="341"/>
      <c r="Y251" s="341"/>
    </row>
    <row r="252" spans="1:37" ht="11.25" hidden="1" customHeight="1" outlineLevel="1" x14ac:dyDescent="0.25">
      <c r="A252" s="1"/>
      <c r="B252" s="1"/>
      <c r="C252" s="1"/>
      <c r="D252" s="1"/>
      <c r="E252" s="313" t="s">
        <v>278</v>
      </c>
      <c r="F252" s="33" t="s">
        <v>28</v>
      </c>
      <c r="G252" s="33"/>
      <c r="H252" s="342">
        <f t="shared" ref="H252:Y252" si="166">H245</f>
        <v>-5.69</v>
      </c>
      <c r="I252" s="342">
        <f t="shared" si="166"/>
        <v>-5.4009999999999998</v>
      </c>
      <c r="J252" s="342">
        <f t="shared" si="166"/>
        <v>-5.4</v>
      </c>
      <c r="K252" s="342">
        <f t="shared" si="166"/>
        <v>-5.8</v>
      </c>
      <c r="L252" s="342">
        <f t="shared" si="166"/>
        <v>-5.4</v>
      </c>
      <c r="M252" s="342">
        <f t="shared" si="166"/>
        <v>-5.7</v>
      </c>
      <c r="N252" s="342">
        <f t="shared" si="166"/>
        <v>-5.3</v>
      </c>
      <c r="O252" s="342">
        <f t="shared" si="166"/>
        <v>-5.3999999999999995</v>
      </c>
      <c r="P252" s="342">
        <f t="shared" si="166"/>
        <v>-5.5113750000000001</v>
      </c>
      <c r="Q252" s="342">
        <f t="shared" si="166"/>
        <v>-5.4890468749999997</v>
      </c>
      <c r="R252" s="342">
        <f t="shared" si="166"/>
        <v>-5.5000527343750001</v>
      </c>
      <c r="S252" s="342">
        <f t="shared" si="166"/>
        <v>-5.5125593261718748</v>
      </c>
      <c r="T252" s="342">
        <f t="shared" si="166"/>
        <v>-5.4766292419433595</v>
      </c>
      <c r="U252" s="342">
        <f t="shared" si="166"/>
        <v>-5.4862078971862784</v>
      </c>
      <c r="V252" s="342">
        <f t="shared" si="166"/>
        <v>-5.4594838843345634</v>
      </c>
      <c r="W252" s="342">
        <f t="shared" si="166"/>
        <v>-5.4794193698763838</v>
      </c>
      <c r="X252" s="342">
        <f t="shared" si="166"/>
        <v>-5.4893467911109326</v>
      </c>
      <c r="Y252" s="342">
        <f t="shared" si="166"/>
        <v>-5.486593264999799</v>
      </c>
    </row>
    <row r="253" spans="1:37" ht="15.75" hidden="1" customHeight="1" outlineLevel="1" x14ac:dyDescent="0.25">
      <c r="A253" s="1"/>
      <c r="B253" s="1"/>
      <c r="C253" s="2"/>
      <c r="D253" s="1"/>
      <c r="E253" s="290" t="s">
        <v>674</v>
      </c>
      <c r="F253" s="33" t="s">
        <v>28</v>
      </c>
      <c r="G253" s="33"/>
      <c r="H253" s="342">
        <f>SUM(H250:H252)</f>
        <v>-5.69</v>
      </c>
      <c r="I253" s="342">
        <f t="shared" ref="I253:Y253" si="167">SUM(I249:I252)</f>
        <v>-5.4009999999999998</v>
      </c>
      <c r="J253" s="342">
        <f t="shared" si="167"/>
        <v>-5.4</v>
      </c>
      <c r="K253" s="342">
        <f t="shared" si="167"/>
        <v>-5.8</v>
      </c>
      <c r="L253" s="342">
        <f t="shared" si="167"/>
        <v>-5.4</v>
      </c>
      <c r="M253" s="342">
        <f t="shared" si="167"/>
        <v>-5.7</v>
      </c>
      <c r="N253" s="342">
        <f t="shared" si="167"/>
        <v>-5.3</v>
      </c>
      <c r="O253" s="342">
        <f t="shared" si="167"/>
        <v>-5.3999999999999995</v>
      </c>
      <c r="P253" s="342">
        <f t="shared" si="167"/>
        <v>-5.5113750000000001</v>
      </c>
      <c r="Q253" s="342">
        <f t="shared" si="167"/>
        <v>-5.4890468749999997</v>
      </c>
      <c r="R253" s="342">
        <f t="shared" si="167"/>
        <v>-5.5000527343750001</v>
      </c>
      <c r="S253" s="342">
        <f t="shared" si="167"/>
        <v>-5.5125593261718748</v>
      </c>
      <c r="T253" s="342">
        <f t="shared" si="167"/>
        <v>-5.4766292419433595</v>
      </c>
      <c r="U253" s="342">
        <f t="shared" si="167"/>
        <v>-5.4862078971862784</v>
      </c>
      <c r="V253" s="342">
        <f t="shared" si="167"/>
        <v>-5.4594838843345634</v>
      </c>
      <c r="W253" s="342">
        <f t="shared" si="167"/>
        <v>-5.4794193698763838</v>
      </c>
      <c r="X253" s="342">
        <f t="shared" si="167"/>
        <v>-5.4893467911109326</v>
      </c>
      <c r="Y253" s="342">
        <f t="shared" si="167"/>
        <v>-5.486593264999799</v>
      </c>
      <c r="Z253" s="17"/>
      <c r="AA253" s="1"/>
      <c r="AB253" s="1"/>
      <c r="AC253" s="1"/>
      <c r="AD253" s="1"/>
      <c r="AE253" s="1"/>
      <c r="AF253" s="1"/>
      <c r="AG253" s="1"/>
      <c r="AH253" s="1"/>
      <c r="AI253" s="1"/>
      <c r="AJ253" s="1"/>
      <c r="AK253" s="1"/>
    </row>
    <row r="254" spans="1:37" ht="11.25" hidden="1" customHeight="1" outlineLevel="1" x14ac:dyDescent="0.25">
      <c r="A254" s="1"/>
      <c r="B254" s="1"/>
      <c r="C254" s="1"/>
      <c r="D254" s="1"/>
      <c r="E254" s="313" t="s">
        <v>675</v>
      </c>
      <c r="F254" s="33" t="s">
        <v>28</v>
      </c>
      <c r="G254" s="33"/>
      <c r="H254" s="329">
        <f t="shared" ref="H254:Y254" si="168">AVERAGE(G253:H253)</f>
        <v>-5.69</v>
      </c>
      <c r="I254" s="329">
        <f t="shared" si="168"/>
        <v>-5.5455000000000005</v>
      </c>
      <c r="J254" s="329">
        <f t="shared" si="168"/>
        <v>-5.4005000000000001</v>
      </c>
      <c r="K254" s="329">
        <f t="shared" si="168"/>
        <v>-5.6</v>
      </c>
      <c r="L254" s="329">
        <f t="shared" si="168"/>
        <v>-5.6</v>
      </c>
      <c r="M254" s="329">
        <f t="shared" si="168"/>
        <v>-5.5500000000000007</v>
      </c>
      <c r="N254" s="329">
        <f t="shared" si="168"/>
        <v>-5.5</v>
      </c>
      <c r="O254" s="329">
        <f t="shared" si="168"/>
        <v>-5.35</v>
      </c>
      <c r="P254" s="329">
        <f t="shared" si="168"/>
        <v>-5.4556874999999998</v>
      </c>
      <c r="Q254" s="329">
        <f t="shared" si="168"/>
        <v>-5.5002109375000003</v>
      </c>
      <c r="R254" s="329">
        <f t="shared" si="168"/>
        <v>-5.4945498046874999</v>
      </c>
      <c r="S254" s="329">
        <f t="shared" si="168"/>
        <v>-5.5063060302734375</v>
      </c>
      <c r="T254" s="329">
        <f t="shared" si="168"/>
        <v>-5.4945942840576176</v>
      </c>
      <c r="U254" s="329">
        <f t="shared" si="168"/>
        <v>-5.481418569564819</v>
      </c>
      <c r="V254" s="329">
        <f t="shared" si="168"/>
        <v>-5.4728458907604214</v>
      </c>
      <c r="W254" s="329">
        <f t="shared" si="168"/>
        <v>-5.4694516271054736</v>
      </c>
      <c r="X254" s="329">
        <f t="shared" si="168"/>
        <v>-5.4843830804936582</v>
      </c>
      <c r="Y254" s="329">
        <f t="shared" si="168"/>
        <v>-5.4879700280553658</v>
      </c>
    </row>
    <row r="255" spans="1:37" ht="15.75" hidden="1" customHeight="1" outlineLevel="1" x14ac:dyDescent="0.25">
      <c r="A255" s="1"/>
      <c r="B255" s="1"/>
      <c r="C255" s="1"/>
      <c r="D255" s="1"/>
      <c r="E255" s="343" t="s">
        <v>676</v>
      </c>
      <c r="F255" s="193" t="s">
        <v>28</v>
      </c>
      <c r="G255" s="33"/>
      <c r="H255" s="344">
        <f t="shared" ref="H255:Y255" si="169">H246 / H254</f>
        <v>-3.4239015817223195</v>
      </c>
      <c r="I255" s="344">
        <f t="shared" si="169"/>
        <v>-4.1989000090163193</v>
      </c>
      <c r="J255" s="344">
        <f t="shared" si="169"/>
        <v>-4.4069993519118595</v>
      </c>
      <c r="K255" s="344">
        <f t="shared" si="169"/>
        <v>-3.4464285714285712</v>
      </c>
      <c r="L255" s="344">
        <f t="shared" si="169"/>
        <v>-5.8928571428571441</v>
      </c>
      <c r="M255" s="344">
        <f t="shared" si="169"/>
        <v>-3.9279279279279273</v>
      </c>
      <c r="N255" s="344">
        <f t="shared" si="169"/>
        <v>-6.1818181818181834</v>
      </c>
      <c r="O255" s="344">
        <f t="shared" si="169"/>
        <v>-5.5327102803738324</v>
      </c>
      <c r="P255" s="344">
        <f t="shared" si="169"/>
        <v>-5.3833359907410694</v>
      </c>
      <c r="Q255" s="344">
        <f t="shared" si="169"/>
        <v>-5.2900919353837548</v>
      </c>
      <c r="R255" s="344">
        <f t="shared" si="169"/>
        <v>-5.4147151817669839</v>
      </c>
      <c r="S255" s="344">
        <f t="shared" si="169"/>
        <v>-5.517456845995067</v>
      </c>
      <c r="T255" s="344">
        <f t="shared" si="169"/>
        <v>-5.7389414967746637</v>
      </c>
      <c r="U255" s="344">
        <f t="shared" si="169"/>
        <v>-5.7847058377657374</v>
      </c>
      <c r="V255" s="344">
        <f t="shared" si="169"/>
        <v>-5.8847069408382664</v>
      </c>
      <c r="W255" s="344">
        <f t="shared" si="169"/>
        <v>-5.8998314891023433</v>
      </c>
      <c r="X255" s="344">
        <f t="shared" si="169"/>
        <v>-5.9820815290067708</v>
      </c>
      <c r="Y255" s="344">
        <f t="shared" si="169"/>
        <v>-6.0940696988692675</v>
      </c>
    </row>
    <row r="256" spans="1:37" ht="11.25" hidden="1" customHeight="1" outlineLevel="1" x14ac:dyDescent="0.25">
      <c r="A256" s="1"/>
      <c r="B256" s="1"/>
      <c r="C256" s="1"/>
      <c r="D256" s="1"/>
      <c r="E256" s="313"/>
      <c r="F256" s="33"/>
      <c r="G256" s="33"/>
      <c r="H256" s="195"/>
      <c r="I256" s="195"/>
      <c r="J256" s="195"/>
      <c r="K256" s="195"/>
      <c r="L256" s="195"/>
      <c r="M256" s="195"/>
      <c r="N256" s="49"/>
      <c r="O256" s="49"/>
      <c r="P256" s="49"/>
      <c r="Q256" s="49"/>
      <c r="R256" s="49"/>
      <c r="S256" s="49"/>
      <c r="T256" s="49"/>
      <c r="U256" s="49"/>
      <c r="V256" s="49"/>
      <c r="W256" s="49"/>
      <c r="X256" s="49"/>
      <c r="Y256" s="49"/>
    </row>
    <row r="257" spans="1:26" ht="11.25" hidden="1" customHeight="1" outlineLevel="1" x14ac:dyDescent="0.25">
      <c r="A257" s="1"/>
      <c r="B257" s="1"/>
      <c r="C257" s="1"/>
      <c r="D257" s="1"/>
      <c r="E257" s="314" t="s">
        <v>677</v>
      </c>
      <c r="F257" s="315"/>
      <c r="G257" s="315"/>
      <c r="H257" s="316"/>
      <c r="I257" s="316"/>
      <c r="J257" s="316"/>
      <c r="K257" s="316"/>
      <c r="L257" s="316"/>
      <c r="M257" s="316"/>
      <c r="N257" s="317"/>
      <c r="O257" s="317"/>
      <c r="P257" s="317"/>
      <c r="Q257" s="317"/>
      <c r="R257" s="317"/>
      <c r="S257" s="317"/>
      <c r="T257" s="317"/>
      <c r="U257" s="317"/>
      <c r="V257" s="317"/>
      <c r="W257" s="317"/>
      <c r="X257" s="317"/>
      <c r="Y257" s="317"/>
    </row>
    <row r="258" spans="1:26" ht="11.25" hidden="1" customHeight="1" outlineLevel="1" x14ac:dyDescent="0.25">
      <c r="A258" s="1"/>
      <c r="B258" s="1"/>
      <c r="C258" s="1"/>
      <c r="D258" s="1"/>
      <c r="E258" s="314" t="s">
        <v>655</v>
      </c>
      <c r="F258" s="315"/>
      <c r="G258" s="315"/>
      <c r="H258" s="316"/>
      <c r="I258" s="316"/>
      <c r="J258" s="316"/>
      <c r="K258" s="316"/>
      <c r="L258" s="316"/>
      <c r="M258" s="316"/>
      <c r="N258" s="317"/>
      <c r="O258" s="317"/>
      <c r="P258" s="317"/>
      <c r="Q258" s="317"/>
      <c r="R258" s="317"/>
      <c r="S258" s="317"/>
      <c r="T258" s="317"/>
      <c r="U258" s="317"/>
      <c r="V258" s="317"/>
      <c r="W258" s="317"/>
      <c r="X258" s="317"/>
      <c r="Y258" s="317"/>
    </row>
    <row r="259" spans="1:26" ht="11.25" hidden="1" customHeight="1" outlineLevel="1" x14ac:dyDescent="0.25">
      <c r="A259" s="1"/>
      <c r="B259" s="1"/>
      <c r="C259" s="1"/>
      <c r="D259" s="1"/>
      <c r="E259" s="318" t="s">
        <v>656</v>
      </c>
      <c r="F259" s="315" t="s">
        <v>11</v>
      </c>
      <c r="G259" s="315"/>
      <c r="H259" s="345">
        <f t="shared" ref="H259:O259" si="170">339 + 86</f>
        <v>425</v>
      </c>
      <c r="I259" s="345">
        <f t="shared" si="170"/>
        <v>425</v>
      </c>
      <c r="J259" s="345">
        <f t="shared" si="170"/>
        <v>425</v>
      </c>
      <c r="K259" s="345">
        <f t="shared" si="170"/>
        <v>425</v>
      </c>
      <c r="L259" s="345">
        <f t="shared" si="170"/>
        <v>425</v>
      </c>
      <c r="M259" s="345">
        <f t="shared" si="170"/>
        <v>425</v>
      </c>
      <c r="N259" s="345">
        <f t="shared" si="170"/>
        <v>425</v>
      </c>
      <c r="O259" s="345">
        <f t="shared" si="170"/>
        <v>425</v>
      </c>
      <c r="P259" s="320"/>
      <c r="Q259" s="320"/>
      <c r="R259" s="320"/>
      <c r="S259" s="320"/>
      <c r="T259" s="320"/>
      <c r="U259" s="320"/>
      <c r="V259" s="320"/>
      <c r="W259" s="320"/>
      <c r="X259" s="320"/>
      <c r="Y259" s="320"/>
      <c r="Z259" s="192"/>
    </row>
    <row r="260" spans="1:26" ht="11.25" hidden="1" customHeight="1" outlineLevel="1" x14ac:dyDescent="0.25">
      <c r="A260" s="1"/>
      <c r="B260" s="1"/>
      <c r="C260" s="1"/>
      <c r="D260" s="1"/>
      <c r="E260" s="318" t="s">
        <v>657</v>
      </c>
      <c r="F260" s="315" t="s">
        <v>658</v>
      </c>
      <c r="G260" s="315"/>
      <c r="H260" s="321">
        <f t="shared" ref="H260:L260" si="171">((H222 / H259) / 362 ) * 1000000</f>
        <v>0</v>
      </c>
      <c r="I260" s="321">
        <f t="shared" si="171"/>
        <v>0</v>
      </c>
      <c r="J260" s="321">
        <f t="shared" si="171"/>
        <v>0</v>
      </c>
      <c r="K260" s="321">
        <f t="shared" si="171"/>
        <v>0</v>
      </c>
      <c r="L260" s="321">
        <f t="shared" si="171"/>
        <v>0</v>
      </c>
      <c r="M260" s="342">
        <f>((M222 / M259) / 255 ) * 1000000</f>
        <v>0</v>
      </c>
      <c r="N260" s="321">
        <f t="shared" ref="N260:O260" si="172">((N222 / N259) / 362 ) * 1000000</f>
        <v>0</v>
      </c>
      <c r="O260" s="321">
        <f t="shared" si="172"/>
        <v>0</v>
      </c>
      <c r="P260" s="317"/>
      <c r="Q260" s="317"/>
      <c r="R260" s="317"/>
      <c r="S260" s="317"/>
      <c r="T260" s="317"/>
      <c r="U260" s="317"/>
      <c r="V260" s="317"/>
      <c r="W260" s="317"/>
      <c r="X260" s="317"/>
      <c r="Y260" s="317"/>
    </row>
    <row r="261" spans="1:26" ht="11.25" hidden="1" customHeight="1" outlineLevel="1" x14ac:dyDescent="0.25">
      <c r="A261" s="1"/>
      <c r="B261" s="1"/>
      <c r="C261" s="1"/>
      <c r="D261" s="1"/>
      <c r="E261" s="322" t="s">
        <v>659</v>
      </c>
      <c r="F261" s="315" t="s">
        <v>8</v>
      </c>
      <c r="G261" s="315"/>
      <c r="H261" s="316"/>
      <c r="I261" s="323" t="e">
        <f t="shared" ref="I261:O261" si="173">I260 / H260 -1</f>
        <v>#DIV/0!</v>
      </c>
      <c r="J261" s="323" t="e">
        <f t="shared" si="173"/>
        <v>#DIV/0!</v>
      </c>
      <c r="K261" s="323" t="e">
        <f t="shared" si="173"/>
        <v>#DIV/0!</v>
      </c>
      <c r="L261" s="323" t="e">
        <f t="shared" si="173"/>
        <v>#DIV/0!</v>
      </c>
      <c r="M261" s="323" t="e">
        <f t="shared" si="173"/>
        <v>#DIV/0!</v>
      </c>
      <c r="N261" s="323" t="e">
        <f t="shared" si="173"/>
        <v>#DIV/0!</v>
      </c>
      <c r="O261" s="323" t="e">
        <f t="shared" si="173"/>
        <v>#DIV/0!</v>
      </c>
      <c r="P261" s="324"/>
      <c r="Q261" s="324"/>
      <c r="R261" s="324"/>
      <c r="S261" s="324"/>
      <c r="T261" s="324"/>
      <c r="U261" s="324"/>
      <c r="V261" s="324"/>
      <c r="W261" s="324"/>
      <c r="X261" s="324"/>
      <c r="Y261" s="324"/>
      <c r="Z261" s="17"/>
    </row>
    <row r="262" spans="1:26" ht="11.25" hidden="1" customHeight="1" outlineLevel="1" x14ac:dyDescent="0.25">
      <c r="A262" s="1"/>
      <c r="B262" s="1"/>
      <c r="C262" s="1"/>
      <c r="D262" s="1"/>
      <c r="E262" s="318" t="s">
        <v>151</v>
      </c>
      <c r="F262" s="315" t="s">
        <v>28</v>
      </c>
      <c r="G262" s="315"/>
      <c r="H262" s="316">
        <f t="shared" ref="H262:O262" si="174">H263 * H222</f>
        <v>0</v>
      </c>
      <c r="I262" s="316">
        <f t="shared" si="174"/>
        <v>0</v>
      </c>
      <c r="J262" s="316">
        <f t="shared" si="174"/>
        <v>0</v>
      </c>
      <c r="K262" s="316">
        <f t="shared" si="174"/>
        <v>0</v>
      </c>
      <c r="L262" s="316">
        <f t="shared" si="174"/>
        <v>0</v>
      </c>
      <c r="M262" s="316">
        <f t="shared" si="174"/>
        <v>0</v>
      </c>
      <c r="N262" s="316">
        <f t="shared" si="174"/>
        <v>0</v>
      </c>
      <c r="O262" s="316">
        <f t="shared" si="174"/>
        <v>0</v>
      </c>
      <c r="P262" s="316"/>
      <c r="Q262" s="316"/>
      <c r="R262" s="316"/>
      <c r="S262" s="316"/>
      <c r="T262" s="316"/>
      <c r="U262" s="316"/>
      <c r="V262" s="316"/>
      <c r="W262" s="316"/>
      <c r="X262" s="316"/>
      <c r="Y262" s="316"/>
    </row>
    <row r="263" spans="1:26" ht="11.25" hidden="1" customHeight="1" outlineLevel="1" x14ac:dyDescent="0.25">
      <c r="A263" s="1"/>
      <c r="B263" s="1"/>
      <c r="C263" s="1"/>
      <c r="D263" s="1"/>
      <c r="E263" s="322" t="s">
        <v>650</v>
      </c>
      <c r="F263" s="315" t="s">
        <v>8</v>
      </c>
      <c r="G263" s="315"/>
      <c r="H263" s="325">
        <v>0.75</v>
      </c>
      <c r="I263" s="325">
        <v>0.75</v>
      </c>
      <c r="J263" s="325">
        <v>0.75</v>
      </c>
      <c r="K263" s="325">
        <v>0.75</v>
      </c>
      <c r="L263" s="325">
        <v>0.75</v>
      </c>
      <c r="M263" s="325">
        <v>0.75</v>
      </c>
      <c r="N263" s="325">
        <v>0.75</v>
      </c>
      <c r="O263" s="325">
        <v>0.75</v>
      </c>
      <c r="P263" s="325"/>
      <c r="Q263" s="325"/>
      <c r="R263" s="325"/>
      <c r="S263" s="325"/>
      <c r="T263" s="325"/>
      <c r="U263" s="325"/>
      <c r="V263" s="325"/>
      <c r="W263" s="325"/>
      <c r="X263" s="325"/>
      <c r="Y263" s="325"/>
      <c r="Z263" s="192"/>
    </row>
    <row r="264" spans="1:26" ht="11.25" hidden="1" customHeight="1" outlineLevel="1" x14ac:dyDescent="0.25">
      <c r="A264" s="1"/>
      <c r="B264" s="1"/>
      <c r="C264" s="1"/>
      <c r="D264" s="1"/>
      <c r="E264" s="322"/>
      <c r="F264" s="315"/>
      <c r="G264" s="315"/>
      <c r="H264" s="316"/>
      <c r="I264" s="316"/>
      <c r="J264" s="316"/>
      <c r="K264" s="316"/>
      <c r="L264" s="316"/>
      <c r="M264" s="316"/>
      <c r="N264" s="317"/>
      <c r="O264" s="317"/>
      <c r="P264" s="317"/>
      <c r="Q264" s="317"/>
      <c r="R264" s="317"/>
      <c r="S264" s="317"/>
      <c r="T264" s="317"/>
      <c r="U264" s="317"/>
      <c r="V264" s="317"/>
      <c r="W264" s="317"/>
      <c r="X264" s="317"/>
      <c r="Y264" s="317"/>
    </row>
    <row r="265" spans="1:26" ht="11.25" hidden="1" customHeight="1" outlineLevel="1" x14ac:dyDescent="0.25">
      <c r="A265" s="1"/>
      <c r="B265" s="1"/>
      <c r="C265" s="1"/>
      <c r="D265" s="1"/>
      <c r="E265" s="314" t="s">
        <v>660</v>
      </c>
      <c r="F265" s="315"/>
      <c r="G265" s="315"/>
      <c r="H265" s="316"/>
      <c r="I265" s="316"/>
      <c r="J265" s="316"/>
      <c r="K265" s="316"/>
      <c r="L265" s="316"/>
      <c r="M265" s="316"/>
      <c r="N265" s="317"/>
      <c r="O265" s="317"/>
      <c r="P265" s="317"/>
      <c r="Q265" s="317"/>
      <c r="R265" s="317"/>
      <c r="S265" s="317"/>
      <c r="T265" s="317"/>
      <c r="U265" s="317"/>
      <c r="V265" s="317"/>
      <c r="W265" s="317"/>
      <c r="X265" s="317"/>
      <c r="Y265" s="317"/>
    </row>
    <row r="266" spans="1:26" ht="11.25" hidden="1" customHeight="1" outlineLevel="1" x14ac:dyDescent="0.25">
      <c r="A266" s="1"/>
      <c r="B266" s="1"/>
      <c r="C266" s="1"/>
      <c r="D266" s="1"/>
      <c r="E266" s="318" t="s">
        <v>661</v>
      </c>
      <c r="F266" s="315" t="s">
        <v>11</v>
      </c>
      <c r="G266" s="315"/>
      <c r="H266" s="345">
        <v>25</v>
      </c>
      <c r="I266" s="345">
        <v>25</v>
      </c>
      <c r="J266" s="345">
        <v>25</v>
      </c>
      <c r="K266" s="345">
        <v>25</v>
      </c>
      <c r="L266" s="345">
        <v>25</v>
      </c>
      <c r="M266" s="345">
        <v>25</v>
      </c>
      <c r="N266" s="345">
        <v>25</v>
      </c>
      <c r="O266" s="345">
        <v>25</v>
      </c>
      <c r="P266" s="320"/>
      <c r="Q266" s="320"/>
      <c r="R266" s="320"/>
      <c r="S266" s="320"/>
      <c r="T266" s="320"/>
      <c r="U266" s="320"/>
      <c r="V266" s="320"/>
      <c r="W266" s="320"/>
      <c r="X266" s="320"/>
      <c r="Y266" s="320"/>
    </row>
    <row r="267" spans="1:26" ht="11.25" hidden="1" customHeight="1" outlineLevel="1" x14ac:dyDescent="0.25">
      <c r="A267" s="1"/>
      <c r="B267" s="1"/>
      <c r="C267" s="1"/>
      <c r="D267" s="1"/>
      <c r="E267" s="318" t="s">
        <v>657</v>
      </c>
      <c r="F267" s="315" t="s">
        <v>658</v>
      </c>
      <c r="G267" s="315"/>
      <c r="H267" s="321">
        <f t="shared" ref="H267:O267" si="175">((H224 / H266) / 362 ) * 1000000</f>
        <v>0</v>
      </c>
      <c r="I267" s="321">
        <f t="shared" si="175"/>
        <v>0</v>
      </c>
      <c r="J267" s="321">
        <f t="shared" si="175"/>
        <v>0</v>
      </c>
      <c r="K267" s="321">
        <f t="shared" si="175"/>
        <v>0</v>
      </c>
      <c r="L267" s="321">
        <f t="shared" si="175"/>
        <v>0</v>
      </c>
      <c r="M267" s="321">
        <f t="shared" si="175"/>
        <v>0</v>
      </c>
      <c r="N267" s="321">
        <f t="shared" si="175"/>
        <v>0</v>
      </c>
      <c r="O267" s="321">
        <f t="shared" si="175"/>
        <v>0</v>
      </c>
      <c r="P267" s="317"/>
      <c r="Q267" s="317"/>
      <c r="R267" s="317"/>
      <c r="S267" s="317"/>
      <c r="T267" s="317"/>
      <c r="U267" s="317"/>
      <c r="V267" s="317"/>
      <c r="W267" s="317"/>
      <c r="X267" s="317"/>
      <c r="Y267" s="317"/>
    </row>
    <row r="268" spans="1:26" ht="11.25" hidden="1" customHeight="1" outlineLevel="1" x14ac:dyDescent="0.25">
      <c r="A268" s="1"/>
      <c r="B268" s="1"/>
      <c r="C268" s="1"/>
      <c r="D268" s="1"/>
      <c r="E268" s="322" t="s">
        <v>659</v>
      </c>
      <c r="F268" s="315" t="s">
        <v>8</v>
      </c>
      <c r="G268" s="315"/>
      <c r="H268" s="316"/>
      <c r="I268" s="323" t="e">
        <f t="shared" ref="I268:O268" si="176">I267 / H267 -1</f>
        <v>#DIV/0!</v>
      </c>
      <c r="J268" s="323" t="e">
        <f t="shared" si="176"/>
        <v>#DIV/0!</v>
      </c>
      <c r="K268" s="323" t="e">
        <f t="shared" si="176"/>
        <v>#DIV/0!</v>
      </c>
      <c r="L268" s="323" t="e">
        <f t="shared" si="176"/>
        <v>#DIV/0!</v>
      </c>
      <c r="M268" s="323" t="e">
        <f t="shared" si="176"/>
        <v>#DIV/0!</v>
      </c>
      <c r="N268" s="323" t="e">
        <f t="shared" si="176"/>
        <v>#DIV/0!</v>
      </c>
      <c r="O268" s="323" t="e">
        <f t="shared" si="176"/>
        <v>#DIV/0!</v>
      </c>
      <c r="P268" s="324"/>
      <c r="Q268" s="324"/>
      <c r="R268" s="324"/>
      <c r="S268" s="324"/>
      <c r="T268" s="324"/>
      <c r="U268" s="324"/>
      <c r="V268" s="324"/>
      <c r="W268" s="324"/>
      <c r="X268" s="324"/>
      <c r="Y268" s="324"/>
      <c r="Z268" s="17"/>
    </row>
    <row r="269" spans="1:26" ht="11.25" hidden="1" customHeight="1" outlineLevel="1" x14ac:dyDescent="0.25">
      <c r="A269" s="1"/>
      <c r="B269" s="1"/>
      <c r="C269" s="1"/>
      <c r="D269" s="1"/>
      <c r="E269" s="318" t="s">
        <v>151</v>
      </c>
      <c r="F269" s="315" t="s">
        <v>28</v>
      </c>
      <c r="G269" s="315"/>
      <c r="H269" s="316">
        <f t="shared" ref="H269:O269" si="177">H224 * H270</f>
        <v>0</v>
      </c>
      <c r="I269" s="316">
        <f t="shared" si="177"/>
        <v>0</v>
      </c>
      <c r="J269" s="316">
        <f t="shared" si="177"/>
        <v>0</v>
      </c>
      <c r="K269" s="316">
        <f t="shared" si="177"/>
        <v>0</v>
      </c>
      <c r="L269" s="316">
        <f t="shared" si="177"/>
        <v>0</v>
      </c>
      <c r="M269" s="316">
        <f t="shared" si="177"/>
        <v>0</v>
      </c>
      <c r="N269" s="316">
        <f t="shared" si="177"/>
        <v>0</v>
      </c>
      <c r="O269" s="316">
        <f t="shared" si="177"/>
        <v>0</v>
      </c>
      <c r="P269" s="316"/>
      <c r="Q269" s="316"/>
      <c r="R269" s="316"/>
      <c r="S269" s="316"/>
      <c r="T269" s="316"/>
      <c r="U269" s="316"/>
      <c r="V269" s="316"/>
      <c r="W269" s="316"/>
      <c r="X269" s="316"/>
      <c r="Y269" s="316"/>
    </row>
    <row r="270" spans="1:26" ht="11.25" hidden="1" customHeight="1" outlineLevel="1" x14ac:dyDescent="0.25">
      <c r="A270" s="1"/>
      <c r="B270" s="1"/>
      <c r="C270" s="1"/>
      <c r="D270" s="1"/>
      <c r="E270" s="322" t="s">
        <v>650</v>
      </c>
      <c r="F270" s="315" t="s">
        <v>8</v>
      </c>
      <c r="G270" s="315"/>
      <c r="H270" s="325">
        <v>0.55000000000000004</v>
      </c>
      <c r="I270" s="325">
        <v>0.55000000000000004</v>
      </c>
      <c r="J270" s="325">
        <v>0.55000000000000004</v>
      </c>
      <c r="K270" s="325">
        <v>0.55000000000000004</v>
      </c>
      <c r="L270" s="325">
        <v>0.55000000000000004</v>
      </c>
      <c r="M270" s="325">
        <v>0.55000000000000004</v>
      </c>
      <c r="N270" s="325">
        <v>0.55000000000000004</v>
      </c>
      <c r="O270" s="325">
        <v>0.55000000000000004</v>
      </c>
      <c r="P270" s="325"/>
      <c r="Q270" s="325"/>
      <c r="R270" s="325"/>
      <c r="S270" s="325"/>
      <c r="T270" s="325"/>
      <c r="U270" s="325"/>
      <c r="V270" s="325"/>
      <c r="W270" s="325"/>
      <c r="X270" s="325"/>
      <c r="Y270" s="325"/>
    </row>
    <row r="271" spans="1:26" ht="11.25" hidden="1" customHeight="1" outlineLevel="1" x14ac:dyDescent="0.25">
      <c r="A271" s="1"/>
      <c r="B271" s="1"/>
      <c r="C271" s="1"/>
      <c r="D271" s="1"/>
      <c r="E271" s="322"/>
      <c r="F271" s="315"/>
      <c r="G271" s="315"/>
      <c r="H271" s="316"/>
      <c r="I271" s="316"/>
      <c r="J271" s="316"/>
      <c r="K271" s="316"/>
      <c r="L271" s="316"/>
      <c r="M271" s="316"/>
      <c r="N271" s="317"/>
      <c r="O271" s="317"/>
      <c r="P271" s="317"/>
      <c r="Q271" s="317"/>
      <c r="R271" s="317"/>
      <c r="S271" s="317"/>
      <c r="T271" s="317"/>
      <c r="U271" s="317"/>
      <c r="V271" s="317"/>
      <c r="W271" s="317"/>
      <c r="X271" s="317"/>
      <c r="Y271" s="317"/>
    </row>
    <row r="272" spans="1:26" ht="11.25" hidden="1" customHeight="1" outlineLevel="1" x14ac:dyDescent="0.25">
      <c r="A272" s="1"/>
      <c r="B272" s="1"/>
      <c r="C272" s="1"/>
      <c r="D272" s="1"/>
      <c r="E272" s="314" t="s">
        <v>640</v>
      </c>
      <c r="F272" s="315"/>
      <c r="G272" s="315"/>
      <c r="H272" s="316"/>
      <c r="I272" s="316"/>
      <c r="J272" s="316"/>
      <c r="K272" s="316"/>
      <c r="L272" s="316"/>
      <c r="M272" s="316"/>
      <c r="N272" s="317"/>
      <c r="O272" s="317"/>
      <c r="P272" s="317"/>
      <c r="Q272" s="317"/>
      <c r="R272" s="317"/>
      <c r="S272" s="317"/>
      <c r="T272" s="317"/>
      <c r="U272" s="317"/>
      <c r="V272" s="317"/>
      <c r="W272" s="317"/>
      <c r="X272" s="317"/>
      <c r="Y272" s="317"/>
    </row>
    <row r="273" spans="1:37" ht="11.25" hidden="1" customHeight="1" outlineLevel="1" x14ac:dyDescent="0.25">
      <c r="A273" s="1"/>
      <c r="B273" s="1"/>
      <c r="C273" s="1"/>
      <c r="D273" s="1"/>
      <c r="E273" s="318" t="s">
        <v>662</v>
      </c>
      <c r="F273" s="315" t="s">
        <v>11</v>
      </c>
      <c r="G273" s="315"/>
      <c r="H273" s="345">
        <v>10</v>
      </c>
      <c r="I273" s="345">
        <v>10</v>
      </c>
      <c r="J273" s="345">
        <v>10</v>
      </c>
      <c r="K273" s="345">
        <v>10</v>
      </c>
      <c r="L273" s="345">
        <v>10</v>
      </c>
      <c r="M273" s="345">
        <v>10</v>
      </c>
      <c r="N273" s="345">
        <v>10</v>
      </c>
      <c r="O273" s="345">
        <v>10</v>
      </c>
      <c r="P273" s="320"/>
      <c r="Q273" s="320"/>
      <c r="R273" s="320"/>
      <c r="S273" s="320"/>
      <c r="T273" s="320"/>
      <c r="U273" s="320"/>
      <c r="V273" s="320"/>
      <c r="W273" s="320"/>
      <c r="X273" s="320"/>
      <c r="Y273" s="320"/>
    </row>
    <row r="274" spans="1:37" ht="11.25" hidden="1" customHeight="1" outlineLevel="1" x14ac:dyDescent="0.25">
      <c r="A274" s="1"/>
      <c r="B274" s="1"/>
      <c r="C274" s="1"/>
      <c r="D274" s="1"/>
      <c r="E274" s="318" t="s">
        <v>663</v>
      </c>
      <c r="F274" s="315" t="s">
        <v>658</v>
      </c>
      <c r="G274" s="315"/>
      <c r="H274" s="321">
        <f t="shared" ref="H274:O274" si="178">((H229 / H273) / 362 ) * 1000000</f>
        <v>2458.5635359116022</v>
      </c>
      <c r="I274" s="321">
        <f t="shared" si="178"/>
        <v>2720.441988950276</v>
      </c>
      <c r="J274" s="321">
        <f t="shared" si="178"/>
        <v>2719.6132596685115</v>
      </c>
      <c r="K274" s="321">
        <f t="shared" si="178"/>
        <v>2928.1767955801133</v>
      </c>
      <c r="L274" s="321">
        <f t="shared" si="178"/>
        <v>3124.03314917127</v>
      </c>
      <c r="M274" s="321">
        <f t="shared" si="178"/>
        <v>2368.7845303867434</v>
      </c>
      <c r="N274" s="321">
        <f t="shared" si="178"/>
        <v>2903.3149171270738</v>
      </c>
      <c r="O274" s="321">
        <f t="shared" si="178"/>
        <v>2872.9281767955804</v>
      </c>
      <c r="P274" s="317"/>
      <c r="Q274" s="317"/>
      <c r="R274" s="317"/>
      <c r="S274" s="317"/>
      <c r="T274" s="317"/>
      <c r="U274" s="317"/>
      <c r="V274" s="317"/>
      <c r="W274" s="317"/>
      <c r="X274" s="317"/>
      <c r="Y274" s="317"/>
    </row>
    <row r="275" spans="1:37" ht="11.25" hidden="1" customHeight="1" outlineLevel="1" x14ac:dyDescent="0.25">
      <c r="A275" s="1"/>
      <c r="B275" s="1"/>
      <c r="C275" s="1"/>
      <c r="D275" s="1"/>
      <c r="E275" s="322" t="s">
        <v>659</v>
      </c>
      <c r="F275" s="315" t="s">
        <v>8</v>
      </c>
      <c r="G275" s="315"/>
      <c r="H275" s="316"/>
      <c r="I275" s="323">
        <f t="shared" ref="I275:O275" si="179">I274 / H274 -1</f>
        <v>0.10651685393258425</v>
      </c>
      <c r="J275" s="323">
        <f t="shared" si="179"/>
        <v>-3.0463038180217339E-4</v>
      </c>
      <c r="K275" s="323">
        <f t="shared" si="179"/>
        <v>7.6688674454037375E-2</v>
      </c>
      <c r="L275" s="323">
        <f t="shared" si="179"/>
        <v>6.6886792452828914E-2</v>
      </c>
      <c r="M275" s="323">
        <f t="shared" si="179"/>
        <v>-0.24175435493854336</v>
      </c>
      <c r="N275" s="323">
        <f t="shared" si="179"/>
        <v>0.22565597667638415</v>
      </c>
      <c r="O275" s="323">
        <f t="shared" si="179"/>
        <v>-1.0466222645100554E-2</v>
      </c>
      <c r="P275" s="324"/>
      <c r="Q275" s="324"/>
      <c r="R275" s="324"/>
      <c r="S275" s="324"/>
      <c r="T275" s="324"/>
      <c r="U275" s="324"/>
      <c r="V275" s="324"/>
      <c r="W275" s="324"/>
      <c r="X275" s="324"/>
      <c r="Y275" s="324"/>
    </row>
    <row r="276" spans="1:37" ht="11.25" hidden="1" customHeight="1" outlineLevel="1" x14ac:dyDescent="0.25">
      <c r="A276" s="1"/>
      <c r="B276" s="1"/>
      <c r="C276" s="1"/>
      <c r="D276" s="1"/>
      <c r="E276" s="318" t="s">
        <v>151</v>
      </c>
      <c r="F276" s="315" t="s">
        <v>28</v>
      </c>
      <c r="G276" s="315"/>
      <c r="H276" s="342">
        <f t="shared" ref="H276:O276" si="180">H229 * H277</f>
        <v>1.335</v>
      </c>
      <c r="I276" s="342">
        <f t="shared" si="180"/>
        <v>1.4771999999999998</v>
      </c>
      <c r="J276" s="342">
        <f t="shared" si="180"/>
        <v>1.476750000000002</v>
      </c>
      <c r="K276" s="342">
        <f t="shared" si="180"/>
        <v>1.5900000000000012</v>
      </c>
      <c r="L276" s="342">
        <f t="shared" si="180"/>
        <v>1.6963499999999996</v>
      </c>
      <c r="M276" s="342">
        <f t="shared" si="180"/>
        <v>0.68600000000000083</v>
      </c>
      <c r="N276" s="342">
        <f t="shared" si="180"/>
        <v>0.84080000000000044</v>
      </c>
      <c r="O276" s="342">
        <f t="shared" si="180"/>
        <v>0.83200000000000007</v>
      </c>
      <c r="P276" s="342"/>
      <c r="Q276" s="342"/>
      <c r="R276" s="342"/>
      <c r="S276" s="342"/>
      <c r="T276" s="342"/>
      <c r="U276" s="342"/>
      <c r="V276" s="342"/>
      <c r="W276" s="342"/>
      <c r="X276" s="342"/>
      <c r="Y276" s="342"/>
    </row>
    <row r="277" spans="1:37" ht="11.25" hidden="1" customHeight="1" outlineLevel="1" x14ac:dyDescent="0.25">
      <c r="A277" s="1"/>
      <c r="B277" s="1"/>
      <c r="C277" s="1"/>
      <c r="D277" s="1"/>
      <c r="E277" s="322" t="s">
        <v>650</v>
      </c>
      <c r="F277" s="315" t="s">
        <v>8</v>
      </c>
      <c r="G277" s="315"/>
      <c r="H277" s="325">
        <v>0.15</v>
      </c>
      <c r="I277" s="325">
        <v>0.15</v>
      </c>
      <c r="J277" s="325">
        <v>0.15</v>
      </c>
      <c r="K277" s="325">
        <v>0.15</v>
      </c>
      <c r="L277" s="325">
        <v>0.15</v>
      </c>
      <c r="M277" s="325">
        <v>0.08</v>
      </c>
      <c r="N277" s="325">
        <v>0.08</v>
      </c>
      <c r="O277" s="325">
        <v>0.08</v>
      </c>
      <c r="P277" s="325"/>
      <c r="Q277" s="325"/>
      <c r="R277" s="325"/>
      <c r="S277" s="325"/>
      <c r="T277" s="325"/>
      <c r="U277" s="325"/>
      <c r="V277" s="325"/>
      <c r="W277" s="325"/>
      <c r="X277" s="325"/>
      <c r="Y277" s="325"/>
    </row>
    <row r="278" spans="1:37" ht="11.25" hidden="1" customHeight="1" outlineLevel="1" x14ac:dyDescent="0.25">
      <c r="A278" s="1"/>
      <c r="B278" s="1"/>
      <c r="C278" s="1"/>
      <c r="D278" s="1"/>
      <c r="E278" s="318"/>
      <c r="F278" s="315"/>
      <c r="G278" s="315"/>
      <c r="H278" s="316"/>
      <c r="I278" s="316"/>
      <c r="J278" s="316"/>
      <c r="K278" s="316"/>
      <c r="L278" s="316"/>
      <c r="M278" s="316"/>
      <c r="N278" s="317"/>
      <c r="O278" s="317"/>
      <c r="P278" s="324"/>
      <c r="Q278" s="324"/>
      <c r="R278" s="324"/>
      <c r="S278" s="324"/>
      <c r="T278" s="324"/>
      <c r="U278" s="324"/>
      <c r="V278" s="324"/>
      <c r="W278" s="324"/>
      <c r="X278" s="324"/>
      <c r="Y278" s="324"/>
    </row>
    <row r="279" spans="1:37" ht="15.75" hidden="1" customHeight="1" outlineLevel="1" x14ac:dyDescent="0.25">
      <c r="A279" s="1"/>
      <c r="B279" s="1"/>
      <c r="C279" s="199"/>
      <c r="D279" s="200"/>
      <c r="E279" s="200"/>
      <c r="F279" s="201"/>
      <c r="G279" s="201"/>
      <c r="H279" s="200"/>
      <c r="I279" s="200"/>
      <c r="J279" s="200"/>
      <c r="K279" s="202"/>
      <c r="L279" s="202"/>
      <c r="M279" s="202"/>
      <c r="N279" s="203"/>
      <c r="O279" s="203"/>
      <c r="P279" s="202"/>
      <c r="Q279" s="202"/>
      <c r="R279" s="202"/>
      <c r="S279" s="202"/>
      <c r="T279" s="202"/>
      <c r="U279" s="202"/>
      <c r="V279" s="202"/>
      <c r="W279" s="202"/>
      <c r="X279" s="202"/>
      <c r="Y279" s="202"/>
      <c r="Z279" s="1"/>
      <c r="AA279" s="1"/>
      <c r="AB279" s="1"/>
      <c r="AC279" s="1"/>
      <c r="AD279" s="1"/>
      <c r="AE279" s="1"/>
      <c r="AF279" s="1"/>
      <c r="AG279" s="1"/>
      <c r="AH279" s="1"/>
      <c r="AI279" s="1"/>
      <c r="AJ279" s="1"/>
      <c r="AK279" s="1"/>
    </row>
    <row r="280" spans="1:37" ht="15.75" hidden="1" customHeight="1" outlineLevel="1" x14ac:dyDescent="0.25"/>
    <row r="281" spans="1:37" ht="15.75" hidden="1" customHeight="1" outlineLevel="1" x14ac:dyDescent="0.25">
      <c r="A281" s="1"/>
      <c r="B281" s="1"/>
      <c r="C281" s="280" t="s">
        <v>266</v>
      </c>
      <c r="D281" s="281"/>
      <c r="E281" s="281"/>
      <c r="F281" s="282"/>
      <c r="G281" s="282"/>
      <c r="H281" s="281"/>
      <c r="I281" s="281"/>
      <c r="J281" s="281"/>
      <c r="K281" s="283"/>
      <c r="L281" s="283"/>
      <c r="M281" s="283"/>
      <c r="N281" s="284"/>
      <c r="O281" s="284"/>
      <c r="P281" s="283"/>
      <c r="Q281" s="283"/>
      <c r="R281" s="283"/>
      <c r="S281" s="283"/>
      <c r="T281" s="283"/>
      <c r="U281" s="283"/>
      <c r="V281" s="283"/>
      <c r="W281" s="283"/>
      <c r="X281" s="283"/>
      <c r="Y281" s="283"/>
      <c r="Z281" s="1"/>
      <c r="AA281" s="1"/>
      <c r="AB281" s="1"/>
      <c r="AC281" s="1"/>
      <c r="AD281" s="1"/>
      <c r="AE281" s="1"/>
      <c r="AF281" s="1"/>
      <c r="AG281" s="1"/>
      <c r="AH281" s="1"/>
      <c r="AI281" s="1"/>
      <c r="AJ281" s="1"/>
      <c r="AK281" s="1"/>
    </row>
    <row r="282" spans="1:37" ht="15.75" hidden="1" customHeight="1" outlineLevel="1" x14ac:dyDescent="0.25">
      <c r="A282" s="1"/>
      <c r="B282" s="1"/>
      <c r="C282" s="2"/>
      <c r="D282" s="1"/>
      <c r="E282" s="1"/>
      <c r="F282" s="33"/>
      <c r="G282" s="33"/>
      <c r="H282" s="292"/>
      <c r="I282" s="292"/>
      <c r="J282" s="292"/>
      <c r="K282" s="292"/>
      <c r="L282" s="292"/>
      <c r="M282" s="285"/>
      <c r="N282" s="285"/>
      <c r="O282" s="285"/>
      <c r="P282" s="162"/>
      <c r="Q282" s="162"/>
      <c r="R282" s="162"/>
      <c r="S282" s="162"/>
      <c r="T282" s="162"/>
      <c r="U282" s="162"/>
      <c r="V282" s="162"/>
      <c r="W282" s="162"/>
      <c r="X282" s="162"/>
      <c r="Y282" s="162"/>
      <c r="Z282" s="1"/>
      <c r="AA282" s="1"/>
      <c r="AB282" s="1"/>
      <c r="AC282" s="1"/>
      <c r="AD282" s="1"/>
      <c r="AE282" s="1"/>
      <c r="AF282" s="1"/>
      <c r="AG282" s="1"/>
      <c r="AH282" s="1"/>
      <c r="AI282" s="1"/>
      <c r="AJ282" s="1"/>
      <c r="AK282" s="1"/>
    </row>
    <row r="283" spans="1:37" ht="15.75" hidden="1" customHeight="1" outlineLevel="1" x14ac:dyDescent="0.25">
      <c r="A283" s="1"/>
      <c r="B283" s="1"/>
      <c r="C283" s="2"/>
      <c r="D283" s="1"/>
      <c r="E283" s="1" t="s">
        <v>635</v>
      </c>
      <c r="F283" s="33" t="s">
        <v>678</v>
      </c>
      <c r="G283" s="33"/>
      <c r="H283" s="482"/>
      <c r="I283" s="482"/>
      <c r="J283" s="482"/>
      <c r="K283" s="482"/>
      <c r="L283" s="482"/>
      <c r="M283" s="482"/>
      <c r="N283" s="482"/>
      <c r="O283" s="482"/>
      <c r="P283" s="287"/>
      <c r="Q283" s="287"/>
      <c r="R283" s="287"/>
      <c r="S283" s="287"/>
      <c r="T283" s="287"/>
      <c r="U283" s="287"/>
      <c r="V283" s="287"/>
      <c r="W283" s="287"/>
      <c r="X283" s="287"/>
      <c r="Y283" s="287"/>
      <c r="Z283" s="1"/>
      <c r="AA283" s="1"/>
      <c r="AB283" s="1"/>
      <c r="AC283" s="1"/>
      <c r="AD283" s="1"/>
      <c r="AE283" s="1"/>
      <c r="AF283" s="1"/>
      <c r="AG283" s="1"/>
      <c r="AH283" s="1"/>
      <c r="AI283" s="1"/>
      <c r="AJ283" s="1"/>
      <c r="AK283" s="1"/>
    </row>
    <row r="284" spans="1:37" ht="15.75" hidden="1" customHeight="1" outlineLevel="1" x14ac:dyDescent="0.25">
      <c r="A284" s="1"/>
      <c r="B284" s="1"/>
      <c r="C284" s="2"/>
      <c r="D284" s="1"/>
      <c r="E284" s="44" t="s">
        <v>625</v>
      </c>
      <c r="F284" s="33" t="s">
        <v>8</v>
      </c>
      <c r="G284" s="33"/>
      <c r="H284" s="482"/>
      <c r="I284" s="486"/>
      <c r="J284" s="486"/>
      <c r="K284" s="486"/>
      <c r="L284" s="486"/>
      <c r="M284" s="486"/>
      <c r="N284" s="486"/>
      <c r="O284" s="486"/>
      <c r="P284" s="287"/>
      <c r="Q284" s="287"/>
      <c r="R284" s="287"/>
      <c r="S284" s="287"/>
      <c r="T284" s="287"/>
      <c r="U284" s="287"/>
      <c r="V284" s="287"/>
      <c r="W284" s="287"/>
      <c r="X284" s="287"/>
      <c r="Y284" s="287"/>
      <c r="Z284" s="1"/>
      <c r="AA284" s="1"/>
      <c r="AB284" s="1"/>
      <c r="AC284" s="1"/>
      <c r="AD284" s="1"/>
      <c r="AE284" s="1"/>
      <c r="AF284" s="1"/>
      <c r="AG284" s="1"/>
      <c r="AH284" s="1"/>
      <c r="AI284" s="1"/>
      <c r="AJ284" s="1"/>
      <c r="AK284" s="1"/>
    </row>
    <row r="285" spans="1:37" ht="15.75" hidden="1" customHeight="1" outlineLevel="1" x14ac:dyDescent="0.25">
      <c r="A285" s="1"/>
      <c r="B285" s="1"/>
      <c r="C285" s="2"/>
      <c r="D285" s="1"/>
      <c r="E285" s="290" t="s">
        <v>636</v>
      </c>
      <c r="F285" s="33" t="s">
        <v>678</v>
      </c>
      <c r="G285" s="33"/>
      <c r="H285" s="482"/>
      <c r="I285" s="482"/>
      <c r="J285" s="482"/>
      <c r="K285" s="482"/>
      <c r="L285" s="482"/>
      <c r="M285" s="482"/>
      <c r="N285" s="482"/>
      <c r="O285" s="482"/>
      <c r="P285" s="287"/>
      <c r="Q285" s="287"/>
      <c r="R285" s="287"/>
      <c r="S285" s="287"/>
      <c r="T285" s="287"/>
      <c r="U285" s="287"/>
      <c r="V285" s="287"/>
      <c r="W285" s="287"/>
      <c r="X285" s="287"/>
      <c r="Y285" s="287"/>
      <c r="Z285" s="1"/>
      <c r="AA285" s="1"/>
      <c r="AB285" s="1"/>
      <c r="AC285" s="1"/>
      <c r="AD285" s="1"/>
      <c r="AE285" s="1"/>
      <c r="AF285" s="1"/>
      <c r="AG285" s="1"/>
      <c r="AH285" s="1"/>
      <c r="AI285" s="1"/>
      <c r="AJ285" s="1"/>
      <c r="AK285" s="1"/>
    </row>
    <row r="286" spans="1:37" ht="15.75" hidden="1" customHeight="1" outlineLevel="1" x14ac:dyDescent="0.25">
      <c r="A286" s="1"/>
      <c r="B286" s="1"/>
      <c r="C286" s="2"/>
      <c r="D286" s="1"/>
      <c r="E286" s="291" t="s">
        <v>679</v>
      </c>
      <c r="F286" s="33" t="s">
        <v>8</v>
      </c>
      <c r="G286" s="33"/>
      <c r="H286" s="482"/>
      <c r="I286" s="486"/>
      <c r="J286" s="486"/>
      <c r="K286" s="486"/>
      <c r="L286" s="486"/>
      <c r="M286" s="486"/>
      <c r="N286" s="486"/>
      <c r="O286" s="486"/>
      <c r="P286" s="287"/>
      <c r="Q286" s="287"/>
      <c r="R286" s="287"/>
      <c r="S286" s="287"/>
      <c r="T286" s="287"/>
      <c r="U286" s="287"/>
      <c r="V286" s="287"/>
      <c r="W286" s="287"/>
      <c r="X286" s="287"/>
      <c r="Y286" s="287"/>
      <c r="Z286" s="1"/>
      <c r="AA286" s="1"/>
      <c r="AB286" s="1"/>
      <c r="AC286" s="1"/>
      <c r="AD286" s="1"/>
      <c r="AE286" s="1"/>
      <c r="AF286" s="1"/>
      <c r="AG286" s="1"/>
      <c r="AH286" s="1"/>
      <c r="AI286" s="1"/>
      <c r="AJ286" s="1"/>
      <c r="AK286" s="1"/>
    </row>
    <row r="287" spans="1:37" ht="15.75" hidden="1" customHeight="1" outlineLevel="1" x14ac:dyDescent="0.25">
      <c r="A287" s="1"/>
      <c r="B287" s="1"/>
      <c r="C287" s="2"/>
      <c r="D287" s="1"/>
      <c r="E287" s="290" t="s">
        <v>637</v>
      </c>
      <c r="F287" s="33" t="s">
        <v>678</v>
      </c>
      <c r="G287" s="33"/>
      <c r="H287" s="292">
        <v>-11.4</v>
      </c>
      <c r="I287" s="292">
        <v>-11.6</v>
      </c>
      <c r="J287" s="292">
        <v>-11.7</v>
      </c>
      <c r="K287" s="292">
        <v>-8.6999999999999993</v>
      </c>
      <c r="L287" s="292">
        <v>-13.4</v>
      </c>
      <c r="M287" s="292">
        <v>-12.6</v>
      </c>
      <c r="N287" s="292">
        <v>-15.4</v>
      </c>
      <c r="O287" s="292">
        <v>-15.5</v>
      </c>
      <c r="P287" s="80">
        <v>-14.536080000000002</v>
      </c>
      <c r="Q287" s="80">
        <v>-14.7541212</v>
      </c>
      <c r="R287" s="80">
        <v>-14.975433018</v>
      </c>
      <c r="S287" s="80">
        <v>-15.237503095815002</v>
      </c>
      <c r="T287" s="80">
        <v>-15.504159399991767</v>
      </c>
      <c r="U287" s="80">
        <v>-15.775482189491624</v>
      </c>
      <c r="V287" s="80">
        <v>-16.051553127807729</v>
      </c>
      <c r="W287" s="80">
        <v>-16.332455307544365</v>
      </c>
      <c r="X287" s="80">
        <v>-16.618273275426393</v>
      </c>
      <c r="Y287" s="80">
        <v>-16.909093057746354</v>
      </c>
      <c r="Z287" s="293">
        <v>0.09</v>
      </c>
      <c r="AA287" s="17"/>
      <c r="AB287" s="1"/>
      <c r="AC287" s="1"/>
      <c r="AD287" s="1"/>
      <c r="AE287" s="1"/>
      <c r="AF287" s="1"/>
      <c r="AG287" s="1"/>
      <c r="AH287" s="1"/>
      <c r="AI287" s="1"/>
      <c r="AJ287" s="1"/>
      <c r="AK287" s="1"/>
    </row>
    <row r="288" spans="1:37" ht="15.75" hidden="1" customHeight="1" outlineLevel="1" x14ac:dyDescent="0.25">
      <c r="A288" s="1"/>
      <c r="B288" s="1"/>
      <c r="C288" s="2"/>
      <c r="D288" s="1"/>
      <c r="E288" s="294" t="s">
        <v>639</v>
      </c>
      <c r="F288" s="33" t="s">
        <v>678</v>
      </c>
      <c r="G288" s="33"/>
      <c r="H288" s="171">
        <v>114.5</v>
      </c>
      <c r="I288" s="171">
        <v>115.60000000000001</v>
      </c>
      <c r="J288" s="171">
        <v>117.2</v>
      </c>
      <c r="K288" s="171">
        <v>86.499999999999986</v>
      </c>
      <c r="L288" s="171">
        <v>134.20000000000002</v>
      </c>
      <c r="M288" s="171">
        <v>127.20000000000002</v>
      </c>
      <c r="N288" s="171">
        <v>155.4</v>
      </c>
      <c r="O288" s="171">
        <v>155.30000000000001</v>
      </c>
      <c r="P288" s="171">
        <v>161.51200000000003</v>
      </c>
      <c r="Q288" s="171">
        <v>163.93468000000001</v>
      </c>
      <c r="R288" s="171">
        <v>166.39370020000001</v>
      </c>
      <c r="S288" s="171">
        <v>169.30558995350003</v>
      </c>
      <c r="T288" s="171">
        <v>172.2684377776863</v>
      </c>
      <c r="U288" s="171">
        <v>175.28313543879582</v>
      </c>
      <c r="V288" s="171">
        <v>178.35059030897477</v>
      </c>
      <c r="W288" s="171">
        <v>181.47172563938184</v>
      </c>
      <c r="X288" s="171">
        <v>184.64748083807103</v>
      </c>
      <c r="Y288" s="171">
        <v>187.87881175273728</v>
      </c>
      <c r="Z288" s="17"/>
      <c r="AA288" s="1"/>
      <c r="AB288" s="1"/>
      <c r="AC288" s="1"/>
      <c r="AD288" s="1"/>
      <c r="AE288" s="1"/>
      <c r="AF288" s="1"/>
      <c r="AG288" s="1"/>
      <c r="AH288" s="1"/>
      <c r="AI288" s="1"/>
      <c r="AJ288" s="1"/>
      <c r="AK288" s="1"/>
    </row>
    <row r="289" spans="1:38" ht="15.75" hidden="1" customHeight="1" outlineLevel="1" x14ac:dyDescent="0.25">
      <c r="A289" s="1"/>
      <c r="B289" s="1"/>
      <c r="C289" s="2"/>
      <c r="D289" s="1"/>
      <c r="E289" s="290" t="s">
        <v>625</v>
      </c>
      <c r="F289" s="33"/>
      <c r="G289" s="33"/>
      <c r="H289" s="295"/>
      <c r="I289" s="485"/>
      <c r="J289" s="485"/>
      <c r="K289" s="484"/>
      <c r="L289" s="484"/>
      <c r="M289" s="484"/>
      <c r="N289" s="484"/>
      <c r="O289" s="485"/>
      <c r="P289" s="289"/>
      <c r="Q289" s="289"/>
      <c r="R289" s="289"/>
      <c r="S289" s="289"/>
      <c r="T289" s="289"/>
      <c r="U289" s="289"/>
      <c r="V289" s="289"/>
      <c r="W289" s="289"/>
      <c r="X289" s="289"/>
      <c r="Y289" s="289"/>
      <c r="Z289" s="1"/>
      <c r="AA289" s="1"/>
      <c r="AB289" s="1"/>
      <c r="AC289" s="1"/>
      <c r="AD289" s="1"/>
      <c r="AE289" s="1"/>
      <c r="AF289" s="1"/>
      <c r="AG289" s="1"/>
      <c r="AH289" s="1"/>
      <c r="AI289" s="1"/>
      <c r="AJ289" s="1"/>
      <c r="AK289" s="1"/>
    </row>
    <row r="290" spans="1:38" ht="15.75" hidden="1" customHeight="1" outlineLevel="1" x14ac:dyDescent="0.25">
      <c r="A290" s="1"/>
      <c r="B290" s="1"/>
      <c r="C290" s="2"/>
      <c r="D290" s="1"/>
      <c r="E290" s="290" t="s">
        <v>640</v>
      </c>
      <c r="F290" s="33" t="s">
        <v>678</v>
      </c>
      <c r="G290" s="33"/>
      <c r="H290" s="482"/>
      <c r="I290" s="482"/>
      <c r="J290" s="482"/>
      <c r="K290" s="482"/>
      <c r="L290" s="482"/>
      <c r="M290" s="482"/>
      <c r="N290" s="482"/>
      <c r="O290" s="482"/>
      <c r="P290" s="287"/>
      <c r="Q290" s="287"/>
      <c r="R290" s="287"/>
      <c r="S290" s="287"/>
      <c r="T290" s="287"/>
      <c r="U290" s="287"/>
      <c r="V290" s="287"/>
      <c r="W290" s="287"/>
      <c r="X290" s="287"/>
      <c r="Y290" s="287"/>
      <c r="Z290" s="1"/>
      <c r="AA290" s="1"/>
      <c r="AB290" s="1"/>
      <c r="AC290" s="1"/>
      <c r="AD290" s="1"/>
      <c r="AE290" s="1"/>
      <c r="AF290" s="1"/>
      <c r="AG290" s="1"/>
      <c r="AH290" s="1"/>
      <c r="AI290" s="1"/>
      <c r="AJ290" s="1"/>
      <c r="AK290" s="1"/>
    </row>
    <row r="291" spans="1:38" ht="15.75" hidden="1" customHeight="1" outlineLevel="1" x14ac:dyDescent="0.25">
      <c r="A291" s="1"/>
      <c r="B291" s="1"/>
      <c r="C291" s="2"/>
      <c r="D291" s="1"/>
      <c r="E291" s="291" t="s">
        <v>625</v>
      </c>
      <c r="F291" s="33" t="s">
        <v>8</v>
      </c>
      <c r="G291" s="33"/>
      <c r="H291" s="286"/>
      <c r="I291" s="298"/>
      <c r="J291" s="298"/>
      <c r="K291" s="298"/>
      <c r="L291" s="298"/>
      <c r="M291" s="298"/>
      <c r="N291" s="298"/>
      <c r="O291" s="298"/>
      <c r="P291" s="287"/>
      <c r="Q291" s="287"/>
      <c r="R291" s="287"/>
      <c r="S291" s="287"/>
      <c r="T291" s="287"/>
      <c r="U291" s="287"/>
      <c r="V291" s="287"/>
      <c r="W291" s="287"/>
      <c r="X291" s="287"/>
      <c r="Y291" s="287"/>
      <c r="Z291" s="1"/>
      <c r="AA291" s="1"/>
      <c r="AB291" s="1"/>
      <c r="AC291" s="1"/>
      <c r="AD291" s="1"/>
      <c r="AE291" s="1"/>
      <c r="AF291" s="1"/>
      <c r="AG291" s="1"/>
      <c r="AH291" s="1"/>
      <c r="AI291" s="1"/>
      <c r="AJ291" s="1"/>
      <c r="AK291" s="1"/>
    </row>
    <row r="292" spans="1:38" ht="15.75" hidden="1" customHeight="1" outlineLevel="1" x14ac:dyDescent="0.25">
      <c r="A292" s="1"/>
      <c r="B292" s="1"/>
      <c r="C292" s="2"/>
      <c r="D292" s="1"/>
      <c r="E292" s="296" t="s">
        <v>641</v>
      </c>
      <c r="F292" s="33" t="s">
        <v>678</v>
      </c>
      <c r="G292" s="33"/>
      <c r="H292" s="482"/>
      <c r="I292" s="482"/>
      <c r="J292" s="482"/>
      <c r="K292" s="482"/>
      <c r="L292" s="482"/>
      <c r="M292" s="482"/>
      <c r="N292" s="482"/>
      <c r="O292" s="482"/>
      <c r="P292" s="287"/>
      <c r="Q292" s="287"/>
      <c r="R292" s="287"/>
      <c r="S292" s="287"/>
      <c r="T292" s="287"/>
      <c r="U292" s="287"/>
      <c r="V292" s="287"/>
      <c r="W292" s="287"/>
      <c r="X292" s="287"/>
      <c r="Y292" s="287"/>
      <c r="Z292" s="1"/>
      <c r="AA292" s="1"/>
      <c r="AB292" s="1"/>
      <c r="AC292" s="1"/>
      <c r="AD292" s="1"/>
      <c r="AE292" s="1"/>
      <c r="AF292" s="1"/>
      <c r="AG292" s="1"/>
      <c r="AH292" s="1"/>
      <c r="AI292" s="1"/>
      <c r="AJ292" s="1"/>
      <c r="AK292" s="1"/>
    </row>
    <row r="293" spans="1:38" ht="15.75" hidden="1" customHeight="1" outlineLevel="1" x14ac:dyDescent="0.25">
      <c r="A293" s="1"/>
      <c r="B293" s="1"/>
      <c r="C293" s="2"/>
      <c r="D293" s="1"/>
      <c r="E293" s="296" t="s">
        <v>322</v>
      </c>
      <c r="F293" s="33"/>
      <c r="G293" s="33"/>
      <c r="H293" s="482"/>
      <c r="I293" s="482"/>
      <c r="J293" s="482"/>
      <c r="K293" s="482"/>
      <c r="L293" s="482"/>
      <c r="M293" s="482"/>
      <c r="N293" s="482"/>
      <c r="O293" s="482"/>
      <c r="P293" s="300"/>
      <c r="Q293" s="300"/>
      <c r="R293" s="300"/>
      <c r="S293" s="300"/>
      <c r="T293" s="300"/>
      <c r="U293" s="300"/>
      <c r="V293" s="300"/>
      <c r="W293" s="300"/>
      <c r="X293" s="300"/>
      <c r="Y293" s="300"/>
      <c r="Z293" s="17"/>
      <c r="AA293" s="1"/>
      <c r="AB293" s="1"/>
      <c r="AC293" s="1"/>
      <c r="AD293" s="1"/>
      <c r="AE293" s="1"/>
      <c r="AF293" s="1"/>
      <c r="AG293" s="1"/>
      <c r="AH293" s="1"/>
      <c r="AI293" s="1"/>
      <c r="AJ293" s="1"/>
      <c r="AK293" s="1"/>
    </row>
    <row r="294" spans="1:38" ht="15.75" hidden="1" customHeight="1" outlineLevel="1" x14ac:dyDescent="0.25">
      <c r="A294" s="1"/>
      <c r="B294" s="1"/>
      <c r="C294" s="2"/>
      <c r="D294" s="1"/>
      <c r="E294" s="294" t="s">
        <v>643</v>
      </c>
      <c r="F294" s="33" t="s">
        <v>678</v>
      </c>
      <c r="G294" s="33"/>
      <c r="H294" s="302">
        <v>22.2</v>
      </c>
      <c r="I294" s="302">
        <v>21.7</v>
      </c>
      <c r="J294" s="302">
        <v>19.8</v>
      </c>
      <c r="K294" s="302">
        <v>25.8</v>
      </c>
      <c r="L294" s="302">
        <v>49.3</v>
      </c>
      <c r="M294" s="302">
        <v>44.7</v>
      </c>
      <c r="N294" s="302">
        <v>65.69717254251492</v>
      </c>
      <c r="O294" s="302">
        <v>63.936496350364969</v>
      </c>
      <c r="P294" s="287">
        <v>63.936496350364969</v>
      </c>
      <c r="Q294" s="287">
        <v>68.731733576642341</v>
      </c>
      <c r="R294" s="287">
        <v>73.88661359489052</v>
      </c>
      <c r="S294" s="287">
        <v>77.580944274635044</v>
      </c>
      <c r="T294" s="287">
        <v>81.459991488366796</v>
      </c>
      <c r="U294" s="287">
        <v>85.532991062785143</v>
      </c>
      <c r="V294" s="287">
        <v>89.809640615924408</v>
      </c>
      <c r="W294" s="287">
        <v>94.300122646720638</v>
      </c>
      <c r="X294" s="287">
        <v>99.015128779056667</v>
      </c>
      <c r="Y294" s="287">
        <v>103.9658852180095</v>
      </c>
      <c r="Z294" s="1"/>
      <c r="AA294" s="1"/>
      <c r="AB294" s="1"/>
      <c r="AC294" s="1"/>
      <c r="AD294" s="1"/>
      <c r="AE294" s="1"/>
      <c r="AF294" s="1"/>
      <c r="AG294" s="1"/>
      <c r="AH294" s="1"/>
      <c r="AI294" s="1"/>
      <c r="AJ294" s="1"/>
      <c r="AK294" s="1"/>
    </row>
    <row r="295" spans="1:38" ht="15.75" hidden="1" customHeight="1" outlineLevel="1" x14ac:dyDescent="0.25">
      <c r="A295" s="1"/>
      <c r="B295" s="1"/>
      <c r="C295" s="2"/>
      <c r="D295" s="1"/>
      <c r="E295" s="291" t="s">
        <v>625</v>
      </c>
      <c r="F295" s="33" t="s">
        <v>8</v>
      </c>
      <c r="G295" s="33"/>
      <c r="H295" s="302"/>
      <c r="I295" s="298">
        <v>-2.2522522522522515E-2</v>
      </c>
      <c r="J295" s="298">
        <v>-8.7557603686635899E-2</v>
      </c>
      <c r="K295" s="298">
        <v>0.30303030303030298</v>
      </c>
      <c r="L295" s="298">
        <v>0.91085271317829442</v>
      </c>
      <c r="M295" s="298">
        <v>-9.3306288032454221E-2</v>
      </c>
      <c r="N295" s="298">
        <v>0.46973540363568045</v>
      </c>
      <c r="O295" s="298">
        <v>-2.6799877742235467E-2</v>
      </c>
      <c r="P295" s="374">
        <v>7.4999999999999997E-2</v>
      </c>
      <c r="Q295" s="374">
        <v>7.4999999999999997E-2</v>
      </c>
      <c r="R295" s="374">
        <v>7.4999999999999997E-2</v>
      </c>
      <c r="S295" s="374">
        <v>0.05</v>
      </c>
      <c r="T295" s="374">
        <v>0.05</v>
      </c>
      <c r="U295" s="374">
        <v>0.05</v>
      </c>
      <c r="V295" s="374">
        <v>0.05</v>
      </c>
      <c r="W295" s="374">
        <v>0.05</v>
      </c>
      <c r="X295" s="374">
        <v>0.05</v>
      </c>
      <c r="Y295" s="374">
        <v>0.05</v>
      </c>
      <c r="Z295" s="1"/>
      <c r="AA295" s="1"/>
      <c r="AB295" s="1"/>
      <c r="AC295" s="372">
        <v>4.4136712965173498E-2</v>
      </c>
      <c r="AD295" s="372">
        <v>4.6042315795887703E-2</v>
      </c>
      <c r="AE295" s="372">
        <v>4.7947918626601901E-2</v>
      </c>
      <c r="AF295" s="372">
        <v>4.9853521457316106E-2</v>
      </c>
      <c r="AG295" s="372">
        <v>5.1759124288030305E-2</v>
      </c>
      <c r="AH295" s="372">
        <v>5.3664727118743941E-2</v>
      </c>
      <c r="AI295" s="372">
        <v>5.5570329949458139E-2</v>
      </c>
      <c r="AJ295" s="372">
        <v>5.7475932780172344E-2</v>
      </c>
      <c r="AK295" s="372">
        <v>5.9381535610886542E-2</v>
      </c>
      <c r="AL295" s="373">
        <v>6.1287138441600747E-2</v>
      </c>
    </row>
    <row r="296" spans="1:38" ht="15.75" hidden="1" customHeight="1" outlineLevel="1" x14ac:dyDescent="0.25">
      <c r="A296" s="1"/>
      <c r="B296" s="1"/>
      <c r="C296" s="2"/>
      <c r="D296" s="1"/>
      <c r="E296" s="294" t="s">
        <v>680</v>
      </c>
      <c r="F296" s="33" t="s">
        <v>678</v>
      </c>
      <c r="G296" s="33"/>
      <c r="H296" s="303">
        <f t="shared" ref="H296:Y296" si="181">SUM(H288,H294)</f>
        <v>136.69999999999999</v>
      </c>
      <c r="I296" s="303">
        <f t="shared" si="181"/>
        <v>137.30000000000001</v>
      </c>
      <c r="J296" s="303">
        <f t="shared" si="181"/>
        <v>137</v>
      </c>
      <c r="K296" s="303">
        <f t="shared" si="181"/>
        <v>112.29999999999998</v>
      </c>
      <c r="L296" s="303">
        <f t="shared" si="181"/>
        <v>183.5</v>
      </c>
      <c r="M296" s="303">
        <f t="shared" si="181"/>
        <v>171.90000000000003</v>
      </c>
      <c r="N296" s="303">
        <f t="shared" si="181"/>
        <v>221.09717254251493</v>
      </c>
      <c r="O296" s="303">
        <f t="shared" si="181"/>
        <v>219.23649635036497</v>
      </c>
      <c r="P296" s="303">
        <f>SUM(P288,P294)</f>
        <v>225.44849635036499</v>
      </c>
      <c r="Q296" s="303">
        <f t="shared" si="181"/>
        <v>232.66641357664236</v>
      </c>
      <c r="R296" s="303">
        <f t="shared" si="181"/>
        <v>240.28031379489053</v>
      </c>
      <c r="S296" s="303">
        <f t="shared" si="181"/>
        <v>246.88653422813508</v>
      </c>
      <c r="T296" s="303">
        <f t="shared" si="181"/>
        <v>253.7284292660531</v>
      </c>
      <c r="U296" s="303">
        <f t="shared" si="181"/>
        <v>260.81612650158098</v>
      </c>
      <c r="V296" s="303">
        <f t="shared" si="181"/>
        <v>268.16023092489917</v>
      </c>
      <c r="W296" s="303">
        <f t="shared" si="181"/>
        <v>275.77184828610245</v>
      </c>
      <c r="X296" s="303">
        <f t="shared" si="181"/>
        <v>283.66260961712771</v>
      </c>
      <c r="Y296" s="303">
        <f t="shared" si="181"/>
        <v>291.84469697074678</v>
      </c>
      <c r="Z296" s="17"/>
      <c r="AA296" s="1"/>
      <c r="AB296" s="1"/>
      <c r="AC296" s="1"/>
      <c r="AD296" s="1"/>
      <c r="AE296" s="1"/>
      <c r="AF296" s="1"/>
      <c r="AG296" s="1"/>
      <c r="AH296" s="1"/>
      <c r="AI296" s="1"/>
      <c r="AJ296" s="1"/>
      <c r="AK296" s="1"/>
    </row>
    <row r="297" spans="1:38" ht="15.75" hidden="1" customHeight="1" outlineLevel="1" x14ac:dyDescent="0.25">
      <c r="A297" s="1"/>
      <c r="B297" s="1"/>
      <c r="C297" s="2"/>
      <c r="D297" s="1"/>
      <c r="E297" s="294"/>
      <c r="F297" s="33"/>
      <c r="G297" s="33"/>
      <c r="H297" s="171"/>
      <c r="I297" s="171"/>
      <c r="J297" s="171"/>
      <c r="K297" s="171"/>
      <c r="L297" s="171"/>
      <c r="M297" s="171"/>
      <c r="N297" s="171"/>
      <c r="O297" s="171"/>
      <c r="P297" s="171"/>
      <c r="Q297" s="171"/>
      <c r="R297" s="171"/>
      <c r="S297" s="171"/>
      <c r="T297" s="171"/>
      <c r="U297" s="171"/>
      <c r="V297" s="171"/>
      <c r="W297" s="171"/>
      <c r="X297" s="171"/>
      <c r="Y297" s="171"/>
      <c r="Z297" s="1"/>
      <c r="AA297" s="1"/>
      <c r="AB297" s="1"/>
      <c r="AC297" s="1"/>
      <c r="AD297" s="1"/>
      <c r="AE297" s="1"/>
      <c r="AF297" s="1"/>
      <c r="AG297" s="1"/>
      <c r="AH297" s="1"/>
      <c r="AI297" s="1"/>
      <c r="AJ297" s="1"/>
      <c r="AK297" s="1"/>
    </row>
    <row r="298" spans="1:38" ht="12.75" hidden="1" customHeight="1" outlineLevel="1" x14ac:dyDescent="0.25">
      <c r="A298" s="2"/>
      <c r="B298" s="2"/>
      <c r="C298" s="2"/>
      <c r="D298" s="2"/>
      <c r="E298" s="42" t="s">
        <v>613</v>
      </c>
      <c r="F298" s="193"/>
      <c r="G298" s="68"/>
      <c r="H298" s="182"/>
      <c r="I298" s="182"/>
      <c r="J298" s="182"/>
      <c r="K298" s="182"/>
      <c r="L298" s="182"/>
      <c r="M298" s="182"/>
      <c r="N298" s="182"/>
      <c r="O298" s="182"/>
      <c r="P298" s="182"/>
      <c r="Q298" s="182"/>
      <c r="R298" s="182"/>
      <c r="S298" s="182"/>
      <c r="T298" s="182"/>
      <c r="U298" s="182"/>
      <c r="V298" s="182"/>
      <c r="W298" s="182"/>
      <c r="X298" s="182"/>
      <c r="Y298" s="182"/>
      <c r="Z298" s="194"/>
      <c r="AA298" s="194"/>
      <c r="AB298" s="194"/>
      <c r="AC298" s="194"/>
      <c r="AD298" s="194"/>
      <c r="AE298" s="194"/>
      <c r="AF298" s="194"/>
      <c r="AG298" s="194"/>
      <c r="AH298" s="194"/>
      <c r="AI298" s="194"/>
      <c r="AJ298" s="194"/>
      <c r="AK298" s="194"/>
    </row>
    <row r="299" spans="1:38" ht="12.75" hidden="1" customHeight="1" outlineLevel="1" x14ac:dyDescent="0.25">
      <c r="A299" s="2"/>
      <c r="B299" s="2"/>
      <c r="C299" s="2"/>
      <c r="D299" s="2"/>
      <c r="E299" s="1" t="s">
        <v>635</v>
      </c>
      <c r="F299" s="33" t="s">
        <v>8</v>
      </c>
      <c r="G299" s="68"/>
      <c r="H299" s="222"/>
      <c r="I299" s="222" t="e">
        <f t="shared" ref="I299:Y299" si="182">I283 / H283 -1</f>
        <v>#DIV/0!</v>
      </c>
      <c r="J299" s="222" t="e">
        <f t="shared" si="182"/>
        <v>#DIV/0!</v>
      </c>
      <c r="K299" s="222" t="e">
        <f t="shared" si="182"/>
        <v>#DIV/0!</v>
      </c>
      <c r="L299" s="222" t="e">
        <f t="shared" si="182"/>
        <v>#DIV/0!</v>
      </c>
      <c r="M299" s="222" t="e">
        <f t="shared" si="182"/>
        <v>#DIV/0!</v>
      </c>
      <c r="N299" s="222" t="e">
        <f t="shared" si="182"/>
        <v>#DIV/0!</v>
      </c>
      <c r="O299" s="222" t="e">
        <f t="shared" si="182"/>
        <v>#DIV/0!</v>
      </c>
      <c r="P299" s="222" t="e">
        <f t="shared" si="182"/>
        <v>#DIV/0!</v>
      </c>
      <c r="Q299" s="222" t="e">
        <f t="shared" si="182"/>
        <v>#DIV/0!</v>
      </c>
      <c r="R299" s="222" t="e">
        <f t="shared" si="182"/>
        <v>#DIV/0!</v>
      </c>
      <c r="S299" s="222" t="e">
        <f t="shared" si="182"/>
        <v>#DIV/0!</v>
      </c>
      <c r="T299" s="222" t="e">
        <f t="shared" si="182"/>
        <v>#DIV/0!</v>
      </c>
      <c r="U299" s="222" t="e">
        <f t="shared" si="182"/>
        <v>#DIV/0!</v>
      </c>
      <c r="V299" s="222" t="e">
        <f t="shared" si="182"/>
        <v>#DIV/0!</v>
      </c>
      <c r="W299" s="222" t="e">
        <f t="shared" si="182"/>
        <v>#DIV/0!</v>
      </c>
      <c r="X299" s="222" t="e">
        <f t="shared" si="182"/>
        <v>#DIV/0!</v>
      </c>
      <c r="Y299" s="222" t="e">
        <f t="shared" si="182"/>
        <v>#DIV/0!</v>
      </c>
      <c r="Z299" s="194"/>
      <c r="AA299" s="194"/>
      <c r="AB299" s="194"/>
      <c r="AC299" s="194"/>
      <c r="AD299" s="194"/>
      <c r="AE299" s="194"/>
      <c r="AF299" s="194"/>
      <c r="AG299" s="194"/>
      <c r="AH299" s="194"/>
      <c r="AI299" s="194"/>
      <c r="AJ299" s="194"/>
      <c r="AK299" s="194"/>
    </row>
    <row r="300" spans="1:38" ht="12.75" hidden="1" customHeight="1" outlineLevel="1" x14ac:dyDescent="0.25">
      <c r="A300" s="2"/>
      <c r="B300" s="2"/>
      <c r="C300" s="2"/>
      <c r="D300" s="2"/>
      <c r="E300" s="290" t="s">
        <v>636</v>
      </c>
      <c r="F300" s="33" t="s">
        <v>8</v>
      </c>
      <c r="G300" s="68"/>
      <c r="H300" s="222"/>
      <c r="I300" s="222" t="e">
        <f t="shared" ref="I300:N300" si="183">I285 / H285 -1</f>
        <v>#DIV/0!</v>
      </c>
      <c r="J300" s="222" t="e">
        <f t="shared" si="183"/>
        <v>#DIV/0!</v>
      </c>
      <c r="K300" s="222" t="e">
        <f t="shared" si="183"/>
        <v>#DIV/0!</v>
      </c>
      <c r="L300" s="222" t="e">
        <f t="shared" si="183"/>
        <v>#DIV/0!</v>
      </c>
      <c r="M300" s="222" t="e">
        <f t="shared" si="183"/>
        <v>#DIV/0!</v>
      </c>
      <c r="N300" s="222" t="e">
        <f t="shared" si="183"/>
        <v>#DIV/0!</v>
      </c>
      <c r="O300" s="222" t="e">
        <f t="shared" ref="O300:Y300" si="184">O284 / N284 -1</f>
        <v>#DIV/0!</v>
      </c>
      <c r="P300" s="222" t="e">
        <f t="shared" si="184"/>
        <v>#DIV/0!</v>
      </c>
      <c r="Q300" s="222" t="e">
        <f t="shared" si="184"/>
        <v>#DIV/0!</v>
      </c>
      <c r="R300" s="222" t="e">
        <f t="shared" si="184"/>
        <v>#DIV/0!</v>
      </c>
      <c r="S300" s="222" t="e">
        <f t="shared" si="184"/>
        <v>#DIV/0!</v>
      </c>
      <c r="T300" s="222" t="e">
        <f t="shared" si="184"/>
        <v>#DIV/0!</v>
      </c>
      <c r="U300" s="222" t="e">
        <f t="shared" si="184"/>
        <v>#DIV/0!</v>
      </c>
      <c r="V300" s="222" t="e">
        <f t="shared" si="184"/>
        <v>#DIV/0!</v>
      </c>
      <c r="W300" s="222" t="e">
        <f t="shared" si="184"/>
        <v>#DIV/0!</v>
      </c>
      <c r="X300" s="222" t="e">
        <f t="shared" si="184"/>
        <v>#DIV/0!</v>
      </c>
      <c r="Y300" s="222" t="e">
        <f t="shared" si="184"/>
        <v>#DIV/0!</v>
      </c>
      <c r="Z300" s="194"/>
      <c r="AA300" s="194"/>
      <c r="AB300" s="194"/>
      <c r="AC300" s="194"/>
      <c r="AD300" s="194"/>
      <c r="AE300" s="194"/>
      <c r="AF300" s="194"/>
      <c r="AG300" s="194"/>
      <c r="AH300" s="194"/>
      <c r="AI300" s="194"/>
      <c r="AJ300" s="194"/>
      <c r="AK300" s="194"/>
    </row>
    <row r="301" spans="1:38" ht="12.75" hidden="1" customHeight="1" outlineLevel="1" x14ac:dyDescent="0.25">
      <c r="A301" s="2"/>
      <c r="B301" s="2"/>
      <c r="C301" s="2"/>
      <c r="D301" s="2"/>
      <c r="E301" s="290" t="s">
        <v>640</v>
      </c>
      <c r="F301" s="33" t="s">
        <v>8</v>
      </c>
      <c r="G301" s="68"/>
      <c r="H301" s="222"/>
      <c r="I301" s="222" t="e">
        <f t="shared" ref="I301:N301" si="185">I290 / H290 -1</f>
        <v>#DIV/0!</v>
      </c>
      <c r="J301" s="222" t="e">
        <f t="shared" si="185"/>
        <v>#DIV/0!</v>
      </c>
      <c r="K301" s="222" t="e">
        <f t="shared" si="185"/>
        <v>#DIV/0!</v>
      </c>
      <c r="L301" s="222" t="e">
        <f t="shared" si="185"/>
        <v>#DIV/0!</v>
      </c>
      <c r="M301" s="222" t="e">
        <f t="shared" si="185"/>
        <v>#DIV/0!</v>
      </c>
      <c r="N301" s="222" t="e">
        <f t="shared" si="185"/>
        <v>#DIV/0!</v>
      </c>
      <c r="O301" s="222" t="e">
        <f t="shared" ref="O301:Y301" si="186">O285 / N285 -1</f>
        <v>#DIV/0!</v>
      </c>
      <c r="P301" s="222" t="e">
        <f t="shared" si="186"/>
        <v>#DIV/0!</v>
      </c>
      <c r="Q301" s="222" t="e">
        <f t="shared" si="186"/>
        <v>#DIV/0!</v>
      </c>
      <c r="R301" s="222" t="e">
        <f t="shared" si="186"/>
        <v>#DIV/0!</v>
      </c>
      <c r="S301" s="222" t="e">
        <f t="shared" si="186"/>
        <v>#DIV/0!</v>
      </c>
      <c r="T301" s="222" t="e">
        <f t="shared" si="186"/>
        <v>#DIV/0!</v>
      </c>
      <c r="U301" s="222" t="e">
        <f t="shared" si="186"/>
        <v>#DIV/0!</v>
      </c>
      <c r="V301" s="222" t="e">
        <f t="shared" si="186"/>
        <v>#DIV/0!</v>
      </c>
      <c r="W301" s="222" t="e">
        <f t="shared" si="186"/>
        <v>#DIV/0!</v>
      </c>
      <c r="X301" s="222" t="e">
        <f t="shared" si="186"/>
        <v>#DIV/0!</v>
      </c>
      <c r="Y301" s="222" t="e">
        <f t="shared" si="186"/>
        <v>#DIV/0!</v>
      </c>
      <c r="Z301" s="194"/>
      <c r="AA301" s="194"/>
      <c r="AB301" s="194"/>
      <c r="AC301" s="194"/>
      <c r="AD301" s="194"/>
      <c r="AE301" s="194"/>
      <c r="AF301" s="194"/>
      <c r="AG301" s="194"/>
      <c r="AH301" s="194"/>
      <c r="AI301" s="194"/>
      <c r="AJ301" s="194"/>
      <c r="AK301" s="194"/>
    </row>
    <row r="302" spans="1:38" ht="12.75" hidden="1" customHeight="1" outlineLevel="1" x14ac:dyDescent="0.25">
      <c r="A302" s="2"/>
      <c r="B302" s="2"/>
      <c r="C302" s="2"/>
      <c r="D302" s="2"/>
      <c r="E302" s="290" t="s">
        <v>641</v>
      </c>
      <c r="F302" s="33" t="s">
        <v>8</v>
      </c>
      <c r="G302" s="68"/>
      <c r="H302" s="222"/>
      <c r="I302" s="222"/>
      <c r="J302" s="222"/>
      <c r="K302" s="222"/>
      <c r="L302" s="222"/>
      <c r="M302" s="222" t="e">
        <f t="shared" ref="M302:N302" si="187">M292 / L292 -1</f>
        <v>#DIV/0!</v>
      </c>
      <c r="N302" s="222" t="e">
        <f t="shared" si="187"/>
        <v>#DIV/0!</v>
      </c>
      <c r="O302" s="222" t="e">
        <f t="shared" ref="O302:Y302" si="188">O286 / N286 -1</f>
        <v>#DIV/0!</v>
      </c>
      <c r="P302" s="222" t="e">
        <f t="shared" si="188"/>
        <v>#DIV/0!</v>
      </c>
      <c r="Q302" s="222" t="e">
        <f t="shared" si="188"/>
        <v>#DIV/0!</v>
      </c>
      <c r="R302" s="222" t="e">
        <f t="shared" si="188"/>
        <v>#DIV/0!</v>
      </c>
      <c r="S302" s="222" t="e">
        <f t="shared" si="188"/>
        <v>#DIV/0!</v>
      </c>
      <c r="T302" s="222" t="e">
        <f t="shared" si="188"/>
        <v>#DIV/0!</v>
      </c>
      <c r="U302" s="222" t="e">
        <f t="shared" si="188"/>
        <v>#DIV/0!</v>
      </c>
      <c r="V302" s="222" t="e">
        <f t="shared" si="188"/>
        <v>#DIV/0!</v>
      </c>
      <c r="W302" s="222" t="e">
        <f t="shared" si="188"/>
        <v>#DIV/0!</v>
      </c>
      <c r="X302" s="222" t="e">
        <f t="shared" si="188"/>
        <v>#DIV/0!</v>
      </c>
      <c r="Y302" s="222" t="e">
        <f t="shared" si="188"/>
        <v>#DIV/0!</v>
      </c>
      <c r="Z302" s="194"/>
      <c r="AA302" s="194"/>
      <c r="AB302" s="194"/>
      <c r="AC302" s="194"/>
      <c r="AD302" s="194"/>
      <c r="AE302" s="194"/>
      <c r="AF302" s="194"/>
      <c r="AG302" s="194"/>
      <c r="AH302" s="194"/>
      <c r="AI302" s="194"/>
      <c r="AJ302" s="194"/>
      <c r="AK302" s="194"/>
    </row>
    <row r="303" spans="1:38" ht="12.75" hidden="1" customHeight="1" outlineLevel="1" x14ac:dyDescent="0.25">
      <c r="A303" s="2"/>
      <c r="B303" s="2"/>
      <c r="C303" s="2"/>
      <c r="D303" s="2"/>
      <c r="E303" s="2" t="s">
        <v>366</v>
      </c>
      <c r="F303" s="33" t="s">
        <v>8</v>
      </c>
      <c r="G303" s="224"/>
      <c r="H303" s="225"/>
      <c r="I303" s="222">
        <f t="shared" ref="I303:N303" si="189">I296 / H296 -1</f>
        <v>4.3891733723484538E-3</v>
      </c>
      <c r="J303" s="222">
        <f t="shared" si="189"/>
        <v>-2.1849963583394638E-3</v>
      </c>
      <c r="K303" s="222">
        <f t="shared" si="189"/>
        <v>-0.18029197080291981</v>
      </c>
      <c r="L303" s="222">
        <f t="shared" si="189"/>
        <v>0.63401602849510263</v>
      </c>
      <c r="M303" s="222">
        <f t="shared" si="189"/>
        <v>-6.3215258855585654E-2</v>
      </c>
      <c r="N303" s="222">
        <f t="shared" si="189"/>
        <v>0.28619646621590977</v>
      </c>
      <c r="O303" s="222">
        <f t="shared" ref="O303:Y303" si="190">O287 / N287 -1</f>
        <v>6.4935064935065512E-3</v>
      </c>
      <c r="P303" s="222">
        <f t="shared" si="190"/>
        <v>-6.21883870967741E-2</v>
      </c>
      <c r="Q303" s="222">
        <f t="shared" si="190"/>
        <v>1.4999999999999902E-2</v>
      </c>
      <c r="R303" s="222">
        <f t="shared" si="190"/>
        <v>1.5000000000000124E-2</v>
      </c>
      <c r="S303" s="222">
        <f t="shared" si="190"/>
        <v>1.7500000000000071E-2</v>
      </c>
      <c r="T303" s="222">
        <f t="shared" si="190"/>
        <v>1.7500000000000071E-2</v>
      </c>
      <c r="U303" s="222">
        <f t="shared" si="190"/>
        <v>1.7500000000000071E-2</v>
      </c>
      <c r="V303" s="222">
        <f t="shared" si="190"/>
        <v>1.7500000000000071E-2</v>
      </c>
      <c r="W303" s="222">
        <f t="shared" si="190"/>
        <v>1.7500000000000071E-2</v>
      </c>
      <c r="X303" s="222">
        <f t="shared" si="190"/>
        <v>1.7500000000000071E-2</v>
      </c>
      <c r="Y303" s="222">
        <f t="shared" si="190"/>
        <v>1.7499999999999849E-2</v>
      </c>
      <c r="Z303" s="194"/>
      <c r="AA303" s="194"/>
      <c r="AB303" s="194"/>
      <c r="AC303" s="194"/>
      <c r="AD303" s="194"/>
      <c r="AE303" s="194"/>
      <c r="AF303" s="194"/>
      <c r="AG303" s="194"/>
      <c r="AH303" s="194"/>
      <c r="AI303" s="194"/>
      <c r="AJ303" s="194"/>
      <c r="AK303" s="194"/>
    </row>
    <row r="304" spans="1:38" ht="15.75" hidden="1" customHeight="1" outlineLevel="1" x14ac:dyDescent="0.25">
      <c r="A304" s="1"/>
      <c r="B304" s="1"/>
      <c r="C304" s="2"/>
      <c r="D304" s="1"/>
      <c r="E304" s="290"/>
      <c r="F304" s="33"/>
      <c r="G304" s="33"/>
      <c r="H304" s="274"/>
      <c r="I304" s="274"/>
      <c r="J304" s="305"/>
      <c r="K304" s="305"/>
      <c r="L304" s="305"/>
      <c r="M304" s="305"/>
      <c r="N304" s="305"/>
      <c r="O304" s="305"/>
      <c r="P304" s="305"/>
      <c r="Q304" s="305"/>
      <c r="R304" s="305"/>
      <c r="S304" s="305"/>
      <c r="T304" s="305"/>
      <c r="U304" s="305"/>
      <c r="V304" s="305"/>
      <c r="W304" s="305"/>
      <c r="X304" s="305"/>
      <c r="Y304" s="305"/>
      <c r="Z304" s="1"/>
      <c r="AA304" s="1"/>
      <c r="AB304" s="1"/>
      <c r="AC304" s="1"/>
      <c r="AD304" s="1"/>
      <c r="AE304" s="1"/>
      <c r="AF304" s="1"/>
      <c r="AG304" s="1"/>
      <c r="AH304" s="1"/>
      <c r="AI304" s="1"/>
      <c r="AJ304" s="1"/>
      <c r="AK304" s="1"/>
    </row>
    <row r="305" spans="1:37" ht="15.75" hidden="1" customHeight="1" outlineLevel="1" x14ac:dyDescent="0.25">
      <c r="A305" s="1"/>
      <c r="B305" s="1"/>
      <c r="C305" s="2"/>
      <c r="D305" s="1"/>
      <c r="E305" s="290" t="s">
        <v>162</v>
      </c>
      <c r="F305" s="33"/>
      <c r="G305" s="33"/>
      <c r="H305" s="297">
        <f t="shared" ref="H305:O305" si="191">SUM(H326,H333)</f>
        <v>0</v>
      </c>
      <c r="I305" s="297">
        <f t="shared" si="191"/>
        <v>0</v>
      </c>
      <c r="J305" s="297">
        <f t="shared" si="191"/>
        <v>0</v>
      </c>
      <c r="K305" s="297">
        <f t="shared" si="191"/>
        <v>0</v>
      </c>
      <c r="L305" s="297">
        <f t="shared" si="191"/>
        <v>0</v>
      </c>
      <c r="M305" s="297">
        <f t="shared" si="191"/>
        <v>0</v>
      </c>
      <c r="N305" s="297">
        <f t="shared" si="191"/>
        <v>0</v>
      </c>
      <c r="O305" s="297">
        <f t="shared" si="191"/>
        <v>0</v>
      </c>
      <c r="P305" s="300"/>
      <c r="Q305" s="300"/>
      <c r="R305" s="300"/>
      <c r="S305" s="300"/>
      <c r="T305" s="300"/>
      <c r="U305" s="300"/>
      <c r="V305" s="300"/>
      <c r="W305" s="300"/>
      <c r="X305" s="300"/>
      <c r="Y305" s="300"/>
      <c r="Z305" s="1"/>
      <c r="AA305" s="1"/>
      <c r="AB305" s="1"/>
      <c r="AC305" s="1"/>
      <c r="AD305" s="1"/>
      <c r="AE305" s="1"/>
      <c r="AF305" s="1"/>
      <c r="AG305" s="1"/>
      <c r="AH305" s="1"/>
      <c r="AI305" s="1"/>
      <c r="AJ305" s="1"/>
      <c r="AK305" s="1"/>
    </row>
    <row r="306" spans="1:37" ht="15.75" hidden="1" customHeight="1" outlineLevel="1" x14ac:dyDescent="0.25">
      <c r="A306" s="1"/>
      <c r="B306" s="1"/>
      <c r="C306" s="2"/>
      <c r="D306" s="1"/>
      <c r="E306" s="290" t="s">
        <v>645</v>
      </c>
      <c r="F306" s="33"/>
      <c r="G306" s="33"/>
      <c r="H306" s="297">
        <f t="shared" ref="H306:O306" si="192">SUM(H340,H348)</f>
        <v>0</v>
      </c>
      <c r="I306" s="297">
        <f t="shared" si="192"/>
        <v>0</v>
      </c>
      <c r="J306" s="297">
        <f t="shared" si="192"/>
        <v>0</v>
      </c>
      <c r="K306" s="297">
        <f t="shared" si="192"/>
        <v>0</v>
      </c>
      <c r="L306" s="297">
        <f t="shared" si="192"/>
        <v>0</v>
      </c>
      <c r="M306" s="297">
        <f t="shared" si="192"/>
        <v>0</v>
      </c>
      <c r="N306" s="297">
        <f t="shared" si="192"/>
        <v>0</v>
      </c>
      <c r="O306" s="297">
        <f t="shared" si="192"/>
        <v>0</v>
      </c>
      <c r="P306" s="337"/>
      <c r="Q306" s="337"/>
      <c r="R306" s="337"/>
      <c r="S306" s="337"/>
      <c r="T306" s="337"/>
      <c r="U306" s="337"/>
      <c r="V306" s="337"/>
      <c r="W306" s="337"/>
      <c r="X306" s="337"/>
      <c r="Y306" s="337"/>
      <c r="Z306" s="1"/>
      <c r="AA306" s="1"/>
      <c r="AB306" s="1"/>
      <c r="AC306" s="1"/>
      <c r="AD306" s="1"/>
      <c r="AE306" s="1"/>
      <c r="AF306" s="1"/>
      <c r="AG306" s="1"/>
      <c r="AH306" s="1"/>
      <c r="AI306" s="1"/>
      <c r="AJ306" s="1"/>
      <c r="AK306" s="1"/>
    </row>
    <row r="307" spans="1:37" ht="15.75" hidden="1" customHeight="1" outlineLevel="1" x14ac:dyDescent="0.25">
      <c r="A307" s="1"/>
      <c r="B307" s="1"/>
      <c r="C307" s="2"/>
      <c r="D307" s="1"/>
      <c r="E307" s="290" t="s">
        <v>646</v>
      </c>
      <c r="F307" s="33" t="s">
        <v>678</v>
      </c>
      <c r="G307" s="33"/>
      <c r="H307" s="80">
        <f t="shared" ref="H307:O307" si="193">H309 - SUM(H305:H306,-H308)</f>
        <v>19.984896926582849</v>
      </c>
      <c r="I307" s="80">
        <f t="shared" si="193"/>
        <v>22.443951000000002</v>
      </c>
      <c r="J307" s="80">
        <f t="shared" si="193"/>
        <v>20.890228199999999</v>
      </c>
      <c r="K307" s="80">
        <f t="shared" si="193"/>
        <v>11.2</v>
      </c>
      <c r="L307" s="80">
        <f t="shared" si="193"/>
        <v>41.4</v>
      </c>
      <c r="M307" s="80">
        <f t="shared" si="193"/>
        <v>20.5</v>
      </c>
      <c r="N307" s="80">
        <f t="shared" si="193"/>
        <v>42.9</v>
      </c>
      <c r="O307" s="80">
        <f t="shared" si="193"/>
        <v>44.5</v>
      </c>
      <c r="P307" s="80"/>
      <c r="Q307" s="80"/>
      <c r="R307" s="80"/>
      <c r="S307" s="80"/>
      <c r="T307" s="80"/>
      <c r="U307" s="80"/>
      <c r="V307" s="80"/>
      <c r="W307" s="80"/>
      <c r="X307" s="80"/>
      <c r="Y307" s="80"/>
      <c r="Z307" s="276">
        <v>0.02</v>
      </c>
      <c r="AA307" s="17" t="s">
        <v>647</v>
      </c>
      <c r="AB307" s="1"/>
      <c r="AC307" s="1"/>
      <c r="AD307" s="1"/>
      <c r="AE307" s="1"/>
      <c r="AF307" s="1"/>
      <c r="AG307" s="1"/>
      <c r="AH307" s="1"/>
      <c r="AI307" s="1"/>
      <c r="AJ307" s="1"/>
      <c r="AK307" s="1"/>
    </row>
    <row r="308" spans="1:37" ht="15.75" hidden="1" customHeight="1" outlineLevel="1" x14ac:dyDescent="0.25">
      <c r="A308" s="1"/>
      <c r="B308" s="1"/>
      <c r="C308" s="2"/>
      <c r="D308" s="1"/>
      <c r="E308" s="290" t="s">
        <v>648</v>
      </c>
      <c r="F308" s="33" t="s">
        <v>678</v>
      </c>
      <c r="G308" s="33"/>
      <c r="H308" s="346"/>
      <c r="I308" s="346"/>
      <c r="J308" s="346"/>
      <c r="K308" s="346"/>
      <c r="L308" s="346"/>
      <c r="M308" s="346"/>
      <c r="N308" s="300">
        <v>8</v>
      </c>
      <c r="O308" s="300">
        <v>8</v>
      </c>
      <c r="P308" s="347"/>
      <c r="Q308" s="347"/>
      <c r="R308" s="347"/>
      <c r="S308" s="347"/>
      <c r="T308" s="347"/>
      <c r="U308" s="347"/>
      <c r="V308" s="347"/>
      <c r="W308" s="347"/>
      <c r="X308" s="347"/>
      <c r="Y308" s="347"/>
      <c r="Z308" s="1"/>
      <c r="AA308" s="1"/>
      <c r="AB308" s="1"/>
      <c r="AC308" s="1"/>
      <c r="AD308" s="1"/>
      <c r="AE308" s="1"/>
      <c r="AF308" s="1"/>
      <c r="AG308" s="1"/>
      <c r="AH308" s="1"/>
      <c r="AI308" s="1"/>
      <c r="AJ308" s="1"/>
      <c r="AK308" s="1"/>
    </row>
    <row r="309" spans="1:37" ht="15.75" hidden="1" customHeight="1" outlineLevel="1" x14ac:dyDescent="0.25">
      <c r="A309" s="1"/>
      <c r="B309" s="1"/>
      <c r="C309" s="2"/>
      <c r="D309" s="1"/>
      <c r="E309" s="294" t="s">
        <v>649</v>
      </c>
      <c r="F309" s="33" t="s">
        <v>678</v>
      </c>
      <c r="G309" s="33"/>
      <c r="H309" s="309">
        <v>19.984896926582849</v>
      </c>
      <c r="I309" s="309">
        <v>22.443951000000002</v>
      </c>
      <c r="J309" s="309">
        <v>20.890228199999999</v>
      </c>
      <c r="K309" s="309">
        <v>11.2</v>
      </c>
      <c r="L309" s="309">
        <v>41.4</v>
      </c>
      <c r="M309" s="309">
        <v>20.5</v>
      </c>
      <c r="N309" s="309">
        <v>34.9</v>
      </c>
      <c r="O309" s="309">
        <v>36.5</v>
      </c>
      <c r="P309" s="309">
        <f>P296*P311</f>
        <v>32.971226172771566</v>
      </c>
      <c r="Q309" s="309">
        <f t="shared" ref="Q309:Y309" si="194">Q296*Q311</f>
        <v>34.028338897990352</v>
      </c>
      <c r="R309" s="309">
        <f t="shared" si="194"/>
        <v>34.685361912881511</v>
      </c>
      <c r="S309" s="309">
        <f t="shared" si="194"/>
        <v>35.403054603134677</v>
      </c>
      <c r="T309" s="309">
        <f t="shared" si="194"/>
        <v>38.490676377766007</v>
      </c>
      <c r="U309" s="309">
        <f t="shared" si="194"/>
        <v>38.009357958399782</v>
      </c>
      <c r="V309" s="309">
        <f t="shared" si="194"/>
        <v>40.195144715537872</v>
      </c>
      <c r="W309" s="309">
        <f t="shared" si="194"/>
        <v>41.077238937857068</v>
      </c>
      <c r="X309" s="309">
        <f t="shared" si="194"/>
        <v>41.703607471432775</v>
      </c>
      <c r="Y309" s="309">
        <f t="shared" si="194"/>
        <v>42.934820804356328</v>
      </c>
      <c r="Z309" s="17"/>
      <c r="AA309" s="1"/>
      <c r="AB309" s="1"/>
      <c r="AC309" s="1"/>
      <c r="AD309" s="1"/>
      <c r="AE309" s="1"/>
      <c r="AF309" s="1"/>
      <c r="AG309" s="1"/>
      <c r="AH309" s="1"/>
      <c r="AI309" s="1"/>
      <c r="AJ309" s="1"/>
      <c r="AK309" s="1"/>
    </row>
    <row r="310" spans="1:37" ht="15.75" hidden="1" customHeight="1" outlineLevel="1" x14ac:dyDescent="0.25">
      <c r="A310" s="1"/>
      <c r="B310" s="1"/>
      <c r="C310" s="2"/>
      <c r="D310" s="1"/>
      <c r="E310" s="291" t="s">
        <v>625</v>
      </c>
      <c r="F310" s="33" t="s">
        <v>8</v>
      </c>
      <c r="G310" s="33"/>
      <c r="H310" s="302"/>
      <c r="I310" s="298">
        <f t="shared" ref="I310:O310" si="195">I309/H309-1</f>
        <v>0.12304562202401215</v>
      </c>
      <c r="J310" s="298">
        <f t="shared" si="195"/>
        <v>-6.9226795228701121E-2</v>
      </c>
      <c r="K310" s="298">
        <f t="shared" si="195"/>
        <v>-0.4638641620966113</v>
      </c>
      <c r="L310" s="298">
        <f t="shared" si="195"/>
        <v>2.6964285714285716</v>
      </c>
      <c r="M310" s="298">
        <f t="shared" si="195"/>
        <v>-0.50483091787439616</v>
      </c>
      <c r="N310" s="298">
        <f t="shared" si="195"/>
        <v>0.70243902439024386</v>
      </c>
      <c r="O310" s="298">
        <f t="shared" si="195"/>
        <v>4.5845272206303855E-2</v>
      </c>
      <c r="P310" s="298">
        <f t="shared" ref="P310" si="196">P309/O309-1</f>
        <v>-9.6678734992559856E-2</v>
      </c>
      <c r="Q310" s="298">
        <f t="shared" ref="Q310" si="197">Q309/P309-1</f>
        <v>3.206167461529752E-2</v>
      </c>
      <c r="R310" s="298">
        <f t="shared" ref="R310" si="198">R309/Q309-1</f>
        <v>1.930811306601754E-2</v>
      </c>
      <c r="S310" s="298">
        <f t="shared" ref="S310" si="199">S309/R309-1</f>
        <v>2.0691515113948622E-2</v>
      </c>
      <c r="T310" s="298">
        <f t="shared" ref="T310" si="200">T309/S309-1</f>
        <v>8.7213428593756026E-2</v>
      </c>
      <c r="U310" s="298">
        <f t="shared" ref="U310" si="201">U309/T309-1</f>
        <v>-1.2504805440214484E-2</v>
      </c>
      <c r="V310" s="298">
        <f t="shared" ref="V310" si="202">V309/U309-1</f>
        <v>5.7506542455423082E-2</v>
      </c>
      <c r="W310" s="298">
        <f t="shared" ref="W310" si="203">W309/V309-1</f>
        <v>2.1945292859667509E-2</v>
      </c>
      <c r="X310" s="298">
        <f t="shared" ref="X310" si="204">X309/W309-1</f>
        <v>1.5248554911962309E-2</v>
      </c>
      <c r="Y310" s="298">
        <f t="shared" ref="Y310" si="205">Y309/X309-1</f>
        <v>2.9522945557334257E-2</v>
      </c>
      <c r="Z310" s="17"/>
      <c r="AA310" s="1"/>
      <c r="AB310" s="1"/>
      <c r="AC310" s="1"/>
      <c r="AD310" s="1"/>
      <c r="AE310" s="1"/>
      <c r="AF310" s="1"/>
      <c r="AG310" s="1"/>
      <c r="AH310" s="1"/>
      <c r="AI310" s="1"/>
      <c r="AJ310" s="1"/>
      <c r="AK310" s="1"/>
    </row>
    <row r="311" spans="1:37" ht="15.75" hidden="1" customHeight="1" outlineLevel="1" x14ac:dyDescent="0.25">
      <c r="A311" s="1"/>
      <c r="B311" s="1"/>
      <c r="C311" s="2"/>
      <c r="D311" s="1"/>
      <c r="E311" s="291" t="s">
        <v>650</v>
      </c>
      <c r="F311" s="33" t="s">
        <v>8</v>
      </c>
      <c r="G311" s="33"/>
      <c r="H311" s="274">
        <f t="shared" ref="H311:O311" si="206">H309/H296</f>
        <v>0.14619529573213497</v>
      </c>
      <c r="I311" s="274">
        <f t="shared" si="206"/>
        <v>0.16346650400582666</v>
      </c>
      <c r="J311" s="274">
        <f t="shared" si="206"/>
        <v>0.15248341751824818</v>
      </c>
      <c r="K311" s="274">
        <f t="shared" si="206"/>
        <v>9.9732858414959935E-2</v>
      </c>
      <c r="L311" s="274">
        <f t="shared" si="206"/>
        <v>0.22561307901907357</v>
      </c>
      <c r="M311" s="274">
        <f t="shared" si="206"/>
        <v>0.11925538103548572</v>
      </c>
      <c r="N311" s="274">
        <f t="shared" si="206"/>
        <v>0.15784914659317525</v>
      </c>
      <c r="O311" s="274">
        <f t="shared" si="206"/>
        <v>0.16648687881633006</v>
      </c>
      <c r="P311" s="374">
        <f>HARMEAN(H311:O311)</f>
        <v>0.14624726581246142</v>
      </c>
      <c r="Q311" s="374">
        <f t="shared" ref="Q311:Y311" si="207">HARMEAN(I311:P311)</f>
        <v>0.14625376467059831</v>
      </c>
      <c r="R311" s="374">
        <f t="shared" si="207"/>
        <v>0.14435373986771896</v>
      </c>
      <c r="S311" s="374">
        <f t="shared" si="207"/>
        <v>0.14339807844854166</v>
      </c>
      <c r="T311" s="374">
        <f t="shared" si="207"/>
        <v>0.15170029030292728</v>
      </c>
      <c r="U311" s="374">
        <f t="shared" si="207"/>
        <v>0.14573239188938489</v>
      </c>
      <c r="V311" s="374">
        <f t="shared" si="207"/>
        <v>0.14989226619063772</v>
      </c>
      <c r="W311" s="374">
        <f t="shared" si="207"/>
        <v>0.14895370645389824</v>
      </c>
      <c r="X311" s="374">
        <f t="shared" si="207"/>
        <v>0.14701834523669519</v>
      </c>
      <c r="Y311" s="374">
        <f t="shared" si="207"/>
        <v>0.14711530224809918</v>
      </c>
      <c r="Z311" s="17"/>
      <c r="AA311" s="1"/>
      <c r="AB311" s="1"/>
      <c r="AC311" s="1"/>
      <c r="AD311" s="1"/>
      <c r="AE311" s="1"/>
      <c r="AF311" s="1"/>
      <c r="AG311" s="1"/>
      <c r="AH311" s="1"/>
      <c r="AI311" s="1"/>
      <c r="AJ311" s="1"/>
      <c r="AK311" s="1"/>
    </row>
    <row r="312" spans="1:37" ht="15.75" hidden="1" customHeight="1" outlineLevel="1" x14ac:dyDescent="0.25">
      <c r="A312" s="1"/>
      <c r="B312" s="1"/>
      <c r="C312" s="2"/>
      <c r="D312" s="1"/>
      <c r="E312" s="291"/>
      <c r="F312" s="33"/>
      <c r="G312" s="33"/>
      <c r="H312" s="274"/>
      <c r="I312" s="274"/>
      <c r="J312" s="274"/>
      <c r="K312" s="274"/>
      <c r="L312" s="274"/>
      <c r="M312" s="274"/>
      <c r="N312" s="274"/>
      <c r="O312" s="274"/>
      <c r="P312" s="274"/>
      <c r="Q312" s="274"/>
      <c r="R312" s="274"/>
      <c r="S312" s="274"/>
      <c r="T312" s="274"/>
      <c r="U312" s="274"/>
      <c r="V312" s="274"/>
      <c r="W312" s="274"/>
      <c r="X312" s="274"/>
      <c r="Y312" s="274"/>
      <c r="Z312" s="17"/>
      <c r="AA312" s="1"/>
      <c r="AB312" s="1"/>
      <c r="AC312" s="1"/>
      <c r="AD312" s="1"/>
      <c r="AE312" s="1"/>
      <c r="AF312" s="1"/>
      <c r="AG312" s="1"/>
      <c r="AH312" s="1"/>
      <c r="AI312" s="1"/>
      <c r="AJ312" s="1"/>
      <c r="AK312" s="1"/>
    </row>
    <row r="313" spans="1:37" ht="15.75" hidden="1" customHeight="1" outlineLevel="1" x14ac:dyDescent="0.25">
      <c r="A313" s="1"/>
      <c r="B313" s="1"/>
      <c r="C313" s="2"/>
      <c r="D313" s="1"/>
      <c r="E313" s="290" t="s">
        <v>681</v>
      </c>
      <c r="F313" s="33" t="s">
        <v>658</v>
      </c>
      <c r="G313" s="33"/>
      <c r="H313" s="348">
        <v>0.94386066865463136</v>
      </c>
      <c r="I313" s="348">
        <f t="shared" ref="I313:K313" si="208">I296 / I314</f>
        <v>0.91903397681330168</v>
      </c>
      <c r="J313" s="348">
        <f t="shared" si="208"/>
        <v>0.93898644295486022</v>
      </c>
      <c r="K313" s="348">
        <f t="shared" si="208"/>
        <v>0.95051884955902</v>
      </c>
      <c r="L313" s="348">
        <v>0.93198301606972356</v>
      </c>
      <c r="M313" s="348">
        <f t="shared" ref="M313:O313" si="209">M296 / M314</f>
        <v>0.93566296538210336</v>
      </c>
      <c r="N313" s="348">
        <f t="shared" si="209"/>
        <v>0.91525474105748228</v>
      </c>
      <c r="O313" s="348">
        <f t="shared" si="209"/>
        <v>0.90755227843955555</v>
      </c>
      <c r="P313" s="349">
        <f t="shared" ref="P313:Y313" si="210">AVERAGE(H313:O313)</f>
        <v>0.9303566173663349</v>
      </c>
      <c r="Q313" s="349">
        <f t="shared" si="210"/>
        <v>0.92866861095529762</v>
      </c>
      <c r="R313" s="349">
        <f t="shared" si="210"/>
        <v>0.92987294022304723</v>
      </c>
      <c r="S313" s="349">
        <f t="shared" si="210"/>
        <v>0.92873375238157063</v>
      </c>
      <c r="T313" s="349">
        <f t="shared" si="210"/>
        <v>0.92601061523438943</v>
      </c>
      <c r="U313" s="349">
        <f t="shared" si="210"/>
        <v>0.92526406512997272</v>
      </c>
      <c r="V313" s="349">
        <f t="shared" si="210"/>
        <v>0.92396420259845624</v>
      </c>
      <c r="W313" s="349">
        <f t="shared" si="210"/>
        <v>0.92505288529107799</v>
      </c>
      <c r="X313" s="349">
        <f t="shared" si="210"/>
        <v>0.92724046114751835</v>
      </c>
      <c r="Y313" s="349">
        <f t="shared" si="210"/>
        <v>0.92685094162016624</v>
      </c>
      <c r="Z313" s="17"/>
      <c r="AA313" s="1"/>
      <c r="AB313" s="1"/>
      <c r="AC313" s="1"/>
      <c r="AD313" s="1"/>
      <c r="AE313" s="1"/>
      <c r="AF313" s="1"/>
      <c r="AG313" s="1"/>
      <c r="AH313" s="1"/>
      <c r="AI313" s="1"/>
      <c r="AJ313" s="1"/>
      <c r="AK313" s="1"/>
    </row>
    <row r="314" spans="1:37" ht="15.75" hidden="1" customHeight="1" outlineLevel="1" x14ac:dyDescent="0.25">
      <c r="A314" s="1"/>
      <c r="B314" s="1"/>
      <c r="C314" s="2"/>
      <c r="D314" s="1"/>
      <c r="E314" s="291" t="s">
        <v>421</v>
      </c>
      <c r="F314" s="33" t="s">
        <v>682</v>
      </c>
      <c r="G314" s="33"/>
      <c r="H314" s="350">
        <f>H296 /H313</f>
        <v>144.83069857635945</v>
      </c>
      <c r="I314" s="350">
        <v>149.39599999999999</v>
      </c>
      <c r="J314" s="350">
        <v>145.90199999999999</v>
      </c>
      <c r="K314" s="350">
        <v>118.146</v>
      </c>
      <c r="L314" s="350">
        <f>L296 /L313</f>
        <v>196.892</v>
      </c>
      <c r="M314" s="350">
        <v>183.72</v>
      </c>
      <c r="N314" s="350">
        <v>241.56899999999999</v>
      </c>
      <c r="O314" s="350">
        <v>241.56899999999999</v>
      </c>
      <c r="P314" s="350">
        <f t="shared" ref="P314:Y314" si="211">P296 /P313</f>
        <v>242.32481625010354</v>
      </c>
      <c r="Q314" s="350">
        <f t="shared" si="211"/>
        <v>250.53760925256682</v>
      </c>
      <c r="R314" s="350">
        <f t="shared" si="211"/>
        <v>258.40123247080925</v>
      </c>
      <c r="S314" s="350">
        <f t="shared" si="211"/>
        <v>265.83133604764441</v>
      </c>
      <c r="T314" s="350">
        <f t="shared" si="211"/>
        <v>274.00164219697416</v>
      </c>
      <c r="U314" s="350">
        <f t="shared" si="211"/>
        <v>281.88290924812247</v>
      </c>
      <c r="V314" s="350">
        <f t="shared" si="211"/>
        <v>290.22794408133404</v>
      </c>
      <c r="W314" s="350">
        <f t="shared" si="211"/>
        <v>298.11468368030421</v>
      </c>
      <c r="X314" s="350">
        <f t="shared" si="211"/>
        <v>305.92130251313387</v>
      </c>
      <c r="Y314" s="350">
        <f t="shared" si="211"/>
        <v>314.877704564439</v>
      </c>
      <c r="Z314" s="17"/>
      <c r="AA314" s="1"/>
      <c r="AB314" s="1"/>
      <c r="AC314" s="1"/>
      <c r="AD314" s="1"/>
      <c r="AE314" s="1"/>
      <c r="AF314" s="1"/>
      <c r="AG314" s="1"/>
      <c r="AH314" s="1"/>
      <c r="AI314" s="1"/>
      <c r="AJ314" s="1"/>
      <c r="AK314" s="1"/>
    </row>
    <row r="315" spans="1:37" ht="15.75" hidden="1" customHeight="1" outlineLevel="1" x14ac:dyDescent="0.25">
      <c r="A315" s="1"/>
      <c r="B315" s="1"/>
      <c r="C315" s="2"/>
      <c r="D315" s="1"/>
      <c r="E315" s="291" t="s">
        <v>151</v>
      </c>
      <c r="F315" s="33" t="s">
        <v>682</v>
      </c>
      <c r="G315" s="33"/>
      <c r="H315" s="350">
        <f t="shared" ref="H315:Y315" si="212">H309 /H313</f>
        <v>21.173566809462567</v>
      </c>
      <c r="I315" s="350">
        <f t="shared" si="212"/>
        <v>24.421241832454477</v>
      </c>
      <c r="J315" s="350">
        <f t="shared" si="212"/>
        <v>22.247635582747442</v>
      </c>
      <c r="K315" s="350">
        <f t="shared" si="212"/>
        <v>11.783038290293858</v>
      </c>
      <c r="L315" s="350">
        <f t="shared" si="212"/>
        <v>44.421410354223433</v>
      </c>
      <c r="M315" s="350">
        <f t="shared" si="212"/>
        <v>21.909598603839438</v>
      </c>
      <c r="N315" s="350">
        <f t="shared" si="212"/>
        <v>38.131460493366745</v>
      </c>
      <c r="O315" s="350">
        <f t="shared" si="212"/>
        <v>40.21806882878203</v>
      </c>
      <c r="P315" s="350">
        <f t="shared" si="212"/>
        <v>35.439341815084759</v>
      </c>
      <c r="Q315" s="350">
        <f t="shared" si="212"/>
        <v>36.642068544759226</v>
      </c>
      <c r="R315" s="350">
        <f t="shared" si="212"/>
        <v>37.301184293589174</v>
      </c>
      <c r="S315" s="350">
        <f t="shared" si="212"/>
        <v>38.11970278064075</v>
      </c>
      <c r="T315" s="350">
        <f t="shared" si="212"/>
        <v>41.566128664759795</v>
      </c>
      <c r="U315" s="350">
        <f t="shared" si="212"/>
        <v>41.079470597467299</v>
      </c>
      <c r="V315" s="350">
        <f t="shared" si="212"/>
        <v>43.502924250200849</v>
      </c>
      <c r="W315" s="350">
        <f t="shared" si="212"/>
        <v>44.405287082512764</v>
      </c>
      <c r="X315" s="350">
        <f t="shared" si="212"/>
        <v>44.976043668135382</v>
      </c>
      <c r="Y315" s="350">
        <f t="shared" si="212"/>
        <v>46.323328678185121</v>
      </c>
      <c r="Z315" s="17"/>
      <c r="AA315" s="1"/>
      <c r="AB315" s="1"/>
      <c r="AC315" s="1"/>
      <c r="AD315" s="1"/>
      <c r="AE315" s="1"/>
      <c r="AF315" s="1"/>
      <c r="AG315" s="1"/>
      <c r="AH315" s="1"/>
      <c r="AI315" s="1"/>
      <c r="AJ315" s="1"/>
      <c r="AK315" s="1"/>
    </row>
    <row r="316" spans="1:37" ht="15.75" hidden="1" customHeight="1" outlineLevel="1" x14ac:dyDescent="0.25">
      <c r="A316" s="1"/>
      <c r="B316" s="1"/>
      <c r="C316" s="2"/>
      <c r="D316" s="1"/>
      <c r="E316" s="290" t="s">
        <v>278</v>
      </c>
      <c r="F316" s="33" t="s">
        <v>682</v>
      </c>
      <c r="G316" s="33"/>
      <c r="H316" s="292">
        <v>-50.817</v>
      </c>
      <c r="I316" s="292">
        <v>-50.384999999999998</v>
      </c>
      <c r="J316" s="292">
        <v>-17.678636496350364</v>
      </c>
      <c r="K316" s="292">
        <v>-19.042231522707041</v>
      </c>
      <c r="L316" s="292">
        <v>-22.53259945504087</v>
      </c>
      <c r="M316" s="292">
        <v>-33.024712041884797</v>
      </c>
      <c r="N316" s="292">
        <v>-33.587718749999993</v>
      </c>
      <c r="O316" s="292">
        <f>-29.7/O313</f>
        <v>-32.725387512734969</v>
      </c>
      <c r="P316" s="292">
        <f>'Regular Dep. Calculation'!J5</f>
        <v>-32.474160722339754</v>
      </c>
      <c r="Q316" s="292">
        <f>'Regular Dep. Calculation'!K5</f>
        <v>-30.181305812632221</v>
      </c>
      <c r="R316" s="292">
        <f>'Regular Dep. Calculation'!L5</f>
        <v>-27.655844039211249</v>
      </c>
      <c r="S316" s="292">
        <f>'Regular Dep. Calculation'!M5</f>
        <v>-28.902994982068861</v>
      </c>
      <c r="T316" s="292">
        <f>'Regular Dep. Calculation'!N5</f>
        <v>-30.135590414489087</v>
      </c>
      <c r="U316" s="292">
        <f>'Regular Dep. Calculation'!O5</f>
        <v>-31.085964284420115</v>
      </c>
      <c r="V316" s="292">
        <f>'Regular Dep. Calculation'!P5</f>
        <v>-30.843620814737029</v>
      </c>
      <c r="W316" s="292">
        <f>'Regular Dep. Calculation'!Q5</f>
        <v>-30.500608572829162</v>
      </c>
      <c r="X316" s="292">
        <f>'Regular Dep. Calculation'!R5</f>
        <v>-30.222511205340933</v>
      </c>
      <c r="Y316" s="292">
        <f>'Regular Dep. Calculation'!S5</f>
        <v>-29.941055015716078</v>
      </c>
      <c r="Z316" s="1"/>
      <c r="AA316" s="1"/>
      <c r="AB316" s="1"/>
      <c r="AC316" s="1"/>
      <c r="AD316" s="1"/>
      <c r="AE316" s="1"/>
      <c r="AF316" s="1"/>
      <c r="AG316" s="1"/>
      <c r="AH316" s="1"/>
      <c r="AI316" s="1"/>
      <c r="AJ316" s="1"/>
      <c r="AK316" s="1"/>
    </row>
    <row r="317" spans="1:37" ht="15.75" hidden="1" customHeight="1" outlineLevel="1" x14ac:dyDescent="0.25">
      <c r="A317" s="1"/>
      <c r="B317" s="1"/>
      <c r="C317" s="2"/>
      <c r="D317" s="1"/>
      <c r="E317" s="290" t="s">
        <v>230</v>
      </c>
      <c r="F317" s="33" t="s">
        <v>682</v>
      </c>
      <c r="G317" s="33"/>
      <c r="H317" s="80">
        <f t="shared" ref="H317:Y317" si="213">H315 + H316</f>
        <v>-29.643433190537433</v>
      </c>
      <c r="I317" s="80">
        <f t="shared" si="213"/>
        <v>-25.963758167545521</v>
      </c>
      <c r="J317" s="80">
        <f t="shared" si="213"/>
        <v>4.5689990863970777</v>
      </c>
      <c r="K317" s="80">
        <f t="shared" si="213"/>
        <v>-7.2591932324131836</v>
      </c>
      <c r="L317" s="80">
        <f t="shared" si="213"/>
        <v>21.888810899182563</v>
      </c>
      <c r="M317" s="80">
        <f t="shared" si="213"/>
        <v>-11.115113438045359</v>
      </c>
      <c r="N317" s="80">
        <f t="shared" si="213"/>
        <v>4.543741743366752</v>
      </c>
      <c r="O317" s="80">
        <f t="shared" si="213"/>
        <v>7.4926813160470616</v>
      </c>
      <c r="P317" s="80">
        <f t="shared" si="213"/>
        <v>2.9651810927450057</v>
      </c>
      <c r="Q317" s="80">
        <f t="shared" si="213"/>
        <v>6.4607627321270051</v>
      </c>
      <c r="R317" s="80">
        <f t="shared" si="213"/>
        <v>9.6453402543779241</v>
      </c>
      <c r="S317" s="80">
        <f t="shared" si="213"/>
        <v>9.216707798571889</v>
      </c>
      <c r="T317" s="80">
        <f t="shared" si="213"/>
        <v>11.430538250270708</v>
      </c>
      <c r="U317" s="80">
        <f t="shared" si="213"/>
        <v>9.9935063130471846</v>
      </c>
      <c r="V317" s="80">
        <f t="shared" si="213"/>
        <v>12.659303435463819</v>
      </c>
      <c r="W317" s="80">
        <f t="shared" si="213"/>
        <v>13.904678509683603</v>
      </c>
      <c r="X317" s="80">
        <f t="shared" si="213"/>
        <v>14.75353246279445</v>
      </c>
      <c r="Y317" s="80">
        <f t="shared" si="213"/>
        <v>16.382273662469043</v>
      </c>
      <c r="Z317" s="1"/>
      <c r="AA317" s="1"/>
      <c r="AB317" s="1"/>
      <c r="AC317" s="1"/>
      <c r="AD317" s="1"/>
      <c r="AE317" s="1"/>
      <c r="AF317" s="1"/>
      <c r="AG317" s="1"/>
      <c r="AH317" s="1"/>
      <c r="AI317" s="1"/>
      <c r="AJ317" s="1"/>
      <c r="AK317" s="1"/>
    </row>
    <row r="318" spans="1:37" ht="15.75" hidden="1" customHeight="1" outlineLevel="1" x14ac:dyDescent="0.25">
      <c r="A318" s="1"/>
      <c r="B318" s="1"/>
      <c r="C318" s="2"/>
      <c r="D318" s="1"/>
      <c r="E318" s="291" t="s">
        <v>650</v>
      </c>
      <c r="F318" s="33" t="s">
        <v>8</v>
      </c>
      <c r="G318" s="33"/>
      <c r="H318" s="274">
        <f t="shared" ref="H318:Y318" si="214">H317/H314</f>
        <v>-0.20467644968865803</v>
      </c>
      <c r="I318" s="274">
        <f t="shared" si="214"/>
        <v>-0.17379152164412381</v>
      </c>
      <c r="J318" s="274">
        <f t="shared" si="214"/>
        <v>3.1315534306569331E-2</v>
      </c>
      <c r="K318" s="274">
        <f t="shared" si="214"/>
        <v>-6.1442564559216421E-2</v>
      </c>
      <c r="L318" s="274">
        <f t="shared" si="214"/>
        <v>0.1111716621253406</v>
      </c>
      <c r="M318" s="274">
        <f t="shared" si="214"/>
        <v>-6.0500290866782928E-2</v>
      </c>
      <c r="N318" s="274">
        <f t="shared" si="214"/>
        <v>1.8809291520711483E-2</v>
      </c>
      <c r="O318" s="274">
        <f t="shared" si="214"/>
        <v>3.1016733587699838E-2</v>
      </c>
      <c r="P318" s="274">
        <f t="shared" si="214"/>
        <v>1.2236390554752927E-2</v>
      </c>
      <c r="Q318" s="274">
        <f t="shared" si="214"/>
        <v>2.5787596326960691E-2</v>
      </c>
      <c r="R318" s="274">
        <f t="shared" si="214"/>
        <v>3.7326990131393921E-2</v>
      </c>
      <c r="S318" s="274">
        <f t="shared" si="214"/>
        <v>3.467126161875813E-2</v>
      </c>
      <c r="T318" s="274">
        <f t="shared" si="214"/>
        <v>4.1717042856456783E-2</v>
      </c>
      <c r="U318" s="274">
        <f t="shared" si="214"/>
        <v>3.545268615150618E-2</v>
      </c>
      <c r="V318" s="274">
        <f t="shared" si="214"/>
        <v>4.3618485723470345E-2</v>
      </c>
      <c r="W318" s="274">
        <f t="shared" si="214"/>
        <v>4.6642045061406193E-2</v>
      </c>
      <c r="X318" s="274">
        <f t="shared" si="214"/>
        <v>4.8226561346315686E-2</v>
      </c>
      <c r="Y318" s="274">
        <f t="shared" si="214"/>
        <v>5.2027417073336954E-2</v>
      </c>
      <c r="Z318" s="17"/>
      <c r="AA318" s="1"/>
      <c r="AB318" s="1"/>
      <c r="AC318" s="1"/>
      <c r="AD318" s="1"/>
      <c r="AE318" s="1"/>
      <c r="AF318" s="1"/>
      <c r="AG318" s="1"/>
      <c r="AH318" s="1"/>
      <c r="AI318" s="1"/>
      <c r="AJ318" s="1"/>
      <c r="AK318" s="1"/>
    </row>
    <row r="319" spans="1:37" ht="15.75" hidden="1" customHeight="1" outlineLevel="1" x14ac:dyDescent="0.25">
      <c r="A319" s="1"/>
      <c r="B319" s="1"/>
      <c r="C319" s="2"/>
      <c r="D319" s="1"/>
      <c r="E319" s="290"/>
      <c r="F319" s="33"/>
      <c r="G319" s="33"/>
      <c r="H319" s="274"/>
      <c r="I319" s="274"/>
      <c r="J319" s="305"/>
      <c r="K319" s="305"/>
      <c r="L319" s="305"/>
      <c r="M319" s="305"/>
      <c r="N319" s="305"/>
      <c r="O319" s="305"/>
      <c r="P319" s="305"/>
      <c r="Q319" s="305"/>
      <c r="R319" s="305"/>
      <c r="S319" s="305"/>
      <c r="T319" s="305"/>
      <c r="U319" s="305"/>
      <c r="V319" s="305"/>
      <c r="W319" s="305"/>
      <c r="X319" s="305"/>
      <c r="Y319" s="305"/>
      <c r="Z319" s="1"/>
      <c r="AA319" s="1"/>
      <c r="AB319" s="1"/>
      <c r="AC319" s="1"/>
      <c r="AD319" s="1"/>
      <c r="AE319" s="1"/>
      <c r="AF319" s="1"/>
      <c r="AG319" s="1"/>
      <c r="AH319" s="1"/>
      <c r="AI319" s="1"/>
      <c r="AJ319" s="1"/>
      <c r="AK319" s="1"/>
    </row>
    <row r="320" spans="1:37" ht="11.25" hidden="1" customHeight="1" outlineLevel="1" x14ac:dyDescent="0.25">
      <c r="A320" s="1"/>
      <c r="B320" s="1"/>
      <c r="C320" s="1"/>
      <c r="D320" s="1"/>
      <c r="E320" s="313"/>
      <c r="F320" s="33"/>
      <c r="G320" s="33"/>
      <c r="H320" s="195"/>
      <c r="I320" s="195"/>
      <c r="J320" s="195"/>
      <c r="K320" s="195"/>
      <c r="L320" s="195"/>
      <c r="M320" s="195"/>
      <c r="N320" s="49"/>
      <c r="O320" s="49"/>
      <c r="P320" s="49"/>
      <c r="Q320" s="49"/>
      <c r="R320" s="49"/>
      <c r="S320" s="49"/>
      <c r="T320" s="49"/>
      <c r="U320" s="49"/>
      <c r="V320" s="49"/>
      <c r="W320" s="49"/>
      <c r="X320" s="49"/>
      <c r="Y320" s="49"/>
    </row>
    <row r="321" spans="1:26" ht="11.25" hidden="1" customHeight="1" outlineLevel="1" x14ac:dyDescent="0.25">
      <c r="A321" s="1"/>
      <c r="B321" s="1"/>
      <c r="C321" s="1"/>
      <c r="D321" s="1"/>
      <c r="E321" s="314"/>
      <c r="F321" s="315"/>
      <c r="G321" s="315"/>
      <c r="H321" s="316"/>
      <c r="I321" s="316"/>
      <c r="J321" s="316"/>
      <c r="K321" s="316"/>
      <c r="L321" s="316"/>
      <c r="M321" s="316"/>
      <c r="N321" s="317"/>
      <c r="O321" s="317"/>
      <c r="P321" s="317"/>
      <c r="Q321" s="317"/>
      <c r="R321" s="317"/>
      <c r="S321" s="317"/>
      <c r="T321" s="317"/>
      <c r="U321" s="317"/>
      <c r="V321" s="317"/>
      <c r="W321" s="317"/>
      <c r="X321" s="317"/>
      <c r="Y321" s="317"/>
    </row>
    <row r="322" spans="1:26" ht="11.25" hidden="1" customHeight="1" outlineLevel="1" x14ac:dyDescent="0.25">
      <c r="A322" s="1"/>
      <c r="B322" s="1"/>
      <c r="C322" s="1"/>
      <c r="D322" s="1"/>
      <c r="E322" s="314" t="s">
        <v>655</v>
      </c>
      <c r="F322" s="315"/>
      <c r="G322" s="315"/>
      <c r="H322" s="316"/>
      <c r="I322" s="316"/>
      <c r="J322" s="316"/>
      <c r="K322" s="316"/>
      <c r="L322" s="316"/>
      <c r="M322" s="316"/>
      <c r="N322" s="317"/>
      <c r="O322" s="317"/>
      <c r="P322" s="317"/>
      <c r="Q322" s="317"/>
      <c r="R322" s="317"/>
      <c r="S322" s="317"/>
      <c r="T322" s="317"/>
      <c r="U322" s="317"/>
      <c r="V322" s="317"/>
      <c r="W322" s="317"/>
      <c r="X322" s="317"/>
      <c r="Y322" s="317"/>
    </row>
    <row r="323" spans="1:26" ht="11.25" hidden="1" customHeight="1" outlineLevel="1" x14ac:dyDescent="0.25">
      <c r="A323" s="1"/>
      <c r="B323" s="1"/>
      <c r="C323" s="1"/>
      <c r="D323" s="1"/>
      <c r="E323" s="318" t="s">
        <v>656</v>
      </c>
      <c r="F323" s="315" t="s">
        <v>11</v>
      </c>
      <c r="G323" s="315"/>
      <c r="H323" s="319">
        <v>900</v>
      </c>
      <c r="I323" s="319">
        <v>828</v>
      </c>
      <c r="J323" s="319">
        <v>828</v>
      </c>
      <c r="K323" s="319">
        <v>828</v>
      </c>
      <c r="L323" s="319">
        <v>1075</v>
      </c>
      <c r="M323" s="319">
        <v>1213</v>
      </c>
      <c r="N323" s="319">
        <v>1213</v>
      </c>
      <c r="O323" s="319">
        <v>1213</v>
      </c>
      <c r="P323" s="320"/>
      <c r="Q323" s="320"/>
      <c r="R323" s="320"/>
      <c r="S323" s="320"/>
      <c r="T323" s="320"/>
      <c r="U323" s="320"/>
      <c r="V323" s="320"/>
      <c r="W323" s="320"/>
      <c r="X323" s="320"/>
      <c r="Y323" s="320"/>
      <c r="Z323" s="192"/>
    </row>
    <row r="324" spans="1:26" ht="11.25" hidden="1" customHeight="1" outlineLevel="1" x14ac:dyDescent="0.25">
      <c r="A324" s="1"/>
      <c r="B324" s="1"/>
      <c r="C324" s="1"/>
      <c r="D324" s="1"/>
      <c r="E324" s="318" t="s">
        <v>657</v>
      </c>
      <c r="F324" s="315" t="s">
        <v>658</v>
      </c>
      <c r="G324" s="315"/>
      <c r="H324" s="321">
        <f t="shared" ref="H324:L324" si="215">((H283 / H323) / 362 ) * 1000000</f>
        <v>0</v>
      </c>
      <c r="I324" s="321">
        <f t="shared" si="215"/>
        <v>0</v>
      </c>
      <c r="J324" s="321">
        <f t="shared" si="215"/>
        <v>0</v>
      </c>
      <c r="K324" s="321">
        <f t="shared" si="215"/>
        <v>0</v>
      </c>
      <c r="L324" s="321">
        <f t="shared" si="215"/>
        <v>0</v>
      </c>
      <c r="M324" s="321">
        <f>((M283 / M323) / 255 ) * 1000000</f>
        <v>0</v>
      </c>
      <c r="N324" s="321">
        <f t="shared" ref="N324:O324" si="216">((N283 / N323) / 362 ) * 1000000</f>
        <v>0</v>
      </c>
      <c r="O324" s="321">
        <f t="shared" si="216"/>
        <v>0</v>
      </c>
      <c r="P324" s="317"/>
      <c r="Q324" s="317"/>
      <c r="R324" s="317"/>
      <c r="S324" s="317"/>
      <c r="T324" s="317"/>
      <c r="U324" s="317"/>
      <c r="V324" s="317"/>
      <c r="W324" s="317"/>
      <c r="X324" s="317"/>
      <c r="Y324" s="317"/>
    </row>
    <row r="325" spans="1:26" ht="11.25" hidden="1" customHeight="1" outlineLevel="1" x14ac:dyDescent="0.25">
      <c r="A325" s="1"/>
      <c r="B325" s="1"/>
      <c r="C325" s="1"/>
      <c r="D325" s="1"/>
      <c r="E325" s="322" t="s">
        <v>659</v>
      </c>
      <c r="F325" s="315" t="s">
        <v>8</v>
      </c>
      <c r="G325" s="315"/>
      <c r="H325" s="316"/>
      <c r="I325" s="323" t="e">
        <f t="shared" ref="I325:O325" si="217">I324 / H324 -1</f>
        <v>#DIV/0!</v>
      </c>
      <c r="J325" s="323" t="e">
        <f t="shared" si="217"/>
        <v>#DIV/0!</v>
      </c>
      <c r="K325" s="323" t="e">
        <f t="shared" si="217"/>
        <v>#DIV/0!</v>
      </c>
      <c r="L325" s="323" t="e">
        <f t="shared" si="217"/>
        <v>#DIV/0!</v>
      </c>
      <c r="M325" s="323" t="e">
        <f t="shared" si="217"/>
        <v>#DIV/0!</v>
      </c>
      <c r="N325" s="323" t="e">
        <f t="shared" si="217"/>
        <v>#DIV/0!</v>
      </c>
      <c r="O325" s="323" t="e">
        <f t="shared" si="217"/>
        <v>#DIV/0!</v>
      </c>
      <c r="P325" s="324"/>
      <c r="Q325" s="324"/>
      <c r="R325" s="324"/>
      <c r="S325" s="324"/>
      <c r="T325" s="324"/>
      <c r="U325" s="324"/>
      <c r="V325" s="324"/>
      <c r="W325" s="324"/>
      <c r="X325" s="324"/>
      <c r="Y325" s="324"/>
      <c r="Z325" s="17"/>
    </row>
    <row r="326" spans="1:26" ht="11.25" hidden="1" customHeight="1" outlineLevel="1" x14ac:dyDescent="0.25">
      <c r="A326" s="1"/>
      <c r="B326" s="1"/>
      <c r="C326" s="1"/>
      <c r="D326" s="1"/>
      <c r="E326" s="318" t="s">
        <v>151</v>
      </c>
      <c r="F326" s="315" t="s">
        <v>28</v>
      </c>
      <c r="G326" s="315"/>
      <c r="H326" s="316">
        <f t="shared" ref="H326:O326" si="218">H327 * H283</f>
        <v>0</v>
      </c>
      <c r="I326" s="316">
        <f t="shared" si="218"/>
        <v>0</v>
      </c>
      <c r="J326" s="316">
        <f t="shared" si="218"/>
        <v>0</v>
      </c>
      <c r="K326" s="316">
        <f t="shared" si="218"/>
        <v>0</v>
      </c>
      <c r="L326" s="316">
        <f t="shared" si="218"/>
        <v>0</v>
      </c>
      <c r="M326" s="316">
        <f t="shared" si="218"/>
        <v>0</v>
      </c>
      <c r="N326" s="316">
        <f t="shared" si="218"/>
        <v>0</v>
      </c>
      <c r="O326" s="316">
        <f t="shared" si="218"/>
        <v>0</v>
      </c>
      <c r="P326" s="316"/>
      <c r="Q326" s="316"/>
      <c r="R326" s="316"/>
      <c r="S326" s="316"/>
      <c r="T326" s="316"/>
      <c r="U326" s="316"/>
      <c r="V326" s="316"/>
      <c r="W326" s="316"/>
      <c r="X326" s="316"/>
      <c r="Y326" s="316"/>
    </row>
    <row r="327" spans="1:26" ht="11.25" hidden="1" customHeight="1" outlineLevel="1" x14ac:dyDescent="0.25">
      <c r="A327" s="1"/>
      <c r="B327" s="1"/>
      <c r="C327" s="1"/>
      <c r="D327" s="1"/>
      <c r="E327" s="322" t="s">
        <v>650</v>
      </c>
      <c r="F327" s="315" t="s">
        <v>8</v>
      </c>
      <c r="G327" s="315"/>
      <c r="H327" s="325">
        <v>0.75</v>
      </c>
      <c r="I327" s="325">
        <v>0.75</v>
      </c>
      <c r="J327" s="325">
        <v>0.75</v>
      </c>
      <c r="K327" s="325">
        <v>0.75</v>
      </c>
      <c r="L327" s="325">
        <v>0.75</v>
      </c>
      <c r="M327" s="325">
        <v>0.75</v>
      </c>
      <c r="N327" s="325">
        <v>0.75</v>
      </c>
      <c r="O327" s="325">
        <v>0.75</v>
      </c>
      <c r="P327" s="325"/>
      <c r="Q327" s="325"/>
      <c r="R327" s="325"/>
      <c r="S327" s="325"/>
      <c r="T327" s="325"/>
      <c r="U327" s="325"/>
      <c r="V327" s="325"/>
      <c r="W327" s="325"/>
      <c r="X327" s="325"/>
      <c r="Y327" s="325"/>
      <c r="Z327" s="192"/>
    </row>
    <row r="328" spans="1:26" ht="11.25" hidden="1" customHeight="1" outlineLevel="1" x14ac:dyDescent="0.25">
      <c r="A328" s="1"/>
      <c r="B328" s="1"/>
      <c r="C328" s="1"/>
      <c r="D328" s="1"/>
      <c r="E328" s="322"/>
      <c r="F328" s="315"/>
      <c r="G328" s="315"/>
      <c r="H328" s="316"/>
      <c r="I328" s="316"/>
      <c r="J328" s="316"/>
      <c r="K328" s="316"/>
      <c r="L328" s="316"/>
      <c r="M328" s="316"/>
      <c r="N328" s="317"/>
      <c r="O328" s="317"/>
      <c r="P328" s="317"/>
      <c r="Q328" s="317"/>
      <c r="R328" s="317"/>
      <c r="S328" s="317"/>
      <c r="T328" s="317"/>
      <c r="U328" s="317"/>
      <c r="V328" s="317"/>
      <c r="W328" s="317"/>
      <c r="X328" s="317"/>
      <c r="Y328" s="317"/>
    </row>
    <row r="329" spans="1:26" ht="11.25" hidden="1" customHeight="1" outlineLevel="1" x14ac:dyDescent="0.25">
      <c r="A329" s="1"/>
      <c r="B329" s="1"/>
      <c r="C329" s="1"/>
      <c r="D329" s="1"/>
      <c r="E329" s="314" t="s">
        <v>660</v>
      </c>
      <c r="F329" s="315"/>
      <c r="G329" s="315"/>
      <c r="H329" s="316"/>
      <c r="I329" s="316"/>
      <c r="J329" s="316"/>
      <c r="K329" s="316"/>
      <c r="L329" s="316"/>
      <c r="M329" s="316"/>
      <c r="N329" s="317"/>
      <c r="O329" s="317"/>
      <c r="P329" s="317"/>
      <c r="Q329" s="317"/>
      <c r="R329" s="317"/>
      <c r="S329" s="317"/>
      <c r="T329" s="317"/>
      <c r="U329" s="317"/>
      <c r="V329" s="317"/>
      <c r="W329" s="317"/>
      <c r="X329" s="317"/>
      <c r="Y329" s="317"/>
    </row>
    <row r="330" spans="1:26" ht="11.25" hidden="1" customHeight="1" outlineLevel="1" x14ac:dyDescent="0.25">
      <c r="A330" s="1"/>
      <c r="B330" s="1"/>
      <c r="C330" s="1"/>
      <c r="D330" s="1"/>
      <c r="E330" s="318" t="s">
        <v>661</v>
      </c>
      <c r="F330" s="315" t="s">
        <v>11</v>
      </c>
      <c r="G330" s="315"/>
      <c r="H330" s="319">
        <v>70</v>
      </c>
      <c r="I330" s="319">
        <v>90</v>
      </c>
      <c r="J330" s="319">
        <v>90</v>
      </c>
      <c r="K330" s="319">
        <v>90</v>
      </c>
      <c r="L330" s="319">
        <v>125</v>
      </c>
      <c r="M330" s="319">
        <v>118</v>
      </c>
      <c r="N330" s="319">
        <v>118</v>
      </c>
      <c r="O330" s="319">
        <v>118</v>
      </c>
      <c r="P330" s="320"/>
      <c r="Q330" s="320"/>
      <c r="R330" s="320"/>
      <c r="S330" s="320"/>
      <c r="T330" s="320"/>
      <c r="U330" s="320"/>
      <c r="V330" s="320"/>
      <c r="W330" s="320"/>
      <c r="X330" s="320"/>
      <c r="Y330" s="320"/>
    </row>
    <row r="331" spans="1:26" ht="11.25" hidden="1" customHeight="1" outlineLevel="1" x14ac:dyDescent="0.25">
      <c r="A331" s="1"/>
      <c r="B331" s="1"/>
      <c r="C331" s="1"/>
      <c r="D331" s="1"/>
      <c r="E331" s="318" t="s">
        <v>657</v>
      </c>
      <c r="F331" s="315" t="s">
        <v>658</v>
      </c>
      <c r="G331" s="315"/>
      <c r="H331" s="321">
        <f t="shared" ref="H331:O331" si="219">((H285 / H330) / 362 ) * 1000000</f>
        <v>0</v>
      </c>
      <c r="I331" s="321">
        <f t="shared" si="219"/>
        <v>0</v>
      </c>
      <c r="J331" s="321">
        <f t="shared" si="219"/>
        <v>0</v>
      </c>
      <c r="K331" s="321">
        <f t="shared" si="219"/>
        <v>0</v>
      </c>
      <c r="L331" s="321">
        <f t="shared" si="219"/>
        <v>0</v>
      </c>
      <c r="M331" s="321">
        <f t="shared" si="219"/>
        <v>0</v>
      </c>
      <c r="N331" s="321">
        <f t="shared" si="219"/>
        <v>0</v>
      </c>
      <c r="O331" s="321">
        <f t="shared" si="219"/>
        <v>0</v>
      </c>
      <c r="P331" s="317"/>
      <c r="Q331" s="317"/>
      <c r="R331" s="317"/>
      <c r="S331" s="317"/>
      <c r="T331" s="317"/>
      <c r="U331" s="317"/>
      <c r="V331" s="317"/>
      <c r="W331" s="317"/>
      <c r="X331" s="317"/>
      <c r="Y331" s="317"/>
    </row>
    <row r="332" spans="1:26" ht="11.25" hidden="1" customHeight="1" outlineLevel="1" x14ac:dyDescent="0.25">
      <c r="A332" s="1"/>
      <c r="B332" s="1"/>
      <c r="C332" s="1"/>
      <c r="D332" s="1"/>
      <c r="E332" s="322" t="s">
        <v>659</v>
      </c>
      <c r="F332" s="315" t="s">
        <v>8</v>
      </c>
      <c r="G332" s="315"/>
      <c r="H332" s="316"/>
      <c r="I332" s="323" t="e">
        <f t="shared" ref="I332:O332" si="220">I331 / H331 -1</f>
        <v>#DIV/0!</v>
      </c>
      <c r="J332" s="323" t="e">
        <f t="shared" si="220"/>
        <v>#DIV/0!</v>
      </c>
      <c r="K332" s="323" t="e">
        <f t="shared" si="220"/>
        <v>#DIV/0!</v>
      </c>
      <c r="L332" s="323" t="e">
        <f t="shared" si="220"/>
        <v>#DIV/0!</v>
      </c>
      <c r="M332" s="323" t="e">
        <f t="shared" si="220"/>
        <v>#DIV/0!</v>
      </c>
      <c r="N332" s="323" t="e">
        <f t="shared" si="220"/>
        <v>#DIV/0!</v>
      </c>
      <c r="O332" s="323" t="e">
        <f t="shared" si="220"/>
        <v>#DIV/0!</v>
      </c>
      <c r="P332" s="324"/>
      <c r="Q332" s="324"/>
      <c r="R332" s="324"/>
      <c r="S332" s="324"/>
      <c r="T332" s="324"/>
      <c r="U332" s="324"/>
      <c r="V332" s="324"/>
      <c r="W332" s="324"/>
      <c r="X332" s="324"/>
      <c r="Y332" s="324"/>
      <c r="Z332" s="17"/>
    </row>
    <row r="333" spans="1:26" ht="11.25" hidden="1" customHeight="1" outlineLevel="1" x14ac:dyDescent="0.25">
      <c r="A333" s="1"/>
      <c r="B333" s="1"/>
      <c r="C333" s="1"/>
      <c r="D333" s="1"/>
      <c r="E333" s="318" t="s">
        <v>151</v>
      </c>
      <c r="F333" s="315" t="s">
        <v>28</v>
      </c>
      <c r="G333" s="315"/>
      <c r="H333" s="316">
        <f t="shared" ref="H333:O333" si="221">H285 * H334</f>
        <v>0</v>
      </c>
      <c r="I333" s="316">
        <f t="shared" si="221"/>
        <v>0</v>
      </c>
      <c r="J333" s="316">
        <f t="shared" si="221"/>
        <v>0</v>
      </c>
      <c r="K333" s="316">
        <f t="shared" si="221"/>
        <v>0</v>
      </c>
      <c r="L333" s="316">
        <f t="shared" si="221"/>
        <v>0</v>
      </c>
      <c r="M333" s="316">
        <f t="shared" si="221"/>
        <v>0</v>
      </c>
      <c r="N333" s="316">
        <f t="shared" si="221"/>
        <v>0</v>
      </c>
      <c r="O333" s="316">
        <f t="shared" si="221"/>
        <v>0</v>
      </c>
      <c r="P333" s="316"/>
      <c r="Q333" s="316"/>
      <c r="R333" s="316"/>
      <c r="S333" s="316"/>
      <c r="T333" s="316"/>
      <c r="U333" s="316"/>
      <c r="V333" s="316"/>
      <c r="W333" s="316"/>
      <c r="X333" s="316"/>
      <c r="Y333" s="316"/>
    </row>
    <row r="334" spans="1:26" ht="11.25" hidden="1" customHeight="1" outlineLevel="1" x14ac:dyDescent="0.25">
      <c r="A334" s="1"/>
      <c r="B334" s="1"/>
      <c r="C334" s="1"/>
      <c r="D334" s="1"/>
      <c r="E334" s="322" t="s">
        <v>650</v>
      </c>
      <c r="F334" s="315" t="s">
        <v>8</v>
      </c>
      <c r="G334" s="315"/>
      <c r="H334" s="325">
        <v>0.55000000000000004</v>
      </c>
      <c r="I334" s="325">
        <v>0.55000000000000004</v>
      </c>
      <c r="J334" s="325">
        <v>0.55000000000000004</v>
      </c>
      <c r="K334" s="325">
        <v>0.55000000000000004</v>
      </c>
      <c r="L334" s="325">
        <v>0.55000000000000004</v>
      </c>
      <c r="M334" s="325">
        <v>0.55000000000000004</v>
      </c>
      <c r="N334" s="325">
        <v>0.55000000000000004</v>
      </c>
      <c r="O334" s="325">
        <v>0.55000000000000004</v>
      </c>
      <c r="P334" s="325"/>
      <c r="Q334" s="325"/>
      <c r="R334" s="325"/>
      <c r="S334" s="325"/>
      <c r="T334" s="325"/>
      <c r="U334" s="325"/>
      <c r="V334" s="325"/>
      <c r="W334" s="325"/>
      <c r="X334" s="325"/>
      <c r="Y334" s="325"/>
    </row>
    <row r="335" spans="1:26" ht="11.25" hidden="1" customHeight="1" outlineLevel="1" x14ac:dyDescent="0.25">
      <c r="A335" s="1"/>
      <c r="B335" s="1"/>
      <c r="C335" s="1"/>
      <c r="D335" s="1"/>
      <c r="E335" s="322"/>
      <c r="F335" s="315"/>
      <c r="G335" s="315"/>
      <c r="H335" s="316"/>
      <c r="I335" s="316"/>
      <c r="J335" s="316"/>
      <c r="K335" s="316"/>
      <c r="L335" s="316"/>
      <c r="M335" s="316"/>
      <c r="N335" s="317"/>
      <c r="O335" s="317"/>
      <c r="P335" s="317"/>
      <c r="Q335" s="317"/>
      <c r="R335" s="317"/>
      <c r="S335" s="317"/>
      <c r="T335" s="317"/>
      <c r="U335" s="317"/>
      <c r="V335" s="317"/>
      <c r="W335" s="317"/>
      <c r="X335" s="317"/>
      <c r="Y335" s="317"/>
    </row>
    <row r="336" spans="1:26" ht="11.25" hidden="1" customHeight="1" outlineLevel="1" x14ac:dyDescent="0.25">
      <c r="A336" s="1"/>
      <c r="B336" s="1"/>
      <c r="C336" s="1"/>
      <c r="D336" s="1"/>
      <c r="E336" s="314" t="s">
        <v>640</v>
      </c>
      <c r="F336" s="315"/>
      <c r="G336" s="315"/>
      <c r="H336" s="316"/>
      <c r="I336" s="316"/>
      <c r="J336" s="316"/>
      <c r="K336" s="316"/>
      <c r="L336" s="316"/>
      <c r="M336" s="316"/>
      <c r="N336" s="317"/>
      <c r="O336" s="317"/>
      <c r="P336" s="317"/>
      <c r="Q336" s="317"/>
      <c r="R336" s="317"/>
      <c r="S336" s="317"/>
      <c r="T336" s="317"/>
      <c r="U336" s="317"/>
      <c r="V336" s="317"/>
      <c r="W336" s="317"/>
      <c r="X336" s="317"/>
      <c r="Y336" s="317"/>
    </row>
    <row r="337" spans="1:37" ht="11.25" hidden="1" customHeight="1" outlineLevel="1" x14ac:dyDescent="0.25">
      <c r="A337" s="1"/>
      <c r="B337" s="1"/>
      <c r="C337" s="1"/>
      <c r="D337" s="1"/>
      <c r="E337" s="318" t="s">
        <v>662</v>
      </c>
      <c r="F337" s="315" t="s">
        <v>11</v>
      </c>
      <c r="G337" s="315"/>
      <c r="H337" s="326">
        <v>9</v>
      </c>
      <c r="I337" s="326">
        <v>9</v>
      </c>
      <c r="J337" s="326">
        <v>9</v>
      </c>
      <c r="K337" s="326">
        <v>9</v>
      </c>
      <c r="L337" s="326">
        <v>10</v>
      </c>
      <c r="M337" s="326">
        <v>10</v>
      </c>
      <c r="N337" s="319">
        <v>10</v>
      </c>
      <c r="O337" s="319">
        <v>10</v>
      </c>
      <c r="P337" s="320"/>
      <c r="Q337" s="320"/>
      <c r="R337" s="320"/>
      <c r="S337" s="320"/>
      <c r="T337" s="320"/>
      <c r="U337" s="320"/>
      <c r="V337" s="320"/>
      <c r="W337" s="320"/>
      <c r="X337" s="320"/>
      <c r="Y337" s="320"/>
    </row>
    <row r="338" spans="1:37" ht="11.25" hidden="1" customHeight="1" outlineLevel="1" x14ac:dyDescent="0.25">
      <c r="A338" s="1"/>
      <c r="B338" s="1"/>
      <c r="C338" s="1"/>
      <c r="D338" s="1"/>
      <c r="E338" s="318" t="s">
        <v>663</v>
      </c>
      <c r="F338" s="315" t="s">
        <v>658</v>
      </c>
      <c r="G338" s="315"/>
      <c r="H338" s="321">
        <f t="shared" ref="H338:O338" si="222">((H290 / H337) / 362 ) * 1000000</f>
        <v>0</v>
      </c>
      <c r="I338" s="321">
        <f t="shared" si="222"/>
        <v>0</v>
      </c>
      <c r="J338" s="321">
        <f t="shared" si="222"/>
        <v>0</v>
      </c>
      <c r="K338" s="321">
        <f t="shared" si="222"/>
        <v>0</v>
      </c>
      <c r="L338" s="321">
        <f t="shared" si="222"/>
        <v>0</v>
      </c>
      <c r="M338" s="321">
        <f t="shared" si="222"/>
        <v>0</v>
      </c>
      <c r="N338" s="321">
        <f t="shared" si="222"/>
        <v>0</v>
      </c>
      <c r="O338" s="321">
        <f t="shared" si="222"/>
        <v>0</v>
      </c>
      <c r="P338" s="317"/>
      <c r="Q338" s="317"/>
      <c r="R338" s="317"/>
      <c r="S338" s="317"/>
      <c r="T338" s="317"/>
      <c r="U338" s="317"/>
      <c r="V338" s="317"/>
      <c r="W338" s="317"/>
      <c r="X338" s="317"/>
      <c r="Y338" s="317"/>
    </row>
    <row r="339" spans="1:37" ht="11.25" hidden="1" customHeight="1" outlineLevel="1" x14ac:dyDescent="0.25">
      <c r="A339" s="1"/>
      <c r="B339" s="1"/>
      <c r="C339" s="1"/>
      <c r="D339" s="1"/>
      <c r="E339" s="322" t="s">
        <v>659</v>
      </c>
      <c r="F339" s="315" t="s">
        <v>8</v>
      </c>
      <c r="G339" s="315"/>
      <c r="H339" s="316"/>
      <c r="I339" s="323" t="e">
        <f t="shared" ref="I339:O339" si="223">I338 / H338 -1</f>
        <v>#DIV/0!</v>
      </c>
      <c r="J339" s="323" t="e">
        <f t="shared" si="223"/>
        <v>#DIV/0!</v>
      </c>
      <c r="K339" s="323" t="e">
        <f t="shared" si="223"/>
        <v>#DIV/0!</v>
      </c>
      <c r="L339" s="323" t="e">
        <f t="shared" si="223"/>
        <v>#DIV/0!</v>
      </c>
      <c r="M339" s="323" t="e">
        <f t="shared" si="223"/>
        <v>#DIV/0!</v>
      </c>
      <c r="N339" s="323" t="e">
        <f t="shared" si="223"/>
        <v>#DIV/0!</v>
      </c>
      <c r="O339" s="323" t="e">
        <f t="shared" si="223"/>
        <v>#DIV/0!</v>
      </c>
      <c r="P339" s="324"/>
      <c r="Q339" s="324"/>
      <c r="R339" s="324"/>
      <c r="S339" s="324"/>
      <c r="T339" s="324"/>
      <c r="U339" s="324"/>
      <c r="V339" s="324"/>
      <c r="W339" s="324"/>
      <c r="X339" s="324"/>
      <c r="Y339" s="324"/>
    </row>
    <row r="340" spans="1:37" ht="11.25" hidden="1" customHeight="1" outlineLevel="1" x14ac:dyDescent="0.25">
      <c r="A340" s="1"/>
      <c r="B340" s="1"/>
      <c r="C340" s="1"/>
      <c r="D340" s="1"/>
      <c r="E340" s="318" t="s">
        <v>151</v>
      </c>
      <c r="F340" s="315" t="s">
        <v>28</v>
      </c>
      <c r="G340" s="315"/>
      <c r="H340" s="327">
        <f t="shared" ref="H340:O340" si="224">H290 * H341</f>
        <v>0</v>
      </c>
      <c r="I340" s="327">
        <f t="shared" si="224"/>
        <v>0</v>
      </c>
      <c r="J340" s="327">
        <f t="shared" si="224"/>
        <v>0</v>
      </c>
      <c r="K340" s="327">
        <f t="shared" si="224"/>
        <v>0</v>
      </c>
      <c r="L340" s="327">
        <f t="shared" si="224"/>
        <v>0</v>
      </c>
      <c r="M340" s="327">
        <f t="shared" si="224"/>
        <v>0</v>
      </c>
      <c r="N340" s="327">
        <f t="shared" si="224"/>
        <v>0</v>
      </c>
      <c r="O340" s="327">
        <f t="shared" si="224"/>
        <v>0</v>
      </c>
      <c r="P340" s="327"/>
      <c r="Q340" s="327"/>
      <c r="R340" s="327"/>
      <c r="S340" s="327"/>
      <c r="T340" s="327"/>
      <c r="U340" s="327"/>
      <c r="V340" s="327"/>
      <c r="W340" s="327"/>
      <c r="X340" s="327"/>
      <c r="Y340" s="327"/>
    </row>
    <row r="341" spans="1:37" ht="11.25" hidden="1" customHeight="1" outlineLevel="1" x14ac:dyDescent="0.25">
      <c r="A341" s="1"/>
      <c r="B341" s="1"/>
      <c r="C341" s="1"/>
      <c r="D341" s="1"/>
      <c r="E341" s="322" t="s">
        <v>650</v>
      </c>
      <c r="F341" s="315" t="s">
        <v>8</v>
      </c>
      <c r="G341" s="315"/>
      <c r="H341" s="325">
        <v>0.15</v>
      </c>
      <c r="I341" s="325">
        <v>0.15</v>
      </c>
      <c r="J341" s="325">
        <v>0.15</v>
      </c>
      <c r="K341" s="325">
        <v>0.15</v>
      </c>
      <c r="L341" s="325">
        <v>0.15</v>
      </c>
      <c r="M341" s="325">
        <v>0.08</v>
      </c>
      <c r="N341" s="325">
        <v>0.08</v>
      </c>
      <c r="O341" s="325">
        <v>0.08</v>
      </c>
      <c r="P341" s="325"/>
      <c r="Q341" s="325"/>
      <c r="R341" s="325"/>
      <c r="S341" s="325"/>
      <c r="T341" s="325"/>
      <c r="U341" s="325"/>
      <c r="V341" s="325"/>
      <c r="W341" s="325"/>
      <c r="X341" s="325"/>
      <c r="Y341" s="325"/>
    </row>
    <row r="342" spans="1:37" ht="11.25" hidden="1" customHeight="1" outlineLevel="1" x14ac:dyDescent="0.25">
      <c r="A342" s="1"/>
      <c r="B342" s="1"/>
      <c r="C342" s="1"/>
      <c r="D342" s="1"/>
      <c r="E342" s="318"/>
      <c r="F342" s="315"/>
      <c r="G342" s="315"/>
      <c r="H342" s="316"/>
      <c r="I342" s="316"/>
      <c r="J342" s="316"/>
      <c r="K342" s="316"/>
      <c r="L342" s="316"/>
      <c r="M342" s="316"/>
      <c r="N342" s="317"/>
      <c r="O342" s="317"/>
      <c r="P342" s="324"/>
      <c r="Q342" s="324"/>
      <c r="R342" s="324"/>
      <c r="S342" s="324"/>
      <c r="T342" s="324"/>
      <c r="U342" s="324"/>
      <c r="V342" s="324"/>
      <c r="W342" s="324"/>
      <c r="X342" s="324"/>
      <c r="Y342" s="324"/>
    </row>
    <row r="343" spans="1:37" ht="11.25" hidden="1" customHeight="1" outlineLevel="1" x14ac:dyDescent="0.25">
      <c r="A343" s="1"/>
      <c r="B343" s="1"/>
      <c r="C343" s="1"/>
      <c r="D343" s="1"/>
      <c r="E343" s="314" t="s">
        <v>664</v>
      </c>
      <c r="F343" s="315"/>
      <c r="G343" s="315"/>
      <c r="H343" s="316"/>
      <c r="I343" s="316"/>
      <c r="J343" s="316"/>
      <c r="K343" s="316"/>
      <c r="L343" s="316"/>
      <c r="M343" s="316"/>
      <c r="N343" s="317"/>
      <c r="O343" s="317"/>
      <c r="P343" s="317"/>
      <c r="Q343" s="317"/>
      <c r="R343" s="317"/>
      <c r="S343" s="317"/>
      <c r="T343" s="317"/>
      <c r="U343" s="317"/>
      <c r="V343" s="317"/>
      <c r="W343" s="317"/>
      <c r="X343" s="317"/>
      <c r="Y343" s="317"/>
    </row>
    <row r="344" spans="1:37" ht="11.25" hidden="1" customHeight="1" outlineLevel="1" x14ac:dyDescent="0.25">
      <c r="A344" s="1"/>
      <c r="B344" s="1"/>
      <c r="C344" s="1"/>
      <c r="D344" s="1"/>
      <c r="E344" s="318" t="s">
        <v>664</v>
      </c>
      <c r="F344" s="315" t="s">
        <v>11</v>
      </c>
      <c r="G344" s="315"/>
      <c r="H344" s="326"/>
      <c r="I344" s="326"/>
      <c r="J344" s="326"/>
      <c r="K344" s="326"/>
      <c r="L344" s="326">
        <v>123</v>
      </c>
      <c r="M344" s="326">
        <v>123</v>
      </c>
      <c r="N344" s="326">
        <v>123</v>
      </c>
      <c r="O344" s="326">
        <v>123</v>
      </c>
      <c r="P344" s="320"/>
      <c r="Q344" s="320"/>
      <c r="R344" s="320"/>
      <c r="S344" s="320"/>
      <c r="T344" s="320"/>
      <c r="U344" s="320"/>
      <c r="V344" s="320"/>
      <c r="W344" s="320"/>
      <c r="X344" s="320"/>
      <c r="Y344" s="320"/>
    </row>
    <row r="345" spans="1:37" ht="11.25" hidden="1" customHeight="1" outlineLevel="1" x14ac:dyDescent="0.25">
      <c r="A345" s="1"/>
      <c r="B345" s="1"/>
      <c r="C345" s="1"/>
      <c r="D345" s="1"/>
      <c r="E345" s="318" t="s">
        <v>665</v>
      </c>
      <c r="F345" s="315" t="s">
        <v>658</v>
      </c>
      <c r="G345" s="315"/>
      <c r="H345" s="321"/>
      <c r="I345" s="321"/>
      <c r="J345" s="321"/>
      <c r="K345" s="321"/>
      <c r="L345" s="321">
        <f t="shared" ref="L345:O345" si="225">((L292 / L344) / 362 ) * 1000000</f>
        <v>0</v>
      </c>
      <c r="M345" s="321">
        <f t="shared" si="225"/>
        <v>0</v>
      </c>
      <c r="N345" s="321">
        <f t="shared" si="225"/>
        <v>0</v>
      </c>
      <c r="O345" s="321">
        <f t="shared" si="225"/>
        <v>0</v>
      </c>
      <c r="P345" s="317"/>
      <c r="Q345" s="317"/>
      <c r="R345" s="317"/>
      <c r="S345" s="317"/>
      <c r="T345" s="317"/>
      <c r="U345" s="317"/>
      <c r="V345" s="317"/>
      <c r="W345" s="317"/>
      <c r="X345" s="317"/>
      <c r="Y345" s="317"/>
    </row>
    <row r="346" spans="1:37" ht="11.25" hidden="1" customHeight="1" outlineLevel="1" x14ac:dyDescent="0.25">
      <c r="A346" s="1"/>
      <c r="B346" s="1"/>
      <c r="C346" s="1"/>
      <c r="D346" s="1"/>
      <c r="E346" s="322" t="s">
        <v>659</v>
      </c>
      <c r="F346" s="315" t="s">
        <v>8</v>
      </c>
      <c r="G346" s="315"/>
      <c r="H346" s="316"/>
      <c r="I346" s="323"/>
      <c r="J346" s="323"/>
      <c r="K346" s="323"/>
      <c r="L346" s="323"/>
      <c r="M346" s="323" t="e">
        <f t="shared" ref="M346:O346" si="226">M345 / L345 -1</f>
        <v>#DIV/0!</v>
      </c>
      <c r="N346" s="323" t="e">
        <f t="shared" si="226"/>
        <v>#DIV/0!</v>
      </c>
      <c r="O346" s="323" t="e">
        <f t="shared" si="226"/>
        <v>#DIV/0!</v>
      </c>
      <c r="P346" s="324"/>
      <c r="Q346" s="324"/>
      <c r="R346" s="324"/>
      <c r="S346" s="324"/>
      <c r="T346" s="324"/>
      <c r="U346" s="324"/>
      <c r="V346" s="324"/>
      <c r="W346" s="324"/>
      <c r="X346" s="324"/>
      <c r="Y346" s="324"/>
    </row>
    <row r="347" spans="1:37" ht="11.25" hidden="1" customHeight="1" outlineLevel="1" x14ac:dyDescent="0.25">
      <c r="A347" s="1"/>
      <c r="B347" s="1"/>
      <c r="C347" s="1"/>
      <c r="D347" s="1"/>
      <c r="E347" s="318" t="s">
        <v>666</v>
      </c>
      <c r="F347" s="315" t="s">
        <v>8</v>
      </c>
      <c r="G347" s="315"/>
      <c r="H347" s="324"/>
      <c r="I347" s="324"/>
      <c r="J347" s="324"/>
      <c r="K347" s="324"/>
      <c r="L347" s="324"/>
      <c r="M347" s="324"/>
      <c r="N347" s="328">
        <v>0.8</v>
      </c>
      <c r="O347" s="328">
        <v>0.8</v>
      </c>
      <c r="P347" s="324"/>
      <c r="Q347" s="324"/>
      <c r="R347" s="324"/>
      <c r="S347" s="324"/>
      <c r="T347" s="324"/>
      <c r="U347" s="324"/>
      <c r="V347" s="324"/>
      <c r="W347" s="324"/>
      <c r="X347" s="324"/>
      <c r="Y347" s="324"/>
      <c r="Z347" s="192"/>
    </row>
    <row r="348" spans="1:37" ht="11.25" hidden="1" customHeight="1" outlineLevel="1" x14ac:dyDescent="0.25">
      <c r="A348" s="1"/>
      <c r="B348" s="1"/>
      <c r="C348" s="1"/>
      <c r="D348" s="1"/>
      <c r="E348" s="318" t="s">
        <v>151</v>
      </c>
      <c r="F348" s="315" t="s">
        <v>28</v>
      </c>
      <c r="G348" s="315"/>
      <c r="H348" s="317"/>
      <c r="I348" s="317"/>
      <c r="J348" s="317"/>
      <c r="K348" s="317"/>
      <c r="L348" s="317">
        <f t="shared" ref="L348:O348" si="227">L292 * L349</f>
        <v>0</v>
      </c>
      <c r="M348" s="317">
        <f t="shared" si="227"/>
        <v>0</v>
      </c>
      <c r="N348" s="317">
        <f t="shared" si="227"/>
        <v>0</v>
      </c>
      <c r="O348" s="317">
        <f t="shared" si="227"/>
        <v>0</v>
      </c>
      <c r="P348" s="317"/>
      <c r="Q348" s="317"/>
      <c r="R348" s="317"/>
      <c r="S348" s="317"/>
      <c r="T348" s="317"/>
      <c r="U348" s="317"/>
      <c r="V348" s="317"/>
      <c r="W348" s="317"/>
      <c r="X348" s="317"/>
      <c r="Y348" s="317"/>
      <c r="Z348" s="192"/>
    </row>
    <row r="349" spans="1:37" ht="11.25" hidden="1" customHeight="1" outlineLevel="1" x14ac:dyDescent="0.25">
      <c r="A349" s="1"/>
      <c r="B349" s="1"/>
      <c r="C349" s="1"/>
      <c r="D349" s="1"/>
      <c r="E349" s="322" t="s">
        <v>650</v>
      </c>
      <c r="F349" s="315" t="s">
        <v>8</v>
      </c>
      <c r="G349" s="315"/>
      <c r="H349" s="324"/>
      <c r="I349" s="324"/>
      <c r="J349" s="324"/>
      <c r="K349" s="324"/>
      <c r="L349" s="324">
        <v>0.6</v>
      </c>
      <c r="M349" s="324">
        <v>0.6</v>
      </c>
      <c r="N349" s="324">
        <v>0.6</v>
      </c>
      <c r="O349" s="324">
        <v>0.6</v>
      </c>
      <c r="P349" s="324"/>
      <c r="Q349" s="324"/>
      <c r="R349" s="324"/>
      <c r="S349" s="324"/>
      <c r="T349" s="324"/>
      <c r="U349" s="324"/>
      <c r="V349" s="324"/>
      <c r="W349" s="324"/>
      <c r="X349" s="324"/>
      <c r="Y349" s="324"/>
    </row>
    <row r="350" spans="1:37" ht="11.25" hidden="1" customHeight="1" outlineLevel="1" x14ac:dyDescent="0.25">
      <c r="A350" s="1"/>
      <c r="B350" s="1"/>
      <c r="C350" s="1"/>
      <c r="D350" s="1"/>
      <c r="E350" s="318"/>
      <c r="F350" s="315"/>
      <c r="G350" s="315"/>
      <c r="H350" s="316"/>
      <c r="I350" s="316"/>
      <c r="J350" s="316"/>
      <c r="K350" s="316"/>
      <c r="L350" s="316"/>
      <c r="M350" s="316"/>
      <c r="N350" s="317"/>
      <c r="O350" s="317"/>
      <c r="P350" s="317"/>
      <c r="Q350" s="317"/>
      <c r="R350" s="317"/>
      <c r="S350" s="317"/>
      <c r="T350" s="317"/>
      <c r="U350" s="317"/>
      <c r="V350" s="317"/>
      <c r="W350" s="317"/>
      <c r="X350" s="317"/>
      <c r="Y350" s="317"/>
    </row>
    <row r="351" spans="1:37" ht="15.75" hidden="1" customHeight="1" outlineLevel="1" x14ac:dyDescent="0.25">
      <c r="A351" s="1"/>
      <c r="B351" s="1"/>
      <c r="C351" s="199"/>
      <c r="D351" s="200"/>
      <c r="E351" s="200"/>
      <c r="F351" s="201"/>
      <c r="G351" s="201"/>
      <c r="H351" s="200"/>
      <c r="I351" s="200"/>
      <c r="J351" s="200"/>
      <c r="K351" s="202"/>
      <c r="L351" s="202"/>
      <c r="M351" s="202"/>
      <c r="N351" s="203"/>
      <c r="O351" s="203"/>
      <c r="P351" s="202"/>
      <c r="Q351" s="202"/>
      <c r="R351" s="202"/>
      <c r="S351" s="202"/>
      <c r="T351" s="202"/>
      <c r="U351" s="202"/>
      <c r="V351" s="202"/>
      <c r="W351" s="202"/>
      <c r="X351" s="202"/>
      <c r="Y351" s="202"/>
      <c r="Z351" s="1"/>
      <c r="AA351" s="1"/>
      <c r="AB351" s="1"/>
      <c r="AC351" s="1"/>
      <c r="AD351" s="1"/>
      <c r="AE351" s="1"/>
      <c r="AF351" s="1"/>
      <c r="AG351" s="1"/>
      <c r="AH351" s="1"/>
      <c r="AI351" s="1"/>
      <c r="AJ351" s="1"/>
      <c r="AK351" s="1"/>
    </row>
    <row r="352" spans="1:37" ht="15.75" hidden="1" customHeight="1" outlineLevel="1" x14ac:dyDescent="0.25"/>
    <row r="353" spans="1:37" ht="15.75" hidden="1" customHeight="1" outlineLevel="1" x14ac:dyDescent="0.25">
      <c r="Q353" s="351"/>
    </row>
    <row r="354" spans="1:37" ht="15.75" hidden="1" customHeight="1" outlineLevel="1" x14ac:dyDescent="0.25">
      <c r="A354" s="1"/>
      <c r="B354" s="1"/>
      <c r="C354" s="280" t="s">
        <v>683</v>
      </c>
      <c r="D354" s="281"/>
      <c r="E354" s="281"/>
      <c r="F354" s="282"/>
      <c r="G354" s="282"/>
      <c r="H354" s="281"/>
      <c r="I354" s="281"/>
      <c r="J354" s="281"/>
      <c r="K354" s="283"/>
      <c r="L354" s="283"/>
      <c r="M354" s="283"/>
      <c r="N354" s="284"/>
      <c r="O354" s="284"/>
      <c r="P354" s="283"/>
      <c r="Q354" s="283"/>
      <c r="R354" s="283"/>
      <c r="S354" s="283"/>
      <c r="T354" s="283"/>
      <c r="U354" s="283"/>
      <c r="V354" s="283"/>
      <c r="W354" s="283"/>
      <c r="X354" s="283"/>
      <c r="Y354" s="283"/>
      <c r="Z354" s="1"/>
      <c r="AA354" s="1"/>
      <c r="AB354" s="1"/>
      <c r="AC354" s="1"/>
      <c r="AD354" s="1"/>
      <c r="AE354" s="1"/>
      <c r="AF354" s="1"/>
      <c r="AG354" s="1"/>
      <c r="AH354" s="1"/>
      <c r="AI354" s="1"/>
      <c r="AJ354" s="1"/>
      <c r="AK354" s="1"/>
    </row>
    <row r="355" spans="1:37" ht="15.75" hidden="1" customHeight="1" outlineLevel="1" x14ac:dyDescent="0.25">
      <c r="A355" s="1"/>
      <c r="B355" s="1"/>
      <c r="C355" s="2"/>
      <c r="D355" s="1"/>
      <c r="E355" s="1"/>
      <c r="F355" s="33"/>
      <c r="G355" s="33"/>
      <c r="H355" s="292"/>
      <c r="I355" s="292"/>
      <c r="J355" s="292"/>
      <c r="K355" s="292"/>
      <c r="L355" s="292"/>
      <c r="M355" s="292"/>
      <c r="N355" s="292"/>
      <c r="O355" s="292"/>
      <c r="P355" s="162"/>
      <c r="Q355" s="162"/>
      <c r="R355" s="162"/>
      <c r="S355" s="162"/>
      <c r="T355" s="162"/>
      <c r="U355" s="162"/>
      <c r="V355" s="162"/>
      <c r="W355" s="162"/>
      <c r="X355" s="162"/>
      <c r="Y355" s="162"/>
      <c r="Z355" s="1"/>
      <c r="AA355" s="1"/>
      <c r="AB355" s="1"/>
      <c r="AC355" s="1"/>
      <c r="AD355" s="1"/>
      <c r="AE355" s="1"/>
      <c r="AF355" s="1"/>
      <c r="AG355" s="1"/>
      <c r="AH355" s="1"/>
      <c r="AI355" s="1"/>
      <c r="AJ355" s="1"/>
      <c r="AK355" s="1"/>
    </row>
    <row r="356" spans="1:37" ht="15.75" hidden="1" customHeight="1" outlineLevel="1" x14ac:dyDescent="0.25">
      <c r="A356" s="1"/>
      <c r="B356" s="1"/>
      <c r="C356" s="2"/>
      <c r="D356" s="1"/>
      <c r="E356" s="1" t="s">
        <v>684</v>
      </c>
      <c r="F356" s="33" t="s">
        <v>28</v>
      </c>
      <c r="G356" s="33"/>
      <c r="H356" s="286">
        <v>0</v>
      </c>
      <c r="I356" s="286">
        <v>0</v>
      </c>
      <c r="J356" s="286">
        <v>0</v>
      </c>
      <c r="K356" s="286">
        <f>Sheet1!N73</f>
        <v>4.5</v>
      </c>
      <c r="L356" s="286">
        <f>Sheet1!N58</f>
        <v>13.1</v>
      </c>
      <c r="M356" s="286">
        <v>16.928000000000001</v>
      </c>
      <c r="N356" s="286">
        <f>Sheet1!N27</f>
        <v>15.4</v>
      </c>
      <c r="O356" s="286">
        <f>Sheet1!N10</f>
        <v>9.3000000000000007</v>
      </c>
      <c r="P356" s="287">
        <f t="shared" ref="P356:Y356" si="228">O356*(1+P357)</f>
        <v>9.9510000000000005</v>
      </c>
      <c r="Q356" s="287">
        <f t="shared" si="228"/>
        <v>10.647570000000002</v>
      </c>
      <c r="R356" s="287">
        <f t="shared" si="228"/>
        <v>13.309462500000002</v>
      </c>
      <c r="S356" s="287">
        <f t="shared" si="228"/>
        <v>15.971355000000003</v>
      </c>
      <c r="T356" s="287">
        <f t="shared" si="228"/>
        <v>18.367058250000003</v>
      </c>
      <c r="U356" s="287">
        <f t="shared" si="228"/>
        <v>19.285411162500004</v>
      </c>
      <c r="V356" s="287">
        <f t="shared" si="228"/>
        <v>20.249681720625006</v>
      </c>
      <c r="W356" s="287">
        <f t="shared" si="228"/>
        <v>21.262165806656256</v>
      </c>
      <c r="X356" s="287">
        <f t="shared" si="228"/>
        <v>22.32527409698907</v>
      </c>
      <c r="Y356" s="287">
        <f t="shared" si="228"/>
        <v>23.441537801838525</v>
      </c>
      <c r="Z356" s="17"/>
      <c r="AA356" s="1"/>
      <c r="AB356" s="1"/>
      <c r="AC356" s="1"/>
      <c r="AD356" s="1"/>
      <c r="AE356" s="1"/>
      <c r="AF356" s="1"/>
      <c r="AG356" s="1"/>
      <c r="AH356" s="1"/>
      <c r="AI356" s="1"/>
      <c r="AJ356" s="1"/>
      <c r="AK356" s="1"/>
    </row>
    <row r="357" spans="1:37" ht="15.75" hidden="1" customHeight="1" outlineLevel="1" x14ac:dyDescent="0.25">
      <c r="A357" s="1"/>
      <c r="B357" s="1"/>
      <c r="C357" s="2"/>
      <c r="D357" s="1"/>
      <c r="E357" s="18" t="s">
        <v>625</v>
      </c>
      <c r="F357" s="33"/>
      <c r="G357" s="33"/>
      <c r="H357" s="286"/>
      <c r="I357" s="286"/>
      <c r="J357" s="286"/>
      <c r="K357" s="286"/>
      <c r="L357" s="298"/>
      <c r="M357" s="298"/>
      <c r="N357" s="298"/>
      <c r="O357" s="298"/>
      <c r="P357" s="289">
        <v>7.0000000000000007E-2</v>
      </c>
      <c r="Q357" s="289">
        <v>7.0000000000000007E-2</v>
      </c>
      <c r="R357" s="289">
        <v>0.25</v>
      </c>
      <c r="S357" s="289">
        <v>0.2</v>
      </c>
      <c r="T357" s="289">
        <v>0.15</v>
      </c>
      <c r="U357" s="289">
        <v>0.05</v>
      </c>
      <c r="V357" s="289">
        <v>0.05</v>
      </c>
      <c r="W357" s="289">
        <v>0.05</v>
      </c>
      <c r="X357" s="289">
        <v>0.05</v>
      </c>
      <c r="Y357" s="289">
        <v>0.05</v>
      </c>
      <c r="Z357" s="17"/>
      <c r="AA357" s="1"/>
      <c r="AB357" s="1"/>
      <c r="AC357" s="1"/>
      <c r="AD357" s="1"/>
      <c r="AE357" s="1"/>
      <c r="AF357" s="1"/>
      <c r="AG357" s="1"/>
      <c r="AH357" s="1"/>
      <c r="AI357" s="1"/>
      <c r="AJ357" s="1"/>
      <c r="AK357" s="1"/>
    </row>
    <row r="358" spans="1:37" ht="15.75" hidden="1" customHeight="1" outlineLevel="1" x14ac:dyDescent="0.25">
      <c r="A358" s="1"/>
      <c r="B358" s="1"/>
      <c r="C358" s="2"/>
      <c r="D358" s="1"/>
      <c r="E358" s="1" t="s">
        <v>685</v>
      </c>
      <c r="F358" s="33" t="s">
        <v>28</v>
      </c>
      <c r="G358" s="33"/>
      <c r="H358" s="286">
        <v>94.825000000000003</v>
      </c>
      <c r="I358" s="286">
        <v>139.017</v>
      </c>
      <c r="J358" s="286">
        <v>122.616</v>
      </c>
      <c r="K358" s="286">
        <v>38</v>
      </c>
      <c r="L358" s="286">
        <v>17.8</v>
      </c>
      <c r="M358" s="286">
        <v>19.399999999999999</v>
      </c>
      <c r="N358" s="286">
        <v>35.299999999999997</v>
      </c>
      <c r="O358" s="286">
        <f>Sheet1!Q27</f>
        <v>0</v>
      </c>
      <c r="P358" s="287">
        <f>N358*(1+P359)</f>
        <v>40.594999999999992</v>
      </c>
      <c r="Q358" s="287">
        <f t="shared" ref="Q358:Y358" si="229">P358*(1+Q359)</f>
        <v>46.684249999999984</v>
      </c>
      <c r="R358" s="287">
        <f t="shared" si="229"/>
        <v>51.352674999999984</v>
      </c>
      <c r="S358" s="287">
        <f t="shared" si="229"/>
        <v>56.487942499999988</v>
      </c>
      <c r="T358" s="287">
        <f t="shared" si="229"/>
        <v>60.442098474999995</v>
      </c>
      <c r="U358" s="287">
        <f t="shared" si="229"/>
        <v>64.673045368250001</v>
      </c>
      <c r="V358" s="287">
        <f t="shared" si="229"/>
        <v>65.966506275615004</v>
      </c>
      <c r="W358" s="287">
        <f t="shared" si="229"/>
        <v>67.285836401127298</v>
      </c>
      <c r="X358" s="287">
        <f t="shared" si="229"/>
        <v>68.63155312914985</v>
      </c>
      <c r="Y358" s="287">
        <f t="shared" si="229"/>
        <v>70.004184191732847</v>
      </c>
      <c r="Z358" s="17"/>
      <c r="AA358" s="1"/>
      <c r="AB358" s="1"/>
      <c r="AC358" s="1"/>
      <c r="AD358" s="1"/>
      <c r="AE358" s="1"/>
      <c r="AF358" s="1"/>
      <c r="AG358" s="1"/>
      <c r="AH358" s="1"/>
      <c r="AI358" s="1"/>
      <c r="AJ358" s="1"/>
      <c r="AK358" s="1"/>
    </row>
    <row r="359" spans="1:37" ht="15.75" hidden="1" customHeight="1" outlineLevel="1" x14ac:dyDescent="0.25">
      <c r="A359" s="1"/>
      <c r="B359" s="1"/>
      <c r="C359" s="2"/>
      <c r="D359" s="1"/>
      <c r="E359" s="18" t="s">
        <v>625</v>
      </c>
      <c r="F359" s="33"/>
      <c r="G359" s="33"/>
      <c r="H359" s="286"/>
      <c r="I359" s="298"/>
      <c r="J359" s="298"/>
      <c r="K359" s="298"/>
      <c r="L359" s="298"/>
      <c r="M359" s="298"/>
      <c r="N359" s="298"/>
      <c r="O359" s="286"/>
      <c r="P359" s="289">
        <v>0.15</v>
      </c>
      <c r="Q359" s="289">
        <v>0.15</v>
      </c>
      <c r="R359" s="289">
        <v>0.1</v>
      </c>
      <c r="S359" s="289">
        <v>0.1</v>
      </c>
      <c r="T359" s="289">
        <v>7.0000000000000007E-2</v>
      </c>
      <c r="U359" s="289">
        <v>7.0000000000000007E-2</v>
      </c>
      <c r="V359" s="289">
        <v>0.02</v>
      </c>
      <c r="W359" s="289">
        <v>0.02</v>
      </c>
      <c r="X359" s="289">
        <v>0.02</v>
      </c>
      <c r="Y359" s="289">
        <v>0.02</v>
      </c>
      <c r="Z359" s="17"/>
      <c r="AA359" s="1"/>
      <c r="AB359" s="1"/>
      <c r="AC359" s="1"/>
      <c r="AD359" s="1"/>
      <c r="AE359" s="1"/>
      <c r="AF359" s="1"/>
      <c r="AG359" s="1"/>
      <c r="AH359" s="1"/>
      <c r="AI359" s="1"/>
      <c r="AJ359" s="1"/>
      <c r="AK359" s="1"/>
    </row>
    <row r="360" spans="1:37" ht="15.75" hidden="1" customHeight="1" outlineLevel="1" x14ac:dyDescent="0.25">
      <c r="A360" s="1"/>
      <c r="B360" s="1"/>
      <c r="C360" s="2"/>
      <c r="D360" s="1"/>
      <c r="E360" s="1" t="s">
        <v>686</v>
      </c>
      <c r="F360" s="33" t="s">
        <v>28</v>
      </c>
      <c r="G360" s="33"/>
      <c r="H360" s="286"/>
      <c r="I360" s="286"/>
      <c r="J360" s="286"/>
      <c r="K360" s="286">
        <f>Sheet1!L73</f>
        <v>81.299999999999955</v>
      </c>
      <c r="L360" s="286">
        <f>Sheet1!L58</f>
        <v>48.400000000000091</v>
      </c>
      <c r="M360" s="286">
        <v>52.482999999999997</v>
      </c>
      <c r="N360" s="286">
        <f>Sheet1!L27</f>
        <v>18.300000000000068</v>
      </c>
      <c r="O360" s="286">
        <f>Sheet1!L10</f>
        <v>43.77523494525542</v>
      </c>
      <c r="P360" s="287">
        <f t="shared" ref="P360:Y360" si="230">O360*(1+P361)</f>
        <v>45.216652253571219</v>
      </c>
      <c r="Q360" s="287">
        <f t="shared" si="230"/>
        <v>46.644268830940966</v>
      </c>
      <c r="R360" s="287">
        <f t="shared" si="230"/>
        <v>48.053761744463806</v>
      </c>
      <c r="S360" s="287">
        <f t="shared" si="230"/>
        <v>49.440739383379771</v>
      </c>
      <c r="T360" s="287">
        <f t="shared" si="230"/>
        <v>50.80076299814074</v>
      </c>
      <c r="U360" s="287">
        <f t="shared" si="230"/>
        <v>52.129369268051036</v>
      </c>
      <c r="V360" s="287">
        <f t="shared" si="230"/>
        <v>53.422093747886969</v>
      </c>
      <c r="W360" s="287">
        <f t="shared" si="230"/>
        <v>54.674495030642348</v>
      </c>
      <c r="X360" s="287">
        <f t="shared" si="230"/>
        <v>55.882179451614022</v>
      </c>
      <c r="Y360" s="287">
        <f t="shared" si="230"/>
        <v>57.040826148624987</v>
      </c>
      <c r="Z360" s="1"/>
      <c r="AA360" s="1"/>
      <c r="AB360" s="1"/>
      <c r="AC360" s="1"/>
      <c r="AD360" s="1"/>
      <c r="AE360" s="1"/>
      <c r="AF360" s="1"/>
      <c r="AG360" s="1"/>
      <c r="AH360" s="1"/>
      <c r="AI360" s="1"/>
      <c r="AJ360" s="1"/>
      <c r="AK360" s="1"/>
    </row>
    <row r="361" spans="1:37" ht="15.75" hidden="1" customHeight="1" outlineLevel="1" x14ac:dyDescent="0.25">
      <c r="A361" s="1"/>
      <c r="B361" s="1"/>
      <c r="C361" s="2"/>
      <c r="D361" s="1"/>
      <c r="E361" s="18" t="s">
        <v>625</v>
      </c>
      <c r="F361" s="33"/>
      <c r="G361" s="33"/>
      <c r="H361" s="286"/>
      <c r="I361" s="286"/>
      <c r="J361" s="286"/>
      <c r="K361" s="286"/>
      <c r="L361" s="286"/>
      <c r="M361" s="286"/>
      <c r="N361" s="286"/>
      <c r="O361" s="286"/>
      <c r="P361" s="289">
        <v>3.2927688683302564E-2</v>
      </c>
      <c r="Q361" s="289">
        <v>3.1572805730149867E-2</v>
      </c>
      <c r="R361" s="289">
        <v>3.02179227769966E-2</v>
      </c>
      <c r="S361" s="289">
        <v>2.8863039823843906E-2</v>
      </c>
      <c r="T361" s="289">
        <v>2.7508156870691209E-2</v>
      </c>
      <c r="U361" s="289">
        <v>2.6153273917537946E-2</v>
      </c>
      <c r="V361" s="289">
        <v>2.4798390964385249E-2</v>
      </c>
      <c r="W361" s="289">
        <v>2.3443508011231982E-2</v>
      </c>
      <c r="X361" s="289">
        <v>2.2088625058079289E-2</v>
      </c>
      <c r="Y361" s="289">
        <v>2.0733742104926022E-2</v>
      </c>
      <c r="Z361" s="1"/>
      <c r="AA361" s="1"/>
      <c r="AB361" s="1"/>
      <c r="AC361" s="1"/>
      <c r="AD361" s="1"/>
      <c r="AE361" s="1"/>
      <c r="AF361" s="1"/>
      <c r="AG361" s="1"/>
      <c r="AH361" s="1"/>
      <c r="AI361" s="1"/>
      <c r="AJ361" s="1"/>
      <c r="AK361" s="1"/>
    </row>
    <row r="362" spans="1:37" ht="15.75" hidden="1" customHeight="1" outlineLevel="1" x14ac:dyDescent="0.25">
      <c r="A362" s="1"/>
      <c r="B362" s="1"/>
      <c r="C362" s="2"/>
      <c r="D362" s="1"/>
      <c r="E362" s="294" t="s">
        <v>687</v>
      </c>
      <c r="F362" s="33" t="s">
        <v>28</v>
      </c>
      <c r="G362" s="33"/>
      <c r="H362" s="303">
        <f t="shared" ref="H362:Y362" si="231">SUM(H356:H360)</f>
        <v>94.825000000000003</v>
      </c>
      <c r="I362" s="303">
        <f t="shared" si="231"/>
        <v>139.017</v>
      </c>
      <c r="J362" s="303">
        <f t="shared" si="231"/>
        <v>122.616</v>
      </c>
      <c r="K362" s="303">
        <f t="shared" si="231"/>
        <v>123.79999999999995</v>
      </c>
      <c r="L362" s="303">
        <f t="shared" si="231"/>
        <v>79.300000000000097</v>
      </c>
      <c r="M362" s="303">
        <f t="shared" si="231"/>
        <v>88.811000000000007</v>
      </c>
      <c r="N362" s="303">
        <f t="shared" si="231"/>
        <v>69.000000000000057</v>
      </c>
      <c r="O362" s="303">
        <f t="shared" si="231"/>
        <v>53.075234945255417</v>
      </c>
      <c r="P362" s="303">
        <f>SUM(P356:P360)</f>
        <v>95.982652253571217</v>
      </c>
      <c r="Q362" s="303">
        <f t="shared" si="231"/>
        <v>104.19608883094095</v>
      </c>
      <c r="R362" s="303">
        <f t="shared" si="231"/>
        <v>113.06589924446379</v>
      </c>
      <c r="S362" s="303">
        <f t="shared" si="231"/>
        <v>122.20003688337977</v>
      </c>
      <c r="T362" s="303">
        <f t="shared" si="231"/>
        <v>129.82991972314073</v>
      </c>
      <c r="U362" s="303">
        <f t="shared" si="231"/>
        <v>136.20782579880103</v>
      </c>
      <c r="V362" s="303">
        <f t="shared" si="231"/>
        <v>139.70828174412696</v>
      </c>
      <c r="W362" s="303">
        <f t="shared" si="231"/>
        <v>143.29249723842588</v>
      </c>
      <c r="X362" s="303">
        <f t="shared" si="231"/>
        <v>146.90900667775293</v>
      </c>
      <c r="Y362" s="303">
        <f t="shared" si="231"/>
        <v>150.55654814219636</v>
      </c>
      <c r="Z362" s="17"/>
      <c r="AA362" s="1"/>
      <c r="AB362" s="1"/>
      <c r="AC362" s="1"/>
      <c r="AD362" s="1"/>
      <c r="AE362" s="1"/>
      <c r="AF362" s="1"/>
      <c r="AG362" s="1"/>
      <c r="AH362" s="1"/>
      <c r="AI362" s="1"/>
      <c r="AJ362" s="1"/>
      <c r="AK362" s="1"/>
    </row>
    <row r="363" spans="1:37" ht="15.75" hidden="1" customHeight="1" outlineLevel="1" x14ac:dyDescent="0.25">
      <c r="A363" s="1"/>
      <c r="B363" s="1"/>
      <c r="C363" s="2"/>
      <c r="D363" s="1"/>
      <c r="E363" s="294"/>
      <c r="F363" s="33"/>
      <c r="G363" s="33"/>
      <c r="H363" s="171"/>
      <c r="I363" s="171"/>
      <c r="J363" s="171"/>
      <c r="K363" s="171"/>
      <c r="L363" s="171"/>
      <c r="M363" s="171"/>
      <c r="N363" s="171"/>
      <c r="O363" s="171"/>
      <c r="P363" s="171"/>
      <c r="Q363" s="171"/>
      <c r="R363" s="171"/>
      <c r="S363" s="171"/>
      <c r="T363" s="171"/>
      <c r="U363" s="171"/>
      <c r="V363" s="171"/>
      <c r="W363" s="171"/>
      <c r="X363" s="171"/>
      <c r="Y363" s="171"/>
      <c r="Z363" s="1"/>
      <c r="AA363" s="1"/>
      <c r="AB363" s="1"/>
      <c r="AC363" s="1"/>
      <c r="AD363" s="1"/>
      <c r="AE363" s="1"/>
      <c r="AF363" s="1"/>
      <c r="AG363" s="1"/>
      <c r="AH363" s="1"/>
      <c r="AI363" s="1"/>
      <c r="AJ363" s="1"/>
      <c r="AK363" s="1"/>
    </row>
    <row r="364" spans="1:37" ht="12.75" hidden="1" customHeight="1" outlineLevel="1" x14ac:dyDescent="0.25">
      <c r="A364" s="2"/>
      <c r="B364" s="2"/>
      <c r="C364" s="2"/>
      <c r="D364" s="2"/>
      <c r="E364" s="42" t="s">
        <v>613</v>
      </c>
      <c r="F364" s="193"/>
      <c r="G364" s="68"/>
      <c r="H364" s="182"/>
      <c r="I364" s="182"/>
      <c r="J364" s="182"/>
      <c r="K364" s="182"/>
      <c r="L364" s="182"/>
      <c r="M364" s="182"/>
      <c r="N364" s="182"/>
      <c r="O364" s="182"/>
      <c r="P364" s="182"/>
      <c r="Q364" s="182"/>
      <c r="R364" s="182"/>
      <c r="S364" s="182"/>
      <c r="T364" s="182"/>
      <c r="U364" s="182"/>
      <c r="V364" s="182"/>
      <c r="W364" s="182"/>
      <c r="X364" s="182"/>
      <c r="Y364" s="182"/>
      <c r="Z364" s="194"/>
      <c r="AA364" s="194"/>
      <c r="AB364" s="194"/>
      <c r="AC364" s="194"/>
      <c r="AD364" s="194"/>
      <c r="AE364" s="194"/>
      <c r="AF364" s="194"/>
      <c r="AG364" s="194"/>
      <c r="AH364" s="194"/>
      <c r="AI364" s="194"/>
      <c r="AJ364" s="194"/>
      <c r="AK364" s="194"/>
    </row>
    <row r="365" spans="1:37" ht="12.75" hidden="1" customHeight="1" outlineLevel="1" x14ac:dyDescent="0.25">
      <c r="A365" s="2"/>
      <c r="B365" s="2"/>
      <c r="C365" s="2"/>
      <c r="D365" s="2"/>
      <c r="E365" s="1" t="s">
        <v>684</v>
      </c>
      <c r="F365" s="33" t="s">
        <v>8</v>
      </c>
      <c r="G365" s="68"/>
      <c r="H365" s="222"/>
      <c r="I365" s="222"/>
      <c r="J365" s="222"/>
      <c r="K365" s="222"/>
      <c r="L365" s="222">
        <f t="shared" ref="L365:Y365" si="232">L356 / K356 -1</f>
        <v>1.911111111111111</v>
      </c>
      <c r="M365" s="222">
        <f t="shared" si="232"/>
        <v>0.2922137404580154</v>
      </c>
      <c r="N365" s="222">
        <f t="shared" si="232"/>
        <v>-9.0264650283553904E-2</v>
      </c>
      <c r="O365" s="222">
        <f t="shared" si="232"/>
        <v>-0.39610389610389607</v>
      </c>
      <c r="P365" s="222">
        <f t="shared" si="232"/>
        <v>7.0000000000000062E-2</v>
      </c>
      <c r="Q365" s="222">
        <f t="shared" si="232"/>
        <v>7.0000000000000062E-2</v>
      </c>
      <c r="R365" s="222">
        <f t="shared" si="232"/>
        <v>0.25</v>
      </c>
      <c r="S365" s="222">
        <f t="shared" si="232"/>
        <v>0.19999999999999996</v>
      </c>
      <c r="T365" s="222">
        <f t="shared" si="232"/>
        <v>0.14999999999999991</v>
      </c>
      <c r="U365" s="222">
        <f t="shared" si="232"/>
        <v>5.0000000000000044E-2</v>
      </c>
      <c r="V365" s="222">
        <f t="shared" si="232"/>
        <v>5.0000000000000044E-2</v>
      </c>
      <c r="W365" s="222">
        <f t="shared" si="232"/>
        <v>5.0000000000000044E-2</v>
      </c>
      <c r="X365" s="222">
        <f t="shared" si="232"/>
        <v>5.0000000000000044E-2</v>
      </c>
      <c r="Y365" s="222">
        <f t="shared" si="232"/>
        <v>5.0000000000000044E-2</v>
      </c>
      <c r="Z365" s="194"/>
      <c r="AA365" s="194"/>
      <c r="AB365" s="194"/>
      <c r="AC365" s="194"/>
      <c r="AD365" s="194"/>
      <c r="AE365" s="194"/>
      <c r="AF365" s="194"/>
      <c r="AG365" s="194"/>
      <c r="AH365" s="194"/>
      <c r="AI365" s="194"/>
      <c r="AJ365" s="194"/>
      <c r="AK365" s="194"/>
    </row>
    <row r="366" spans="1:37" ht="12.75" hidden="1" customHeight="1" outlineLevel="1" x14ac:dyDescent="0.25">
      <c r="A366" s="2"/>
      <c r="B366" s="2"/>
      <c r="C366" s="2"/>
      <c r="D366" s="2"/>
      <c r="E366" s="1" t="s">
        <v>685</v>
      </c>
      <c r="F366" s="33" t="s">
        <v>8</v>
      </c>
      <c r="G366" s="68"/>
      <c r="H366" s="222"/>
      <c r="I366" s="222">
        <f t="shared" ref="I366:O366" si="233">I358 / H358 -1</f>
        <v>0.46603743738465586</v>
      </c>
      <c r="J366" s="222">
        <f t="shared" si="233"/>
        <v>-0.1179783767452901</v>
      </c>
      <c r="K366" s="222">
        <f t="shared" si="233"/>
        <v>-0.69008938474587334</v>
      </c>
      <c r="L366" s="222">
        <f t="shared" si="233"/>
        <v>-0.53157894736842104</v>
      </c>
      <c r="M366" s="222">
        <f t="shared" si="233"/>
        <v>8.9887640449437978E-2</v>
      </c>
      <c r="N366" s="222">
        <f t="shared" si="233"/>
        <v>0.81958762886597936</v>
      </c>
      <c r="O366" s="222">
        <f t="shared" si="233"/>
        <v>-1</v>
      </c>
      <c r="P366" s="222"/>
      <c r="Q366" s="222"/>
      <c r="R366" s="222"/>
      <c r="S366" s="222"/>
      <c r="T366" s="222"/>
      <c r="U366" s="222"/>
      <c r="V366" s="222"/>
      <c r="W366" s="222"/>
      <c r="X366" s="222"/>
      <c r="Y366" s="222"/>
      <c r="Z366" s="194"/>
      <c r="AA366" s="194"/>
      <c r="AB366" s="194"/>
      <c r="AC366" s="194"/>
      <c r="AD366" s="194"/>
      <c r="AE366" s="194"/>
      <c r="AF366" s="194"/>
      <c r="AG366" s="194"/>
      <c r="AH366" s="194"/>
      <c r="AI366" s="194"/>
      <c r="AJ366" s="194"/>
      <c r="AK366" s="194"/>
    </row>
    <row r="367" spans="1:37" ht="12.75" hidden="1" customHeight="1" outlineLevel="1" x14ac:dyDescent="0.25">
      <c r="A367" s="2"/>
      <c r="B367" s="2"/>
      <c r="C367" s="2"/>
      <c r="D367" s="2"/>
      <c r="E367" s="2" t="s">
        <v>366</v>
      </c>
      <c r="F367" s="33" t="s">
        <v>8</v>
      </c>
      <c r="G367" s="224"/>
      <c r="H367" s="225"/>
      <c r="I367" s="222">
        <f t="shared" ref="I367:Y367" si="234">I362 / H362 -1</f>
        <v>0.46603743738465586</v>
      </c>
      <c r="J367" s="222">
        <f t="shared" si="234"/>
        <v>-0.1179783767452901</v>
      </c>
      <c r="K367" s="222">
        <f t="shared" si="234"/>
        <v>9.6561623279176612E-3</v>
      </c>
      <c r="L367" s="222">
        <f t="shared" si="234"/>
        <v>-0.35945072697899738</v>
      </c>
      <c r="M367" s="222">
        <f t="shared" si="234"/>
        <v>0.11993694829760271</v>
      </c>
      <c r="N367" s="222">
        <f t="shared" si="234"/>
        <v>-0.22306921439911664</v>
      </c>
      <c r="O367" s="222">
        <f t="shared" si="234"/>
        <v>-0.23079369644557435</v>
      </c>
      <c r="P367" s="222">
        <f t="shared" si="234"/>
        <v>0.80842632825973859</v>
      </c>
      <c r="Q367" s="222">
        <f t="shared" si="234"/>
        <v>8.5572094378795871E-2</v>
      </c>
      <c r="R367" s="222">
        <f t="shared" si="234"/>
        <v>8.512613585634865E-2</v>
      </c>
      <c r="S367" s="222">
        <f t="shared" si="234"/>
        <v>8.0785963760538815E-2</v>
      </c>
      <c r="T367" s="222">
        <f t="shared" si="234"/>
        <v>6.2437647601059743E-2</v>
      </c>
      <c r="U367" s="222">
        <f t="shared" si="234"/>
        <v>4.9125086800184681E-2</v>
      </c>
      <c r="V367" s="222">
        <f t="shared" si="234"/>
        <v>2.5699374648976647E-2</v>
      </c>
      <c r="W367" s="222">
        <f t="shared" si="234"/>
        <v>2.5654996608313718E-2</v>
      </c>
      <c r="X367" s="222">
        <f t="shared" si="234"/>
        <v>2.5238651771903209E-2</v>
      </c>
      <c r="Y367" s="222">
        <f t="shared" si="234"/>
        <v>2.4828576184197981E-2</v>
      </c>
      <c r="Z367" s="194"/>
      <c r="AA367" s="194"/>
      <c r="AB367" s="194"/>
      <c r="AC367" s="194"/>
      <c r="AD367" s="194"/>
      <c r="AE367" s="194"/>
      <c r="AF367" s="194"/>
      <c r="AG367" s="194"/>
      <c r="AH367" s="194"/>
      <c r="AI367" s="194"/>
      <c r="AJ367" s="194"/>
      <c r="AK367" s="194"/>
    </row>
    <row r="368" spans="1:37" ht="15.75" hidden="1" customHeight="1" outlineLevel="1" x14ac:dyDescent="0.25">
      <c r="A368" s="1"/>
      <c r="B368" s="1"/>
      <c r="C368" s="2"/>
      <c r="D368" s="1"/>
      <c r="E368" s="290"/>
      <c r="F368" s="33"/>
      <c r="G368" s="33"/>
      <c r="H368" s="300"/>
      <c r="I368" s="300"/>
      <c r="J368" s="300"/>
      <c r="K368" s="300"/>
      <c r="L368" s="300"/>
      <c r="M368" s="300"/>
      <c r="N368" s="300"/>
      <c r="O368" s="300"/>
      <c r="P368" s="305"/>
      <c r="Q368" s="305"/>
      <c r="R368" s="305"/>
      <c r="S368" s="305"/>
      <c r="T368" s="305"/>
      <c r="U368" s="305"/>
      <c r="V368" s="305"/>
      <c r="W368" s="305"/>
      <c r="X368" s="305"/>
      <c r="Y368" s="305"/>
      <c r="Z368" s="17"/>
      <c r="AA368" s="1"/>
      <c r="AB368" s="1"/>
      <c r="AC368" s="1"/>
      <c r="AD368" s="1"/>
      <c r="AE368" s="1"/>
      <c r="AF368" s="1"/>
      <c r="AG368" s="1"/>
      <c r="AH368" s="1"/>
      <c r="AI368" s="1"/>
      <c r="AJ368" s="1"/>
      <c r="AK368" s="1"/>
    </row>
    <row r="369" spans="1:37" ht="15.75" hidden="1" customHeight="1" outlineLevel="1" x14ac:dyDescent="0.25">
      <c r="A369" s="1"/>
      <c r="B369" s="1"/>
      <c r="C369" s="2"/>
      <c r="D369" s="1"/>
      <c r="E369" s="1" t="s">
        <v>688</v>
      </c>
      <c r="F369" s="33" t="s">
        <v>28</v>
      </c>
      <c r="G369" s="33"/>
      <c r="H369" s="292">
        <v>0</v>
      </c>
      <c r="I369" s="292">
        <v>0</v>
      </c>
      <c r="J369" s="292">
        <v>0</v>
      </c>
      <c r="K369" s="292">
        <f>Sheet1!N76</f>
        <v>2.2000000000000002</v>
      </c>
      <c r="L369" s="292">
        <f>Sheet1!N61</f>
        <v>9.1</v>
      </c>
      <c r="M369" s="292">
        <f>Sheet1!N46</f>
        <v>12.9</v>
      </c>
      <c r="N369" s="292">
        <f>Sheet1!N30</f>
        <v>10.7</v>
      </c>
      <c r="O369" s="292">
        <f>Sheet1!N13</f>
        <v>3.6</v>
      </c>
      <c r="P369" s="287"/>
      <c r="Q369" s="287"/>
      <c r="R369" s="287"/>
      <c r="S369" s="287"/>
      <c r="T369" s="287"/>
      <c r="U369" s="287"/>
      <c r="V369" s="287"/>
      <c r="W369" s="287"/>
      <c r="X369" s="287"/>
      <c r="Y369" s="287"/>
      <c r="Z369" s="17"/>
      <c r="AA369" s="1"/>
      <c r="AB369" s="1"/>
      <c r="AC369" s="1"/>
      <c r="AD369" s="1"/>
      <c r="AE369" s="80">
        <f>AVERAGE(K369:O369)</f>
        <v>7.7000000000000011</v>
      </c>
      <c r="AF369" s="1"/>
      <c r="AG369" s="1"/>
      <c r="AH369" s="1"/>
      <c r="AI369" s="1"/>
      <c r="AJ369" s="1"/>
      <c r="AK369" s="1"/>
    </row>
    <row r="370" spans="1:37" ht="15.75" hidden="1" customHeight="1" outlineLevel="1" x14ac:dyDescent="0.25">
      <c r="A370" s="1"/>
      <c r="B370" s="1"/>
      <c r="C370" s="2"/>
      <c r="D370" s="1"/>
      <c r="E370" s="1" t="s">
        <v>625</v>
      </c>
      <c r="F370" s="33"/>
      <c r="G370" s="33"/>
      <c r="H370" s="292"/>
      <c r="I370" s="292"/>
      <c r="J370" s="292"/>
      <c r="K370" s="292"/>
      <c r="L370" s="287"/>
      <c r="M370" s="287"/>
      <c r="N370" s="287"/>
      <c r="O370" s="287"/>
      <c r="P370" s="287"/>
      <c r="Q370" s="287"/>
      <c r="R370" s="287"/>
      <c r="S370" s="287"/>
      <c r="T370" s="287"/>
      <c r="U370" s="287"/>
      <c r="V370" s="287"/>
      <c r="W370" s="287"/>
      <c r="X370" s="287"/>
      <c r="Y370" s="287"/>
      <c r="Z370" s="17"/>
      <c r="AA370" s="1"/>
      <c r="AB370" s="1"/>
      <c r="AC370" s="1"/>
      <c r="AD370" s="1"/>
      <c r="AE370" s="80"/>
      <c r="AF370" s="1"/>
      <c r="AG370" s="1"/>
      <c r="AH370" s="1"/>
      <c r="AI370" s="1"/>
      <c r="AJ370" s="1"/>
      <c r="AK370" s="1"/>
    </row>
    <row r="371" spans="1:37" ht="15.75" hidden="1" customHeight="1" outlineLevel="1" x14ac:dyDescent="0.25">
      <c r="A371" s="1"/>
      <c r="B371" s="1"/>
      <c r="C371" s="2"/>
      <c r="D371" s="1"/>
      <c r="E371" s="1" t="s">
        <v>685</v>
      </c>
      <c r="F371" s="33" t="s">
        <v>28</v>
      </c>
      <c r="G371" s="33"/>
      <c r="H371" s="292">
        <v>5.6609999999999996</v>
      </c>
      <c r="I371" s="292">
        <v>33.183</v>
      </c>
      <c r="J371" s="292">
        <v>3.0059999999999998</v>
      </c>
      <c r="K371" s="292">
        <f>Sheet1!P76</f>
        <v>4.5</v>
      </c>
      <c r="L371" s="292">
        <f>Sheet1!P61</f>
        <v>-1.8</v>
      </c>
      <c r="M371" s="292">
        <f>Sheet1!P46</f>
        <v>-0.1</v>
      </c>
      <c r="N371" s="292">
        <f>Sheet1!P30</f>
        <v>5.8</v>
      </c>
      <c r="O371" s="292">
        <f>Sheet1!Q30</f>
        <v>0</v>
      </c>
      <c r="P371" s="352"/>
      <c r="Q371" s="352"/>
      <c r="R371" s="352"/>
      <c r="S371" s="352"/>
      <c r="T371" s="352"/>
      <c r="U371" s="352"/>
      <c r="V371" s="352"/>
      <c r="W371" s="352"/>
      <c r="X371" s="352"/>
      <c r="Y371" s="352"/>
      <c r="Z371" s="17"/>
      <c r="AA371" s="1"/>
      <c r="AB371" s="1"/>
      <c r="AC371" s="1"/>
      <c r="AD371" s="1"/>
      <c r="AE371" s="80">
        <f>AVERAGE(H371:N371)</f>
        <v>7.1785714285714288</v>
      </c>
      <c r="AF371" s="1"/>
      <c r="AG371" s="1"/>
      <c r="AH371" s="1"/>
      <c r="AI371" s="1"/>
      <c r="AJ371" s="1"/>
      <c r="AK371" s="1"/>
    </row>
    <row r="372" spans="1:37" ht="15.75" hidden="1" customHeight="1" outlineLevel="1" x14ac:dyDescent="0.25">
      <c r="A372" s="1"/>
      <c r="B372" s="1"/>
      <c r="C372" s="2"/>
      <c r="D372" s="1"/>
      <c r="E372" s="1" t="s">
        <v>625</v>
      </c>
      <c r="F372" s="33"/>
      <c r="G372" s="33"/>
      <c r="H372" s="352"/>
      <c r="I372" s="352"/>
      <c r="J372" s="352"/>
      <c r="K372" s="352"/>
      <c r="L372" s="352"/>
      <c r="M372" s="352"/>
      <c r="N372" s="352"/>
      <c r="O372" s="352"/>
      <c r="P372" s="352"/>
      <c r="Q372" s="352"/>
      <c r="R372" s="352"/>
      <c r="S372" s="352"/>
      <c r="T372" s="352"/>
      <c r="U372" s="352"/>
      <c r="V372" s="352"/>
      <c r="W372" s="352"/>
      <c r="X372" s="352"/>
      <c r="Y372" s="352"/>
      <c r="Z372" s="17"/>
      <c r="AA372" s="1"/>
      <c r="AB372" s="1"/>
      <c r="AC372" s="1"/>
      <c r="AD372" s="1"/>
      <c r="AE372" s="80"/>
      <c r="AF372" s="1"/>
      <c r="AG372" s="1"/>
      <c r="AH372" s="1"/>
      <c r="AI372" s="1"/>
      <c r="AJ372" s="1"/>
      <c r="AK372" s="1"/>
    </row>
    <row r="373" spans="1:37" ht="15.75" hidden="1" customHeight="1" outlineLevel="1" x14ac:dyDescent="0.25">
      <c r="A373" s="1"/>
      <c r="B373" s="1"/>
      <c r="C373" s="2"/>
      <c r="D373" s="1"/>
      <c r="E373" s="1" t="s">
        <v>686</v>
      </c>
      <c r="F373" s="33" t="s">
        <v>28</v>
      </c>
      <c r="G373" s="33"/>
      <c r="H373" s="292">
        <v>-23.556000000000001</v>
      </c>
      <c r="I373" s="292">
        <v>-35.652999999999999</v>
      </c>
      <c r="J373" s="292">
        <v>-39</v>
      </c>
      <c r="K373" s="292">
        <f>Sheet1!L76</f>
        <v>-29.5</v>
      </c>
      <c r="L373" s="292">
        <f>Sheet1!L61</f>
        <v>-32.600000000000023</v>
      </c>
      <c r="M373" s="292">
        <f>Sheet1!L46</f>
        <v>-11</v>
      </c>
      <c r="N373" s="292">
        <f>Sheet1!L30</f>
        <v>-16.5</v>
      </c>
      <c r="O373" s="292">
        <f>Sheet1!L13</f>
        <v>-29.090999999999951</v>
      </c>
      <c r="P373" s="80"/>
      <c r="Q373" s="80"/>
      <c r="R373" s="80"/>
      <c r="S373" s="80"/>
      <c r="T373" s="80"/>
      <c r="U373" s="80"/>
      <c r="V373" s="80"/>
      <c r="W373" s="80"/>
      <c r="X373" s="80"/>
      <c r="Y373" s="80"/>
      <c r="Z373" s="17"/>
      <c r="AA373" s="1"/>
      <c r="AB373" s="1"/>
      <c r="AC373" s="1"/>
      <c r="AD373" s="1"/>
      <c r="AE373" s="80">
        <f>AVERAGE(H373:O373)</f>
        <v>-27.112499999999997</v>
      </c>
      <c r="AF373" s="1"/>
      <c r="AG373" s="1"/>
      <c r="AH373" s="1"/>
      <c r="AI373" s="1"/>
      <c r="AJ373" s="1"/>
      <c r="AK373" s="1"/>
    </row>
    <row r="374" spans="1:37" ht="15.75" hidden="1" customHeight="1" outlineLevel="1" x14ac:dyDescent="0.25">
      <c r="A374" s="1"/>
      <c r="B374" s="1"/>
      <c r="C374" s="2"/>
      <c r="D374" s="1"/>
      <c r="E374" s="1" t="s">
        <v>625</v>
      </c>
      <c r="F374" s="33"/>
      <c r="G374" s="33"/>
      <c r="H374" s="292"/>
      <c r="I374" s="292"/>
      <c r="J374" s="292"/>
      <c r="K374" s="292"/>
      <c r="L374" s="292"/>
      <c r="M374" s="292"/>
      <c r="N374" s="292"/>
      <c r="O374" s="292"/>
      <c r="P374" s="80"/>
      <c r="Q374" s="80"/>
      <c r="R374" s="80"/>
      <c r="S374" s="80"/>
      <c r="T374" s="80"/>
      <c r="U374" s="80"/>
      <c r="V374" s="80"/>
      <c r="W374" s="80"/>
      <c r="X374" s="80"/>
      <c r="Y374" s="80"/>
      <c r="Z374" s="17"/>
      <c r="AA374" s="1"/>
      <c r="AB374" s="1"/>
      <c r="AC374" s="1"/>
      <c r="AD374" s="1"/>
      <c r="AE374" s="80"/>
      <c r="AF374" s="1"/>
      <c r="AG374" s="1"/>
      <c r="AH374" s="1"/>
      <c r="AI374" s="1"/>
      <c r="AJ374" s="1"/>
      <c r="AK374" s="1"/>
    </row>
    <row r="375" spans="1:37" ht="15.75" hidden="1" customHeight="1" outlineLevel="1" x14ac:dyDescent="0.25">
      <c r="A375" s="1"/>
      <c r="B375" s="1"/>
      <c r="C375" s="2"/>
      <c r="D375" s="1"/>
      <c r="E375" s="294" t="s">
        <v>151</v>
      </c>
      <c r="F375" s="33" t="s">
        <v>28</v>
      </c>
      <c r="G375" s="33"/>
      <c r="H375" s="181">
        <f t="shared" ref="H375:O375" si="235">SUM(H369:H373)</f>
        <v>-17.895000000000003</v>
      </c>
      <c r="I375" s="181">
        <f t="shared" si="235"/>
        <v>-2.4699999999999989</v>
      </c>
      <c r="J375" s="181">
        <f t="shared" si="235"/>
        <v>-35.994</v>
      </c>
      <c r="K375" s="181">
        <f t="shared" si="235"/>
        <v>-22.8</v>
      </c>
      <c r="L375" s="181">
        <f t="shared" si="235"/>
        <v>-25.300000000000022</v>
      </c>
      <c r="M375" s="181">
        <f t="shared" si="235"/>
        <v>1.8000000000000007</v>
      </c>
      <c r="N375" s="353">
        <f t="shared" si="235"/>
        <v>0</v>
      </c>
      <c r="O375" s="181">
        <f t="shared" si="235"/>
        <v>-25.49099999999995</v>
      </c>
      <c r="P375" s="354">
        <f t="shared" ref="P375:Y375" si="236">O375*(1+P376)</f>
        <v>-24.981179999999952</v>
      </c>
      <c r="Q375" s="354">
        <f t="shared" si="236"/>
        <v>-26.166446326942918</v>
      </c>
      <c r="R375" s="354">
        <f t="shared" si="236"/>
        <v>-27.427074354143716</v>
      </c>
      <c r="S375" s="354">
        <f t="shared" si="236"/>
        <v>-28.768482512514929</v>
      </c>
      <c r="T375" s="354">
        <f t="shared" si="236"/>
        <v>-30.196523444991875</v>
      </c>
      <c r="U375" s="354">
        <f t="shared" si="236"/>
        <v>-31.717521719156977</v>
      </c>
      <c r="V375" s="354">
        <f t="shared" si="236"/>
        <v>-33.3383150538452</v>
      </c>
      <c r="W375" s="354">
        <f t="shared" si="236"/>
        <v>-35.066299407252032</v>
      </c>
      <c r="X375" s="354">
        <f t="shared" si="236"/>
        <v>-36.909478310310533</v>
      </c>
      <c r="Y375" s="354">
        <f t="shared" si="236"/>
        <v>-38.876516869313186</v>
      </c>
      <c r="Z375" s="17"/>
      <c r="AA375" s="1"/>
      <c r="AB375" s="1"/>
      <c r="AC375" s="1"/>
      <c r="AD375" s="1"/>
      <c r="AE375" s="80">
        <f>AVERAGE(H375:O375)</f>
        <v>-16.018749999999997</v>
      </c>
      <c r="AF375" s="1"/>
      <c r="AG375" s="1"/>
      <c r="AH375" s="1"/>
      <c r="AI375" s="1"/>
      <c r="AJ375" s="1"/>
      <c r="AK375" s="1"/>
    </row>
    <row r="376" spans="1:37" ht="15.75" hidden="1" customHeight="1" outlineLevel="1" x14ac:dyDescent="0.25">
      <c r="A376" s="1"/>
      <c r="B376" s="1"/>
      <c r="C376" s="2"/>
      <c r="D376" s="1"/>
      <c r="E376" s="290" t="s">
        <v>625</v>
      </c>
      <c r="F376" s="33"/>
      <c r="G376" s="33"/>
      <c r="H376" s="355"/>
      <c r="I376" s="356">
        <f>I375/H375-1</f>
        <v>-0.86197261804973468</v>
      </c>
      <c r="J376" s="356">
        <f>J375/I375-1</f>
        <v>13.572469635627536</v>
      </c>
      <c r="K376" s="356">
        <f>K375/J375-1</f>
        <v>-0.36656109351558586</v>
      </c>
      <c r="L376" s="356">
        <f>L375/K375-1</f>
        <v>0.10964912280701844</v>
      </c>
      <c r="M376" s="356">
        <f>M375/L375-1</f>
        <v>-1.0711462450592886</v>
      </c>
      <c r="N376" s="356"/>
      <c r="O376" s="356"/>
      <c r="P376" s="289">
        <v>-0.02</v>
      </c>
      <c r="Q376" s="289">
        <v>4.7446370705585841E-2</v>
      </c>
      <c r="R376" s="289">
        <v>4.8177272964375073E-2</v>
      </c>
      <c r="S376" s="289">
        <v>4.8908175223164069E-2</v>
      </c>
      <c r="T376" s="289">
        <v>4.96390774819533E-2</v>
      </c>
      <c r="U376" s="289">
        <v>5.0369979740742532E-2</v>
      </c>
      <c r="V376" s="289">
        <v>5.1100881999531528E-2</v>
      </c>
      <c r="W376" s="289">
        <v>5.1831784258320759E-2</v>
      </c>
      <c r="X376" s="289">
        <v>5.2562686517109755E-2</v>
      </c>
      <c r="Y376" s="289">
        <v>5.3293588775898987E-2</v>
      </c>
      <c r="Z376" s="17"/>
      <c r="AA376" s="1"/>
      <c r="AB376" s="1"/>
      <c r="AC376" s="1"/>
      <c r="AD376" s="1"/>
      <c r="AE376" s="1"/>
      <c r="AF376" s="1"/>
      <c r="AG376" s="1"/>
      <c r="AH376" s="1"/>
      <c r="AI376" s="1"/>
      <c r="AJ376" s="1"/>
      <c r="AK376" s="1"/>
    </row>
    <row r="377" spans="1:37" ht="15.75" hidden="1" customHeight="1" outlineLevel="1" x14ac:dyDescent="0.25">
      <c r="A377" s="1"/>
      <c r="B377" s="1"/>
      <c r="C377" s="2"/>
      <c r="D377" s="1"/>
      <c r="E377" s="290" t="s">
        <v>278</v>
      </c>
      <c r="F377" s="33" t="s">
        <v>28</v>
      </c>
      <c r="G377" s="33"/>
      <c r="H377" s="292">
        <v>-20.733000000000001</v>
      </c>
      <c r="I377" s="292">
        <v>-20.304000000000002</v>
      </c>
      <c r="J377" s="292">
        <v>-14.19</v>
      </c>
      <c r="K377" s="292">
        <f>Sheet1!L77</f>
        <v>-16.599999999999994</v>
      </c>
      <c r="L377" s="292">
        <f>Sheet1!L62</f>
        <v>-19.200000000000003</v>
      </c>
      <c r="M377" s="292">
        <f>Sheet1!L47</f>
        <v>-15.700000000000003</v>
      </c>
      <c r="N377" s="292">
        <f>Sheet1!L31</f>
        <v>-16.700000000000003</v>
      </c>
      <c r="O377" s="292">
        <f>Sheet1!L14</f>
        <v>-15.220999999999989</v>
      </c>
      <c r="P377" s="292">
        <f>'Regular Dep. Calculation'!J6</f>
        <v>-17.331</v>
      </c>
      <c r="Q377" s="292">
        <f>'Regular Dep. Calculation'!K6</f>
        <v>-16.905749999999998</v>
      </c>
      <c r="R377" s="292">
        <f>'Regular Dep. Calculation'!L6</f>
        <v>-16.480968749999999</v>
      </c>
      <c r="S377" s="292">
        <f>'Regular Dep. Calculation'!M6</f>
        <v>-16.767339843749998</v>
      </c>
      <c r="T377" s="292">
        <f>'Regular Dep. Calculation'!N6</f>
        <v>-16.788257324218751</v>
      </c>
      <c r="U377" s="292">
        <f>'Regular Dep. Calculation'!O6</f>
        <v>-16.486789489746094</v>
      </c>
      <c r="V377" s="292">
        <f>'Regular Dep. Calculation'!P6</f>
        <v>-16.585138175964353</v>
      </c>
      <c r="W377" s="292">
        <f>'Regular Dep. Calculation'!Q6</f>
        <v>-16.570780447959898</v>
      </c>
      <c r="X377" s="292">
        <f>'Regular Dep. Calculation'!R6</f>
        <v>-16.739503003954884</v>
      </c>
      <c r="Y377" s="292">
        <f>'Regular Dep. Calculation'!S6</f>
        <v>-16.665565879449247</v>
      </c>
      <c r="Z377" s="17"/>
      <c r="AA377" s="1"/>
      <c r="AB377" s="1"/>
      <c r="AC377" s="1"/>
      <c r="AD377" s="1"/>
      <c r="AE377" s="1"/>
      <c r="AF377" s="1"/>
      <c r="AG377" s="1"/>
      <c r="AH377" s="1"/>
      <c r="AI377" s="1"/>
      <c r="AJ377" s="1"/>
      <c r="AK377" s="1"/>
    </row>
    <row r="378" spans="1:37" ht="15.75" hidden="1" customHeight="1" outlineLevel="1" x14ac:dyDescent="0.25">
      <c r="A378" s="1"/>
      <c r="B378" s="1"/>
      <c r="C378" s="2"/>
      <c r="D378" s="1"/>
      <c r="E378" s="290" t="s">
        <v>230</v>
      </c>
      <c r="F378" s="33" t="s">
        <v>28</v>
      </c>
      <c r="G378" s="33"/>
      <c r="H378" s="80">
        <f t="shared" ref="H378:Y378" si="237">H375 + H377</f>
        <v>-38.628</v>
      </c>
      <c r="I378" s="80">
        <f t="shared" si="237"/>
        <v>-22.774000000000001</v>
      </c>
      <c r="J378" s="80">
        <f t="shared" si="237"/>
        <v>-50.183999999999997</v>
      </c>
      <c r="K378" s="80">
        <f t="shared" si="237"/>
        <v>-39.399999999999991</v>
      </c>
      <c r="L378" s="80">
        <f t="shared" si="237"/>
        <v>-44.500000000000028</v>
      </c>
      <c r="M378" s="80">
        <f t="shared" si="237"/>
        <v>-13.900000000000002</v>
      </c>
      <c r="N378" s="80">
        <f t="shared" si="237"/>
        <v>-16.700000000000003</v>
      </c>
      <c r="O378" s="80">
        <f t="shared" si="237"/>
        <v>-40.711999999999939</v>
      </c>
      <c r="P378" s="80">
        <f t="shared" si="237"/>
        <v>-42.312179999999955</v>
      </c>
      <c r="Q378" s="80">
        <f t="shared" si="237"/>
        <v>-43.072196326942915</v>
      </c>
      <c r="R378" s="80">
        <f t="shared" si="237"/>
        <v>-43.908043104143715</v>
      </c>
      <c r="S378" s="80">
        <f t="shared" si="237"/>
        <v>-45.53582235626493</v>
      </c>
      <c r="T378" s="80">
        <f t="shared" si="237"/>
        <v>-46.98478076921063</v>
      </c>
      <c r="U378" s="80">
        <f t="shared" si="237"/>
        <v>-48.204311208903071</v>
      </c>
      <c r="V378" s="80">
        <f t="shared" si="237"/>
        <v>-49.923453229809553</v>
      </c>
      <c r="W378" s="80">
        <f t="shared" si="237"/>
        <v>-51.63707985521193</v>
      </c>
      <c r="X378" s="80">
        <f t="shared" si="237"/>
        <v>-53.648981314265413</v>
      </c>
      <c r="Y378" s="80">
        <f t="shared" si="237"/>
        <v>-55.542082748762432</v>
      </c>
      <c r="Z378" s="1"/>
      <c r="AA378" s="1"/>
      <c r="AB378" s="1"/>
      <c r="AC378" s="1"/>
      <c r="AD378" s="1"/>
      <c r="AE378" s="1"/>
      <c r="AF378" s="1"/>
      <c r="AG378" s="1"/>
      <c r="AH378" s="1"/>
      <c r="AI378" s="1"/>
      <c r="AJ378" s="1"/>
      <c r="AK378" s="1"/>
    </row>
    <row r="379" spans="1:37" ht="15.75" customHeight="1" collapsed="1" x14ac:dyDescent="0.25">
      <c r="A379" s="1"/>
      <c r="B379" s="1"/>
      <c r="C379" s="2"/>
      <c r="D379" s="1"/>
      <c r="E379" s="291"/>
      <c r="F379" s="33"/>
      <c r="G379" s="33"/>
      <c r="H379" s="274"/>
      <c r="I379" s="274"/>
      <c r="J379" s="274"/>
      <c r="K379" s="274"/>
      <c r="L379" s="274"/>
      <c r="M379" s="274"/>
      <c r="N379" s="274"/>
      <c r="O379" s="274"/>
      <c r="P379" s="274"/>
      <c r="Q379" s="274"/>
      <c r="R379" s="274"/>
      <c r="S379" s="274"/>
      <c r="T379" s="274"/>
      <c r="U379" s="274"/>
      <c r="V379" s="274"/>
      <c r="W379" s="274"/>
      <c r="X379" s="274"/>
      <c r="Y379" s="274"/>
      <c r="Z379" s="17"/>
      <c r="AA379" s="1"/>
      <c r="AB379" s="1"/>
      <c r="AC379" s="1"/>
      <c r="AD379" s="1"/>
      <c r="AE379" s="1"/>
      <c r="AF379" s="1"/>
      <c r="AG379" s="1"/>
      <c r="AH379" s="1"/>
      <c r="AI379" s="1"/>
      <c r="AJ379" s="1"/>
      <c r="AK379" s="1"/>
    </row>
    <row r="380" spans="1:37" ht="15.75" customHeight="1" x14ac:dyDescent="0.25">
      <c r="A380" s="1"/>
      <c r="B380" s="1"/>
      <c r="C380" s="2"/>
      <c r="D380" s="1"/>
      <c r="E380" s="290"/>
      <c r="F380" s="33"/>
      <c r="G380" s="33"/>
      <c r="H380" s="274"/>
      <c r="I380" s="274"/>
      <c r="J380" s="305"/>
      <c r="K380" s="305"/>
      <c r="L380" s="305"/>
      <c r="M380" s="305"/>
      <c r="N380" s="305"/>
      <c r="O380" s="305"/>
      <c r="P380" s="305"/>
      <c r="Q380" s="305"/>
      <c r="R380" s="305"/>
      <c r="S380" s="305"/>
      <c r="T380" s="305"/>
      <c r="U380" s="305"/>
      <c r="V380" s="305"/>
      <c r="W380" s="305"/>
      <c r="X380" s="305"/>
      <c r="Y380" s="305"/>
      <c r="Z380" s="1"/>
      <c r="AA380" s="1"/>
      <c r="AB380" s="1"/>
      <c r="AC380" s="1"/>
      <c r="AD380" s="1"/>
      <c r="AE380" s="1"/>
      <c r="AF380" s="1"/>
      <c r="AG380" s="1"/>
      <c r="AH380" s="1"/>
      <c r="AI380" s="1"/>
      <c r="AJ380" s="1"/>
      <c r="AK380" s="1"/>
    </row>
    <row r="381" spans="1:37" ht="11.25" customHeight="1" x14ac:dyDescent="0.25">
      <c r="A381" s="1"/>
      <c r="B381" s="1"/>
      <c r="C381" s="1"/>
      <c r="D381" s="1"/>
      <c r="E381" s="313"/>
      <c r="F381" s="33"/>
      <c r="G381" s="33"/>
      <c r="H381" s="195"/>
      <c r="I381" s="195"/>
      <c r="J381" s="195"/>
      <c r="K381" s="195"/>
      <c r="L381" s="195"/>
      <c r="M381" s="195"/>
      <c r="N381" s="49"/>
      <c r="O381" s="49"/>
      <c r="P381" s="49"/>
      <c r="Q381" s="49"/>
      <c r="R381" s="49"/>
      <c r="S381" s="49"/>
      <c r="T381" s="49"/>
      <c r="U381" s="49"/>
      <c r="V381" s="49"/>
      <c r="W381" s="49"/>
      <c r="X381" s="49"/>
      <c r="Y381" s="49"/>
    </row>
    <row r="382" spans="1:37" ht="15.75" customHeight="1" x14ac:dyDescent="0.25"/>
    <row r="383" spans="1:37" ht="15.75" customHeight="1" x14ac:dyDescent="0.25">
      <c r="K383" s="277"/>
      <c r="L383" s="277"/>
      <c r="M383" s="277"/>
      <c r="N383" s="277"/>
      <c r="O383" s="277"/>
    </row>
    <row r="384" spans="1:37"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sheetData>
  <mergeCells count="1">
    <mergeCell ref="H2:O2"/>
  </mergeCells>
  <pageMargins left="0.7" right="0.7" top="0.75" bottom="0.75" header="0" footer="0"/>
  <pageSetup orientation="portrait"/>
  <ignoredErrors>
    <ignoredError sqref="P38:P42" formula="1"/>
  </ignoredErrors>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A24AE-F51A-4921-A3F1-CD4971FE6146}">
  <sheetPr>
    <tabColor rgb="FF92D050"/>
  </sheetPr>
  <dimension ref="A1:V67"/>
  <sheetViews>
    <sheetView showGridLines="0" workbookViewId="0">
      <selection activeCell="G33" sqref="G33"/>
    </sheetView>
  </sheetViews>
  <sheetFormatPr defaultRowHeight="15" x14ac:dyDescent="0.25"/>
  <cols>
    <col min="7" max="7" width="9.28515625" bestFit="1" customWidth="1"/>
  </cols>
  <sheetData>
    <row r="1" spans="1:21" x14ac:dyDescent="0.25">
      <c r="A1" s="557" t="s">
        <v>917</v>
      </c>
      <c r="K1" s="557" t="s">
        <v>938</v>
      </c>
    </row>
    <row r="2" spans="1:21" x14ac:dyDescent="0.25">
      <c r="A2" s="559" t="s">
        <v>916</v>
      </c>
      <c r="B2" s="559"/>
      <c r="C2" s="559"/>
      <c r="D2" s="559"/>
      <c r="E2" s="559"/>
      <c r="F2" s="559"/>
      <c r="G2" s="559"/>
      <c r="H2" s="559"/>
      <c r="I2" s="559"/>
      <c r="J2" s="559"/>
      <c r="K2" s="559" t="s">
        <v>935</v>
      </c>
      <c r="L2" s="559"/>
      <c r="M2" s="559"/>
      <c r="N2" s="559"/>
      <c r="O2" s="559"/>
    </row>
    <row r="3" spans="1:21" x14ac:dyDescent="0.25">
      <c r="A3" s="559" t="s">
        <v>914</v>
      </c>
      <c r="B3" s="559"/>
      <c r="C3" s="559"/>
      <c r="D3" s="559"/>
      <c r="E3" s="559"/>
      <c r="F3" s="559"/>
      <c r="G3" s="559"/>
      <c r="H3" s="559"/>
      <c r="I3" s="559"/>
      <c r="J3" s="559"/>
      <c r="K3" s="559" t="s">
        <v>944</v>
      </c>
      <c r="L3" s="559"/>
      <c r="M3" s="559"/>
      <c r="N3" s="559"/>
      <c r="O3" s="559"/>
    </row>
    <row r="4" spans="1:21" x14ac:dyDescent="0.25">
      <c r="A4" s="559" t="s">
        <v>915</v>
      </c>
      <c r="B4" s="559"/>
      <c r="C4" s="559"/>
      <c r="D4" s="559"/>
      <c r="E4" s="559"/>
      <c r="F4" s="559"/>
      <c r="G4" s="559"/>
      <c r="H4" s="559"/>
      <c r="I4" s="559"/>
      <c r="J4" s="559"/>
      <c r="K4" s="559" t="s">
        <v>945</v>
      </c>
      <c r="L4" s="559"/>
      <c r="M4" s="559"/>
      <c r="N4" s="559"/>
      <c r="O4" s="559"/>
    </row>
    <row r="5" spans="1:21" x14ac:dyDescent="0.25">
      <c r="A5" s="559"/>
      <c r="B5" s="559"/>
      <c r="C5" s="559"/>
      <c r="D5" s="559"/>
      <c r="E5" s="559"/>
      <c r="F5" s="559"/>
      <c r="G5" s="559"/>
      <c r="H5" s="559"/>
      <c r="I5" s="559"/>
      <c r="J5" s="559"/>
      <c r="K5" s="559" t="s">
        <v>946</v>
      </c>
      <c r="L5" s="559"/>
      <c r="M5" s="559"/>
      <c r="N5" s="559"/>
      <c r="O5" s="559"/>
    </row>
    <row r="6" spans="1:21" x14ac:dyDescent="0.25">
      <c r="A6" s="557" t="s">
        <v>936</v>
      </c>
      <c r="B6" s="559"/>
      <c r="C6" s="559"/>
      <c r="D6" s="559"/>
      <c r="E6" s="559"/>
      <c r="F6" s="559"/>
      <c r="G6" s="559"/>
      <c r="H6" s="559"/>
      <c r="I6" s="559"/>
      <c r="J6" s="559"/>
      <c r="K6" s="559" t="s">
        <v>947</v>
      </c>
      <c r="L6" s="559"/>
      <c r="M6" s="559"/>
      <c r="N6" s="559"/>
      <c r="O6" s="559"/>
    </row>
    <row r="7" spans="1:21" x14ac:dyDescent="0.25">
      <c r="A7" s="559" t="s">
        <v>931</v>
      </c>
      <c r="B7" s="559"/>
      <c r="C7" s="559"/>
      <c r="D7" s="559"/>
      <c r="E7" s="559"/>
      <c r="F7" s="559"/>
      <c r="G7" s="559"/>
      <c r="H7" s="559"/>
      <c r="I7" s="559"/>
      <c r="J7" s="559"/>
      <c r="K7" s="559" t="s">
        <v>948</v>
      </c>
      <c r="L7" s="559"/>
      <c r="M7" s="559"/>
      <c r="N7" s="559"/>
      <c r="O7" s="559"/>
    </row>
    <row r="8" spans="1:21" x14ac:dyDescent="0.25">
      <c r="A8" s="559" t="s">
        <v>937</v>
      </c>
      <c r="B8" s="559"/>
      <c r="C8" s="559"/>
      <c r="D8" s="559"/>
      <c r="E8" s="559"/>
      <c r="F8" s="559"/>
      <c r="G8" s="559"/>
      <c r="H8" s="559"/>
      <c r="I8" s="559"/>
      <c r="J8" s="559"/>
      <c r="L8" s="559"/>
      <c r="M8" s="559"/>
      <c r="N8" s="559"/>
      <c r="O8" s="559"/>
    </row>
    <row r="9" spans="1:21" x14ac:dyDescent="0.25">
      <c r="A9" s="559" t="s">
        <v>932</v>
      </c>
      <c r="K9" s="557" t="s">
        <v>949</v>
      </c>
    </row>
    <row r="10" spans="1:21" s="560" customFormat="1" x14ac:dyDescent="0.25">
      <c r="A10" s="559" t="s">
        <v>934</v>
      </c>
      <c r="K10" s="559" t="s">
        <v>950</v>
      </c>
    </row>
    <row r="11" spans="1:21" x14ac:dyDescent="0.25">
      <c r="A11" s="559" t="s">
        <v>939</v>
      </c>
      <c r="K11" s="559" t="s">
        <v>951</v>
      </c>
    </row>
    <row r="12" spans="1:21" x14ac:dyDescent="0.25">
      <c r="A12" s="559" t="s">
        <v>940</v>
      </c>
      <c r="U12" s="561">
        <f>1.65-1.35</f>
        <v>0.29999999999999982</v>
      </c>
    </row>
    <row r="13" spans="1:21" x14ac:dyDescent="0.25">
      <c r="A13" s="559" t="s">
        <v>941</v>
      </c>
      <c r="K13" s="559" t="s">
        <v>952</v>
      </c>
    </row>
    <row r="14" spans="1:21" x14ac:dyDescent="0.25">
      <c r="A14" s="559" t="s">
        <v>942</v>
      </c>
      <c r="K14" s="559" t="s">
        <v>953</v>
      </c>
    </row>
    <row r="15" spans="1:21" x14ac:dyDescent="0.25">
      <c r="A15" s="559" t="s">
        <v>943</v>
      </c>
      <c r="K15" s="559" t="s">
        <v>933</v>
      </c>
    </row>
    <row r="17" spans="1:22" x14ac:dyDescent="0.25">
      <c r="A17" s="558" t="s">
        <v>954</v>
      </c>
      <c r="K17" s="558" t="s">
        <v>958</v>
      </c>
    </row>
    <row r="18" spans="1:22" x14ac:dyDescent="0.25">
      <c r="A18" s="559" t="s">
        <v>955</v>
      </c>
      <c r="K18" s="559" t="s">
        <v>955</v>
      </c>
    </row>
    <row r="19" spans="1:22" x14ac:dyDescent="0.25">
      <c r="A19" s="559" t="s">
        <v>956</v>
      </c>
      <c r="K19" s="559" t="s">
        <v>959</v>
      </c>
    </row>
    <row r="20" spans="1:22" x14ac:dyDescent="0.25">
      <c r="A20" s="559" t="s">
        <v>957</v>
      </c>
      <c r="K20" s="559" t="s">
        <v>960</v>
      </c>
    </row>
    <row r="21" spans="1:22" x14ac:dyDescent="0.25">
      <c r="A21" s="559"/>
      <c r="K21" s="559" t="s">
        <v>961</v>
      </c>
    </row>
    <row r="22" spans="1:22" x14ac:dyDescent="0.25">
      <c r="A22" s="559"/>
      <c r="K22" s="559" t="s">
        <v>962</v>
      </c>
    </row>
    <row r="23" spans="1:22" x14ac:dyDescent="0.25">
      <c r="K23" s="559" t="s">
        <v>963</v>
      </c>
      <c r="L23" s="566"/>
      <c r="M23" s="566"/>
    </row>
    <row r="24" spans="1:22" x14ac:dyDescent="0.25">
      <c r="K24" s="559" t="s">
        <v>965</v>
      </c>
      <c r="L24" s="566"/>
      <c r="M24" s="566"/>
    </row>
    <row r="25" spans="1:22" x14ac:dyDescent="0.25">
      <c r="K25" s="559"/>
      <c r="L25" s="566"/>
      <c r="M25" s="566"/>
    </row>
    <row r="28" spans="1:22" x14ac:dyDescent="0.25">
      <c r="A28" s="557" t="s">
        <v>918</v>
      </c>
    </row>
    <row r="29" spans="1:22" x14ac:dyDescent="0.25">
      <c r="A29" s="563" t="s">
        <v>560</v>
      </c>
      <c r="B29" s="563"/>
      <c r="C29" s="563"/>
      <c r="D29" s="563"/>
      <c r="E29" s="563" t="s">
        <v>771</v>
      </c>
      <c r="F29" s="563" t="s">
        <v>923</v>
      </c>
      <c r="G29" s="563" t="s">
        <v>770</v>
      </c>
      <c r="H29" s="563" t="s">
        <v>923</v>
      </c>
      <c r="I29" s="563" t="s">
        <v>785</v>
      </c>
      <c r="J29" s="563" t="s">
        <v>923</v>
      </c>
      <c r="K29" s="563" t="s">
        <v>784</v>
      </c>
      <c r="L29" s="563" t="s">
        <v>923</v>
      </c>
      <c r="M29" s="563" t="s">
        <v>569</v>
      </c>
      <c r="N29" s="563" t="s">
        <v>923</v>
      </c>
      <c r="O29" s="563" t="s">
        <v>80</v>
      </c>
      <c r="P29" s="563" t="s">
        <v>923</v>
      </c>
      <c r="Q29" s="563" t="s">
        <v>79</v>
      </c>
      <c r="R29" s="563" t="s">
        <v>923</v>
      </c>
      <c r="V29" t="s">
        <v>974</v>
      </c>
    </row>
    <row r="30" spans="1:22" x14ac:dyDescent="0.25">
      <c r="A30" s="555" t="s">
        <v>926</v>
      </c>
      <c r="E30" s="564">
        <f>E44*(G30/G44)</f>
        <v>464.07933473336743</v>
      </c>
      <c r="F30" s="561">
        <f>E30/$E$39</f>
        <v>0.62600763740394227</v>
      </c>
      <c r="G30" s="564">
        <f>G44*(I30/I44)</f>
        <v>489.79349312228754</v>
      </c>
      <c r="H30" s="561">
        <f>G30/$G$39</f>
        <v>0.63309758271448235</v>
      </c>
      <c r="I30">
        <f>608.3-59</f>
        <v>549.29999999999995</v>
      </c>
      <c r="J30" s="562">
        <f>I30/$I$39</f>
        <v>0.64260645765091251</v>
      </c>
      <c r="K30">
        <v>511.2</v>
      </c>
      <c r="L30" s="562">
        <f>K30/$K$39</f>
        <v>0.59448773113152686</v>
      </c>
      <c r="M30">
        <v>330.6</v>
      </c>
      <c r="N30" s="562">
        <f>M30/$M$39</f>
        <v>0.53425985778926965</v>
      </c>
      <c r="O30">
        <v>488.2</v>
      </c>
      <c r="P30" s="562">
        <f>O30/$O$39</f>
        <v>0.60420792079207919</v>
      </c>
      <c r="Q30">
        <v>497.3</v>
      </c>
      <c r="R30" s="562">
        <f>Q30/$Q$39</f>
        <v>0.64325443021601336</v>
      </c>
      <c r="V30" s="570">
        <f>G30/90%</f>
        <v>544.21499235809722</v>
      </c>
    </row>
    <row r="31" spans="1:22" x14ac:dyDescent="0.25">
      <c r="A31" s="555" t="s">
        <v>866</v>
      </c>
      <c r="E31" s="564">
        <f>E45*(G31/G45)</f>
        <v>69.531944430392414</v>
      </c>
      <c r="F31" s="561">
        <f t="shared" ref="F31:F34" si="0">E31/$E$39</f>
        <v>9.3793291360367306E-2</v>
      </c>
      <c r="G31" s="564">
        <f>G45*(I31/I45)</f>
        <v>68.16857297097296</v>
      </c>
      <c r="H31" s="561">
        <f t="shared" ref="H31:H34" si="1">G31/$G$39</f>
        <v>8.8113377109000537E-2</v>
      </c>
      <c r="I31">
        <f>73.4-8.4</f>
        <v>65</v>
      </c>
      <c r="J31" s="561">
        <f>I31/$I$39</f>
        <v>7.6041179223210117E-2</v>
      </c>
      <c r="K31">
        <v>66.3</v>
      </c>
      <c r="L31" s="561">
        <f>K31/$K$39</f>
        <v>7.7101988603325955E-2</v>
      </c>
      <c r="M31">
        <v>56.2</v>
      </c>
      <c r="N31" s="561">
        <f>M31/$M$39</f>
        <v>9.0820943762120243E-2</v>
      </c>
      <c r="O31">
        <v>73.5</v>
      </c>
      <c r="P31" s="561">
        <f>O31/$O$39</f>
        <v>9.0965346534653463E-2</v>
      </c>
      <c r="Q31">
        <v>58.8</v>
      </c>
      <c r="R31" s="561">
        <f>Q31/$Q$39</f>
        <v>7.6057431121459046E-2</v>
      </c>
      <c r="V31" s="570">
        <f t="shared" ref="V31:V39" si="2">G31/90%</f>
        <v>75.742858856636616</v>
      </c>
    </row>
    <row r="32" spans="1:22" x14ac:dyDescent="0.25">
      <c r="A32" s="555" t="s">
        <v>865</v>
      </c>
      <c r="E32" s="564">
        <f>E46*(G32/G46)</f>
        <v>7.7325880280420209</v>
      </c>
      <c r="F32" s="561">
        <f t="shared" si="0"/>
        <v>1.0430671654952598E-2</v>
      </c>
      <c r="G32" s="564">
        <f>G46*(I32/I46)</f>
        <v>7.580968654943157</v>
      </c>
      <c r="H32" s="561">
        <f t="shared" si="1"/>
        <v>9.7990132524698043E-3</v>
      </c>
      <c r="I32">
        <f>13.6-1.6</f>
        <v>12</v>
      </c>
      <c r="J32" s="561">
        <f>I32/$I$39</f>
        <v>1.4038371548900329E-2</v>
      </c>
      <c r="K32">
        <v>10.9</v>
      </c>
      <c r="L32" s="561">
        <f>K32/$K$39</f>
        <v>1.2675892545644841E-2</v>
      </c>
      <c r="M32">
        <v>10.199999999999999</v>
      </c>
      <c r="N32" s="561">
        <f>M32/$M$39</f>
        <v>1.6483516483516484E-2</v>
      </c>
      <c r="O32">
        <v>12.3</v>
      </c>
      <c r="P32" s="561">
        <f>O32/$O$39</f>
        <v>1.5222772277227724E-2</v>
      </c>
      <c r="Q32">
        <v>11.1</v>
      </c>
      <c r="R32" s="561">
        <f>Q32/$Q$39</f>
        <v>1.4357780364765227E-2</v>
      </c>
      <c r="V32" s="570">
        <f t="shared" si="2"/>
        <v>8.4232985054923972</v>
      </c>
    </row>
    <row r="33" spans="1:22" x14ac:dyDescent="0.25">
      <c r="A33" s="555" t="s">
        <v>919</v>
      </c>
      <c r="E33" s="564">
        <v>0</v>
      </c>
      <c r="F33" s="561">
        <f t="shared" si="0"/>
        <v>0</v>
      </c>
      <c r="G33" s="564">
        <v>0</v>
      </c>
      <c r="H33" s="561">
        <f t="shared" si="1"/>
        <v>0</v>
      </c>
      <c r="I33">
        <v>0</v>
      </c>
      <c r="J33" s="561">
        <f>I33/$I$39</f>
        <v>0</v>
      </c>
      <c r="K33">
        <v>0</v>
      </c>
      <c r="L33" s="561">
        <f>K33/$K$39</f>
        <v>0</v>
      </c>
      <c r="M33">
        <v>3.8</v>
      </c>
      <c r="N33" s="561">
        <f>M33/$M$39</f>
        <v>6.1409179056237878E-3</v>
      </c>
      <c r="O33">
        <v>1</v>
      </c>
      <c r="P33" s="561">
        <f>O33/$O$39</f>
        <v>1.2376237623762376E-3</v>
      </c>
      <c r="Q33">
        <v>1.2</v>
      </c>
      <c r="R33" s="561">
        <f>Q33/$Q$39</f>
        <v>1.5521924718665111E-3</v>
      </c>
      <c r="V33" s="570">
        <f t="shared" si="2"/>
        <v>0</v>
      </c>
    </row>
    <row r="34" spans="1:22" x14ac:dyDescent="0.25">
      <c r="A34" s="555" t="s">
        <v>920</v>
      </c>
      <c r="E34" s="564">
        <f>E48*(G34/G48)</f>
        <v>180.3815145395896</v>
      </c>
      <c r="F34" s="561">
        <f t="shared" si="0"/>
        <v>0.24332090937242581</v>
      </c>
      <c r="G34" s="564">
        <f>G48*(I34/I48)</f>
        <v>188.88116705716189</v>
      </c>
      <c r="H34" s="561">
        <f t="shared" si="1"/>
        <v>0.24414413822015338</v>
      </c>
      <c r="I34">
        <f>234.7-15.5</f>
        <v>219.2</v>
      </c>
      <c r="J34" s="562">
        <f>I34/$I$39</f>
        <v>0.25643425362657934</v>
      </c>
      <c r="K34">
        <v>220.8</v>
      </c>
      <c r="L34" s="562">
        <f>K34/$K$39</f>
        <v>0.25677404349342947</v>
      </c>
      <c r="M34">
        <v>184.5</v>
      </c>
      <c r="N34" s="562">
        <f>M34/$M$39</f>
        <v>0.29815772462831286</v>
      </c>
      <c r="O34">
        <v>196.9</v>
      </c>
      <c r="P34" s="562">
        <f>O34/$O$39</f>
        <v>0.24368811881188118</v>
      </c>
      <c r="Q34">
        <v>121</v>
      </c>
      <c r="R34" s="562">
        <f>Q34/$Q$39</f>
        <v>0.15651274091320655</v>
      </c>
      <c r="V34" s="570">
        <f t="shared" si="2"/>
        <v>209.86796339684653</v>
      </c>
    </row>
    <row r="35" spans="1:22" x14ac:dyDescent="0.25">
      <c r="E35" s="564"/>
      <c r="F35" s="561"/>
      <c r="G35" s="564"/>
      <c r="H35" s="561"/>
      <c r="R35" s="561"/>
      <c r="V35" s="570">
        <f t="shared" si="2"/>
        <v>0</v>
      </c>
    </row>
    <row r="36" spans="1:22" x14ac:dyDescent="0.25">
      <c r="A36" s="555" t="s">
        <v>921</v>
      </c>
      <c r="E36" s="564">
        <v>0</v>
      </c>
      <c r="F36" s="561">
        <f t="shared" ref="F36:F37" si="3">E36/$E$39</f>
        <v>0</v>
      </c>
      <c r="G36" s="564">
        <v>0</v>
      </c>
      <c r="H36" s="561">
        <f t="shared" ref="H36:H37" si="4">G36/$G$39</f>
        <v>0</v>
      </c>
      <c r="I36">
        <v>0</v>
      </c>
      <c r="J36" s="561">
        <f>I36/$I$39</f>
        <v>0</v>
      </c>
      <c r="K36">
        <v>35.299999999999997</v>
      </c>
      <c r="L36" s="561">
        <f>K36/$K$39</f>
        <v>4.1051285033143384E-2</v>
      </c>
      <c r="M36">
        <v>16.5</v>
      </c>
      <c r="N36" s="561">
        <f>M36/$M$39</f>
        <v>2.6664511958629608E-2</v>
      </c>
      <c r="O36">
        <v>22.1</v>
      </c>
      <c r="P36" s="561">
        <f>O36/$O$39</f>
        <v>2.7351485148514855E-2</v>
      </c>
      <c r="Q36">
        <v>78.8</v>
      </c>
      <c r="R36" s="561">
        <f>Q36/$Q$39</f>
        <v>0.10192730565256757</v>
      </c>
      <c r="V36" s="570">
        <f t="shared" si="2"/>
        <v>0</v>
      </c>
    </row>
    <row r="37" spans="1:22" x14ac:dyDescent="0.25">
      <c r="A37" s="555" t="s">
        <v>688</v>
      </c>
      <c r="E37" s="564">
        <f>E51*(G37/G51)</f>
        <v>19.606364088687283</v>
      </c>
      <c r="F37" s="561">
        <f t="shared" si="3"/>
        <v>2.6447490208311875E-2</v>
      </c>
      <c r="G37" s="564">
        <f>G51*(I37/I51)</f>
        <v>19.221925577144393</v>
      </c>
      <c r="H37" s="561">
        <f t="shared" si="4"/>
        <v>2.4845888703893936E-2</v>
      </c>
      <c r="I37">
        <v>9.3000000000000007</v>
      </c>
      <c r="J37" s="561">
        <f>I37/$I$39</f>
        <v>1.0879737950397756E-2</v>
      </c>
      <c r="K37">
        <v>15.4</v>
      </c>
      <c r="L37" s="561">
        <f>K37/$K$39</f>
        <v>1.790905919292941E-2</v>
      </c>
      <c r="M37">
        <v>17</v>
      </c>
      <c r="N37" s="561">
        <f>M37/$M$39</f>
        <v>2.7472527472527476E-2</v>
      </c>
      <c r="O37">
        <v>14</v>
      </c>
      <c r="P37" s="561">
        <f>O37/$O$39</f>
        <v>1.7326732673267328E-2</v>
      </c>
      <c r="Q37">
        <v>4.9000000000000004</v>
      </c>
      <c r="R37" s="561">
        <f>Q37/$Q$39</f>
        <v>6.338119260121588E-3</v>
      </c>
      <c r="V37" s="570">
        <f>G37</f>
        <v>19.221925577144393</v>
      </c>
    </row>
    <row r="38" spans="1:22" x14ac:dyDescent="0.25">
      <c r="E38" s="564"/>
      <c r="F38" s="561"/>
      <c r="G38" s="564"/>
      <c r="H38" s="561"/>
      <c r="R38" s="561"/>
      <c r="V38" s="570">
        <f t="shared" si="2"/>
        <v>0</v>
      </c>
    </row>
    <row r="39" spans="1:22" x14ac:dyDescent="0.25">
      <c r="A39" s="555" t="s">
        <v>922</v>
      </c>
      <c r="E39" s="564">
        <f>SUM(E30:E34)+SUM(E36:E37)</f>
        <v>741.33174582007882</v>
      </c>
      <c r="F39" s="561">
        <f>E39/$E$39</f>
        <v>1</v>
      </c>
      <c r="G39" s="564">
        <f>SUM(G30:G34)+SUM(G36:G37)</f>
        <v>773.64612738250992</v>
      </c>
      <c r="H39" s="561">
        <f>G39/$G$39</f>
        <v>1</v>
      </c>
      <c r="I39">
        <f>SUM(I30:I34)+SUM(I36:I37)</f>
        <v>854.8</v>
      </c>
      <c r="J39" s="561">
        <f>I39/$I$39</f>
        <v>1</v>
      </c>
      <c r="K39">
        <f>SUM(K30:K34)+SUM(K36:K37)</f>
        <v>859.90000000000009</v>
      </c>
      <c r="L39" s="561">
        <f>K39/$K$39</f>
        <v>1</v>
      </c>
      <c r="M39">
        <f>SUM(M30:M34)+SUM(M36:M37)</f>
        <v>618.79999999999995</v>
      </c>
      <c r="N39" s="561">
        <f>M39/$M$39</f>
        <v>1</v>
      </c>
      <c r="O39">
        <f>SUM(O30:O34)+SUM(O36:O37)</f>
        <v>808</v>
      </c>
      <c r="P39" s="561">
        <f>O39/$O$39</f>
        <v>1</v>
      </c>
      <c r="Q39">
        <f>SUM(Q30:Q34)+SUM(Q36:Q37)</f>
        <v>773.10000000000014</v>
      </c>
      <c r="R39" s="561">
        <f>Q39/$Q$39</f>
        <v>1</v>
      </c>
      <c r="V39" s="570">
        <f t="shared" si="2"/>
        <v>859.60680820278878</v>
      </c>
    </row>
    <row r="40" spans="1:22" x14ac:dyDescent="0.25">
      <c r="A40" s="555"/>
      <c r="G40" s="561"/>
      <c r="H40" s="561"/>
      <c r="R40" s="561"/>
    </row>
    <row r="41" spans="1:22" x14ac:dyDescent="0.25">
      <c r="A41" s="555" t="s">
        <v>729</v>
      </c>
      <c r="E41">
        <f>E39*10%</f>
        <v>74.133174582007882</v>
      </c>
      <c r="G41" s="570">
        <f>G39*10%</f>
        <v>77.364612738250997</v>
      </c>
      <c r="H41" s="561">
        <f>G41/$G$39</f>
        <v>0.1</v>
      </c>
      <c r="I41">
        <f>-59-8.4-1.6-15.5</f>
        <v>-84.5</v>
      </c>
      <c r="J41" s="561">
        <f>I41/$I$39</f>
        <v>-9.8853532990173146E-2</v>
      </c>
      <c r="K41">
        <f>-57.7-8.5-1.4-15.4</f>
        <v>-83.000000000000014</v>
      </c>
      <c r="L41" s="561">
        <f>K41/$K$39</f>
        <v>-9.652285149435981E-2</v>
      </c>
      <c r="M41">
        <f>(631.5-598)*-1</f>
        <v>-33.5</v>
      </c>
      <c r="N41" s="561">
        <f>M41/$M$39</f>
        <v>-5.413703943115708E-2</v>
      </c>
      <c r="O41">
        <f>(822.3-786.2)*-1</f>
        <v>-36.099999999999909</v>
      </c>
      <c r="P41" s="561">
        <f>O41/$O$39</f>
        <v>-4.4678217821782065E-2</v>
      </c>
      <c r="Q41">
        <f>695.7-779.5</f>
        <v>-83.799999999999955</v>
      </c>
      <c r="R41" s="561">
        <f>Q41/$Q$39</f>
        <v>-0.10839477428534464</v>
      </c>
    </row>
    <row r="42" spans="1:22" x14ac:dyDescent="0.25">
      <c r="G42" s="570">
        <f>G39/90%</f>
        <v>859.60680820278878</v>
      </c>
    </row>
    <row r="43" spans="1:22" x14ac:dyDescent="0.25">
      <c r="A43" s="563" t="s">
        <v>151</v>
      </c>
      <c r="B43" s="563"/>
      <c r="C43" s="563"/>
      <c r="D43" s="563"/>
      <c r="E43" s="563" t="s">
        <v>771</v>
      </c>
      <c r="F43" s="563" t="s">
        <v>923</v>
      </c>
      <c r="G43" s="563" t="s">
        <v>770</v>
      </c>
      <c r="H43" s="563" t="s">
        <v>923</v>
      </c>
      <c r="I43" s="563" t="s">
        <v>785</v>
      </c>
      <c r="J43" s="563" t="s">
        <v>923</v>
      </c>
      <c r="K43" s="563" t="s">
        <v>784</v>
      </c>
      <c r="L43" s="563" t="s">
        <v>923</v>
      </c>
      <c r="M43" s="563" t="s">
        <v>569</v>
      </c>
      <c r="N43" s="563" t="s">
        <v>923</v>
      </c>
      <c r="O43" s="563" t="s">
        <v>80</v>
      </c>
      <c r="P43" s="563" t="s">
        <v>923</v>
      </c>
      <c r="Q43" s="563" t="s">
        <v>79</v>
      </c>
      <c r="R43" s="563" t="s">
        <v>923</v>
      </c>
    </row>
    <row r="44" spans="1:22" x14ac:dyDescent="0.25">
      <c r="A44" s="555" t="s">
        <v>355</v>
      </c>
      <c r="E44" s="564">
        <f>G44*(1-E65)</f>
        <v>200.23084349500834</v>
      </c>
      <c r="F44" s="571">
        <f>E44/$E$55</f>
        <v>0.7629035396389432</v>
      </c>
      <c r="G44" s="564">
        <f>255*T44*98%</f>
        <v>211.32542849077399</v>
      </c>
      <c r="H44" s="571">
        <f>G44/$G$55</f>
        <v>0.84585113568481674</v>
      </c>
      <c r="I44">
        <v>237</v>
      </c>
      <c r="J44" s="571">
        <f>I44/$I$55</f>
        <v>0.85313174946004311</v>
      </c>
      <c r="K44">
        <v>252.6</v>
      </c>
      <c r="L44" s="562">
        <f>K44/$K$55</f>
        <v>0.81405091846600064</v>
      </c>
      <c r="M44">
        <v>100.9</v>
      </c>
      <c r="N44" s="562">
        <f>M44/$M$55</f>
        <v>0.77496159754224281</v>
      </c>
      <c r="O44">
        <v>203.4</v>
      </c>
      <c r="P44" s="562">
        <f>O44/$O$55</f>
        <v>0.817524115755627</v>
      </c>
      <c r="Q44">
        <v>193.9</v>
      </c>
      <c r="R44" s="562">
        <f>Q44/$Q$55</f>
        <v>0.96853146853146865</v>
      </c>
      <c r="T44" s="561">
        <f>(J44+L44+N44+P44+R44)/5</f>
        <v>0.84563996995107638</v>
      </c>
      <c r="U44" s="561"/>
    </row>
    <row r="45" spans="1:22" x14ac:dyDescent="0.25">
      <c r="A45" s="555" t="s">
        <v>866</v>
      </c>
      <c r="E45" s="564">
        <f>G45*102%</f>
        <v>34.765972215196207</v>
      </c>
      <c r="F45" s="561">
        <f t="shared" ref="F45:F48" si="5">E45/$E$55</f>
        <v>0.1324625257478054</v>
      </c>
      <c r="G45" s="564">
        <f>255*T45*98%</f>
        <v>34.08428648548648</v>
      </c>
      <c r="H45" s="561">
        <f t="shared" ref="H45:H48" si="6">G45/$G$55</f>
        <v>0.13642576115261043</v>
      </c>
      <c r="I45">
        <v>32.5</v>
      </c>
      <c r="J45" s="561">
        <f>I45/$I$55</f>
        <v>0.11699064074874009</v>
      </c>
      <c r="K45">
        <v>35.200000000000003</v>
      </c>
      <c r="L45" s="561">
        <f>K45/$K$55</f>
        <v>0.11343860779890429</v>
      </c>
      <c r="M45">
        <v>24.5</v>
      </c>
      <c r="N45" s="561">
        <f>M45/$M$55</f>
        <v>0.18817204301075272</v>
      </c>
      <c r="O45">
        <v>35.200000000000003</v>
      </c>
      <c r="P45" s="561">
        <f>O45/$O$55</f>
        <v>0.14147909967845659</v>
      </c>
      <c r="Q45">
        <v>24.4</v>
      </c>
      <c r="R45" s="561">
        <f>Q45/$Q$55</f>
        <v>0.12187812187812187</v>
      </c>
      <c r="T45" s="561">
        <f>(J45+L45+N45+P45+R45)/5</f>
        <v>0.1363917026229951</v>
      </c>
    </row>
    <row r="46" spans="1:22" x14ac:dyDescent="0.25">
      <c r="A46" s="555" t="s">
        <v>865</v>
      </c>
      <c r="E46" s="564">
        <f>G46*102%</f>
        <v>1.6109558391754211</v>
      </c>
      <c r="F46" s="561">
        <f t="shared" si="5"/>
        <v>6.137935047652093E-3</v>
      </c>
      <c r="G46" s="564">
        <f>(255*T46*98%)-1.5</f>
        <v>1.5793684697798245</v>
      </c>
      <c r="H46" s="561">
        <f t="shared" si="6"/>
        <v>6.3215800548412403E-3</v>
      </c>
      <c r="I46">
        <v>2.5</v>
      </c>
      <c r="J46" s="561">
        <f>I46/$I$55</f>
        <v>8.9992800575953921E-3</v>
      </c>
      <c r="K46">
        <v>4.0999999999999996</v>
      </c>
      <c r="L46" s="561">
        <f>K46/$K$55</f>
        <v>1.32130196583951E-2</v>
      </c>
      <c r="M46">
        <v>3</v>
      </c>
      <c r="N46" s="561">
        <f>M46/$M$55</f>
        <v>2.3041474654377881E-2</v>
      </c>
      <c r="O46">
        <v>3.2</v>
      </c>
      <c r="P46" s="561">
        <f>O46/$O$55</f>
        <v>1.2861736334405145E-2</v>
      </c>
      <c r="Q46">
        <v>0.7</v>
      </c>
      <c r="R46" s="561">
        <f>Q46/$Q$55</f>
        <v>3.4965034965034965E-3</v>
      </c>
      <c r="T46" s="561">
        <f>(J46+L46+N46+P46+R46)/5</f>
        <v>1.2322402840255401E-2</v>
      </c>
    </row>
    <row r="47" spans="1:22" x14ac:dyDescent="0.25">
      <c r="A47" s="555" t="s">
        <v>919</v>
      </c>
      <c r="E47" s="564">
        <f>G47*102%</f>
        <v>24.990000000000002</v>
      </c>
      <c r="F47" s="561">
        <f t="shared" si="5"/>
        <v>9.521489857806284E-2</v>
      </c>
      <c r="G47" s="564">
        <f>(17+8)*98%</f>
        <v>24.5</v>
      </c>
      <c r="H47" s="561">
        <f t="shared" si="6"/>
        <v>9.806369717207386E-2</v>
      </c>
      <c r="I47">
        <v>0</v>
      </c>
      <c r="J47" s="561">
        <f>I47/$I$55</f>
        <v>0</v>
      </c>
      <c r="K47">
        <v>0</v>
      </c>
      <c r="L47" s="561">
        <f>K47/$K$55</f>
        <v>0</v>
      </c>
      <c r="M47">
        <v>0</v>
      </c>
      <c r="N47" s="561">
        <f>M47/$M$55</f>
        <v>0</v>
      </c>
      <c r="O47">
        <v>0</v>
      </c>
      <c r="P47" s="561">
        <f>O47/$O$55</f>
        <v>0</v>
      </c>
      <c r="Q47">
        <v>0</v>
      </c>
      <c r="R47" s="561">
        <f>Q47/$Q$55</f>
        <v>0</v>
      </c>
    </row>
    <row r="48" spans="1:22" x14ac:dyDescent="0.25">
      <c r="A48" s="555" t="s">
        <v>920</v>
      </c>
      <c r="E48" s="564">
        <f>G48*(1-E66)</f>
        <v>30.036155477623272</v>
      </c>
      <c r="F48" s="562">
        <f t="shared" si="5"/>
        <v>0.1144413564416497</v>
      </c>
      <c r="G48" s="564">
        <f>255*T48*98%</f>
        <v>31.451471704317562</v>
      </c>
      <c r="H48" s="562">
        <f t="shared" si="6"/>
        <v>0.12588765701339782</v>
      </c>
      <c r="I48">
        <v>36.5</v>
      </c>
      <c r="J48" s="562">
        <f>I48/$I$55</f>
        <v>0.13138948884089272</v>
      </c>
      <c r="K48">
        <v>34.9</v>
      </c>
      <c r="L48" s="562">
        <f>K48/$K$55</f>
        <v>0.11247180148243634</v>
      </c>
      <c r="M48">
        <v>20.5</v>
      </c>
      <c r="N48" s="562">
        <f>M48/$M$55</f>
        <v>0.15745007680491552</v>
      </c>
      <c r="O48">
        <v>42.8</v>
      </c>
      <c r="P48" s="562">
        <f>O48/$O$55</f>
        <v>0.17202572347266878</v>
      </c>
      <c r="Q48">
        <v>11.2</v>
      </c>
      <c r="R48" s="562">
        <f>Q48/$Q$55</f>
        <v>5.5944055944055944E-2</v>
      </c>
      <c r="T48" s="561">
        <f>(J48+L48+N48+P48+R48)/5</f>
        <v>0.12585622930899384</v>
      </c>
    </row>
    <row r="49" spans="1:20" x14ac:dyDescent="0.25">
      <c r="E49" s="564"/>
      <c r="G49" s="564"/>
      <c r="R49" s="561"/>
    </row>
    <row r="50" spans="1:20" x14ac:dyDescent="0.25">
      <c r="A50" s="555" t="s">
        <v>964</v>
      </c>
      <c r="E50" s="564">
        <v>0</v>
      </c>
      <c r="F50" s="561">
        <f t="shared" ref="F50:F53" si="7">E50/$E$55</f>
        <v>0</v>
      </c>
      <c r="G50" s="564">
        <f>-14*98%</f>
        <v>-13.719999999999999</v>
      </c>
      <c r="H50" s="561">
        <f t="shared" ref="H50:H53" si="8">G50/$G$55</f>
        <v>-5.4915670416361355E-2</v>
      </c>
      <c r="I50" s="564">
        <v>0</v>
      </c>
      <c r="J50" s="561">
        <f>I50/$I$55</f>
        <v>0</v>
      </c>
      <c r="K50" s="564">
        <v>5.8</v>
      </c>
      <c r="L50" s="561">
        <f>K50/$K$55</f>
        <v>1.8691588785046728E-2</v>
      </c>
      <c r="M50" s="564">
        <v>-0.1</v>
      </c>
      <c r="N50" s="561">
        <f>M50/$M$55</f>
        <v>-7.6804915514592945E-4</v>
      </c>
      <c r="O50" s="564">
        <v>-1.8</v>
      </c>
      <c r="P50" s="561">
        <f>O50/$O$55</f>
        <v>-7.2347266881028936E-3</v>
      </c>
      <c r="Q50">
        <v>4.5</v>
      </c>
      <c r="R50" s="561">
        <f>Q50/$Q$55</f>
        <v>2.247752247752248E-2</v>
      </c>
      <c r="T50" s="561">
        <f>(J50+L50+N50+P50+R50)/5</f>
        <v>6.6332670838640763E-3</v>
      </c>
    </row>
    <row r="51" spans="1:20" x14ac:dyDescent="0.25">
      <c r="A51" s="555" t="s">
        <v>688</v>
      </c>
      <c r="E51" s="564">
        <f>G51*102%</f>
        <v>7.5895602923950767</v>
      </c>
      <c r="F51" s="561">
        <f t="shared" si="7"/>
        <v>2.8917135393857145E-2</v>
      </c>
      <c r="G51" s="564">
        <f>255*T51*98%</f>
        <v>7.4407453847010556</v>
      </c>
      <c r="H51" s="561">
        <f t="shared" si="8"/>
        <v>2.9782326617952264E-2</v>
      </c>
      <c r="I51" s="564">
        <v>3.6</v>
      </c>
      <c r="J51" s="561">
        <f>I51/$I$55</f>
        <v>1.2958963282937365E-2</v>
      </c>
      <c r="K51" s="564">
        <v>10.7</v>
      </c>
      <c r="L51" s="561">
        <f>K51/$K$55</f>
        <v>3.4482758620689655E-2</v>
      </c>
      <c r="M51" s="564">
        <v>8.1999999999999993</v>
      </c>
      <c r="N51" s="561">
        <f>M51/$M$55</f>
        <v>6.2980030721966201E-2</v>
      </c>
      <c r="O51" s="564">
        <v>8.1999999999999993</v>
      </c>
      <c r="P51" s="561">
        <f>O51/$O$55</f>
        <v>3.295819935691318E-2</v>
      </c>
      <c r="Q51">
        <v>1.1000000000000001</v>
      </c>
      <c r="R51" s="561">
        <f>Q51/$Q$55</f>
        <v>5.4945054945054949E-3</v>
      </c>
      <c r="T51" s="561">
        <f t="shared" ref="T51:T53" si="9">(J51+L51+N51+P51+R51)/5</f>
        <v>2.9774891495402384E-2</v>
      </c>
    </row>
    <row r="52" spans="1:20" x14ac:dyDescent="0.25">
      <c r="A52" s="555" t="s">
        <v>924</v>
      </c>
      <c r="E52" s="564">
        <f>G52*102%</f>
        <v>-36.764561529421073</v>
      </c>
      <c r="F52" s="562">
        <f t="shared" si="7"/>
        <v>-0.1400773908479703</v>
      </c>
      <c r="G52" s="564">
        <f>255*T52*98%</f>
        <v>-36.043687773942224</v>
      </c>
      <c r="H52" s="562">
        <f t="shared" si="8"/>
        <v>-0.14426846052361841</v>
      </c>
      <c r="I52" s="564">
        <v>-34.300000000000011</v>
      </c>
      <c r="J52" s="562">
        <f>I52/$I$55</f>
        <v>-0.12347012239020883</v>
      </c>
      <c r="K52" s="564">
        <v>-33</v>
      </c>
      <c r="L52" s="562">
        <f>K52/$K$55</f>
        <v>-0.10634869481147276</v>
      </c>
      <c r="M52" s="564">
        <v>-24.7</v>
      </c>
      <c r="N52" s="562">
        <f>M52/$M$55</f>
        <v>-0.18970814132104455</v>
      </c>
      <c r="O52" s="564">
        <v>-35.9</v>
      </c>
      <c r="P52" s="562">
        <f>O52/$O$55</f>
        <v>-0.14429260450160772</v>
      </c>
      <c r="Q52">
        <v>-31.5</v>
      </c>
      <c r="R52" s="562">
        <f>Q52/$Q$55</f>
        <v>-0.15734265734265734</v>
      </c>
      <c r="T52" s="561">
        <f t="shared" si="9"/>
        <v>-0.14423244407339825</v>
      </c>
    </row>
    <row r="53" spans="1:20" x14ac:dyDescent="0.25">
      <c r="A53" s="555" t="s">
        <v>925</v>
      </c>
      <c r="E53" s="564">
        <v>0</v>
      </c>
      <c r="F53" s="561">
        <f t="shared" si="7"/>
        <v>0</v>
      </c>
      <c r="G53" s="564">
        <f>-11*98%</f>
        <v>-10.78</v>
      </c>
      <c r="H53" s="561">
        <f t="shared" si="8"/>
        <v>-4.3148026755712492E-2</v>
      </c>
      <c r="I53" s="564">
        <v>0</v>
      </c>
      <c r="J53" s="561">
        <f>I53/$I$55</f>
        <v>0</v>
      </c>
      <c r="K53" s="564">
        <v>0</v>
      </c>
      <c r="L53" s="561">
        <f>K53/$K$55</f>
        <v>0</v>
      </c>
      <c r="M53" s="564">
        <v>-2.1</v>
      </c>
      <c r="N53" s="561">
        <f>M53/$M$55</f>
        <v>-1.6129032258064519E-2</v>
      </c>
      <c r="O53" s="564">
        <v>-6.3</v>
      </c>
      <c r="P53" s="561">
        <f>O53/$O$55</f>
        <v>-2.5321543408360125E-2</v>
      </c>
      <c r="Q53">
        <v>-4.0999999999999996</v>
      </c>
      <c r="R53" s="561">
        <f>Q53/$Q$55</f>
        <v>-2.047952047952048E-2</v>
      </c>
      <c r="T53" s="561">
        <f t="shared" si="9"/>
        <v>-1.2386019229189024E-2</v>
      </c>
    </row>
    <row r="54" spans="1:20" x14ac:dyDescent="0.25">
      <c r="R54" s="561"/>
    </row>
    <row r="55" spans="1:20" s="556" customFormat="1" x14ac:dyDescent="0.25">
      <c r="A55" s="556" t="s">
        <v>927</v>
      </c>
      <c r="E55" s="567">
        <f>SUM(E44:E48)+SUM(E50:E53)</f>
        <v>262.45892578997723</v>
      </c>
      <c r="F55" s="568">
        <f>E55/$E$55</f>
        <v>1</v>
      </c>
      <c r="G55" s="567">
        <f>SUM(G44:G48)+SUM(G50:G53)</f>
        <v>249.83761276111667</v>
      </c>
      <c r="H55" s="568">
        <f>G55/$G$55</f>
        <v>1</v>
      </c>
      <c r="I55" s="569">
        <f>SUM(I44:I48)+SUM(I50:I53)</f>
        <v>277.8</v>
      </c>
      <c r="J55" s="568">
        <f>I55/$I$55</f>
        <v>1</v>
      </c>
      <c r="K55" s="569">
        <f>SUM(K44:K48)+SUM(K50:K53)</f>
        <v>310.3</v>
      </c>
      <c r="L55" s="568">
        <f>K55/$K$55</f>
        <v>1</v>
      </c>
      <c r="M55" s="569">
        <f>SUM(M44:M48)+SUM(M50:M53)</f>
        <v>130.19999999999999</v>
      </c>
      <c r="N55" s="568">
        <f>M55/$M$55</f>
        <v>1</v>
      </c>
      <c r="O55" s="569">
        <f>SUM(O44:O48)+SUM(O50:O53)</f>
        <v>248.8</v>
      </c>
      <c r="P55" s="568">
        <f>O55/$O$55</f>
        <v>1</v>
      </c>
      <c r="Q55" s="569">
        <f>SUM(Q44:Q48)+SUM(Q50:Q53)</f>
        <v>200.2</v>
      </c>
      <c r="R55" s="568">
        <f>Q55/$Q$55</f>
        <v>1</v>
      </c>
    </row>
    <row r="56" spans="1:20" x14ac:dyDescent="0.25">
      <c r="A56" s="555"/>
      <c r="R56" s="561"/>
    </row>
    <row r="57" spans="1:20" x14ac:dyDescent="0.25">
      <c r="A57" s="555" t="s">
        <v>928</v>
      </c>
      <c r="F57" s="561"/>
      <c r="G57" s="561"/>
      <c r="I57">
        <v>277.8</v>
      </c>
      <c r="K57">
        <v>310.3</v>
      </c>
    </row>
    <row r="58" spans="1:20" x14ac:dyDescent="0.25">
      <c r="A58" s="555" t="s">
        <v>929</v>
      </c>
      <c r="G58" s="561"/>
      <c r="I58" s="565"/>
      <c r="K58" s="565">
        <v>878.8</v>
      </c>
    </row>
    <row r="59" spans="1:20" x14ac:dyDescent="0.25">
      <c r="F59" s="570"/>
    </row>
    <row r="60" spans="1:20" x14ac:dyDescent="0.25">
      <c r="G60" s="565">
        <f>G39-G55</f>
        <v>523.80851462139321</v>
      </c>
      <c r="I60" s="565">
        <f>I39-I55</f>
        <v>577</v>
      </c>
      <c r="K60" s="565">
        <f>K39-K55</f>
        <v>549.60000000000014</v>
      </c>
      <c r="M60" s="565">
        <f>M39-M55</f>
        <v>488.59999999999997</v>
      </c>
      <c r="O60" s="565">
        <f>O39-O55</f>
        <v>559.20000000000005</v>
      </c>
      <c r="Q60" s="565">
        <f>Q39-Q55</f>
        <v>572.90000000000009</v>
      </c>
      <c r="S60" s="576" t="s">
        <v>973</v>
      </c>
    </row>
    <row r="61" spans="1:20" x14ac:dyDescent="0.25">
      <c r="A61" s="557" t="s">
        <v>966</v>
      </c>
      <c r="G61" s="561">
        <f>G60/G39</f>
        <v>0.6770647406891358</v>
      </c>
      <c r="I61" s="561">
        <f>I60/I39</f>
        <v>0.6750116986429574</v>
      </c>
      <c r="K61" s="561">
        <f>K60/K39</f>
        <v>0.63914408652168864</v>
      </c>
      <c r="M61" s="561">
        <f>M60/M39</f>
        <v>0.78959276018099545</v>
      </c>
      <c r="O61" s="561">
        <f>O60/O39</f>
        <v>0.69207920792079214</v>
      </c>
      <c r="Q61" s="561">
        <f>Q60/Q39</f>
        <v>0.74104255594360369</v>
      </c>
      <c r="S61" s="572">
        <f>AVERAGE(I61:Q61)</f>
        <v>0.70737406184200746</v>
      </c>
    </row>
    <row r="62" spans="1:20" x14ac:dyDescent="0.25">
      <c r="A62" s="555" t="s">
        <v>967</v>
      </c>
    </row>
    <row r="63" spans="1:20" x14ac:dyDescent="0.25">
      <c r="A63" s="555"/>
    </row>
    <row r="64" spans="1:20" x14ac:dyDescent="0.25">
      <c r="A64" s="555" t="s">
        <v>971</v>
      </c>
      <c r="B64" s="555" t="s">
        <v>968</v>
      </c>
      <c r="C64" s="555" t="s">
        <v>969</v>
      </c>
      <c r="E64" s="555" t="s">
        <v>970</v>
      </c>
      <c r="H64" s="555" t="s">
        <v>972</v>
      </c>
      <c r="I64" s="555" t="s">
        <v>968</v>
      </c>
      <c r="J64" s="555" t="s">
        <v>969</v>
      </c>
      <c r="L64" s="555" t="s">
        <v>970</v>
      </c>
    </row>
    <row r="65" spans="1:12" x14ac:dyDescent="0.25">
      <c r="A65" s="555" t="s">
        <v>355</v>
      </c>
      <c r="B65" s="572">
        <v>0.65</v>
      </c>
      <c r="C65" s="561">
        <f>100%-B65</f>
        <v>0.35</v>
      </c>
      <c r="E65" s="573">
        <f>C65*15%</f>
        <v>5.2499999999999998E-2</v>
      </c>
      <c r="H65" s="555" t="s">
        <v>355</v>
      </c>
      <c r="I65" s="572">
        <v>0.95</v>
      </c>
      <c r="J65" s="561">
        <f>100%-I65</f>
        <v>5.0000000000000044E-2</v>
      </c>
      <c r="L65" s="573">
        <f>J65*15%</f>
        <v>7.5000000000000067E-3</v>
      </c>
    </row>
    <row r="66" spans="1:12" x14ac:dyDescent="0.25">
      <c r="A66" s="555" t="s">
        <v>266</v>
      </c>
      <c r="B66" s="572">
        <v>0.7</v>
      </c>
      <c r="C66" s="561">
        <f>100%-B66</f>
        <v>0.30000000000000004</v>
      </c>
      <c r="E66" s="573">
        <f>C66*15%</f>
        <v>4.5000000000000005E-2</v>
      </c>
      <c r="H66" s="555" t="s">
        <v>266</v>
      </c>
      <c r="I66" s="572">
        <v>0.95</v>
      </c>
      <c r="J66" s="561">
        <f>100%-I66</f>
        <v>5.0000000000000044E-2</v>
      </c>
      <c r="L66" s="573">
        <f>J66*15%</f>
        <v>7.5000000000000067E-3</v>
      </c>
    </row>
    <row r="67" spans="1:12" x14ac:dyDescent="0.25">
      <c r="E67" s="573">
        <f>SUM(E65:E66)*-1</f>
        <v>-9.7500000000000003E-2</v>
      </c>
      <c r="F67" s="570"/>
      <c r="L67" s="573">
        <f>SUM(L65:L66)*-1</f>
        <v>-1.5000000000000013E-2</v>
      </c>
    </row>
  </sheetData>
  <pageMargins left="0.7" right="0.7" top="0.75" bottom="0.75" header="0.3" footer="0.3"/>
  <ignoredErrors>
    <ignoredError sqref="F30:F39" formula="1"/>
  </ignoredErrors>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D57C-91EE-43C4-9A24-785C26C688AB}">
  <dimension ref="A1:AM129"/>
  <sheetViews>
    <sheetView topLeftCell="A18" zoomScale="85" zoomScaleNormal="85" workbookViewId="0">
      <selection activeCell="F35" sqref="F35"/>
    </sheetView>
  </sheetViews>
  <sheetFormatPr defaultRowHeight="15" x14ac:dyDescent="0.25"/>
  <cols>
    <col min="2" max="2" width="27.7109375" customWidth="1"/>
    <col min="5" max="5" width="16" customWidth="1"/>
    <col min="6" max="6" width="23.5703125" customWidth="1"/>
    <col min="7" max="7" width="19.140625" customWidth="1"/>
    <col min="8" max="8" width="30.28515625" customWidth="1"/>
    <col min="12" max="12" width="34.28515625" customWidth="1"/>
    <col min="15" max="15" width="16.140625" customWidth="1"/>
    <col min="16" max="16" width="23" customWidth="1"/>
    <col min="17" max="17" width="18.7109375" customWidth="1"/>
    <col min="18" max="18" width="36.42578125" customWidth="1"/>
    <col min="22" max="22" width="33" customWidth="1"/>
    <col min="25" max="25" width="23" customWidth="1"/>
    <col min="26" max="26" width="26.85546875" customWidth="1"/>
    <col min="27" max="27" width="22.7109375" customWidth="1"/>
    <col min="28" max="28" width="26.28515625" customWidth="1"/>
    <col min="32" max="32" width="39.140625" customWidth="1"/>
    <col min="35" max="35" width="16" customWidth="1"/>
    <col min="36" max="36" width="24.28515625" customWidth="1"/>
    <col min="37" max="37" width="20.42578125" customWidth="1"/>
    <col min="38" max="38" width="25" customWidth="1"/>
  </cols>
  <sheetData>
    <row r="1" spans="1:39" x14ac:dyDescent="0.25">
      <c r="A1" s="213" t="s">
        <v>41</v>
      </c>
      <c r="B1" s="405" t="s">
        <v>742</v>
      </c>
      <c r="C1" t="s">
        <v>691</v>
      </c>
      <c r="E1" t="s">
        <v>745</v>
      </c>
      <c r="F1" t="s">
        <v>746</v>
      </c>
      <c r="G1" t="s">
        <v>747</v>
      </c>
      <c r="H1" s="408" t="s">
        <v>752</v>
      </c>
      <c r="K1" s="213" t="s">
        <v>41</v>
      </c>
      <c r="L1" s="405" t="s">
        <v>749</v>
      </c>
      <c r="M1" t="s">
        <v>691</v>
      </c>
      <c r="O1" t="s">
        <v>745</v>
      </c>
      <c r="P1" t="s">
        <v>746</v>
      </c>
      <c r="Q1" t="s">
        <v>747</v>
      </c>
      <c r="R1" s="408" t="s">
        <v>753</v>
      </c>
      <c r="U1" s="213" t="s">
        <v>41</v>
      </c>
      <c r="V1" s="405" t="s">
        <v>750</v>
      </c>
      <c r="W1" t="s">
        <v>691</v>
      </c>
      <c r="Y1" t="s">
        <v>745</v>
      </c>
      <c r="Z1" t="s">
        <v>746</v>
      </c>
      <c r="AA1" t="s">
        <v>747</v>
      </c>
      <c r="AB1" s="408" t="s">
        <v>748</v>
      </c>
      <c r="AE1" s="213" t="s">
        <v>41</v>
      </c>
      <c r="AF1" s="405" t="s">
        <v>751</v>
      </c>
      <c r="AG1" t="s">
        <v>691</v>
      </c>
      <c r="AI1" t="s">
        <v>745</v>
      </c>
      <c r="AJ1" t="s">
        <v>746</v>
      </c>
      <c r="AK1" t="s">
        <v>747</v>
      </c>
      <c r="AL1" s="408" t="s">
        <v>748</v>
      </c>
    </row>
    <row r="2" spans="1:39" x14ac:dyDescent="0.25">
      <c r="A2" s="213">
        <v>2017</v>
      </c>
      <c r="B2" s="277">
        <v>244.5</v>
      </c>
      <c r="C2">
        <f>LN(B2)</f>
        <v>5.4992153089149269</v>
      </c>
      <c r="E2">
        <v>2025</v>
      </c>
      <c r="F2" s="373">
        <f>($B$29+$B$30*E2)/100</f>
        <v>5.5858765349000666E-2</v>
      </c>
      <c r="G2" s="373">
        <f>($B$9/$B$2)^(1/7)-1</f>
        <v>2.2137749899388659E-2</v>
      </c>
      <c r="H2" s="409">
        <f>0.3*F2+0.7*G2</f>
        <v>3.2254054534272256E-2</v>
      </c>
      <c r="K2" s="213">
        <v>2017</v>
      </c>
      <c r="L2" s="277">
        <v>159.19999999999999</v>
      </c>
      <c r="M2">
        <f>LN(L2)</f>
        <v>5.0701612734102826</v>
      </c>
      <c r="O2">
        <v>2025</v>
      </c>
      <c r="P2" s="373">
        <f>($L$29+$L$30*O2)/100</f>
        <v>4.7898426618802573E-2</v>
      </c>
      <c r="Q2" s="373">
        <f>($L$9/$L$2)^(1/7)-1</f>
        <v>1.0688430800811055E-2</v>
      </c>
      <c r="R2" s="409">
        <f>0.3*P2+0.7*Q2</f>
        <v>2.1851429546208508E-2</v>
      </c>
      <c r="U2" s="213">
        <v>2017</v>
      </c>
      <c r="V2" s="277">
        <v>163</v>
      </c>
      <c r="W2">
        <f>LN(V2)</f>
        <v>5.0937502008067623</v>
      </c>
      <c r="Y2">
        <v>2025</v>
      </c>
      <c r="Z2" s="373">
        <f>($V$29+$V$30*Y2)/100</f>
        <v>4.5849634527475869E-2</v>
      </c>
      <c r="AA2" s="373">
        <f>($V$9/$V$2)^(1/7)-1</f>
        <v>-1.0117942262858226E-2</v>
      </c>
      <c r="AB2" s="409">
        <f>0.3*Z2+0.7*AA2</f>
        <v>6.6723307742420027E-3</v>
      </c>
      <c r="AE2" s="213">
        <v>2017</v>
      </c>
      <c r="AF2">
        <v>251.3</v>
      </c>
      <c r="AG2">
        <f>LN(AF2)</f>
        <v>5.5266474445495462</v>
      </c>
      <c r="AI2">
        <v>2025</v>
      </c>
      <c r="AJ2" s="373">
        <f>($AF$29+$AF$30*AI2)/100</f>
        <v>5.1748461097951122E-2</v>
      </c>
      <c r="AK2" s="373">
        <f>($AF$9/$AF$2)^(1/7)-1</f>
        <v>-8.3346870595225608E-3</v>
      </c>
      <c r="AL2" s="409">
        <f>0.3*AJ2+0.7*AK2</f>
        <v>9.6902573877195447E-3</v>
      </c>
    </row>
    <row r="3" spans="1:39" x14ac:dyDescent="0.25">
      <c r="A3" s="213">
        <v>2018</v>
      </c>
      <c r="B3" s="277">
        <v>252.2</v>
      </c>
      <c r="C3">
        <f t="shared" ref="C3:C9" si="0">LN(B3)</f>
        <v>5.5302224235308195</v>
      </c>
      <c r="E3">
        <v>2026</v>
      </c>
      <c r="F3" s="373">
        <f t="shared" ref="F3:F11" si="1">($B$29+$B$30*E3)/100</f>
        <v>5.5980982128882278E-2</v>
      </c>
      <c r="G3" s="373">
        <f t="shared" ref="G3:G11" si="2">($B$9/$B$2)^(1/7)-1</f>
        <v>2.2137749899388659E-2</v>
      </c>
      <c r="H3" s="409">
        <f t="shared" ref="H3:H11" si="3">0.3*F3+0.7*G3</f>
        <v>3.2290719568236745E-2</v>
      </c>
      <c r="K3" s="213">
        <v>2018</v>
      </c>
      <c r="L3" s="277">
        <v>161.9</v>
      </c>
      <c r="M3">
        <f t="shared" ref="M3:M9" si="4">LN(L3)</f>
        <v>5.0869788606835895</v>
      </c>
      <c r="O3">
        <v>2026</v>
      </c>
      <c r="P3" s="373">
        <f t="shared" ref="P3:P11" si="5">($L$29+$L$30*O3)/100</f>
        <v>4.7598990119130491E-2</v>
      </c>
      <c r="Q3" s="373">
        <f t="shared" ref="Q3:Q11" si="6">($L$9/$L$2)^(1/7)-1</f>
        <v>1.0688430800811055E-2</v>
      </c>
      <c r="R3" s="409">
        <f t="shared" ref="R3:R11" si="7">0.3*P3+0.7*Q3</f>
        <v>2.1761598596306886E-2</v>
      </c>
      <c r="U3" s="213">
        <v>2018</v>
      </c>
      <c r="V3" s="277">
        <v>170.52699999999999</v>
      </c>
      <c r="W3">
        <f t="shared" ref="W3:W9" si="8">LN(V3)</f>
        <v>5.1388936419575639</v>
      </c>
      <c r="Y3">
        <v>2026</v>
      </c>
      <c r="Z3" s="373">
        <f t="shared" ref="Z3:Z11" si="9">($V$29+$V$30*Y3)/100</f>
        <v>4.5228866433374294E-2</v>
      </c>
      <c r="AA3" s="373">
        <f t="shared" ref="AA3:AA11" si="10">($V$9/$V$2)^(1/7)-1</f>
        <v>-1.0117942262858226E-2</v>
      </c>
      <c r="AB3" s="409">
        <f t="shared" ref="AB3:AB11" si="11">0.3*Z3+0.7*AA3</f>
        <v>6.48610034601153E-3</v>
      </c>
      <c r="AE3" s="213">
        <v>2018</v>
      </c>
      <c r="AF3">
        <v>260.7</v>
      </c>
      <c r="AG3">
        <f t="shared" ref="AG3:AG9" si="12">LN(AF3)</f>
        <v>5.5633703209394563</v>
      </c>
      <c r="AI3">
        <v>2026</v>
      </c>
      <c r="AJ3" s="373">
        <f t="shared" ref="AJ3:AJ11" si="13">($AF$29+$AF$30*AI3)/100</f>
        <v>5.1337800823519755E-2</v>
      </c>
      <c r="AK3" s="373">
        <f t="shared" ref="AK3:AK11" si="14">($AF$9/$AF$2)^(1/7)-1</f>
        <v>-8.3346870595225608E-3</v>
      </c>
      <c r="AL3" s="409">
        <f t="shared" ref="AL3:AL11" si="15">0.3*AJ3+0.7*AK3</f>
        <v>9.5670593053901326E-3</v>
      </c>
    </row>
    <row r="4" spans="1:39" x14ac:dyDescent="0.25">
      <c r="A4" s="213">
        <v>2019</v>
      </c>
      <c r="B4" s="277">
        <v>271</v>
      </c>
      <c r="C4">
        <f t="shared" si="0"/>
        <v>5.602118820879701</v>
      </c>
      <c r="E4">
        <v>2027</v>
      </c>
      <c r="F4" s="373">
        <f t="shared" si="1"/>
        <v>5.6103198908763939E-2</v>
      </c>
      <c r="G4" s="373">
        <f t="shared" si="2"/>
        <v>2.2137749899388659E-2</v>
      </c>
      <c r="H4" s="409">
        <f t="shared" si="3"/>
        <v>3.2327384602201241E-2</v>
      </c>
      <c r="K4" s="213">
        <v>2019</v>
      </c>
      <c r="L4" s="277">
        <v>163.30000000000001</v>
      </c>
      <c r="M4">
        <f t="shared" si="4"/>
        <v>5.0955889999764192</v>
      </c>
      <c r="O4">
        <v>2027</v>
      </c>
      <c r="P4" s="373">
        <f t="shared" si="5"/>
        <v>4.7299553619458409E-2</v>
      </c>
      <c r="Q4" s="373">
        <f t="shared" si="6"/>
        <v>1.0688430800811055E-2</v>
      </c>
      <c r="R4" s="409">
        <f t="shared" si="7"/>
        <v>2.1671767646405261E-2</v>
      </c>
      <c r="U4" s="213">
        <v>2019</v>
      </c>
      <c r="V4" s="277">
        <v>172.3</v>
      </c>
      <c r="W4">
        <f t="shared" si="8"/>
        <v>5.1492371435338837</v>
      </c>
      <c r="Y4">
        <v>2027</v>
      </c>
      <c r="Z4" s="373">
        <f>($V$29+$V$30*Y4)/100</f>
        <v>4.4608098339272713E-2</v>
      </c>
      <c r="AA4" s="373">
        <f t="shared" si="10"/>
        <v>-1.0117942262858226E-2</v>
      </c>
      <c r="AB4" s="409">
        <f t="shared" si="11"/>
        <v>6.2998699177810556E-3</v>
      </c>
      <c r="AE4" s="213">
        <v>2019</v>
      </c>
      <c r="AF4">
        <v>267.89999999999998</v>
      </c>
      <c r="AG4">
        <f t="shared" si="12"/>
        <v>5.5906137765505628</v>
      </c>
      <c r="AI4">
        <v>2027</v>
      </c>
      <c r="AJ4" s="373">
        <f t="shared" si="13"/>
        <v>5.0927140549088395E-2</v>
      </c>
      <c r="AK4" s="373">
        <f t="shared" si="14"/>
        <v>-8.3346870595225608E-3</v>
      </c>
      <c r="AL4" s="409">
        <f t="shared" si="15"/>
        <v>9.4438612230607275E-3</v>
      </c>
    </row>
    <row r="5" spans="1:39" x14ac:dyDescent="0.25">
      <c r="A5" s="213">
        <v>2020</v>
      </c>
      <c r="B5" s="277">
        <v>230.8</v>
      </c>
      <c r="C5">
        <f t="shared" si="0"/>
        <v>5.4415515346339447</v>
      </c>
      <c r="E5">
        <v>2028</v>
      </c>
      <c r="F5" s="373">
        <f t="shared" si="1"/>
        <v>5.6225415688645593E-2</v>
      </c>
      <c r="G5" s="373">
        <f t="shared" si="2"/>
        <v>2.2137749899388659E-2</v>
      </c>
      <c r="H5" s="409">
        <f t="shared" si="3"/>
        <v>3.2364049636165737E-2</v>
      </c>
      <c r="K5" s="213">
        <v>2020</v>
      </c>
      <c r="L5" s="277">
        <v>128</v>
      </c>
      <c r="M5">
        <f t="shared" si="4"/>
        <v>4.8520302639196169</v>
      </c>
      <c r="O5">
        <v>2028</v>
      </c>
      <c r="P5" s="373">
        <f t="shared" si="5"/>
        <v>4.7000117119786328E-2</v>
      </c>
      <c r="Q5" s="373">
        <f t="shared" si="6"/>
        <v>1.0688430800811055E-2</v>
      </c>
      <c r="R5" s="409">
        <f t="shared" si="7"/>
        <v>2.1581936696503635E-2</v>
      </c>
      <c r="U5" s="213">
        <v>2020</v>
      </c>
      <c r="V5" s="277">
        <v>138.5</v>
      </c>
      <c r="W5">
        <f t="shared" si="8"/>
        <v>4.9308703256273931</v>
      </c>
      <c r="Y5">
        <v>2028</v>
      </c>
      <c r="Z5" s="373">
        <f t="shared" si="9"/>
        <v>4.3987330245171277E-2</v>
      </c>
      <c r="AA5" s="373">
        <f t="shared" si="10"/>
        <v>-1.0117942262858226E-2</v>
      </c>
      <c r="AB5" s="409">
        <f t="shared" si="11"/>
        <v>6.1136394895506246E-3</v>
      </c>
      <c r="AE5" s="213">
        <v>2020</v>
      </c>
      <c r="AF5">
        <v>193.9</v>
      </c>
      <c r="AG5">
        <f t="shared" si="12"/>
        <v>5.2673425622486061</v>
      </c>
      <c r="AI5">
        <v>2028</v>
      </c>
      <c r="AJ5" s="373">
        <f t="shared" si="13"/>
        <v>5.0516480274657029E-2</v>
      </c>
      <c r="AK5" s="373">
        <f t="shared" si="14"/>
        <v>-8.3346870595225608E-3</v>
      </c>
      <c r="AL5" s="409">
        <f t="shared" si="15"/>
        <v>9.3206631407313154E-3</v>
      </c>
    </row>
    <row r="6" spans="1:39" x14ac:dyDescent="0.25">
      <c r="A6" s="213">
        <v>2021</v>
      </c>
      <c r="B6" s="277">
        <v>264.3</v>
      </c>
      <c r="C6">
        <f t="shared" si="0"/>
        <v>5.577084821610244</v>
      </c>
      <c r="E6">
        <v>2029</v>
      </c>
      <c r="F6" s="373">
        <f t="shared" si="1"/>
        <v>5.6347632468527212E-2</v>
      </c>
      <c r="G6" s="373">
        <f t="shared" si="2"/>
        <v>2.2137749899388659E-2</v>
      </c>
      <c r="H6" s="409">
        <f t="shared" si="3"/>
        <v>3.2400714670130226E-2</v>
      </c>
      <c r="K6" s="213">
        <v>2021</v>
      </c>
      <c r="L6" s="277">
        <v>133.1</v>
      </c>
      <c r="M6">
        <f t="shared" si="4"/>
        <v>4.8911007254010661</v>
      </c>
      <c r="O6">
        <v>2029</v>
      </c>
      <c r="P6" s="373">
        <f t="shared" si="5"/>
        <v>4.6700680620114239E-2</v>
      </c>
      <c r="Q6" s="373">
        <f t="shared" si="6"/>
        <v>1.0688430800811055E-2</v>
      </c>
      <c r="R6" s="409">
        <f t="shared" si="7"/>
        <v>2.149210574660201E-2</v>
      </c>
      <c r="U6" s="213">
        <v>2021</v>
      </c>
      <c r="V6" s="277">
        <v>90.9</v>
      </c>
      <c r="W6">
        <f t="shared" si="8"/>
        <v>4.5097600011834329</v>
      </c>
      <c r="Y6">
        <v>2029</v>
      </c>
      <c r="Z6" s="373">
        <f t="shared" si="9"/>
        <v>4.3366562151069703E-2</v>
      </c>
      <c r="AA6" s="373">
        <f t="shared" si="10"/>
        <v>-1.0117942262858226E-2</v>
      </c>
      <c r="AB6" s="409">
        <f t="shared" si="11"/>
        <v>5.9274090613201519E-3</v>
      </c>
      <c r="AE6" s="213">
        <v>2021</v>
      </c>
      <c r="AF6">
        <v>203.4</v>
      </c>
      <c r="AG6">
        <f t="shared" si="12"/>
        <v>5.3151744836144594</v>
      </c>
      <c r="AI6">
        <v>2029</v>
      </c>
      <c r="AJ6" s="373">
        <f t="shared" si="13"/>
        <v>5.0105820000225808E-2</v>
      </c>
      <c r="AK6" s="373">
        <f t="shared" si="14"/>
        <v>-8.3346870595225608E-3</v>
      </c>
      <c r="AL6" s="409">
        <f t="shared" si="15"/>
        <v>9.1974650584019484E-3</v>
      </c>
    </row>
    <row r="7" spans="1:39" x14ac:dyDescent="0.25">
      <c r="A7" s="213">
        <v>2022</v>
      </c>
      <c r="B7" s="277">
        <v>185.5</v>
      </c>
      <c r="C7">
        <f t="shared" si="0"/>
        <v>5.2230548820474896</v>
      </c>
      <c r="E7">
        <v>2030</v>
      </c>
      <c r="F7" s="373">
        <f t="shared" si="1"/>
        <v>5.6469849248408865E-2</v>
      </c>
      <c r="G7" s="373">
        <f t="shared" si="2"/>
        <v>2.2137749899388659E-2</v>
      </c>
      <c r="H7" s="409">
        <f t="shared" si="3"/>
        <v>3.2437379704094715E-2</v>
      </c>
      <c r="K7" s="213">
        <v>2022</v>
      </c>
      <c r="L7" s="277">
        <v>75</v>
      </c>
      <c r="M7">
        <f t="shared" si="4"/>
        <v>4.3174881135363101</v>
      </c>
      <c r="O7">
        <v>2030</v>
      </c>
      <c r="P7" s="373">
        <f t="shared" si="5"/>
        <v>4.6401244120442157E-2</v>
      </c>
      <c r="Q7" s="373">
        <f t="shared" si="6"/>
        <v>1.0688430800811055E-2</v>
      </c>
      <c r="R7" s="409">
        <f t="shared" si="7"/>
        <v>2.1402274796700385E-2</v>
      </c>
      <c r="U7" s="213">
        <v>2022</v>
      </c>
      <c r="V7" s="277">
        <v>70.099999999999994</v>
      </c>
      <c r="W7">
        <f t="shared" si="8"/>
        <v>4.2499227940405442</v>
      </c>
      <c r="Y7">
        <v>2030</v>
      </c>
      <c r="Z7" s="373">
        <f t="shared" si="9"/>
        <v>4.2745794056968121E-2</v>
      </c>
      <c r="AA7" s="373">
        <f t="shared" si="10"/>
        <v>-1.0117942262858226E-2</v>
      </c>
      <c r="AB7" s="409">
        <f t="shared" si="11"/>
        <v>5.7411786330896775E-3</v>
      </c>
      <c r="AE7" s="213">
        <v>2022</v>
      </c>
      <c r="AF7">
        <v>100.9</v>
      </c>
      <c r="AG7">
        <f t="shared" si="12"/>
        <v>4.6141299273595635</v>
      </c>
      <c r="AI7">
        <v>2030</v>
      </c>
      <c r="AJ7" s="373">
        <f t="shared" si="13"/>
        <v>4.9695159725794441E-2</v>
      </c>
      <c r="AK7" s="373">
        <f t="shared" si="14"/>
        <v>-8.3346870595225608E-3</v>
      </c>
      <c r="AL7" s="409">
        <f t="shared" si="15"/>
        <v>9.0742669760725397E-3</v>
      </c>
    </row>
    <row r="8" spans="1:39" x14ac:dyDescent="0.25">
      <c r="A8" s="213">
        <v>2023</v>
      </c>
      <c r="B8" s="277">
        <v>305.3</v>
      </c>
      <c r="C8">
        <f t="shared" si="0"/>
        <v>5.7212948997408324</v>
      </c>
      <c r="E8">
        <v>2031</v>
      </c>
      <c r="F8" s="373">
        <f t="shared" si="1"/>
        <v>5.6592066028290519E-2</v>
      </c>
      <c r="G8" s="373">
        <f t="shared" si="2"/>
        <v>2.2137749899388659E-2</v>
      </c>
      <c r="H8" s="409">
        <f t="shared" si="3"/>
        <v>3.2474044738059218E-2</v>
      </c>
      <c r="K8" s="213">
        <v>2023</v>
      </c>
      <c r="L8" s="277">
        <v>139.6</v>
      </c>
      <c r="M8">
        <f t="shared" si="4"/>
        <v>4.9387811903282719</v>
      </c>
      <c r="O8">
        <v>2031</v>
      </c>
      <c r="P8" s="373">
        <f t="shared" si="5"/>
        <v>4.6101807620770076E-2</v>
      </c>
      <c r="Q8" s="373">
        <f t="shared" si="6"/>
        <v>1.0688430800811055E-2</v>
      </c>
      <c r="R8" s="409">
        <f t="shared" si="7"/>
        <v>2.131244384679876E-2</v>
      </c>
      <c r="U8" s="213">
        <v>2023</v>
      </c>
      <c r="V8" s="277">
        <v>123.9</v>
      </c>
      <c r="W8">
        <f t="shared" si="8"/>
        <v>4.8194747886350964</v>
      </c>
      <c r="Y8">
        <v>2031</v>
      </c>
      <c r="Z8" s="373">
        <f t="shared" si="9"/>
        <v>4.2125025962866686E-2</v>
      </c>
      <c r="AA8" s="373">
        <f t="shared" si="10"/>
        <v>-1.0117942262858226E-2</v>
      </c>
      <c r="AB8" s="409">
        <f t="shared" si="11"/>
        <v>5.5549482048592481E-3</v>
      </c>
      <c r="AE8" s="213">
        <v>2023</v>
      </c>
      <c r="AF8">
        <v>252.6</v>
      </c>
      <c r="AG8">
        <f t="shared" si="12"/>
        <v>5.5318072099163906</v>
      </c>
      <c r="AI8">
        <v>2031</v>
      </c>
      <c r="AJ8" s="373">
        <f t="shared" si="13"/>
        <v>4.9284499451363074E-2</v>
      </c>
      <c r="AK8" s="373">
        <f t="shared" si="14"/>
        <v>-8.3346870595225608E-3</v>
      </c>
      <c r="AL8" s="409">
        <f t="shared" si="15"/>
        <v>8.9510688937431311E-3</v>
      </c>
    </row>
    <row r="9" spans="1:39" x14ac:dyDescent="0.25">
      <c r="A9" s="213">
        <v>2024</v>
      </c>
      <c r="B9" s="277">
        <v>285</v>
      </c>
      <c r="C9">
        <f t="shared" si="0"/>
        <v>5.6524891802686508</v>
      </c>
      <c r="E9">
        <v>2032</v>
      </c>
      <c r="F9" s="373">
        <f t="shared" si="1"/>
        <v>5.6714282808172138E-2</v>
      </c>
      <c r="G9" s="373">
        <f t="shared" si="2"/>
        <v>2.2137749899388659E-2</v>
      </c>
      <c r="H9" s="409">
        <f t="shared" si="3"/>
        <v>3.2510709772023701E-2</v>
      </c>
      <c r="K9" s="213">
        <v>2024</v>
      </c>
      <c r="L9" s="277">
        <v>171.5</v>
      </c>
      <c r="M9">
        <f t="shared" si="4"/>
        <v>5.144583266605995</v>
      </c>
      <c r="O9">
        <v>2032</v>
      </c>
      <c r="P9" s="373">
        <f t="shared" si="5"/>
        <v>4.5802371121097994E-2</v>
      </c>
      <c r="Q9" s="373">
        <f t="shared" si="6"/>
        <v>1.0688430800811055E-2</v>
      </c>
      <c r="R9" s="409">
        <f t="shared" si="7"/>
        <v>2.1222612896897135E-2</v>
      </c>
      <c r="U9" s="213">
        <v>2024</v>
      </c>
      <c r="V9" s="277">
        <v>151.80000000000001</v>
      </c>
      <c r="W9">
        <f t="shared" si="8"/>
        <v>5.0225638649615298</v>
      </c>
      <c r="Y9">
        <v>2032</v>
      </c>
      <c r="Z9" s="373">
        <f t="shared" si="9"/>
        <v>4.1504257868765111E-2</v>
      </c>
      <c r="AA9" s="373">
        <f t="shared" si="10"/>
        <v>-1.0117942262858226E-2</v>
      </c>
      <c r="AB9" s="409">
        <f t="shared" si="11"/>
        <v>5.3687177766287755E-3</v>
      </c>
      <c r="AE9" s="213">
        <v>2024</v>
      </c>
      <c r="AF9">
        <v>237</v>
      </c>
      <c r="AG9">
        <f t="shared" si="12"/>
        <v>5.4680601411351315</v>
      </c>
      <c r="AI9">
        <v>2032</v>
      </c>
      <c r="AJ9" s="373">
        <f t="shared" si="13"/>
        <v>4.8873839176931708E-2</v>
      </c>
      <c r="AK9" s="373">
        <f t="shared" si="14"/>
        <v>-8.3346870595225608E-3</v>
      </c>
      <c r="AL9" s="409">
        <f t="shared" si="15"/>
        <v>8.827870811413719E-3</v>
      </c>
    </row>
    <row r="10" spans="1:39" x14ac:dyDescent="0.25">
      <c r="E10">
        <v>2033</v>
      </c>
      <c r="F10" s="373">
        <f t="shared" si="1"/>
        <v>5.6836499588053792E-2</v>
      </c>
      <c r="G10" s="373">
        <f t="shared" si="2"/>
        <v>2.2137749899388659E-2</v>
      </c>
      <c r="H10" s="409">
        <f t="shared" si="3"/>
        <v>3.2547374805988197E-2</v>
      </c>
      <c r="O10">
        <v>2033</v>
      </c>
      <c r="P10" s="373">
        <f t="shared" si="5"/>
        <v>4.5502934621425906E-2</v>
      </c>
      <c r="Q10" s="373">
        <f t="shared" si="6"/>
        <v>1.0688430800811055E-2</v>
      </c>
      <c r="R10" s="409">
        <f t="shared" si="7"/>
        <v>2.113278194699551E-2</v>
      </c>
      <c r="Y10">
        <v>2033</v>
      </c>
      <c r="Z10" s="373">
        <f t="shared" si="9"/>
        <v>4.088348977466353E-2</v>
      </c>
      <c r="AA10" s="373">
        <f t="shared" si="10"/>
        <v>-1.0117942262858226E-2</v>
      </c>
      <c r="AB10" s="409">
        <f t="shared" si="11"/>
        <v>5.182487348398301E-3</v>
      </c>
      <c r="AI10">
        <v>2033</v>
      </c>
      <c r="AJ10" s="373">
        <f t="shared" si="13"/>
        <v>4.8463178902500348E-2</v>
      </c>
      <c r="AK10" s="373">
        <f t="shared" si="14"/>
        <v>-8.3346870595225608E-3</v>
      </c>
      <c r="AL10" s="409">
        <f t="shared" si="15"/>
        <v>8.7046727290843104E-3</v>
      </c>
    </row>
    <row r="11" spans="1:39" x14ac:dyDescent="0.25">
      <c r="E11">
        <v>2034</v>
      </c>
      <c r="F11" s="373">
        <f t="shared" si="1"/>
        <v>5.6958716367935446E-2</v>
      </c>
      <c r="G11" s="373">
        <f t="shared" si="2"/>
        <v>2.2137749899388659E-2</v>
      </c>
      <c r="H11" s="409">
        <f t="shared" si="3"/>
        <v>3.2584039839952693E-2</v>
      </c>
      <c r="O11">
        <v>2034</v>
      </c>
      <c r="P11" s="373">
        <f t="shared" si="5"/>
        <v>4.5203498121753893E-2</v>
      </c>
      <c r="Q11" s="373">
        <f t="shared" si="6"/>
        <v>1.0688430800811055E-2</v>
      </c>
      <c r="R11" s="409">
        <f t="shared" si="7"/>
        <v>2.1042950997093905E-2</v>
      </c>
      <c r="Y11">
        <v>2034</v>
      </c>
      <c r="Z11" s="373">
        <f t="shared" si="9"/>
        <v>4.0262721680561955E-2</v>
      </c>
      <c r="AA11" s="373">
        <f t="shared" si="10"/>
        <v>-1.0117942262858226E-2</v>
      </c>
      <c r="AB11" s="409">
        <f t="shared" si="11"/>
        <v>4.9962569201678284E-3</v>
      </c>
      <c r="AI11">
        <v>2034</v>
      </c>
      <c r="AJ11" s="373">
        <f t="shared" si="13"/>
        <v>4.8052518628068981E-2</v>
      </c>
      <c r="AK11" s="373">
        <f t="shared" si="14"/>
        <v>-8.3346870595225608E-3</v>
      </c>
      <c r="AL11" s="409">
        <f t="shared" si="15"/>
        <v>8.5814746467549018E-3</v>
      </c>
    </row>
    <row r="13" spans="1:39" x14ac:dyDescent="0.25">
      <c r="A13" s="410" t="s">
        <v>693</v>
      </c>
      <c r="B13" s="410"/>
      <c r="C13" s="410"/>
      <c r="D13" s="410"/>
      <c r="E13" s="410"/>
      <c r="F13" s="410"/>
      <c r="G13" s="410"/>
      <c r="H13" s="410"/>
      <c r="I13" s="410"/>
      <c r="J13" s="410"/>
      <c r="K13" s="410" t="s">
        <v>693</v>
      </c>
      <c r="L13" s="410"/>
      <c r="M13" s="410"/>
      <c r="N13" s="410"/>
      <c r="O13" s="410"/>
      <c r="P13" s="410"/>
      <c r="Q13" s="410"/>
      <c r="R13" s="410"/>
      <c r="S13" s="410"/>
      <c r="T13" s="410"/>
      <c r="U13" s="410" t="s">
        <v>693</v>
      </c>
      <c r="V13" s="410"/>
      <c r="W13" s="410"/>
      <c r="X13" s="410"/>
      <c r="Y13" s="410"/>
      <c r="Z13" s="410"/>
      <c r="AA13" s="410"/>
      <c r="AB13" s="410"/>
      <c r="AC13" s="410"/>
      <c r="AD13" s="410"/>
      <c r="AE13" s="410" t="s">
        <v>693</v>
      </c>
      <c r="AF13" s="410"/>
      <c r="AG13" s="410"/>
      <c r="AH13" s="410"/>
      <c r="AI13" s="410"/>
      <c r="AJ13" s="410"/>
      <c r="AK13" s="410"/>
      <c r="AL13" s="410"/>
      <c r="AM13" s="410"/>
    </row>
    <row r="14" spans="1:39" ht="15.75" thickBot="1" x14ac:dyDescent="0.3">
      <c r="A14" s="410"/>
      <c r="B14" s="410"/>
      <c r="C14" s="410"/>
      <c r="D14" s="410"/>
      <c r="E14" s="410"/>
      <c r="F14" s="410"/>
      <c r="G14" s="410"/>
      <c r="H14" s="410"/>
      <c r="I14" s="410"/>
      <c r="J14" s="410"/>
      <c r="K14" s="410"/>
      <c r="L14" s="410"/>
      <c r="M14" s="410"/>
      <c r="N14" s="410"/>
      <c r="O14" s="410"/>
      <c r="P14" s="410"/>
      <c r="Q14" s="410"/>
      <c r="R14" s="410"/>
      <c r="S14" s="410"/>
      <c r="T14" s="410"/>
      <c r="U14" s="410"/>
      <c r="V14" s="410"/>
      <c r="W14" s="410"/>
      <c r="X14" s="410"/>
      <c r="Y14" s="410"/>
      <c r="Z14" s="410"/>
      <c r="AA14" s="410"/>
      <c r="AB14" s="410"/>
      <c r="AC14" s="410"/>
      <c r="AD14" s="410"/>
      <c r="AE14" s="410"/>
      <c r="AF14" s="410"/>
      <c r="AG14" s="410"/>
      <c r="AH14" s="410"/>
      <c r="AI14" s="410"/>
      <c r="AJ14" s="410"/>
      <c r="AK14" s="410"/>
      <c r="AL14" s="410"/>
      <c r="AM14" s="410"/>
    </row>
    <row r="15" spans="1:39" x14ac:dyDescent="0.25">
      <c r="A15" s="411" t="s">
        <v>694</v>
      </c>
      <c r="B15" s="411"/>
      <c r="C15" s="410"/>
      <c r="D15" s="410"/>
      <c r="E15" s="410"/>
      <c r="F15" s="410"/>
      <c r="G15" s="410"/>
      <c r="H15" s="410"/>
      <c r="I15" s="410"/>
      <c r="J15" s="410"/>
      <c r="K15" s="411" t="s">
        <v>694</v>
      </c>
      <c r="L15" s="411"/>
      <c r="M15" s="410"/>
      <c r="N15" s="410"/>
      <c r="O15" s="410"/>
      <c r="P15" s="410"/>
      <c r="Q15" s="410"/>
      <c r="R15" s="410"/>
      <c r="S15" s="410"/>
      <c r="T15" s="410"/>
      <c r="U15" s="411" t="s">
        <v>694</v>
      </c>
      <c r="V15" s="411"/>
      <c r="W15" s="410"/>
      <c r="X15" s="410"/>
      <c r="Y15" s="410"/>
      <c r="Z15" s="410"/>
      <c r="AA15" s="410"/>
      <c r="AB15" s="410"/>
      <c r="AC15" s="410"/>
      <c r="AD15" s="410"/>
      <c r="AE15" s="411" t="s">
        <v>694</v>
      </c>
      <c r="AF15" s="411"/>
      <c r="AG15" s="410"/>
      <c r="AH15" s="410"/>
      <c r="AI15" s="410"/>
      <c r="AJ15" s="410"/>
      <c r="AK15" s="410"/>
      <c r="AL15" s="410"/>
      <c r="AM15" s="410"/>
    </row>
    <row r="16" spans="1:39" x14ac:dyDescent="0.25">
      <c r="A16" s="412" t="s">
        <v>695</v>
      </c>
      <c r="B16" s="412">
        <v>0.19679047799500815</v>
      </c>
      <c r="C16" s="410"/>
      <c r="D16" s="410"/>
      <c r="E16" s="410"/>
      <c r="F16" s="410"/>
      <c r="G16" s="410"/>
      <c r="H16" s="410"/>
      <c r="I16" s="410"/>
      <c r="J16" s="410"/>
      <c r="K16" s="412" t="s">
        <v>695</v>
      </c>
      <c r="L16" s="412">
        <v>0.27433951335186468</v>
      </c>
      <c r="M16" s="410"/>
      <c r="N16" s="410"/>
      <c r="O16" s="410"/>
      <c r="P16" s="410"/>
      <c r="Q16" s="410"/>
      <c r="R16" s="410"/>
      <c r="S16" s="410"/>
      <c r="T16" s="410"/>
      <c r="U16" s="412" t="s">
        <v>695</v>
      </c>
      <c r="V16" s="412">
        <v>0.46644587897455508</v>
      </c>
      <c r="W16" s="410"/>
      <c r="X16" s="410"/>
      <c r="Y16" s="410"/>
      <c r="Z16" s="410"/>
      <c r="AA16" s="410"/>
      <c r="AB16" s="410"/>
      <c r="AC16" s="410"/>
      <c r="AD16" s="410"/>
      <c r="AE16" s="412" t="s">
        <v>695</v>
      </c>
      <c r="AF16" s="412">
        <v>0.31140083577839345</v>
      </c>
      <c r="AG16" s="410"/>
      <c r="AH16" s="410"/>
      <c r="AI16" s="410"/>
      <c r="AJ16" s="410"/>
      <c r="AK16" s="410"/>
      <c r="AL16" s="410"/>
      <c r="AM16" s="410"/>
    </row>
    <row r="17" spans="1:39" x14ac:dyDescent="0.25">
      <c r="A17" s="412" t="s">
        <v>696</v>
      </c>
      <c r="B17" s="412">
        <v>3.8726492229503785E-2</v>
      </c>
      <c r="C17" s="410"/>
      <c r="D17" s="410"/>
      <c r="E17" s="410"/>
      <c r="F17" s="410"/>
      <c r="G17" s="410"/>
      <c r="H17" s="410"/>
      <c r="I17" s="410"/>
      <c r="J17" s="410"/>
      <c r="K17" s="412" t="s">
        <v>696</v>
      </c>
      <c r="L17" s="412">
        <v>7.5262168586137934E-2</v>
      </c>
      <c r="M17" s="410"/>
      <c r="N17" s="410"/>
      <c r="O17" s="410"/>
      <c r="P17" s="410"/>
      <c r="Q17" s="410"/>
      <c r="R17" s="410"/>
      <c r="S17" s="410"/>
      <c r="T17" s="410"/>
      <c r="U17" s="412" t="s">
        <v>696</v>
      </c>
      <c r="V17" s="412">
        <v>0.2175717580123453</v>
      </c>
      <c r="W17" s="410"/>
      <c r="X17" s="410"/>
      <c r="Y17" s="410"/>
      <c r="Z17" s="410"/>
      <c r="AA17" s="410"/>
      <c r="AB17" s="410"/>
      <c r="AC17" s="410"/>
      <c r="AD17" s="410"/>
      <c r="AE17" s="412" t="s">
        <v>696</v>
      </c>
      <c r="AF17" s="412">
        <v>9.6970480523481964E-2</v>
      </c>
      <c r="AG17" s="410"/>
      <c r="AH17" s="410"/>
      <c r="AI17" s="410"/>
      <c r="AJ17" s="410"/>
      <c r="AK17" s="410"/>
      <c r="AL17" s="410"/>
      <c r="AM17" s="410"/>
    </row>
    <row r="18" spans="1:39" x14ac:dyDescent="0.25">
      <c r="A18" s="412" t="s">
        <v>697</v>
      </c>
      <c r="B18" s="412">
        <v>-0.12148575906557892</v>
      </c>
      <c r="C18" s="410"/>
      <c r="D18" s="410"/>
      <c r="E18" s="410"/>
      <c r="F18" s="410"/>
      <c r="G18" s="410"/>
      <c r="H18" s="410"/>
      <c r="I18" s="410"/>
      <c r="J18" s="410"/>
      <c r="K18" s="412" t="s">
        <v>697</v>
      </c>
      <c r="L18" s="412">
        <v>-7.8860803316172401E-2</v>
      </c>
      <c r="M18" s="410"/>
      <c r="N18" s="410"/>
      <c r="O18" s="410"/>
      <c r="P18" s="410"/>
      <c r="Q18" s="410"/>
      <c r="R18" s="410"/>
      <c r="S18" s="410"/>
      <c r="T18" s="410"/>
      <c r="U18" s="412" t="s">
        <v>697</v>
      </c>
      <c r="V18" s="412">
        <v>8.7167051014402849E-2</v>
      </c>
      <c r="W18" s="410"/>
      <c r="X18" s="410"/>
      <c r="Y18" s="410"/>
      <c r="Z18" s="410"/>
      <c r="AA18" s="410"/>
      <c r="AB18" s="410"/>
      <c r="AC18" s="410"/>
      <c r="AD18" s="410"/>
      <c r="AE18" s="412" t="s">
        <v>697</v>
      </c>
      <c r="AF18" s="412">
        <v>-5.3534439389271049E-2</v>
      </c>
      <c r="AG18" s="410"/>
      <c r="AH18" s="410"/>
      <c r="AI18" s="410"/>
      <c r="AJ18" s="410"/>
      <c r="AK18" s="410"/>
      <c r="AL18" s="410"/>
      <c r="AM18" s="410"/>
    </row>
    <row r="19" spans="1:39" x14ac:dyDescent="0.25">
      <c r="A19" s="412" t="s">
        <v>698</v>
      </c>
      <c r="B19" s="412">
        <v>0.16110138091532081</v>
      </c>
      <c r="C19" s="410"/>
      <c r="D19" s="410"/>
      <c r="E19" s="410"/>
      <c r="F19" s="410"/>
      <c r="G19" s="410"/>
      <c r="H19" s="410"/>
      <c r="I19" s="410"/>
      <c r="J19" s="410"/>
      <c r="K19" s="412" t="s">
        <v>698</v>
      </c>
      <c r="L19" s="412">
        <v>0.27769924949409514</v>
      </c>
      <c r="M19" s="410"/>
      <c r="N19" s="410"/>
      <c r="O19" s="410"/>
      <c r="P19" s="410"/>
      <c r="Q19" s="410"/>
      <c r="R19" s="410"/>
      <c r="S19" s="410"/>
      <c r="T19" s="410"/>
      <c r="U19" s="412" t="s">
        <v>698</v>
      </c>
      <c r="V19" s="412">
        <v>0.31145793924338011</v>
      </c>
      <c r="W19" s="410"/>
      <c r="X19" s="410"/>
      <c r="Y19" s="410"/>
      <c r="Z19" s="410"/>
      <c r="AA19" s="410"/>
      <c r="AB19" s="410"/>
      <c r="AC19" s="410"/>
      <c r="AD19" s="410"/>
      <c r="AE19" s="412" t="s">
        <v>698</v>
      </c>
      <c r="AF19" s="412">
        <v>0.33156059695087803</v>
      </c>
      <c r="AG19" s="410"/>
      <c r="AH19" s="410"/>
      <c r="AI19" s="410"/>
      <c r="AJ19" s="410"/>
      <c r="AK19" s="410"/>
      <c r="AL19" s="410"/>
      <c r="AM19" s="410"/>
    </row>
    <row r="20" spans="1:39" ht="15.75" thickBot="1" x14ac:dyDescent="0.3">
      <c r="A20" s="413" t="s">
        <v>699</v>
      </c>
      <c r="B20" s="413">
        <v>8</v>
      </c>
      <c r="C20" s="410"/>
      <c r="D20" s="410"/>
      <c r="E20" s="410"/>
      <c r="F20" s="410"/>
      <c r="G20" s="410"/>
      <c r="H20" s="410"/>
      <c r="I20" s="410"/>
      <c r="J20" s="410"/>
      <c r="K20" s="413" t="s">
        <v>699</v>
      </c>
      <c r="L20" s="413">
        <v>8</v>
      </c>
      <c r="M20" s="410"/>
      <c r="N20" s="410"/>
      <c r="O20" s="410"/>
      <c r="P20" s="410"/>
      <c r="Q20" s="410"/>
      <c r="R20" s="410"/>
      <c r="S20" s="410"/>
      <c r="T20" s="410"/>
      <c r="U20" s="413" t="s">
        <v>699</v>
      </c>
      <c r="V20" s="413">
        <v>8</v>
      </c>
      <c r="W20" s="410"/>
      <c r="X20" s="410"/>
      <c r="Y20" s="410"/>
      <c r="Z20" s="410"/>
      <c r="AA20" s="410"/>
      <c r="AB20" s="410"/>
      <c r="AC20" s="410"/>
      <c r="AD20" s="410"/>
      <c r="AE20" s="413" t="s">
        <v>699</v>
      </c>
      <c r="AF20" s="413">
        <v>8</v>
      </c>
      <c r="AG20" s="410"/>
      <c r="AH20" s="410"/>
      <c r="AI20" s="410"/>
      <c r="AJ20" s="410"/>
      <c r="AK20" s="410"/>
      <c r="AL20" s="410"/>
      <c r="AM20" s="410"/>
    </row>
    <row r="21" spans="1:39" x14ac:dyDescent="0.25">
      <c r="A21" s="410"/>
      <c r="B21" s="410"/>
      <c r="C21" s="410"/>
      <c r="D21" s="410"/>
      <c r="E21" s="410"/>
      <c r="F21" s="410"/>
      <c r="G21" s="410"/>
      <c r="H21" s="410"/>
      <c r="I21" s="410"/>
      <c r="J21" s="410"/>
      <c r="K21" s="410"/>
      <c r="L21" s="410"/>
      <c r="M21" s="410"/>
      <c r="N21" s="410"/>
      <c r="O21" s="410"/>
      <c r="P21" s="410"/>
      <c r="Q21" s="410"/>
      <c r="R21" s="410"/>
      <c r="S21" s="410"/>
      <c r="T21" s="410"/>
      <c r="U21" s="410"/>
      <c r="V21" s="410"/>
      <c r="W21" s="410"/>
      <c r="X21" s="410"/>
      <c r="Y21" s="410"/>
      <c r="Z21" s="410"/>
      <c r="AA21" s="410"/>
      <c r="AB21" s="410"/>
      <c r="AC21" s="410"/>
      <c r="AD21" s="410"/>
      <c r="AE21" s="410"/>
      <c r="AF21" s="410"/>
      <c r="AG21" s="410"/>
      <c r="AH21" s="410"/>
      <c r="AI21" s="410"/>
      <c r="AJ21" s="410"/>
      <c r="AK21" s="410"/>
      <c r="AL21" s="410"/>
      <c r="AM21" s="410"/>
    </row>
    <row r="22" spans="1:39" ht="15.75" thickBot="1" x14ac:dyDescent="0.3">
      <c r="A22" s="410" t="s">
        <v>700</v>
      </c>
      <c r="B22" s="410"/>
      <c r="C22" s="410"/>
      <c r="D22" s="410"/>
      <c r="E22" s="410"/>
      <c r="F22" s="410"/>
      <c r="G22" s="410"/>
      <c r="H22" s="410"/>
      <c r="I22" s="410"/>
      <c r="J22" s="410"/>
      <c r="K22" s="410" t="s">
        <v>700</v>
      </c>
      <c r="L22" s="410"/>
      <c r="M22" s="410"/>
      <c r="N22" s="410"/>
      <c r="O22" s="410"/>
      <c r="P22" s="410"/>
      <c r="Q22" s="410"/>
      <c r="R22" s="410"/>
      <c r="S22" s="410"/>
      <c r="T22" s="410"/>
      <c r="U22" s="410" t="s">
        <v>700</v>
      </c>
      <c r="V22" s="410"/>
      <c r="W22" s="410"/>
      <c r="X22" s="410"/>
      <c r="Y22" s="410"/>
      <c r="Z22" s="410"/>
      <c r="AA22" s="410"/>
      <c r="AB22" s="410"/>
      <c r="AC22" s="410"/>
      <c r="AD22" s="410"/>
      <c r="AE22" s="410" t="s">
        <v>700</v>
      </c>
      <c r="AF22" s="410"/>
      <c r="AG22" s="410"/>
      <c r="AH22" s="410"/>
      <c r="AI22" s="410"/>
      <c r="AJ22" s="410"/>
      <c r="AK22" s="410"/>
      <c r="AL22" s="410"/>
      <c r="AM22" s="410"/>
    </row>
    <row r="23" spans="1:39" x14ac:dyDescent="0.25">
      <c r="A23" s="414"/>
      <c r="B23" s="414" t="s">
        <v>701</v>
      </c>
      <c r="C23" s="414" t="s">
        <v>702</v>
      </c>
      <c r="D23" s="414" t="s">
        <v>703</v>
      </c>
      <c r="E23" s="414" t="s">
        <v>704</v>
      </c>
      <c r="F23" s="414" t="s">
        <v>705</v>
      </c>
      <c r="G23" s="410"/>
      <c r="H23" s="410"/>
      <c r="I23" s="410"/>
      <c r="J23" s="410"/>
      <c r="K23" s="414"/>
      <c r="L23" s="414" t="s">
        <v>701</v>
      </c>
      <c r="M23" s="414" t="s">
        <v>702</v>
      </c>
      <c r="N23" s="414" t="s">
        <v>703</v>
      </c>
      <c r="O23" s="414" t="s">
        <v>704</v>
      </c>
      <c r="P23" s="414" t="s">
        <v>705</v>
      </c>
      <c r="Q23" s="410"/>
      <c r="R23" s="410"/>
      <c r="S23" s="410"/>
      <c r="T23" s="410"/>
      <c r="U23" s="414"/>
      <c r="V23" s="414" t="s">
        <v>701</v>
      </c>
      <c r="W23" s="414" t="s">
        <v>702</v>
      </c>
      <c r="X23" s="414" t="s">
        <v>703</v>
      </c>
      <c r="Y23" s="414" t="s">
        <v>704</v>
      </c>
      <c r="Z23" s="414" t="s">
        <v>705</v>
      </c>
      <c r="AA23" s="410"/>
      <c r="AB23" s="410"/>
      <c r="AC23" s="410"/>
      <c r="AD23" s="410"/>
      <c r="AE23" s="414"/>
      <c r="AF23" s="414" t="s">
        <v>701</v>
      </c>
      <c r="AG23" s="414" t="s">
        <v>702</v>
      </c>
      <c r="AH23" s="414" t="s">
        <v>703</v>
      </c>
      <c r="AI23" s="414" t="s">
        <v>704</v>
      </c>
      <c r="AJ23" s="414" t="s">
        <v>705</v>
      </c>
      <c r="AK23" s="410"/>
      <c r="AL23" s="410"/>
      <c r="AM23" s="410"/>
    </row>
    <row r="24" spans="1:39" x14ac:dyDescent="0.25">
      <c r="A24" s="412" t="s">
        <v>707</v>
      </c>
      <c r="B24" s="412">
        <v>1</v>
      </c>
      <c r="C24" s="412">
        <v>6.2735153395478971E-3</v>
      </c>
      <c r="D24" s="412">
        <v>6.2735153395478971E-3</v>
      </c>
      <c r="E24" s="412">
        <v>0.24171991789926486</v>
      </c>
      <c r="F24" s="412">
        <v>0.64043343436011635</v>
      </c>
      <c r="G24" s="410"/>
      <c r="H24" s="410"/>
      <c r="I24" s="410"/>
      <c r="J24" s="410"/>
      <c r="K24" s="412" t="s">
        <v>707</v>
      </c>
      <c r="L24" s="412">
        <v>1</v>
      </c>
      <c r="M24" s="412">
        <v>3.7658131281064544E-2</v>
      </c>
      <c r="N24" s="412">
        <v>3.7658131281064544E-2</v>
      </c>
      <c r="O24" s="412">
        <v>0.48832544335987937</v>
      </c>
      <c r="P24" s="412">
        <v>0.510839908182803</v>
      </c>
      <c r="Q24" s="410"/>
      <c r="R24" s="410"/>
      <c r="S24" s="410"/>
      <c r="T24" s="410"/>
      <c r="U24" s="412" t="s">
        <v>707</v>
      </c>
      <c r="V24" s="412">
        <v>1</v>
      </c>
      <c r="W24" s="412">
        <v>0.16184827119487333</v>
      </c>
      <c r="X24" s="412">
        <v>0.16184827119487333</v>
      </c>
      <c r="Y24" s="412">
        <v>1.6684348519396481</v>
      </c>
      <c r="Z24" s="412">
        <v>0.24399065139956408</v>
      </c>
      <c r="AA24" s="410"/>
      <c r="AB24" s="410"/>
      <c r="AC24" s="410"/>
      <c r="AD24" s="410"/>
      <c r="AE24" s="412" t="s">
        <v>707</v>
      </c>
      <c r="AF24" s="412">
        <v>1</v>
      </c>
      <c r="AG24" s="412">
        <v>7.0829581618334636E-2</v>
      </c>
      <c r="AH24" s="412">
        <v>7.0829581618334636E-2</v>
      </c>
      <c r="AI24" s="412">
        <v>0.64430106723218938</v>
      </c>
      <c r="AJ24" s="412">
        <v>0.45277122348721843</v>
      </c>
      <c r="AK24" s="410"/>
      <c r="AL24" s="410"/>
      <c r="AM24" s="410"/>
    </row>
    <row r="25" spans="1:39" x14ac:dyDescent="0.25">
      <c r="A25" s="412" t="s">
        <v>708</v>
      </c>
      <c r="B25" s="412">
        <v>6</v>
      </c>
      <c r="C25" s="412">
        <v>0.15572192959693976</v>
      </c>
      <c r="D25" s="412">
        <v>2.5953654932823294E-2</v>
      </c>
      <c r="E25" s="412"/>
      <c r="F25" s="412"/>
      <c r="G25" s="410"/>
      <c r="H25" s="410"/>
      <c r="I25" s="410"/>
      <c r="J25" s="410"/>
      <c r="K25" s="412" t="s">
        <v>708</v>
      </c>
      <c r="L25" s="412">
        <v>6</v>
      </c>
      <c r="M25" s="412">
        <v>0.46270123901750215</v>
      </c>
      <c r="N25" s="412">
        <v>7.7116873169583697E-2</v>
      </c>
      <c r="O25" s="412"/>
      <c r="P25" s="412"/>
      <c r="Q25" s="410"/>
      <c r="R25" s="410"/>
      <c r="S25" s="410"/>
      <c r="T25" s="410"/>
      <c r="U25" s="412" t="s">
        <v>708</v>
      </c>
      <c r="V25" s="412">
        <v>6</v>
      </c>
      <c r="W25" s="412">
        <v>0.58203628750639824</v>
      </c>
      <c r="X25" s="412">
        <v>9.700604791773304E-2</v>
      </c>
      <c r="Y25" s="412"/>
      <c r="Z25" s="412"/>
      <c r="AA25" s="410"/>
      <c r="AB25" s="410"/>
      <c r="AC25" s="410"/>
      <c r="AD25" s="410"/>
      <c r="AE25" s="412" t="s">
        <v>708</v>
      </c>
      <c r="AF25" s="412">
        <v>6</v>
      </c>
      <c r="AG25" s="412">
        <v>0.65959457670253541</v>
      </c>
      <c r="AH25" s="412">
        <v>0.10993242945042257</v>
      </c>
      <c r="AI25" s="412"/>
      <c r="AJ25" s="412"/>
      <c r="AK25" s="410"/>
      <c r="AL25" s="410"/>
      <c r="AM25" s="410"/>
    </row>
    <row r="26" spans="1:39" ht="15.75" thickBot="1" x14ac:dyDescent="0.3">
      <c r="A26" s="413" t="s">
        <v>468</v>
      </c>
      <c r="B26" s="413">
        <v>7</v>
      </c>
      <c r="C26" s="413">
        <v>0.16199544493648765</v>
      </c>
      <c r="D26" s="413"/>
      <c r="E26" s="413"/>
      <c r="F26" s="413"/>
      <c r="G26" s="410"/>
      <c r="H26" s="410"/>
      <c r="I26" s="410"/>
      <c r="J26" s="410"/>
      <c r="K26" s="413" t="s">
        <v>468</v>
      </c>
      <c r="L26" s="413">
        <v>7</v>
      </c>
      <c r="M26" s="413">
        <v>0.5003593702985667</v>
      </c>
      <c r="N26" s="413"/>
      <c r="O26" s="413"/>
      <c r="P26" s="413"/>
      <c r="Q26" s="410"/>
      <c r="R26" s="410"/>
      <c r="S26" s="410"/>
      <c r="T26" s="410"/>
      <c r="U26" s="413" t="s">
        <v>468</v>
      </c>
      <c r="V26" s="413">
        <v>7</v>
      </c>
      <c r="W26" s="413">
        <v>0.74388455870127157</v>
      </c>
      <c r="X26" s="413"/>
      <c r="Y26" s="413"/>
      <c r="Z26" s="413"/>
      <c r="AA26" s="410"/>
      <c r="AB26" s="410"/>
      <c r="AC26" s="410"/>
      <c r="AD26" s="410"/>
      <c r="AE26" s="413" t="s">
        <v>468</v>
      </c>
      <c r="AF26" s="413">
        <v>7</v>
      </c>
      <c r="AG26" s="413">
        <v>0.73042415832087004</v>
      </c>
      <c r="AH26" s="413"/>
      <c r="AI26" s="413"/>
      <c r="AJ26" s="413"/>
      <c r="AK26" s="410"/>
      <c r="AL26" s="410"/>
      <c r="AM26" s="410"/>
    </row>
    <row r="27" spans="1:39" ht="15.75" thickBot="1" x14ac:dyDescent="0.3">
      <c r="A27" s="410"/>
      <c r="B27" s="410"/>
      <c r="C27" s="410"/>
      <c r="D27" s="410"/>
      <c r="E27" s="410"/>
      <c r="F27" s="410"/>
      <c r="G27" s="410"/>
      <c r="H27" s="410"/>
      <c r="I27" s="410"/>
      <c r="J27" s="410"/>
      <c r="K27" s="410"/>
      <c r="L27" s="410"/>
      <c r="M27" s="410"/>
      <c r="N27" s="410"/>
      <c r="O27" s="410"/>
      <c r="P27" s="410"/>
      <c r="Q27" s="410"/>
      <c r="R27" s="410"/>
      <c r="S27" s="410"/>
      <c r="T27" s="410"/>
      <c r="U27" s="410"/>
      <c r="V27" s="410"/>
      <c r="W27" s="410"/>
      <c r="X27" s="410"/>
      <c r="Y27" s="410"/>
      <c r="Z27" s="410"/>
      <c r="AA27" s="410"/>
      <c r="AB27" s="410"/>
      <c r="AC27" s="410"/>
      <c r="AD27" s="410"/>
      <c r="AE27" s="410"/>
      <c r="AF27" s="410"/>
      <c r="AG27" s="410"/>
      <c r="AH27" s="410"/>
      <c r="AI27" s="410"/>
      <c r="AJ27" s="410"/>
      <c r="AK27" s="410"/>
      <c r="AL27" s="410"/>
      <c r="AM27" s="410"/>
    </row>
    <row r="28" spans="1:39" x14ac:dyDescent="0.25">
      <c r="A28" s="414"/>
      <c r="B28" s="414" t="s">
        <v>709</v>
      </c>
      <c r="C28" s="414" t="s">
        <v>698</v>
      </c>
      <c r="D28" s="414" t="s">
        <v>710</v>
      </c>
      <c r="E28" s="414" t="s">
        <v>711</v>
      </c>
      <c r="F28" s="414" t="s">
        <v>712</v>
      </c>
      <c r="G28" s="414" t="s">
        <v>713</v>
      </c>
      <c r="H28" s="414" t="s">
        <v>714</v>
      </c>
      <c r="I28" s="414" t="s">
        <v>715</v>
      </c>
      <c r="J28" s="410"/>
      <c r="K28" s="414"/>
      <c r="L28" s="414" t="s">
        <v>709</v>
      </c>
      <c r="M28" s="414" t="s">
        <v>698</v>
      </c>
      <c r="N28" s="414" t="s">
        <v>710</v>
      </c>
      <c r="O28" s="414" t="s">
        <v>711</v>
      </c>
      <c r="P28" s="414" t="s">
        <v>712</v>
      </c>
      <c r="Q28" s="414" t="s">
        <v>713</v>
      </c>
      <c r="R28" s="414" t="s">
        <v>714</v>
      </c>
      <c r="S28" s="414" t="s">
        <v>715</v>
      </c>
      <c r="T28" s="410"/>
      <c r="U28" s="414"/>
      <c r="V28" s="414" t="s">
        <v>709</v>
      </c>
      <c r="W28" s="414" t="s">
        <v>698</v>
      </c>
      <c r="X28" s="414" t="s">
        <v>710</v>
      </c>
      <c r="Y28" s="414" t="s">
        <v>711</v>
      </c>
      <c r="Z28" s="414" t="s">
        <v>712</v>
      </c>
      <c r="AA28" s="414" t="s">
        <v>713</v>
      </c>
      <c r="AB28" s="414" t="s">
        <v>714</v>
      </c>
      <c r="AC28" s="414" t="s">
        <v>715</v>
      </c>
      <c r="AD28" s="410"/>
      <c r="AE28" s="414"/>
      <c r="AF28" s="414" t="s">
        <v>709</v>
      </c>
      <c r="AG28" s="414" t="s">
        <v>698</v>
      </c>
      <c r="AH28" s="414" t="s">
        <v>710</v>
      </c>
      <c r="AI28" s="414" t="s">
        <v>711</v>
      </c>
      <c r="AJ28" s="414" t="s">
        <v>712</v>
      </c>
      <c r="AK28" s="414" t="s">
        <v>713</v>
      </c>
      <c r="AL28" s="414" t="s">
        <v>714</v>
      </c>
      <c r="AM28" s="414" t="s">
        <v>715</v>
      </c>
    </row>
    <row r="29" spans="1:39" x14ac:dyDescent="0.25">
      <c r="A29" s="412" t="s">
        <v>716</v>
      </c>
      <c r="B29" s="412">
        <v>-19.163021391132521</v>
      </c>
      <c r="C29" s="412">
        <v>50.226596709777517</v>
      </c>
      <c r="D29" s="412">
        <v>-0.38153135283804906</v>
      </c>
      <c r="E29" s="412">
        <v>0.71595481285427776</v>
      </c>
      <c r="F29" s="412">
        <v>-142.06307612296607</v>
      </c>
      <c r="G29" s="412">
        <v>103.73703334070103</v>
      </c>
      <c r="H29" s="412">
        <v>-142.06307612296607</v>
      </c>
      <c r="I29" s="412">
        <v>103.73703334070103</v>
      </c>
      <c r="J29" s="410"/>
      <c r="K29" s="412" t="s">
        <v>716</v>
      </c>
      <c r="L29" s="412">
        <v>65.425733845476643</v>
      </c>
      <c r="M29" s="412">
        <v>86.578328079504089</v>
      </c>
      <c r="N29" s="412">
        <v>0.75568257434350994</v>
      </c>
      <c r="O29" s="412">
        <v>0.47844628528653366</v>
      </c>
      <c r="P29" s="412">
        <v>-146.42380318457924</v>
      </c>
      <c r="Q29" s="412">
        <v>277.2752708755325</v>
      </c>
      <c r="R29" s="412">
        <v>-146.42380318457924</v>
      </c>
      <c r="S29" s="412">
        <v>277.2752708755325</v>
      </c>
      <c r="T29" s="410"/>
      <c r="U29" s="412" t="s">
        <v>716</v>
      </c>
      <c r="V29" s="412">
        <v>130.29050250830957</v>
      </c>
      <c r="W29" s="412">
        <v>97.10327880217406</v>
      </c>
      <c r="X29" s="412">
        <v>1.3417724315339234</v>
      </c>
      <c r="Y29" s="412">
        <v>0.22821787416134506</v>
      </c>
      <c r="Z29" s="412">
        <v>-107.31266117776426</v>
      </c>
      <c r="AA29" s="412">
        <v>367.8936661943834</v>
      </c>
      <c r="AB29" s="412">
        <v>-107.31266117776426</v>
      </c>
      <c r="AC29" s="412">
        <v>367.8936661943834</v>
      </c>
      <c r="AD29" s="410"/>
      <c r="AE29" s="412" t="s">
        <v>716</v>
      </c>
      <c r="AF29" s="412">
        <v>88.333551682144318</v>
      </c>
      <c r="AG29" s="412">
        <v>103.37068678919758</v>
      </c>
      <c r="AH29" s="412">
        <v>0.85453192221003349</v>
      </c>
      <c r="AI29" s="412">
        <v>0.42560878965179588</v>
      </c>
      <c r="AJ29" s="412">
        <v>-164.60540688333799</v>
      </c>
      <c r="AK29" s="412">
        <v>341.2725102476266</v>
      </c>
      <c r="AL29" s="412">
        <v>-164.60540688333799</v>
      </c>
      <c r="AM29" s="412">
        <v>341.2725102476266</v>
      </c>
    </row>
    <row r="30" spans="1:39" ht="15.75" thickBot="1" x14ac:dyDescent="0.3">
      <c r="A30" s="413" t="s">
        <v>41</v>
      </c>
      <c r="B30" s="413">
        <v>1.222167798816424E-2</v>
      </c>
      <c r="C30" s="413">
        <v>2.4858482758753023E-2</v>
      </c>
      <c r="D30" s="413">
        <v>0.49165019871781251</v>
      </c>
      <c r="E30" s="413">
        <v>0.64043343436011657</v>
      </c>
      <c r="F30" s="413">
        <v>-4.8604838075711435E-2</v>
      </c>
      <c r="G30" s="413">
        <v>7.3048194052039911E-2</v>
      </c>
      <c r="H30" s="413">
        <v>-4.8604838075711435E-2</v>
      </c>
      <c r="I30" s="413">
        <v>7.3048194052039911E-2</v>
      </c>
      <c r="J30" s="410"/>
      <c r="K30" s="413" t="s">
        <v>41</v>
      </c>
      <c r="L30" s="413">
        <v>-2.9943649967208091E-2</v>
      </c>
      <c r="M30" s="413">
        <v>4.2849924478897634E-2</v>
      </c>
      <c r="N30" s="413">
        <v>-0.69880286444739204</v>
      </c>
      <c r="O30" s="413">
        <v>0.51083990818280278</v>
      </c>
      <c r="P30" s="413">
        <v>-0.13479363799528965</v>
      </c>
      <c r="Q30" s="413">
        <v>7.4906338060873462E-2</v>
      </c>
      <c r="R30" s="413">
        <v>-0.13479363799528965</v>
      </c>
      <c r="S30" s="413">
        <v>7.4906338060873462E-2</v>
      </c>
      <c r="T30" s="410"/>
      <c r="U30" s="413" t="s">
        <v>41</v>
      </c>
      <c r="V30" s="413">
        <v>-6.2076809410154067E-2</v>
      </c>
      <c r="W30" s="413">
        <v>4.8059003397543237E-2</v>
      </c>
      <c r="X30" s="413">
        <v>-1.2916790824115887</v>
      </c>
      <c r="Y30" s="413">
        <v>0.24399065139956463</v>
      </c>
      <c r="Z30" s="413">
        <v>-0.17967295437781897</v>
      </c>
      <c r="AA30" s="413">
        <v>5.5519335557510839E-2</v>
      </c>
      <c r="AB30" s="413">
        <v>-0.17967295437781897</v>
      </c>
      <c r="AC30" s="413">
        <v>5.5519335557510839E-2</v>
      </c>
      <c r="AD30" s="410"/>
      <c r="AE30" s="413" t="s">
        <v>41</v>
      </c>
      <c r="AF30" s="413">
        <v>-4.1066027443135408E-2</v>
      </c>
      <c r="AG30" s="413">
        <v>5.1160910824951437E-2</v>
      </c>
      <c r="AH30" s="413">
        <v>-0.80268366573151972</v>
      </c>
      <c r="AI30" s="413">
        <v>0.45277122348721821</v>
      </c>
      <c r="AJ30" s="413">
        <v>-0.16625226645608004</v>
      </c>
      <c r="AK30" s="413">
        <v>8.4120211569809242E-2</v>
      </c>
      <c r="AL30" s="413">
        <v>-0.16625226645608004</v>
      </c>
      <c r="AM30" s="413">
        <v>8.4120211569809242E-2</v>
      </c>
    </row>
    <row r="34" spans="1:39" x14ac:dyDescent="0.25">
      <c r="A34" s="213" t="s">
        <v>41</v>
      </c>
      <c r="B34" s="405" t="s">
        <v>755</v>
      </c>
      <c r="C34" t="s">
        <v>691</v>
      </c>
      <c r="E34" t="s">
        <v>745</v>
      </c>
      <c r="F34" t="s">
        <v>746</v>
      </c>
      <c r="G34" t="s">
        <v>747</v>
      </c>
      <c r="H34" s="408" t="s">
        <v>752</v>
      </c>
      <c r="K34" s="213" t="s">
        <v>41</v>
      </c>
      <c r="L34" s="405" t="s">
        <v>756</v>
      </c>
      <c r="M34" t="s">
        <v>691</v>
      </c>
      <c r="O34" t="s">
        <v>745</v>
      </c>
      <c r="P34" t="s">
        <v>746</v>
      </c>
      <c r="Q34" t="s">
        <v>747</v>
      </c>
      <c r="R34" s="408" t="s">
        <v>753</v>
      </c>
      <c r="U34" s="213" t="s">
        <v>41</v>
      </c>
      <c r="V34" s="405" t="s">
        <v>757</v>
      </c>
      <c r="W34" t="s">
        <v>691</v>
      </c>
      <c r="Y34" t="s">
        <v>745</v>
      </c>
      <c r="Z34" t="s">
        <v>746</v>
      </c>
      <c r="AA34" t="s">
        <v>747</v>
      </c>
      <c r="AB34" s="408" t="s">
        <v>748</v>
      </c>
      <c r="AE34" s="213" t="s">
        <v>41</v>
      </c>
      <c r="AF34" s="405" t="s">
        <v>758</v>
      </c>
      <c r="AG34" t="s">
        <v>691</v>
      </c>
      <c r="AI34" t="s">
        <v>745</v>
      </c>
      <c r="AJ34" t="s">
        <v>746</v>
      </c>
      <c r="AK34" t="s">
        <v>747</v>
      </c>
      <c r="AL34" s="408" t="s">
        <v>748</v>
      </c>
    </row>
    <row r="35" spans="1:39" x14ac:dyDescent="0.25">
      <c r="A35" s="213">
        <v>2017</v>
      </c>
      <c r="B35" s="277">
        <v>48</v>
      </c>
      <c r="C35">
        <f>LN(B35)</f>
        <v>3.8712010109078911</v>
      </c>
      <c r="E35">
        <v>2025</v>
      </c>
      <c r="F35" s="373">
        <f>($B$62+$B$63*E35)/100</f>
        <v>4.1204904072975668E-2</v>
      </c>
      <c r="G35" s="373">
        <f>($B$42/$B$35)^(1/7)-1</f>
        <v>3.2636816739135766E-2</v>
      </c>
      <c r="H35" s="409">
        <f>0.5*F35+0.5*G35</f>
        <v>3.6920860406055717E-2</v>
      </c>
      <c r="K35" s="213">
        <v>2017</v>
      </c>
      <c r="L35" s="277">
        <v>14.4</v>
      </c>
      <c r="M35">
        <f>LN(L35)</f>
        <v>2.6672282065819548</v>
      </c>
      <c r="O35">
        <v>2025</v>
      </c>
      <c r="P35" s="373">
        <f>($L$62+$L$63*O35)/100</f>
        <v>2.6171277568121414E-2</v>
      </c>
      <c r="Q35" s="373">
        <f>($L$42/$L$35)^(1/7)-1</f>
        <v>1.9637787030425402E-2</v>
      </c>
      <c r="R35" s="409">
        <f>0.5*P35+0.5*Q35</f>
        <v>2.290453229927341E-2</v>
      </c>
      <c r="U35" s="213">
        <v>2017</v>
      </c>
      <c r="V35" s="277">
        <v>8.9</v>
      </c>
      <c r="W35">
        <f>LN(V35)</f>
        <v>2.1860512767380942</v>
      </c>
      <c r="Y35">
        <v>2025</v>
      </c>
      <c r="Z35" s="373">
        <f>($V$62+$V$63*Y35)/100</f>
        <v>2.3558212287911325E-2</v>
      </c>
      <c r="AA35" s="373">
        <f>($V$42/$V$35)^(1/7)-1</f>
        <v>2.2500038981424719E-2</v>
      </c>
      <c r="AB35" s="409">
        <f>0.5*Z35+0.5*AA35</f>
        <v>2.3029125634668024E-2</v>
      </c>
      <c r="AE35" s="213">
        <v>2017</v>
      </c>
      <c r="AF35">
        <v>25.172000000000001</v>
      </c>
      <c r="AG35">
        <f>LN(AF35)</f>
        <v>3.225732265664687</v>
      </c>
      <c r="AI35">
        <v>2025</v>
      </c>
      <c r="AJ35" s="373">
        <f>($AF$62+$AF$63*AI35)/100</f>
        <v>3.6420686511317225E-2</v>
      </c>
      <c r="AK35" s="373">
        <f>($AF$42/$AF$35)^(1/7)-1</f>
        <v>4.8214217300698081E-2</v>
      </c>
      <c r="AL35" s="409">
        <f>0.5*AJ35+0.5*AK35</f>
        <v>4.231745190600765E-2</v>
      </c>
    </row>
    <row r="36" spans="1:39" x14ac:dyDescent="0.25">
      <c r="A36" s="213">
        <v>2018</v>
      </c>
      <c r="B36" s="277">
        <v>49.6</v>
      </c>
      <c r="C36">
        <f t="shared" ref="C36:C42" si="16">LN(B36)</f>
        <v>3.903990833730882</v>
      </c>
      <c r="E36">
        <v>2026</v>
      </c>
      <c r="F36" s="373">
        <f t="shared" ref="F36:F44" si="17">($B$62+$B$63*E36)/100</f>
        <v>4.1532649236544754E-2</v>
      </c>
      <c r="G36" s="373">
        <f t="shared" ref="G36:G44" si="18">($B$42/$B$35)^(1/7)-1</f>
        <v>3.2636816739135766E-2</v>
      </c>
      <c r="H36" s="409">
        <f t="shared" ref="H36:H44" si="19">0.5*F36+0.5*G36</f>
        <v>3.7084732987840263E-2</v>
      </c>
      <c r="K36" s="213">
        <v>2018</v>
      </c>
      <c r="L36" s="277">
        <v>14.2</v>
      </c>
      <c r="M36">
        <f t="shared" ref="M36:M42" si="20">LN(L36)</f>
        <v>2.653241964607215</v>
      </c>
      <c r="O36">
        <v>2026</v>
      </c>
      <c r="P36" s="373">
        <f t="shared" ref="P36:P44" si="21">($L$62+$L$63*O36)/100</f>
        <v>2.6201154285528508E-2</v>
      </c>
      <c r="Q36" s="373">
        <f t="shared" ref="Q36:Q44" si="22">($L$42/$L$35)^(1/7)-1</f>
        <v>1.9637787030425402E-2</v>
      </c>
      <c r="R36" s="409">
        <f t="shared" ref="R36:R44" si="23">0.5*P36+0.5*Q36</f>
        <v>2.2919470657976955E-2</v>
      </c>
      <c r="U36" s="213">
        <v>2018</v>
      </c>
      <c r="V36" s="277">
        <v>9.847999999999999</v>
      </c>
      <c r="W36">
        <f t="shared" ref="W36:W42" si="24">LN(V36)</f>
        <v>2.2872683888821523</v>
      </c>
      <c r="Y36">
        <v>2026</v>
      </c>
      <c r="Z36" s="373">
        <f t="shared" ref="Z36:Z44" si="25">($V$62+$V$63*Y36)/100</f>
        <v>2.3685114954167509E-2</v>
      </c>
      <c r="AA36" s="373">
        <f t="shared" ref="AA36:AA44" si="26">($V$42/$V$35)^(1/7)-1</f>
        <v>2.2500038981424719E-2</v>
      </c>
      <c r="AB36" s="409">
        <f t="shared" ref="AB36:AB44" si="27">0.5*Z36+0.5*AA36</f>
        <v>2.3092576967796114E-2</v>
      </c>
      <c r="AE36" s="213">
        <v>2018</v>
      </c>
      <c r="AF36">
        <v>28.686</v>
      </c>
      <c r="AG36">
        <f t="shared" ref="AG36:AG42" si="28">LN(AF36)</f>
        <v>3.3564091988720213</v>
      </c>
      <c r="AI36">
        <v>2026</v>
      </c>
      <c r="AJ36" s="373">
        <f t="shared" ref="AJ36:AJ44" si="29">($AF$62+$AF$63*AI36)/100</f>
        <v>3.6911951829226693E-2</v>
      </c>
      <c r="AK36" s="373">
        <f t="shared" ref="AK36:AK44" si="30">($AF$42/$AF$35)^(1/7)-1</f>
        <v>4.8214217300698081E-2</v>
      </c>
      <c r="AL36" s="409">
        <f t="shared" ref="AL36:AL44" si="31">0.5*AJ36+0.5*AK36</f>
        <v>4.2563084564962383E-2</v>
      </c>
    </row>
    <row r="37" spans="1:39" x14ac:dyDescent="0.25">
      <c r="A37" s="213">
        <v>2019</v>
      </c>
      <c r="B37" s="277">
        <v>51.5</v>
      </c>
      <c r="C37">
        <f t="shared" si="16"/>
        <v>3.9415818076696905</v>
      </c>
      <c r="E37">
        <v>2027</v>
      </c>
      <c r="F37" s="373">
        <f t="shared" si="17"/>
        <v>4.1860394400113847E-2</v>
      </c>
      <c r="G37" s="373">
        <f t="shared" si="18"/>
        <v>3.2636816739135766E-2</v>
      </c>
      <c r="H37" s="409">
        <f t="shared" si="19"/>
        <v>3.724860556962481E-2</v>
      </c>
      <c r="K37" s="213">
        <v>2019</v>
      </c>
      <c r="L37" s="277">
        <v>13.6</v>
      </c>
      <c r="M37">
        <f t="shared" si="20"/>
        <v>2.6100697927420065</v>
      </c>
      <c r="O37">
        <v>2027</v>
      </c>
      <c r="P37" s="373">
        <f t="shared" si="21"/>
        <v>2.6231031002935602E-2</v>
      </c>
      <c r="Q37" s="373">
        <f t="shared" si="22"/>
        <v>1.9637787030425402E-2</v>
      </c>
      <c r="R37" s="409">
        <f t="shared" si="23"/>
        <v>2.29344090166805E-2</v>
      </c>
      <c r="U37" s="213">
        <v>2019</v>
      </c>
      <c r="V37" s="277">
        <v>9.8450000000000131</v>
      </c>
      <c r="W37">
        <f t="shared" si="24"/>
        <v>2.2869637120910902</v>
      </c>
      <c r="Y37">
        <v>2027</v>
      </c>
      <c r="Z37" s="373">
        <f t="shared" si="25"/>
        <v>2.3812017620423731E-2</v>
      </c>
      <c r="AA37" s="373">
        <f t="shared" si="26"/>
        <v>2.2500038981424719E-2</v>
      </c>
      <c r="AB37" s="409">
        <f t="shared" si="27"/>
        <v>2.3156028300924225E-2</v>
      </c>
      <c r="AE37" s="213">
        <v>2019</v>
      </c>
      <c r="AF37">
        <v>29.2</v>
      </c>
      <c r="AG37">
        <f t="shared" si="28"/>
        <v>3.3741687092742358</v>
      </c>
      <c r="AI37">
        <v>2027</v>
      </c>
      <c r="AJ37" s="373">
        <f t="shared" si="29"/>
        <v>3.7403217147136306E-2</v>
      </c>
      <c r="AK37" s="373">
        <f t="shared" si="30"/>
        <v>4.8214217300698081E-2</v>
      </c>
      <c r="AL37" s="409">
        <f t="shared" si="31"/>
        <v>4.2808717223917193E-2</v>
      </c>
    </row>
    <row r="38" spans="1:39" x14ac:dyDescent="0.25">
      <c r="A38" s="213">
        <v>2020</v>
      </c>
      <c r="B38" s="277">
        <v>47.1</v>
      </c>
      <c r="C38">
        <f t="shared" si="16"/>
        <v>3.8522730010223722</v>
      </c>
      <c r="E38">
        <v>2028</v>
      </c>
      <c r="F38" s="373">
        <f t="shared" si="17"/>
        <v>4.218813956368294E-2</v>
      </c>
      <c r="G38" s="373">
        <f t="shared" si="18"/>
        <v>3.2636816739135766E-2</v>
      </c>
      <c r="H38" s="409">
        <f t="shared" si="19"/>
        <v>3.7412478151409356E-2</v>
      </c>
      <c r="K38" s="213">
        <v>2020</v>
      </c>
      <c r="L38" s="277">
        <v>12.2</v>
      </c>
      <c r="M38">
        <f t="shared" si="20"/>
        <v>2.5014359517392109</v>
      </c>
      <c r="O38">
        <v>2028</v>
      </c>
      <c r="P38" s="373">
        <f t="shared" si="21"/>
        <v>2.6260907720342702E-2</v>
      </c>
      <c r="Q38" s="373">
        <f t="shared" si="22"/>
        <v>1.9637787030425402E-2</v>
      </c>
      <c r="R38" s="409">
        <f t="shared" si="23"/>
        <v>2.2949347375384052E-2</v>
      </c>
      <c r="U38" s="213">
        <v>2020</v>
      </c>
      <c r="V38" s="277">
        <v>10.600000000000009</v>
      </c>
      <c r="W38">
        <f t="shared" si="24"/>
        <v>2.3608540011180223</v>
      </c>
      <c r="Y38">
        <v>2028</v>
      </c>
      <c r="Z38" s="373">
        <f t="shared" si="25"/>
        <v>2.3938920286679918E-2</v>
      </c>
      <c r="AA38" s="373">
        <f t="shared" si="26"/>
        <v>2.2500038981424719E-2</v>
      </c>
      <c r="AB38" s="409">
        <f t="shared" si="27"/>
        <v>2.3219479634052319E-2</v>
      </c>
      <c r="AE38" s="213">
        <v>2020</v>
      </c>
      <c r="AF38">
        <v>25.099999999999998</v>
      </c>
      <c r="AG38">
        <f t="shared" si="28"/>
        <v>3.222867846137738</v>
      </c>
      <c r="AI38">
        <v>2028</v>
      </c>
      <c r="AJ38" s="373">
        <f t="shared" si="29"/>
        <v>3.7894482465045766E-2</v>
      </c>
      <c r="AK38" s="373">
        <f t="shared" si="30"/>
        <v>4.8214217300698081E-2</v>
      </c>
      <c r="AL38" s="409">
        <f t="shared" si="31"/>
        <v>4.305434988287192E-2</v>
      </c>
    </row>
    <row r="39" spans="1:39" x14ac:dyDescent="0.25">
      <c r="A39" s="213">
        <v>2021</v>
      </c>
      <c r="B39" s="277">
        <v>61.5</v>
      </c>
      <c r="C39">
        <f t="shared" si="16"/>
        <v>4.1190371748124726</v>
      </c>
      <c r="E39">
        <v>2029</v>
      </c>
      <c r="F39" s="373">
        <f t="shared" si="17"/>
        <v>4.2515884727252026E-2</v>
      </c>
      <c r="G39" s="373">
        <f t="shared" si="18"/>
        <v>3.2636816739135766E-2</v>
      </c>
      <c r="H39" s="409">
        <f t="shared" si="19"/>
        <v>3.7576350733193896E-2</v>
      </c>
      <c r="K39" s="213">
        <v>2021</v>
      </c>
      <c r="L39" s="277">
        <v>13.7</v>
      </c>
      <c r="M39">
        <f t="shared" si="20"/>
        <v>2.6173958328340792</v>
      </c>
      <c r="O39">
        <v>2029</v>
      </c>
      <c r="P39" s="373">
        <f t="shared" si="21"/>
        <v>2.6290784437749796E-2</v>
      </c>
      <c r="Q39" s="373">
        <f t="shared" si="22"/>
        <v>1.9637787030425402E-2</v>
      </c>
      <c r="R39" s="409">
        <f t="shared" si="23"/>
        <v>2.2964285734087597E-2</v>
      </c>
      <c r="U39" s="213">
        <v>2021</v>
      </c>
      <c r="V39" s="277">
        <v>11.308999999999997</v>
      </c>
      <c r="W39">
        <f t="shared" si="24"/>
        <v>2.4255988688891899</v>
      </c>
      <c r="Y39">
        <v>2029</v>
      </c>
      <c r="Z39" s="373">
        <f t="shared" si="25"/>
        <v>2.4065822952936102E-2</v>
      </c>
      <c r="AA39" s="373">
        <f t="shared" si="26"/>
        <v>2.2500038981424719E-2</v>
      </c>
      <c r="AB39" s="409">
        <f t="shared" si="27"/>
        <v>2.3282930967180412E-2</v>
      </c>
      <c r="AE39" s="213">
        <v>2021</v>
      </c>
      <c r="AF39">
        <v>38.400000000000006</v>
      </c>
      <c r="AG39">
        <f t="shared" si="28"/>
        <v>3.6480574595936814</v>
      </c>
      <c r="AI39">
        <v>2029</v>
      </c>
      <c r="AJ39" s="373">
        <f t="shared" si="29"/>
        <v>3.8385747782955233E-2</v>
      </c>
      <c r="AK39" s="373">
        <f t="shared" si="30"/>
        <v>4.8214217300698081E-2</v>
      </c>
      <c r="AL39" s="409">
        <f t="shared" si="31"/>
        <v>4.3299982541826654E-2</v>
      </c>
    </row>
    <row r="40" spans="1:39" x14ac:dyDescent="0.25">
      <c r="A40" s="213">
        <v>2022</v>
      </c>
      <c r="B40" s="277">
        <v>48</v>
      </c>
      <c r="C40">
        <f t="shared" si="16"/>
        <v>3.8712010109078911</v>
      </c>
      <c r="E40">
        <v>2030</v>
      </c>
      <c r="F40" s="373">
        <f t="shared" si="17"/>
        <v>4.2843629890821119E-2</v>
      </c>
      <c r="G40" s="373">
        <f t="shared" si="18"/>
        <v>3.2636816739135766E-2</v>
      </c>
      <c r="H40" s="409">
        <f t="shared" si="19"/>
        <v>3.7740223314978442E-2</v>
      </c>
      <c r="K40" s="213">
        <v>2022</v>
      </c>
      <c r="L40" s="277">
        <v>10</v>
      </c>
      <c r="M40">
        <f t="shared" si="20"/>
        <v>2.3025850929940459</v>
      </c>
      <c r="O40">
        <v>2030</v>
      </c>
      <c r="P40" s="373">
        <f t="shared" si="21"/>
        <v>2.63206611551569E-2</v>
      </c>
      <c r="Q40" s="373">
        <f t="shared" si="22"/>
        <v>1.9637787030425402E-2</v>
      </c>
      <c r="R40" s="409">
        <f t="shared" si="23"/>
        <v>2.2979224092791149E-2</v>
      </c>
      <c r="U40" s="213">
        <v>2022</v>
      </c>
      <c r="V40" s="277">
        <v>8.5750000000000099</v>
      </c>
      <c r="W40">
        <f t="shared" si="24"/>
        <v>2.1488509930520046</v>
      </c>
      <c r="Y40">
        <v>2030</v>
      </c>
      <c r="Z40" s="373">
        <f t="shared" si="25"/>
        <v>2.4192725619192324E-2</v>
      </c>
      <c r="AA40" s="373">
        <f t="shared" si="26"/>
        <v>2.2500038981424719E-2</v>
      </c>
      <c r="AB40" s="409">
        <f t="shared" si="27"/>
        <v>2.334638230030852E-2</v>
      </c>
      <c r="AE40" s="213">
        <v>2022</v>
      </c>
      <c r="AF40">
        <v>27.5</v>
      </c>
      <c r="AG40">
        <f t="shared" si="28"/>
        <v>3.3141860046725258</v>
      </c>
      <c r="AI40">
        <v>2030</v>
      </c>
      <c r="AJ40" s="373">
        <f t="shared" si="29"/>
        <v>3.8877013100864846E-2</v>
      </c>
      <c r="AK40" s="373">
        <f t="shared" si="30"/>
        <v>4.8214217300698081E-2</v>
      </c>
      <c r="AL40" s="409">
        <f t="shared" si="31"/>
        <v>4.3545615200781464E-2</v>
      </c>
    </row>
    <row r="41" spans="1:39" x14ac:dyDescent="0.25">
      <c r="A41" s="213">
        <v>2023</v>
      </c>
      <c r="B41" s="277">
        <v>62.1</v>
      </c>
      <c r="C41">
        <f t="shared" si="16"/>
        <v>4.1287459889394329</v>
      </c>
      <c r="E41">
        <v>2031</v>
      </c>
      <c r="F41" s="373">
        <f t="shared" si="17"/>
        <v>4.3171375054390213E-2</v>
      </c>
      <c r="G41" s="373">
        <f t="shared" si="18"/>
        <v>3.2636816739135766E-2</v>
      </c>
      <c r="H41" s="409">
        <f t="shared" si="19"/>
        <v>3.7904095896762989E-2</v>
      </c>
      <c r="K41" s="213">
        <v>2023</v>
      </c>
      <c r="L41" s="277">
        <v>14.5</v>
      </c>
      <c r="M41">
        <f t="shared" si="20"/>
        <v>2.6741486494265287</v>
      </c>
      <c r="O41">
        <v>2031</v>
      </c>
      <c r="P41" s="373">
        <f t="shared" si="21"/>
        <v>2.6350537872563994E-2</v>
      </c>
      <c r="Q41" s="373">
        <f t="shared" si="22"/>
        <v>1.9637787030425402E-2</v>
      </c>
      <c r="R41" s="409">
        <f t="shared" si="23"/>
        <v>2.2994162451494698E-2</v>
      </c>
      <c r="U41" s="213">
        <v>2023</v>
      </c>
      <c r="V41" s="277">
        <v>10.510000000000005</v>
      </c>
      <c r="W41">
        <f t="shared" si="24"/>
        <v>2.3523271848888601</v>
      </c>
      <c r="Y41">
        <v>2031</v>
      </c>
      <c r="Z41" s="373">
        <f t="shared" si="25"/>
        <v>2.4319628285448508E-2</v>
      </c>
      <c r="AA41" s="373">
        <f t="shared" si="26"/>
        <v>2.2500038981424719E-2</v>
      </c>
      <c r="AB41" s="409">
        <f t="shared" si="27"/>
        <v>2.3409833633436614E-2</v>
      </c>
      <c r="AE41" s="213">
        <v>2023</v>
      </c>
      <c r="AF41">
        <v>39.300000000000004</v>
      </c>
      <c r="AG41">
        <f t="shared" si="28"/>
        <v>3.6712245188752157</v>
      </c>
      <c r="AI41">
        <v>2031</v>
      </c>
      <c r="AJ41" s="373">
        <f t="shared" si="29"/>
        <v>3.9368278418774307E-2</v>
      </c>
      <c r="AK41" s="373">
        <f t="shared" si="30"/>
        <v>4.8214217300698081E-2</v>
      </c>
      <c r="AL41" s="409">
        <f t="shared" si="31"/>
        <v>4.379124785973619E-2</v>
      </c>
    </row>
    <row r="42" spans="1:39" x14ac:dyDescent="0.25">
      <c r="A42" s="213">
        <v>2024</v>
      </c>
      <c r="B42" s="277">
        <v>60.1</v>
      </c>
      <c r="C42">
        <f t="shared" si="16"/>
        <v>4.0960098415411617</v>
      </c>
      <c r="E42">
        <v>2032</v>
      </c>
      <c r="F42" s="373">
        <f t="shared" si="17"/>
        <v>4.3499120217959299E-2</v>
      </c>
      <c r="G42" s="373">
        <f t="shared" si="18"/>
        <v>3.2636816739135766E-2</v>
      </c>
      <c r="H42" s="409">
        <f t="shared" si="19"/>
        <v>3.8067968478547529E-2</v>
      </c>
      <c r="K42" s="213">
        <v>2024</v>
      </c>
      <c r="L42" s="277">
        <v>16.5</v>
      </c>
      <c r="M42">
        <f t="shared" si="20"/>
        <v>2.8033603809065348</v>
      </c>
      <c r="O42">
        <v>2032</v>
      </c>
      <c r="P42" s="373">
        <f t="shared" si="21"/>
        <v>2.6380414589971087E-2</v>
      </c>
      <c r="Q42" s="373">
        <f t="shared" si="22"/>
        <v>1.9637787030425402E-2</v>
      </c>
      <c r="R42" s="409">
        <f t="shared" si="23"/>
        <v>2.3009100810198246E-2</v>
      </c>
      <c r="U42" s="213">
        <v>2024</v>
      </c>
      <c r="V42" s="277">
        <v>10.4</v>
      </c>
      <c r="W42">
        <f t="shared" si="24"/>
        <v>2.341805806147327</v>
      </c>
      <c r="Y42">
        <v>2032</v>
      </c>
      <c r="Z42" s="373">
        <f t="shared" si="25"/>
        <v>2.444653095170473E-2</v>
      </c>
      <c r="AA42" s="373">
        <f t="shared" si="26"/>
        <v>2.2500038981424719E-2</v>
      </c>
      <c r="AB42" s="409">
        <f t="shared" si="27"/>
        <v>2.3473284966564725E-2</v>
      </c>
      <c r="AE42" s="213">
        <v>2024</v>
      </c>
      <c r="AF42">
        <v>35</v>
      </c>
      <c r="AG42">
        <f t="shared" si="28"/>
        <v>3.5553480614894135</v>
      </c>
      <c r="AI42">
        <v>2032</v>
      </c>
      <c r="AJ42" s="373">
        <f t="shared" si="29"/>
        <v>3.9859543736683774E-2</v>
      </c>
      <c r="AK42" s="373">
        <f t="shared" si="30"/>
        <v>4.8214217300698081E-2</v>
      </c>
      <c r="AL42" s="409">
        <f t="shared" si="31"/>
        <v>4.4036880518690924E-2</v>
      </c>
    </row>
    <row r="43" spans="1:39" x14ac:dyDescent="0.25">
      <c r="E43">
        <v>2033</v>
      </c>
      <c r="F43" s="373">
        <f t="shared" si="17"/>
        <v>4.3826865381528392E-2</v>
      </c>
      <c r="G43" s="373">
        <f t="shared" si="18"/>
        <v>3.2636816739135766E-2</v>
      </c>
      <c r="H43" s="409">
        <f t="shared" si="19"/>
        <v>3.8231841060332075E-2</v>
      </c>
      <c r="O43">
        <v>2033</v>
      </c>
      <c r="P43" s="373">
        <f t="shared" si="21"/>
        <v>2.6410291307378188E-2</v>
      </c>
      <c r="Q43" s="373">
        <f t="shared" si="22"/>
        <v>1.9637787030425402E-2</v>
      </c>
      <c r="R43" s="409">
        <f t="shared" si="23"/>
        <v>2.3024039168901795E-2</v>
      </c>
      <c r="Y43">
        <v>2033</v>
      </c>
      <c r="Z43" s="373">
        <f t="shared" si="25"/>
        <v>2.4573433617960917E-2</v>
      </c>
      <c r="AA43" s="373">
        <f t="shared" si="26"/>
        <v>2.2500038981424719E-2</v>
      </c>
      <c r="AB43" s="409">
        <f t="shared" si="27"/>
        <v>2.3536736299692818E-2</v>
      </c>
      <c r="AI43">
        <v>2033</v>
      </c>
      <c r="AJ43" s="373">
        <f t="shared" si="29"/>
        <v>4.0350809054593387E-2</v>
      </c>
      <c r="AK43" s="373">
        <f t="shared" si="30"/>
        <v>4.8214217300698081E-2</v>
      </c>
      <c r="AL43" s="409">
        <f t="shared" si="31"/>
        <v>4.4282513177645734E-2</v>
      </c>
    </row>
    <row r="44" spans="1:39" x14ac:dyDescent="0.25">
      <c r="E44">
        <v>2034</v>
      </c>
      <c r="F44" s="373">
        <f t="shared" si="17"/>
        <v>4.4154610545097485E-2</v>
      </c>
      <c r="G44" s="373">
        <f t="shared" si="18"/>
        <v>3.2636816739135766E-2</v>
      </c>
      <c r="H44" s="409">
        <f t="shared" si="19"/>
        <v>3.8395713642116622E-2</v>
      </c>
      <c r="O44">
        <v>2034</v>
      </c>
      <c r="P44" s="373">
        <f t="shared" si="21"/>
        <v>2.6440168024785281E-2</v>
      </c>
      <c r="Q44" s="373">
        <f t="shared" si="22"/>
        <v>1.9637787030425402E-2</v>
      </c>
      <c r="R44" s="409">
        <f t="shared" si="23"/>
        <v>2.3038977527605344E-2</v>
      </c>
      <c r="Y44">
        <v>2034</v>
      </c>
      <c r="Z44" s="373">
        <f t="shared" si="25"/>
        <v>2.4700336284217101E-2</v>
      </c>
      <c r="AA44" s="373">
        <f t="shared" si="26"/>
        <v>2.2500038981424719E-2</v>
      </c>
      <c r="AB44" s="409">
        <f t="shared" si="27"/>
        <v>2.3600187632820908E-2</v>
      </c>
      <c r="AI44">
        <v>2034</v>
      </c>
      <c r="AJ44" s="373">
        <f t="shared" si="29"/>
        <v>4.0842074372502847E-2</v>
      </c>
      <c r="AK44" s="373">
        <f t="shared" si="30"/>
        <v>4.8214217300698081E-2</v>
      </c>
      <c r="AL44" s="409">
        <f t="shared" si="31"/>
        <v>4.4528145836600461E-2</v>
      </c>
    </row>
    <row r="46" spans="1:39" x14ac:dyDescent="0.25">
      <c r="A46" s="410" t="s">
        <v>693</v>
      </c>
      <c r="B46" s="410"/>
      <c r="C46" s="410"/>
      <c r="D46" s="410"/>
      <c r="E46" s="410"/>
      <c r="F46" s="410"/>
      <c r="G46" s="410"/>
      <c r="H46" s="410"/>
      <c r="I46" s="410"/>
      <c r="J46" s="410"/>
      <c r="K46" s="410" t="s">
        <v>693</v>
      </c>
      <c r="L46" s="410"/>
      <c r="M46" s="410"/>
      <c r="N46" s="410"/>
      <c r="O46" s="410"/>
      <c r="P46" s="410"/>
      <c r="Q46" s="410"/>
      <c r="R46" s="410"/>
      <c r="S46" s="410"/>
      <c r="T46" s="410"/>
      <c r="U46" s="410" t="s">
        <v>693</v>
      </c>
      <c r="V46" s="410"/>
      <c r="W46" s="410"/>
      <c r="X46" s="410"/>
      <c r="Y46" s="410"/>
      <c r="Z46" s="410"/>
      <c r="AA46" s="410"/>
      <c r="AB46" s="410"/>
      <c r="AC46" s="410"/>
      <c r="AD46" s="410"/>
      <c r="AE46" s="410" t="s">
        <v>693</v>
      </c>
      <c r="AF46" s="410"/>
      <c r="AG46" s="410"/>
      <c r="AH46" s="410"/>
      <c r="AI46" s="410"/>
      <c r="AJ46" s="410"/>
      <c r="AK46" s="410"/>
      <c r="AL46" s="410"/>
      <c r="AM46" s="410"/>
    </row>
    <row r="47" spans="1:39" ht="15.75" thickBot="1" x14ac:dyDescent="0.3">
      <c r="A47" s="410"/>
      <c r="B47" s="410"/>
      <c r="C47" s="410"/>
      <c r="D47" s="410"/>
      <c r="E47" s="410"/>
      <c r="F47" s="410"/>
      <c r="G47" s="410"/>
      <c r="H47" s="410"/>
      <c r="I47" s="410"/>
      <c r="J47" s="410"/>
      <c r="K47" s="410"/>
      <c r="L47" s="410"/>
      <c r="M47" s="410"/>
      <c r="N47" s="410"/>
      <c r="O47" s="410"/>
      <c r="P47" s="410"/>
      <c r="Q47" s="410"/>
      <c r="R47" s="410"/>
      <c r="S47" s="410"/>
      <c r="T47" s="410"/>
      <c r="U47" s="410"/>
      <c r="V47" s="410"/>
      <c r="W47" s="410"/>
      <c r="X47" s="410"/>
      <c r="Y47" s="410"/>
      <c r="Z47" s="410"/>
      <c r="AA47" s="410"/>
      <c r="AB47" s="410"/>
      <c r="AC47" s="410"/>
      <c r="AD47" s="410"/>
      <c r="AE47" s="410"/>
      <c r="AF47" s="410"/>
      <c r="AG47" s="410"/>
      <c r="AH47" s="410"/>
      <c r="AI47" s="410"/>
      <c r="AJ47" s="410"/>
      <c r="AK47" s="410"/>
      <c r="AL47" s="410"/>
      <c r="AM47" s="410"/>
    </row>
    <row r="48" spans="1:39" x14ac:dyDescent="0.25">
      <c r="A48" s="411" t="s">
        <v>694</v>
      </c>
      <c r="B48" s="411"/>
      <c r="C48" s="410"/>
      <c r="D48" s="410"/>
      <c r="E48" s="410"/>
      <c r="F48" s="410"/>
      <c r="G48" s="410"/>
      <c r="H48" s="410"/>
      <c r="I48" s="410"/>
      <c r="J48" s="410"/>
      <c r="K48" s="411" t="s">
        <v>694</v>
      </c>
      <c r="L48" s="411"/>
      <c r="M48" s="410"/>
      <c r="N48" s="410"/>
      <c r="O48" s="410"/>
      <c r="P48" s="410"/>
      <c r="Q48" s="410"/>
      <c r="R48" s="410"/>
      <c r="S48" s="410"/>
      <c r="T48" s="410"/>
      <c r="U48" s="411" t="s">
        <v>694</v>
      </c>
      <c r="V48" s="411"/>
      <c r="W48" s="410"/>
      <c r="X48" s="410"/>
      <c r="Y48" s="410"/>
      <c r="Z48" s="410"/>
      <c r="AA48" s="410"/>
      <c r="AB48" s="410"/>
      <c r="AC48" s="410"/>
      <c r="AD48" s="410"/>
      <c r="AE48" s="411" t="s">
        <v>694</v>
      </c>
      <c r="AF48" s="411"/>
      <c r="AG48" s="410"/>
      <c r="AH48" s="410"/>
      <c r="AI48" s="410"/>
      <c r="AJ48" s="410"/>
      <c r="AK48" s="410"/>
      <c r="AL48" s="410"/>
      <c r="AM48" s="410"/>
    </row>
    <row r="49" spans="1:39" x14ac:dyDescent="0.25">
      <c r="A49" s="412" t="s">
        <v>695</v>
      </c>
      <c r="B49" s="412">
        <v>0.66582573481138041</v>
      </c>
      <c r="C49" s="410"/>
      <c r="D49" s="410"/>
      <c r="E49" s="410"/>
      <c r="F49" s="410"/>
      <c r="G49" s="410"/>
      <c r="H49" s="410"/>
      <c r="I49" s="410"/>
      <c r="J49" s="410"/>
      <c r="K49" s="412" t="s">
        <v>695</v>
      </c>
      <c r="L49" s="412">
        <v>4.9553608043367066E-2</v>
      </c>
      <c r="M49" s="410"/>
      <c r="N49" s="410"/>
      <c r="O49" s="410"/>
      <c r="P49" s="410"/>
      <c r="Q49" s="410"/>
      <c r="R49" s="410"/>
      <c r="S49" s="410"/>
      <c r="T49" s="410"/>
      <c r="U49" s="412" t="s">
        <v>695</v>
      </c>
      <c r="V49" s="412">
        <v>0.33543631381159111</v>
      </c>
      <c r="W49" s="410"/>
      <c r="X49" s="410"/>
      <c r="Y49" s="410"/>
      <c r="Z49" s="410"/>
      <c r="AA49" s="410"/>
      <c r="AB49" s="410"/>
      <c r="AC49" s="410"/>
      <c r="AD49" s="410"/>
      <c r="AE49" s="412" t="s">
        <v>695</v>
      </c>
      <c r="AF49" s="412">
        <v>0.66767862635833131</v>
      </c>
      <c r="AG49" s="410"/>
      <c r="AH49" s="410"/>
      <c r="AI49" s="410"/>
      <c r="AJ49" s="410"/>
      <c r="AK49" s="410"/>
      <c r="AL49" s="410"/>
      <c r="AM49" s="410"/>
    </row>
    <row r="50" spans="1:39" x14ac:dyDescent="0.25">
      <c r="A50" s="412" t="s">
        <v>696</v>
      </c>
      <c r="B50" s="412">
        <v>0.44332390913711461</v>
      </c>
      <c r="C50" s="410"/>
      <c r="D50" s="410"/>
      <c r="E50" s="410"/>
      <c r="F50" s="410"/>
      <c r="G50" s="410"/>
      <c r="H50" s="410"/>
      <c r="I50" s="410"/>
      <c r="J50" s="410"/>
      <c r="K50" s="412" t="s">
        <v>696</v>
      </c>
      <c r="L50" s="412">
        <v>2.4555600701156532E-3</v>
      </c>
      <c r="M50" s="410"/>
      <c r="N50" s="410"/>
      <c r="O50" s="410"/>
      <c r="P50" s="410"/>
      <c r="Q50" s="410"/>
      <c r="R50" s="410"/>
      <c r="S50" s="410"/>
      <c r="T50" s="410"/>
      <c r="U50" s="412" t="s">
        <v>696</v>
      </c>
      <c r="V50" s="412">
        <v>0.11251752062350824</v>
      </c>
      <c r="W50" s="410"/>
      <c r="X50" s="410"/>
      <c r="Y50" s="410"/>
      <c r="Z50" s="410"/>
      <c r="AA50" s="410"/>
      <c r="AB50" s="410"/>
      <c r="AC50" s="410"/>
      <c r="AD50" s="410"/>
      <c r="AE50" s="412" t="s">
        <v>696</v>
      </c>
      <c r="AF50" s="412">
        <v>0.44579474809574815</v>
      </c>
      <c r="AG50" s="410"/>
      <c r="AH50" s="410"/>
      <c r="AI50" s="410"/>
      <c r="AJ50" s="410"/>
      <c r="AK50" s="410"/>
      <c r="AL50" s="410"/>
      <c r="AM50" s="410"/>
    </row>
    <row r="51" spans="1:39" x14ac:dyDescent="0.25">
      <c r="A51" s="412" t="s">
        <v>697</v>
      </c>
      <c r="B51" s="412">
        <v>0.35054456065996709</v>
      </c>
      <c r="C51" s="410"/>
      <c r="D51" s="410"/>
      <c r="E51" s="410"/>
      <c r="F51" s="410"/>
      <c r="G51" s="410"/>
      <c r="H51" s="410"/>
      <c r="I51" s="410"/>
      <c r="J51" s="410"/>
      <c r="K51" s="412" t="s">
        <v>697</v>
      </c>
      <c r="L51" s="412">
        <v>-0.16380184658486507</v>
      </c>
      <c r="M51" s="410"/>
      <c r="N51" s="410"/>
      <c r="O51" s="410"/>
      <c r="P51" s="410"/>
      <c r="Q51" s="410"/>
      <c r="R51" s="410"/>
      <c r="S51" s="410"/>
      <c r="T51" s="410"/>
      <c r="U51" s="412" t="s">
        <v>697</v>
      </c>
      <c r="V51" s="412">
        <v>-3.539622593924039E-2</v>
      </c>
      <c r="W51" s="410"/>
      <c r="X51" s="410"/>
      <c r="Y51" s="410"/>
      <c r="Z51" s="410"/>
      <c r="AA51" s="410"/>
      <c r="AB51" s="410"/>
      <c r="AC51" s="410"/>
      <c r="AD51" s="410"/>
      <c r="AE51" s="412" t="s">
        <v>697</v>
      </c>
      <c r="AF51" s="412">
        <v>0.35342720611170614</v>
      </c>
      <c r="AG51" s="410"/>
      <c r="AH51" s="410"/>
      <c r="AI51" s="410"/>
      <c r="AJ51" s="410"/>
      <c r="AK51" s="410"/>
      <c r="AL51" s="410"/>
      <c r="AM51" s="410"/>
    </row>
    <row r="52" spans="1:39" x14ac:dyDescent="0.25">
      <c r="A52" s="412" t="s">
        <v>698</v>
      </c>
      <c r="B52" s="412">
        <v>9.7168616457928902E-2</v>
      </c>
      <c r="C52" s="410"/>
      <c r="D52" s="410"/>
      <c r="E52" s="410"/>
      <c r="F52" s="410"/>
      <c r="G52" s="410"/>
      <c r="H52" s="410"/>
      <c r="I52" s="410"/>
      <c r="J52" s="410"/>
      <c r="K52" s="412" t="s">
        <v>698</v>
      </c>
      <c r="L52" s="412">
        <v>0.15932089744288913</v>
      </c>
      <c r="M52" s="410"/>
      <c r="N52" s="410"/>
      <c r="O52" s="410"/>
      <c r="P52" s="410"/>
      <c r="Q52" s="410"/>
      <c r="R52" s="410"/>
      <c r="S52" s="410"/>
      <c r="T52" s="410"/>
      <c r="U52" s="412" t="s">
        <v>698</v>
      </c>
      <c r="V52" s="412">
        <v>9.4295199562619683E-2</v>
      </c>
      <c r="W52" s="410"/>
      <c r="X52" s="410"/>
      <c r="Y52" s="410"/>
      <c r="Z52" s="410"/>
      <c r="AA52" s="410"/>
      <c r="AB52" s="410"/>
      <c r="AC52" s="410"/>
      <c r="AD52" s="410"/>
      <c r="AE52" s="412" t="s">
        <v>698</v>
      </c>
      <c r="AF52" s="412">
        <v>0.1449215498047596</v>
      </c>
      <c r="AG52" s="410"/>
      <c r="AH52" s="410"/>
      <c r="AI52" s="410"/>
      <c r="AJ52" s="410"/>
      <c r="AK52" s="410"/>
      <c r="AL52" s="410"/>
      <c r="AM52" s="410"/>
    </row>
    <row r="53" spans="1:39" ht="15.75" thickBot="1" x14ac:dyDescent="0.3">
      <c r="A53" s="413" t="s">
        <v>699</v>
      </c>
      <c r="B53" s="413">
        <v>8</v>
      </c>
      <c r="C53" s="410"/>
      <c r="D53" s="410"/>
      <c r="E53" s="410"/>
      <c r="F53" s="410"/>
      <c r="G53" s="410"/>
      <c r="H53" s="410"/>
      <c r="I53" s="410"/>
      <c r="J53" s="410"/>
      <c r="K53" s="413" t="s">
        <v>699</v>
      </c>
      <c r="L53" s="413">
        <v>8</v>
      </c>
      <c r="M53" s="410"/>
      <c r="N53" s="410"/>
      <c r="O53" s="410"/>
      <c r="P53" s="410"/>
      <c r="Q53" s="410"/>
      <c r="R53" s="410"/>
      <c r="S53" s="410"/>
      <c r="T53" s="410"/>
      <c r="U53" s="413" t="s">
        <v>699</v>
      </c>
      <c r="V53" s="413">
        <v>8</v>
      </c>
      <c r="W53" s="410"/>
      <c r="X53" s="410"/>
      <c r="Y53" s="410"/>
      <c r="Z53" s="410"/>
      <c r="AA53" s="410"/>
      <c r="AB53" s="410"/>
      <c r="AC53" s="410"/>
      <c r="AD53" s="410"/>
      <c r="AE53" s="413" t="s">
        <v>699</v>
      </c>
      <c r="AF53" s="413">
        <v>8</v>
      </c>
      <c r="AG53" s="410"/>
      <c r="AH53" s="410"/>
      <c r="AI53" s="410"/>
      <c r="AJ53" s="410"/>
      <c r="AK53" s="410"/>
      <c r="AL53" s="410"/>
      <c r="AM53" s="410"/>
    </row>
    <row r="54" spans="1:39" x14ac:dyDescent="0.25">
      <c r="A54" s="410"/>
      <c r="B54" s="410"/>
      <c r="C54" s="410"/>
      <c r="D54" s="410"/>
      <c r="E54" s="410"/>
      <c r="F54" s="410"/>
      <c r="G54" s="410"/>
      <c r="H54" s="410"/>
      <c r="I54" s="410"/>
      <c r="J54" s="410"/>
      <c r="K54" s="410"/>
      <c r="L54" s="410"/>
      <c r="M54" s="410"/>
      <c r="N54" s="410"/>
      <c r="O54" s="410"/>
      <c r="P54" s="410"/>
      <c r="Q54" s="410"/>
      <c r="R54" s="410"/>
      <c r="S54" s="410"/>
      <c r="T54" s="410"/>
      <c r="U54" s="410"/>
      <c r="V54" s="410"/>
      <c r="W54" s="410"/>
      <c r="X54" s="410"/>
      <c r="Y54" s="410"/>
      <c r="Z54" s="410"/>
      <c r="AA54" s="410"/>
      <c r="AB54" s="410"/>
      <c r="AC54" s="410"/>
      <c r="AD54" s="410"/>
      <c r="AE54" s="410"/>
      <c r="AF54" s="410"/>
      <c r="AG54" s="410"/>
      <c r="AH54" s="410"/>
      <c r="AI54" s="410"/>
      <c r="AJ54" s="410"/>
      <c r="AK54" s="410"/>
      <c r="AL54" s="410"/>
      <c r="AM54" s="410"/>
    </row>
    <row r="55" spans="1:39" ht="15.75" thickBot="1" x14ac:dyDescent="0.3">
      <c r="A55" s="410" t="s">
        <v>700</v>
      </c>
      <c r="B55" s="410"/>
      <c r="C55" s="410"/>
      <c r="D55" s="410"/>
      <c r="E55" s="410"/>
      <c r="F55" s="410"/>
      <c r="G55" s="410"/>
      <c r="H55" s="410"/>
      <c r="I55" s="410"/>
      <c r="J55" s="410"/>
      <c r="K55" s="410" t="s">
        <v>700</v>
      </c>
      <c r="L55" s="410"/>
      <c r="M55" s="410"/>
      <c r="N55" s="410"/>
      <c r="O55" s="410"/>
      <c r="P55" s="410"/>
      <c r="Q55" s="410"/>
      <c r="R55" s="410"/>
      <c r="S55" s="410"/>
      <c r="T55" s="410"/>
      <c r="U55" s="410" t="s">
        <v>700</v>
      </c>
      <c r="V55" s="410"/>
      <c r="W55" s="410"/>
      <c r="X55" s="410"/>
      <c r="Y55" s="410"/>
      <c r="Z55" s="410"/>
      <c r="AA55" s="410"/>
      <c r="AB55" s="410"/>
      <c r="AC55" s="410"/>
      <c r="AD55" s="410"/>
      <c r="AE55" s="410" t="s">
        <v>700</v>
      </c>
      <c r="AF55" s="410"/>
      <c r="AG55" s="410"/>
      <c r="AH55" s="410"/>
      <c r="AI55" s="410"/>
      <c r="AJ55" s="410"/>
      <c r="AK55" s="410"/>
      <c r="AL55" s="410"/>
      <c r="AM55" s="410"/>
    </row>
    <row r="56" spans="1:39" x14ac:dyDescent="0.25">
      <c r="A56" s="414"/>
      <c r="B56" s="414" t="s">
        <v>701</v>
      </c>
      <c r="C56" s="414" t="s">
        <v>702</v>
      </c>
      <c r="D56" s="414" t="s">
        <v>703</v>
      </c>
      <c r="E56" s="414" t="s">
        <v>704</v>
      </c>
      <c r="F56" s="414" t="s">
        <v>705</v>
      </c>
      <c r="G56" s="410"/>
      <c r="H56" s="410"/>
      <c r="I56" s="410"/>
      <c r="J56" s="410"/>
      <c r="K56" s="414"/>
      <c r="L56" s="414" t="s">
        <v>701</v>
      </c>
      <c r="M56" s="414" t="s">
        <v>702</v>
      </c>
      <c r="N56" s="414" t="s">
        <v>703</v>
      </c>
      <c r="O56" s="414" t="s">
        <v>704</v>
      </c>
      <c r="P56" s="414" t="s">
        <v>705</v>
      </c>
      <c r="Q56" s="410"/>
      <c r="R56" s="410"/>
      <c r="S56" s="410"/>
      <c r="T56" s="410"/>
      <c r="U56" s="414"/>
      <c r="V56" s="414" t="s">
        <v>701</v>
      </c>
      <c r="W56" s="414" t="s">
        <v>702</v>
      </c>
      <c r="X56" s="414" t="s">
        <v>703</v>
      </c>
      <c r="Y56" s="414" t="s">
        <v>704</v>
      </c>
      <c r="Z56" s="414" t="s">
        <v>705</v>
      </c>
      <c r="AA56" s="410"/>
      <c r="AB56" s="410"/>
      <c r="AC56" s="410"/>
      <c r="AD56" s="410"/>
      <c r="AE56" s="414"/>
      <c r="AF56" s="414" t="s">
        <v>701</v>
      </c>
      <c r="AG56" s="414" t="s">
        <v>702</v>
      </c>
      <c r="AH56" s="414" t="s">
        <v>703</v>
      </c>
      <c r="AI56" s="414" t="s">
        <v>704</v>
      </c>
      <c r="AJ56" s="414" t="s">
        <v>705</v>
      </c>
      <c r="AK56" s="410"/>
      <c r="AL56" s="410"/>
      <c r="AM56" s="410"/>
    </row>
    <row r="57" spans="1:39" x14ac:dyDescent="0.25">
      <c r="A57" s="412" t="s">
        <v>707</v>
      </c>
      <c r="B57" s="412">
        <v>1</v>
      </c>
      <c r="C57" s="412">
        <v>4.5115094742030244E-2</v>
      </c>
      <c r="D57" s="412">
        <v>4.5115094742030244E-2</v>
      </c>
      <c r="E57" s="412">
        <v>4.7782606411200392</v>
      </c>
      <c r="F57" s="412">
        <v>7.1475287122897149E-2</v>
      </c>
      <c r="G57" s="410"/>
      <c r="H57" s="410"/>
      <c r="I57" s="410"/>
      <c r="J57" s="410"/>
      <c r="K57" s="412" t="s">
        <v>707</v>
      </c>
      <c r="L57" s="412">
        <v>1</v>
      </c>
      <c r="M57" s="412">
        <v>3.7489966206988301E-4</v>
      </c>
      <c r="N57" s="412">
        <v>3.7489966206988301E-4</v>
      </c>
      <c r="O57" s="412">
        <v>1.4769628129779862E-2</v>
      </c>
      <c r="P57" s="412">
        <v>0.90723897519631869</v>
      </c>
      <c r="Q57" s="410"/>
      <c r="R57" s="410"/>
      <c r="S57" s="410"/>
      <c r="T57" s="410"/>
      <c r="U57" s="412" t="s">
        <v>707</v>
      </c>
      <c r="V57" s="412">
        <v>1</v>
      </c>
      <c r="W57" s="412">
        <v>6.7638004152316272E-3</v>
      </c>
      <c r="X57" s="412">
        <v>6.7638004152316272E-3</v>
      </c>
      <c r="Y57" s="412">
        <v>0.76069684690040329</v>
      </c>
      <c r="Z57" s="412">
        <v>0.41664248144223243</v>
      </c>
      <c r="AA57" s="410"/>
      <c r="AB57" s="410"/>
      <c r="AC57" s="410"/>
      <c r="AD57" s="410"/>
      <c r="AE57" s="412" t="s">
        <v>707</v>
      </c>
      <c r="AF57" s="412">
        <v>1</v>
      </c>
      <c r="AG57" s="412">
        <v>0.10136347728390682</v>
      </c>
      <c r="AH57" s="412">
        <v>0.10136347728390682</v>
      </c>
      <c r="AI57" s="412">
        <v>4.8263138600436779</v>
      </c>
      <c r="AJ57" s="412">
        <v>7.0403451375228673E-2</v>
      </c>
      <c r="AK57" s="410"/>
      <c r="AL57" s="410"/>
      <c r="AM57" s="410"/>
    </row>
    <row r="58" spans="1:39" x14ac:dyDescent="0.25">
      <c r="A58" s="412" t="s">
        <v>708</v>
      </c>
      <c r="B58" s="412">
        <v>6</v>
      </c>
      <c r="C58" s="412">
        <v>5.6650440146088547E-2</v>
      </c>
      <c r="D58" s="412">
        <v>9.4417400243480918E-3</v>
      </c>
      <c r="E58" s="412"/>
      <c r="F58" s="412"/>
      <c r="G58" s="410"/>
      <c r="H58" s="410"/>
      <c r="I58" s="410"/>
      <c r="J58" s="410"/>
      <c r="K58" s="412" t="s">
        <v>708</v>
      </c>
      <c r="L58" s="412">
        <v>6</v>
      </c>
      <c r="M58" s="412">
        <v>0.15229889017204556</v>
      </c>
      <c r="N58" s="412">
        <v>2.5383148362007595E-2</v>
      </c>
      <c r="O58" s="412"/>
      <c r="P58" s="412"/>
      <c r="Q58" s="410"/>
      <c r="R58" s="410"/>
      <c r="S58" s="410"/>
      <c r="T58" s="410"/>
      <c r="U58" s="412" t="s">
        <v>708</v>
      </c>
      <c r="V58" s="412">
        <v>6</v>
      </c>
      <c r="W58" s="412">
        <v>5.3349507963325632E-2</v>
      </c>
      <c r="X58" s="412">
        <v>8.891584660554272E-3</v>
      </c>
      <c r="Y58" s="412"/>
      <c r="Z58" s="412"/>
      <c r="AA58" s="410"/>
      <c r="AB58" s="410"/>
      <c r="AC58" s="410"/>
      <c r="AD58" s="410"/>
      <c r="AE58" s="412" t="s">
        <v>708</v>
      </c>
      <c r="AF58" s="412">
        <v>6</v>
      </c>
      <c r="AG58" s="412">
        <v>0.1260135335868805</v>
      </c>
      <c r="AH58" s="412">
        <v>2.1002255597813418E-2</v>
      </c>
      <c r="AI58" s="412"/>
      <c r="AJ58" s="412"/>
      <c r="AK58" s="410"/>
      <c r="AL58" s="410"/>
      <c r="AM58" s="410"/>
    </row>
    <row r="59" spans="1:39" ht="15.75" thickBot="1" x14ac:dyDescent="0.3">
      <c r="A59" s="413" t="s">
        <v>468</v>
      </c>
      <c r="B59" s="413">
        <v>7</v>
      </c>
      <c r="C59" s="413">
        <v>0.10176553488811879</v>
      </c>
      <c r="D59" s="413"/>
      <c r="E59" s="413"/>
      <c r="F59" s="413"/>
      <c r="G59" s="410"/>
      <c r="H59" s="410"/>
      <c r="I59" s="410"/>
      <c r="J59" s="410"/>
      <c r="K59" s="413" t="s">
        <v>468</v>
      </c>
      <c r="L59" s="413">
        <v>7</v>
      </c>
      <c r="M59" s="413">
        <v>0.15267378983411545</v>
      </c>
      <c r="N59" s="413"/>
      <c r="O59" s="413"/>
      <c r="P59" s="413"/>
      <c r="Q59" s="410"/>
      <c r="R59" s="410"/>
      <c r="S59" s="410"/>
      <c r="T59" s="410"/>
      <c r="U59" s="413" t="s">
        <v>468</v>
      </c>
      <c r="V59" s="413">
        <v>7</v>
      </c>
      <c r="W59" s="413">
        <v>6.0113308378557259E-2</v>
      </c>
      <c r="X59" s="413"/>
      <c r="Y59" s="413"/>
      <c r="Z59" s="413"/>
      <c r="AA59" s="410"/>
      <c r="AB59" s="410"/>
      <c r="AC59" s="410"/>
      <c r="AD59" s="410"/>
      <c r="AE59" s="413" t="s">
        <v>468</v>
      </c>
      <c r="AF59" s="413">
        <v>7</v>
      </c>
      <c r="AG59" s="413">
        <v>0.22737701087078732</v>
      </c>
      <c r="AH59" s="413"/>
      <c r="AI59" s="413"/>
      <c r="AJ59" s="413"/>
      <c r="AK59" s="410"/>
      <c r="AL59" s="410"/>
      <c r="AM59" s="410"/>
    </row>
    <row r="60" spans="1:39" ht="15.75" thickBot="1" x14ac:dyDescent="0.3">
      <c r="A60" s="410"/>
      <c r="B60" s="410"/>
      <c r="C60" s="410"/>
      <c r="D60" s="410"/>
      <c r="E60" s="410"/>
      <c r="F60" s="410"/>
      <c r="G60" s="410"/>
      <c r="H60" s="410"/>
      <c r="I60" s="410"/>
      <c r="J60" s="410"/>
      <c r="K60" s="410"/>
      <c r="L60" s="410"/>
      <c r="M60" s="410"/>
      <c r="N60" s="410"/>
      <c r="O60" s="410"/>
      <c r="P60" s="410"/>
      <c r="Q60" s="410"/>
      <c r="R60" s="410"/>
      <c r="S60" s="410"/>
      <c r="T60" s="410"/>
      <c r="U60" s="410"/>
      <c r="V60" s="410"/>
      <c r="W60" s="410"/>
      <c r="X60" s="410"/>
      <c r="Y60" s="410"/>
      <c r="Z60" s="410"/>
      <c r="AA60" s="410"/>
      <c r="AB60" s="410"/>
      <c r="AC60" s="410"/>
      <c r="AD60" s="410"/>
      <c r="AE60" s="410"/>
      <c r="AF60" s="410"/>
      <c r="AG60" s="410"/>
      <c r="AH60" s="410"/>
      <c r="AI60" s="410"/>
      <c r="AJ60" s="410"/>
      <c r="AK60" s="410"/>
      <c r="AL60" s="410"/>
      <c r="AM60" s="410"/>
    </row>
    <row r="61" spans="1:39" x14ac:dyDescent="0.25">
      <c r="A61" s="414"/>
      <c r="B61" s="414" t="s">
        <v>709</v>
      </c>
      <c r="C61" s="414" t="s">
        <v>698</v>
      </c>
      <c r="D61" s="414" t="s">
        <v>710</v>
      </c>
      <c r="E61" s="414" t="s">
        <v>711</v>
      </c>
      <c r="F61" s="414" t="s">
        <v>712</v>
      </c>
      <c r="G61" s="414" t="s">
        <v>713</v>
      </c>
      <c r="H61" s="414" t="s">
        <v>714</v>
      </c>
      <c r="I61" s="414" t="s">
        <v>715</v>
      </c>
      <c r="J61" s="410"/>
      <c r="K61" s="414"/>
      <c r="L61" s="414" t="s">
        <v>709</v>
      </c>
      <c r="M61" s="414" t="s">
        <v>698</v>
      </c>
      <c r="N61" s="414" t="s">
        <v>710</v>
      </c>
      <c r="O61" s="414" t="s">
        <v>711</v>
      </c>
      <c r="P61" s="414" t="s">
        <v>712</v>
      </c>
      <c r="Q61" s="414" t="s">
        <v>713</v>
      </c>
      <c r="R61" s="414" t="s">
        <v>714</v>
      </c>
      <c r="S61" s="414" t="s">
        <v>715</v>
      </c>
      <c r="T61" s="410"/>
      <c r="U61" s="414"/>
      <c r="V61" s="414" t="s">
        <v>709</v>
      </c>
      <c r="W61" s="414" t="s">
        <v>698</v>
      </c>
      <c r="X61" s="414" t="s">
        <v>710</v>
      </c>
      <c r="Y61" s="414" t="s">
        <v>711</v>
      </c>
      <c r="Z61" s="414" t="s">
        <v>712</v>
      </c>
      <c r="AA61" s="414" t="s">
        <v>713</v>
      </c>
      <c r="AB61" s="414" t="s">
        <v>714</v>
      </c>
      <c r="AC61" s="414" t="s">
        <v>715</v>
      </c>
      <c r="AD61" s="410"/>
      <c r="AE61" s="414"/>
      <c r="AF61" s="414" t="s">
        <v>709</v>
      </c>
      <c r="AG61" s="414" t="s">
        <v>698</v>
      </c>
      <c r="AH61" s="414" t="s">
        <v>710</v>
      </c>
      <c r="AI61" s="414" t="s">
        <v>711</v>
      </c>
      <c r="AJ61" s="414" t="s">
        <v>712</v>
      </c>
      <c r="AK61" s="414" t="s">
        <v>713</v>
      </c>
      <c r="AL61" s="414" t="s">
        <v>714</v>
      </c>
      <c r="AM61" s="414" t="s">
        <v>715</v>
      </c>
    </row>
    <row r="62" spans="1:39" x14ac:dyDescent="0.25">
      <c r="A62" s="412" t="s">
        <v>716</v>
      </c>
      <c r="B62" s="412">
        <v>-62.247905215443026</v>
      </c>
      <c r="C62" s="412">
        <v>30.294271122633887</v>
      </c>
      <c r="D62" s="412">
        <v>-2.05477481083661</v>
      </c>
      <c r="E62" s="412">
        <v>8.5673855837475096E-2</v>
      </c>
      <c r="F62" s="412">
        <v>-136.3753162472147</v>
      </c>
      <c r="G62" s="412">
        <v>11.87950581632866</v>
      </c>
      <c r="H62" s="412">
        <v>-136.3753162472147</v>
      </c>
      <c r="I62" s="412">
        <v>11.87950581632866</v>
      </c>
      <c r="J62" s="410"/>
      <c r="K62" s="412" t="s">
        <v>716</v>
      </c>
      <c r="L62" s="412">
        <v>-3.4329075181250297</v>
      </c>
      <c r="M62" s="412">
        <v>49.67149516558122</v>
      </c>
      <c r="N62" s="412">
        <v>-6.9112224358887184E-2</v>
      </c>
      <c r="O62" s="412">
        <v>0.94714605520688888</v>
      </c>
      <c r="P62" s="412">
        <v>-124.97467770287579</v>
      </c>
      <c r="Q62" s="412">
        <v>118.10886266662573</v>
      </c>
      <c r="R62" s="412">
        <v>-124.97467770287579</v>
      </c>
      <c r="S62" s="412">
        <v>118.10886266662573</v>
      </c>
      <c r="T62" s="410"/>
      <c r="U62" s="412" t="s">
        <v>716</v>
      </c>
      <c r="V62" s="412">
        <v>-23.341968688089349</v>
      </c>
      <c r="W62" s="412">
        <v>29.398425595055098</v>
      </c>
      <c r="X62" s="412">
        <v>-0.79398703214962429</v>
      </c>
      <c r="Y62" s="412">
        <v>0.45744671125545244</v>
      </c>
      <c r="Z62" s="412">
        <v>-95.277324681633274</v>
      </c>
      <c r="AA62" s="412">
        <v>48.59338730545457</v>
      </c>
      <c r="AB62" s="412">
        <v>-95.277324681633274</v>
      </c>
      <c r="AC62" s="412">
        <v>48.59338730545457</v>
      </c>
      <c r="AD62" s="410"/>
      <c r="AE62" s="412" t="s">
        <v>716</v>
      </c>
      <c r="AF62" s="412">
        <v>-95.839158225543741</v>
      </c>
      <c r="AG62" s="412">
        <v>45.182208837958932</v>
      </c>
      <c r="AH62" s="412">
        <v>-2.1211702723357426</v>
      </c>
      <c r="AI62" s="412">
        <v>7.815695392435594E-2</v>
      </c>
      <c r="AJ62" s="412">
        <v>-206.39604049205244</v>
      </c>
      <c r="AK62" s="412">
        <v>14.717724040964953</v>
      </c>
      <c r="AL62" s="412">
        <v>-206.39604049205244</v>
      </c>
      <c r="AM62" s="412">
        <v>14.717724040964953</v>
      </c>
    </row>
    <row r="63" spans="1:39" ht="15.75" thickBot="1" x14ac:dyDescent="0.3">
      <c r="A63" s="413" t="s">
        <v>41</v>
      </c>
      <c r="B63" s="413">
        <v>3.2774516356908936E-2</v>
      </c>
      <c r="C63" s="413">
        <v>1.4993443030640088E-2</v>
      </c>
      <c r="D63" s="413">
        <v>2.1859232925974412</v>
      </c>
      <c r="E63" s="413">
        <v>7.1475287122897163E-2</v>
      </c>
      <c r="F63" s="413">
        <v>-3.9131170842312477E-3</v>
      </c>
      <c r="G63" s="413">
        <v>6.9462149798049128E-2</v>
      </c>
      <c r="H63" s="413">
        <v>-3.9131170842312477E-3</v>
      </c>
      <c r="I63" s="413">
        <v>6.9462149798049128E-2</v>
      </c>
      <c r="J63" s="410"/>
      <c r="K63" s="413" t="s">
        <v>41</v>
      </c>
      <c r="L63" s="413">
        <v>2.987671740709714E-3</v>
      </c>
      <c r="M63" s="413">
        <v>2.4583748194404675E-2</v>
      </c>
      <c r="N63" s="413">
        <v>0.12153035888114554</v>
      </c>
      <c r="O63" s="413">
        <v>0.90723897519631813</v>
      </c>
      <c r="P63" s="413">
        <v>-5.7166593061742835E-2</v>
      </c>
      <c r="Q63" s="413">
        <v>6.3141936543162261E-2</v>
      </c>
      <c r="R63" s="413">
        <v>-5.7166593061742835E-2</v>
      </c>
      <c r="S63" s="413">
        <v>6.3141936543162261E-2</v>
      </c>
      <c r="T63" s="410"/>
      <c r="U63" s="413" t="s">
        <v>41</v>
      </c>
      <c r="V63" s="413">
        <v>1.269026662561999E-2</v>
      </c>
      <c r="W63" s="413">
        <v>1.4550065177856201E-2</v>
      </c>
      <c r="X63" s="413">
        <v>0.87217936624320791</v>
      </c>
      <c r="Y63" s="413">
        <v>0.41664248144223265</v>
      </c>
      <c r="Z63" s="413">
        <v>-2.2912460293008086E-2</v>
      </c>
      <c r="AA63" s="413">
        <v>4.829299354424807E-2</v>
      </c>
      <c r="AB63" s="413">
        <v>-2.2912460293008086E-2</v>
      </c>
      <c r="AC63" s="413">
        <v>4.829299354424807E-2</v>
      </c>
      <c r="AD63" s="410"/>
      <c r="AE63" s="413" t="s">
        <v>41</v>
      </c>
      <c r="AF63" s="413">
        <v>4.9126531790950848E-2</v>
      </c>
      <c r="AG63" s="413">
        <v>2.2361880616572554E-2</v>
      </c>
      <c r="AH63" s="413">
        <v>2.1968873116397383</v>
      </c>
      <c r="AI63" s="413">
        <v>7.0403451375228757E-2</v>
      </c>
      <c r="AJ63" s="413">
        <v>-5.5910189036295146E-3</v>
      </c>
      <c r="AK63" s="413">
        <v>0.1038440824855312</v>
      </c>
      <c r="AL63" s="413">
        <v>-5.5910189036295146E-3</v>
      </c>
      <c r="AM63" s="413">
        <v>0.1038440824855312</v>
      </c>
    </row>
    <row r="67" spans="1:39" x14ac:dyDescent="0.25">
      <c r="A67" s="213" t="s">
        <v>41</v>
      </c>
      <c r="B67" s="405" t="s">
        <v>754</v>
      </c>
      <c r="C67" t="s">
        <v>691</v>
      </c>
      <c r="E67" t="s">
        <v>745</v>
      </c>
      <c r="F67" t="s">
        <v>746</v>
      </c>
      <c r="G67" t="s">
        <v>747</v>
      </c>
      <c r="H67" s="408" t="s">
        <v>752</v>
      </c>
      <c r="K67" s="213" t="s">
        <v>41</v>
      </c>
      <c r="L67" s="405" t="s">
        <v>759</v>
      </c>
      <c r="M67" t="s">
        <v>691</v>
      </c>
      <c r="O67" t="s">
        <v>745</v>
      </c>
      <c r="P67" t="s">
        <v>746</v>
      </c>
      <c r="Q67" t="s">
        <v>747</v>
      </c>
      <c r="R67" s="408" t="s">
        <v>753</v>
      </c>
      <c r="U67" s="213" t="s">
        <v>41</v>
      </c>
      <c r="V67" s="405" t="s">
        <v>760</v>
      </c>
      <c r="W67" t="s">
        <v>691</v>
      </c>
      <c r="Y67" t="s">
        <v>745</v>
      </c>
      <c r="Z67" t="s">
        <v>746</v>
      </c>
      <c r="AA67" t="s">
        <v>747</v>
      </c>
      <c r="AB67" s="408" t="s">
        <v>748</v>
      </c>
      <c r="AE67" s="213" t="s">
        <v>41</v>
      </c>
      <c r="AF67" s="405" t="s">
        <v>761</v>
      </c>
      <c r="AG67" t="s">
        <v>691</v>
      </c>
      <c r="AI67" t="s">
        <v>745</v>
      </c>
      <c r="AJ67" t="s">
        <v>746</v>
      </c>
      <c r="AK67" t="s">
        <v>747</v>
      </c>
      <c r="AL67" s="408" t="s">
        <v>748</v>
      </c>
    </row>
    <row r="68" spans="1:39" x14ac:dyDescent="0.25">
      <c r="A68" s="213">
        <v>2017</v>
      </c>
      <c r="B68" s="277">
        <v>51.4</v>
      </c>
      <c r="C68">
        <f>LN(B68)</f>
        <v>3.9396381724611196</v>
      </c>
      <c r="E68">
        <v>2025</v>
      </c>
      <c r="F68" s="373">
        <f>($B$95+$B$96*E68)/100</f>
        <v>4.6630732189604486E-2</v>
      </c>
      <c r="G68" s="373">
        <f>($B$75/$B$68)^(1/7)-1</f>
        <v>9.9270509205608093E-2</v>
      </c>
      <c r="H68" s="409">
        <f>0.8*F68+0.2*G68</f>
        <v>5.7158687592805207E-2</v>
      </c>
      <c r="K68" s="213">
        <v>2017</v>
      </c>
      <c r="L68" s="277">
        <v>74.5</v>
      </c>
      <c r="M68">
        <f>LN(L68)</f>
        <v>4.3107991253855138</v>
      </c>
      <c r="O68">
        <v>2025</v>
      </c>
      <c r="P68" s="373">
        <f>($L$95+$L$96*O68)/100</f>
        <v>4.2202866751072182E-2</v>
      </c>
      <c r="Q68" s="373">
        <f>($L$75/$L$68)^(1/7)-1</f>
        <v>-6.6508968811005431E-3</v>
      </c>
      <c r="R68" s="409">
        <f>0.5*P68+0.5*Q68</f>
        <v>1.777598493498582E-2</v>
      </c>
      <c r="U68" s="213">
        <v>2017</v>
      </c>
      <c r="V68" s="277">
        <v>22.2</v>
      </c>
      <c r="W68">
        <f>LN(V68)</f>
        <v>3.1000922888782338</v>
      </c>
      <c r="Y68">
        <v>2025</v>
      </c>
      <c r="Z68" s="373">
        <f>($V$95+$V$96*Y68)/100</f>
        <v>4.4157378579568557E-2</v>
      </c>
      <c r="AA68" s="373">
        <f>($V$75/$V$68)^(1/7)-1</f>
        <v>0.16312925678853185</v>
      </c>
      <c r="AB68" s="409">
        <f>0.8*Z68+0.2*AA68</f>
        <v>6.795175422136121E-2</v>
      </c>
      <c r="AE68" s="213">
        <v>2017</v>
      </c>
      <c r="AF68">
        <v>19.984896926582849</v>
      </c>
      <c r="AG68">
        <f>LN(AF68)</f>
        <v>2.9949768346109749</v>
      </c>
      <c r="AI68">
        <v>2025</v>
      </c>
      <c r="AJ68" s="373">
        <f>($AF$95+$AF$96*AI68)/100</f>
        <v>3.5929697835382794E-2</v>
      </c>
      <c r="AK68" s="373">
        <f>($AF$75/$AF$68)^(1/7)-1</f>
        <v>8.9858550892451872E-2</v>
      </c>
      <c r="AL68" s="409">
        <f>0.8*AJ68+0.2*AK68</f>
        <v>4.671546844679661E-2</v>
      </c>
    </row>
    <row r="69" spans="1:39" x14ac:dyDescent="0.25">
      <c r="A69" s="213">
        <v>2018</v>
      </c>
      <c r="B69" s="277">
        <v>51.5</v>
      </c>
      <c r="C69">
        <f t="shared" ref="C69:C75" si="32">LN(B69)</f>
        <v>3.9415818076696905</v>
      </c>
      <c r="E69">
        <v>2026</v>
      </c>
      <c r="F69" s="373">
        <f t="shared" ref="F69:F77" si="33">($B$95+$B$96*E69)/100</f>
        <v>4.777860467265526E-2</v>
      </c>
      <c r="G69" s="373">
        <f t="shared" ref="G69:G77" si="34">($B$75/$B$68)^(1/7)-1</f>
        <v>9.9270509205608093E-2</v>
      </c>
      <c r="H69" s="409">
        <f t="shared" ref="H69:H77" si="35">0.8*F69+0.2*G69</f>
        <v>5.8076985579245829E-2</v>
      </c>
      <c r="K69" s="213">
        <v>2018</v>
      </c>
      <c r="L69" s="277">
        <v>75.7</v>
      </c>
      <c r="M69">
        <f t="shared" ref="M69:M75" si="36">LN(L69)</f>
        <v>4.3267781604434035</v>
      </c>
      <c r="O69">
        <v>2026</v>
      </c>
      <c r="P69" s="373">
        <f t="shared" ref="P69:P77" si="37">($L$95+$L$96*O69)/100</f>
        <v>4.2100603040318277E-2</v>
      </c>
      <c r="Q69" s="373">
        <f t="shared" ref="Q69:Q77" si="38">($L$75/$L$68)^(1/7)-1</f>
        <v>-6.6508968811005431E-3</v>
      </c>
      <c r="R69" s="409">
        <f t="shared" ref="R69:R77" si="39">0.5*P69+0.5*Q69</f>
        <v>1.7724853079608867E-2</v>
      </c>
      <c r="U69" s="213">
        <v>2018</v>
      </c>
      <c r="V69" s="277">
        <v>21.7</v>
      </c>
      <c r="W69">
        <f t="shared" ref="W69:W75" si="40">LN(V69)</f>
        <v>3.0773122605464138</v>
      </c>
      <c r="Y69">
        <v>2026</v>
      </c>
      <c r="Z69" s="373">
        <f t="shared" ref="Z69:Z77" si="41">($V$95+$V$96*Y69)/100</f>
        <v>4.6066155820407177E-2</v>
      </c>
      <c r="AA69" s="373">
        <f t="shared" ref="AA69:AA77" si="42">($V$75/$V$68)^(1/7)-1</f>
        <v>0.16312925678853185</v>
      </c>
      <c r="AB69" s="409">
        <f t="shared" ref="AB69:AB77" si="43">0.8*Z69+0.2*AA69</f>
        <v>6.9478776014032115E-2</v>
      </c>
      <c r="AE69" s="213">
        <v>2018</v>
      </c>
      <c r="AF69">
        <v>22.443951000000002</v>
      </c>
      <c r="AG69">
        <f t="shared" ref="AG69:AG75" si="44">LN(AF69)</f>
        <v>3.1110211346747936</v>
      </c>
      <c r="AI69">
        <v>2026</v>
      </c>
      <c r="AJ69" s="373">
        <f t="shared" ref="AJ69:AJ77" si="45">($AF$95+$AF$96*AI69)/100</f>
        <v>3.684332565886933E-2</v>
      </c>
      <c r="AK69" s="373">
        <f t="shared" ref="AK69:AK77" si="46">($AF$75/$AF$68)^(1/7)-1</f>
        <v>8.9858550892451872E-2</v>
      </c>
      <c r="AL69" s="409">
        <f t="shared" ref="AL69:AL77" si="47">0.8*AJ69+0.2*AK69</f>
        <v>4.7446370705585841E-2</v>
      </c>
    </row>
    <row r="70" spans="1:39" x14ac:dyDescent="0.25">
      <c r="A70" s="213">
        <v>2019</v>
      </c>
      <c r="B70" s="277">
        <v>51.4</v>
      </c>
      <c r="C70">
        <f t="shared" si="32"/>
        <v>3.9396381724611196</v>
      </c>
      <c r="E70">
        <v>2027</v>
      </c>
      <c r="F70" s="373">
        <f t="shared" si="33"/>
        <v>4.8926477155706041E-2</v>
      </c>
      <c r="G70" s="373">
        <f t="shared" si="34"/>
        <v>9.9270509205608093E-2</v>
      </c>
      <c r="H70" s="409">
        <f t="shared" si="35"/>
        <v>5.8995283565686452E-2</v>
      </c>
      <c r="K70" s="213">
        <v>2019</v>
      </c>
      <c r="L70" s="277">
        <v>77.5</v>
      </c>
      <c r="M70">
        <f t="shared" si="36"/>
        <v>4.3502779363593014</v>
      </c>
      <c r="O70">
        <v>2027</v>
      </c>
      <c r="P70" s="373">
        <f t="shared" si="37"/>
        <v>4.1998339329564371E-2</v>
      </c>
      <c r="Q70" s="373">
        <f t="shared" si="38"/>
        <v>-6.6508968811005431E-3</v>
      </c>
      <c r="R70" s="409">
        <f t="shared" si="39"/>
        <v>1.7673721224231914E-2</v>
      </c>
      <c r="U70" s="213">
        <v>2019</v>
      </c>
      <c r="V70" s="277">
        <v>19.8</v>
      </c>
      <c r="W70">
        <f t="shared" si="40"/>
        <v>2.9856819377004897</v>
      </c>
      <c r="Y70">
        <v>2027</v>
      </c>
      <c r="Z70" s="373">
        <f t="shared" si="41"/>
        <v>4.7974933061245791E-2</v>
      </c>
      <c r="AA70" s="373">
        <f t="shared" si="42"/>
        <v>0.16312925678853185</v>
      </c>
      <c r="AB70" s="409">
        <f t="shared" si="43"/>
        <v>7.1005797806703005E-2</v>
      </c>
      <c r="AE70" s="213">
        <v>2019</v>
      </c>
      <c r="AF70">
        <v>20.890228199999999</v>
      </c>
      <c r="AG70">
        <f t="shared" si="44"/>
        <v>3.0392814993958366</v>
      </c>
      <c r="AI70">
        <v>2027</v>
      </c>
      <c r="AJ70" s="373">
        <f t="shared" si="45"/>
        <v>3.7756953482355866E-2</v>
      </c>
      <c r="AK70" s="373">
        <f t="shared" si="46"/>
        <v>8.9858550892451872E-2</v>
      </c>
      <c r="AL70" s="409">
        <f t="shared" si="47"/>
        <v>4.8177272964375073E-2</v>
      </c>
    </row>
    <row r="71" spans="1:39" x14ac:dyDescent="0.25">
      <c r="A71" s="213">
        <v>2020</v>
      </c>
      <c r="B71" s="277">
        <v>38.299999999999997</v>
      </c>
      <c r="C71">
        <f t="shared" si="32"/>
        <v>3.6454498961866002</v>
      </c>
      <c r="E71">
        <v>2028</v>
      </c>
      <c r="F71" s="373">
        <f t="shared" si="33"/>
        <v>5.0074349638756815E-2</v>
      </c>
      <c r="G71" s="373">
        <f t="shared" si="34"/>
        <v>9.9270509205608093E-2</v>
      </c>
      <c r="H71" s="409">
        <f t="shared" si="35"/>
        <v>5.9913581552127074E-2</v>
      </c>
      <c r="K71" s="213">
        <v>2020</v>
      </c>
      <c r="L71" s="277">
        <v>56.9</v>
      </c>
      <c r="M71">
        <f t="shared" si="36"/>
        <v>4.0412953411322849</v>
      </c>
      <c r="O71">
        <v>2028</v>
      </c>
      <c r="P71" s="373">
        <f t="shared" si="37"/>
        <v>4.1896075618810473E-2</v>
      </c>
      <c r="Q71" s="373">
        <f t="shared" si="38"/>
        <v>-6.6508968811005431E-3</v>
      </c>
      <c r="R71" s="409">
        <f t="shared" si="39"/>
        <v>1.7622589368854965E-2</v>
      </c>
      <c r="U71" s="213">
        <v>2020</v>
      </c>
      <c r="V71" s="277">
        <v>25.8</v>
      </c>
      <c r="W71">
        <f t="shared" si="40"/>
        <v>3.2503744919275719</v>
      </c>
      <c r="Y71">
        <v>2028</v>
      </c>
      <c r="Z71" s="373">
        <f t="shared" si="41"/>
        <v>4.9883710302083842E-2</v>
      </c>
      <c r="AA71" s="373">
        <f t="shared" si="42"/>
        <v>0.16312925678853185</v>
      </c>
      <c r="AB71" s="409">
        <f t="shared" si="43"/>
        <v>7.2532819599373438E-2</v>
      </c>
      <c r="AE71" s="213">
        <v>2020</v>
      </c>
      <c r="AF71">
        <v>11.2</v>
      </c>
      <c r="AG71">
        <f t="shared" si="44"/>
        <v>2.4159137783010487</v>
      </c>
      <c r="AI71">
        <v>2028</v>
      </c>
      <c r="AJ71" s="373">
        <f t="shared" si="45"/>
        <v>3.8670581305842118E-2</v>
      </c>
      <c r="AK71" s="373">
        <f t="shared" si="46"/>
        <v>8.9858550892451872E-2</v>
      </c>
      <c r="AL71" s="409">
        <f t="shared" si="47"/>
        <v>4.8908175223164069E-2</v>
      </c>
    </row>
    <row r="72" spans="1:39" x14ac:dyDescent="0.25">
      <c r="A72" s="213">
        <v>2021</v>
      </c>
      <c r="B72" s="277">
        <v>65.2</v>
      </c>
      <c r="C72">
        <f t="shared" si="32"/>
        <v>4.1774594689326072</v>
      </c>
      <c r="E72">
        <v>2029</v>
      </c>
      <c r="F72" s="373">
        <f t="shared" si="33"/>
        <v>5.1222222121807305E-2</v>
      </c>
      <c r="G72" s="373">
        <f t="shared" si="34"/>
        <v>9.9270509205608093E-2</v>
      </c>
      <c r="H72" s="409">
        <f t="shared" si="35"/>
        <v>6.083187953856746E-2</v>
      </c>
      <c r="K72" s="213">
        <v>2021</v>
      </c>
      <c r="L72" s="277">
        <v>82.4</v>
      </c>
      <c r="M72">
        <f t="shared" si="36"/>
        <v>4.4115854369154262</v>
      </c>
      <c r="O72">
        <v>2029</v>
      </c>
      <c r="P72" s="373">
        <f t="shared" si="37"/>
        <v>4.1793811908056568E-2</v>
      </c>
      <c r="Q72" s="373">
        <f t="shared" si="38"/>
        <v>-6.6508968811005431E-3</v>
      </c>
      <c r="R72" s="409">
        <f t="shared" si="39"/>
        <v>1.7571457513478012E-2</v>
      </c>
      <c r="U72" s="213">
        <v>2021</v>
      </c>
      <c r="V72" s="277">
        <v>49.3</v>
      </c>
      <c r="W72">
        <f t="shared" si="40"/>
        <v>3.8979240810486444</v>
      </c>
      <c r="Y72">
        <v>2029</v>
      </c>
      <c r="Z72" s="373">
        <f t="shared" si="41"/>
        <v>5.1792487542922455E-2</v>
      </c>
      <c r="AA72" s="373">
        <f t="shared" si="42"/>
        <v>0.16312925678853185</v>
      </c>
      <c r="AB72" s="409">
        <f t="shared" si="43"/>
        <v>7.4059841392044329E-2</v>
      </c>
      <c r="AE72" s="213">
        <v>2021</v>
      </c>
      <c r="AF72">
        <v>41.4</v>
      </c>
      <c r="AG72">
        <f t="shared" si="44"/>
        <v>3.7232808808312687</v>
      </c>
      <c r="AI72">
        <v>2029</v>
      </c>
      <c r="AJ72" s="373">
        <f t="shared" si="45"/>
        <v>3.9584209129328654E-2</v>
      </c>
      <c r="AK72" s="373">
        <f t="shared" si="46"/>
        <v>8.9858550892451872E-2</v>
      </c>
      <c r="AL72" s="409">
        <f t="shared" si="47"/>
        <v>4.96390774819533E-2</v>
      </c>
    </row>
    <row r="73" spans="1:39" x14ac:dyDescent="0.25">
      <c r="A73" s="213">
        <v>2022</v>
      </c>
      <c r="B73" s="277">
        <v>74.900000000000006</v>
      </c>
      <c r="C73">
        <f t="shared" si="32"/>
        <v>4.3161538905231742</v>
      </c>
      <c r="E73">
        <v>2030</v>
      </c>
      <c r="F73" s="373">
        <f t="shared" si="33"/>
        <v>5.2370094604858079E-2</v>
      </c>
      <c r="G73" s="373">
        <f t="shared" si="34"/>
        <v>9.9270509205608093E-2</v>
      </c>
      <c r="H73" s="409">
        <f t="shared" si="35"/>
        <v>6.1750177525008082E-2</v>
      </c>
      <c r="K73" s="213">
        <v>2022</v>
      </c>
      <c r="L73" s="277">
        <v>64.900000000000006</v>
      </c>
      <c r="M73">
        <f t="shared" si="36"/>
        <v>4.1728476237100445</v>
      </c>
      <c r="O73">
        <v>2030</v>
      </c>
      <c r="P73" s="373">
        <f t="shared" si="37"/>
        <v>4.1691548197302669E-2</v>
      </c>
      <c r="Q73" s="373">
        <f t="shared" si="38"/>
        <v>-6.6508968811005431E-3</v>
      </c>
      <c r="R73" s="409">
        <f t="shared" si="39"/>
        <v>1.7520325658101063E-2</v>
      </c>
      <c r="U73" s="213">
        <v>2022</v>
      </c>
      <c r="V73" s="277">
        <v>44.7</v>
      </c>
      <c r="W73">
        <f t="shared" si="40"/>
        <v>3.7999735016195233</v>
      </c>
      <c r="Y73">
        <v>2030</v>
      </c>
      <c r="Z73" s="373">
        <f t="shared" si="41"/>
        <v>5.3701264783761075E-2</v>
      </c>
      <c r="AA73" s="373">
        <f t="shared" si="42"/>
        <v>0.16312925678853185</v>
      </c>
      <c r="AB73" s="409">
        <f t="shared" si="43"/>
        <v>7.5586863184715233E-2</v>
      </c>
      <c r="AE73" s="213">
        <v>2022</v>
      </c>
      <c r="AF73">
        <v>20.5</v>
      </c>
      <c r="AG73">
        <f t="shared" si="44"/>
        <v>3.0204248861443626</v>
      </c>
      <c r="AI73">
        <v>2030</v>
      </c>
      <c r="AJ73" s="373">
        <f t="shared" si="45"/>
        <v>4.049783695281519E-2</v>
      </c>
      <c r="AK73" s="373">
        <f t="shared" si="46"/>
        <v>8.9858550892451872E-2</v>
      </c>
      <c r="AL73" s="409">
        <f t="shared" si="47"/>
        <v>5.0369979740742532E-2</v>
      </c>
    </row>
    <row r="74" spans="1:39" x14ac:dyDescent="0.25">
      <c r="A74" s="213">
        <v>2023</v>
      </c>
      <c r="B74" s="277">
        <v>100.5</v>
      </c>
      <c r="C74">
        <f t="shared" si="32"/>
        <v>4.6101577274991303</v>
      </c>
      <c r="E74">
        <v>2031</v>
      </c>
      <c r="F74" s="373">
        <f t="shared" si="33"/>
        <v>5.351796708790886E-2</v>
      </c>
      <c r="G74" s="373">
        <f t="shared" si="34"/>
        <v>9.9270509205608093E-2</v>
      </c>
      <c r="H74" s="409">
        <f t="shared" si="35"/>
        <v>6.2668475511448704E-2</v>
      </c>
      <c r="K74" s="213">
        <v>2023</v>
      </c>
      <c r="L74" s="277">
        <v>70.3</v>
      </c>
      <c r="M74">
        <f t="shared" si="36"/>
        <v>4.2527717988166192</v>
      </c>
      <c r="O74">
        <v>2031</v>
      </c>
      <c r="P74" s="373">
        <f t="shared" si="37"/>
        <v>4.1589284486548764E-2</v>
      </c>
      <c r="Q74" s="373">
        <f t="shared" si="38"/>
        <v>-6.6508968811005431E-3</v>
      </c>
      <c r="R74" s="409">
        <f t="shared" si="39"/>
        <v>1.746919380272411E-2</v>
      </c>
      <c r="U74" s="213">
        <v>2023</v>
      </c>
      <c r="V74" s="277">
        <v>65.69717254251492</v>
      </c>
      <c r="W74">
        <f t="shared" si="40"/>
        <v>4.1850558886819211</v>
      </c>
      <c r="Y74">
        <v>2031</v>
      </c>
      <c r="Z74" s="373">
        <f t="shared" si="41"/>
        <v>5.5610042024599696E-2</v>
      </c>
      <c r="AA74" s="373">
        <f t="shared" si="42"/>
        <v>0.16312925678853185</v>
      </c>
      <c r="AB74" s="409">
        <f t="shared" si="43"/>
        <v>7.7113884977386138E-2</v>
      </c>
      <c r="AE74" s="213">
        <v>2023</v>
      </c>
      <c r="AF74">
        <v>34.9</v>
      </c>
      <c r="AG74">
        <f t="shared" si="44"/>
        <v>3.5524868292083815</v>
      </c>
      <c r="AI74">
        <v>2031</v>
      </c>
      <c r="AJ74" s="373">
        <f t="shared" si="45"/>
        <v>4.1411464776301442E-2</v>
      </c>
      <c r="AK74" s="373">
        <f t="shared" si="46"/>
        <v>8.9858550892451872E-2</v>
      </c>
      <c r="AL74" s="409">
        <f t="shared" si="47"/>
        <v>5.1100881999531528E-2</v>
      </c>
    </row>
    <row r="75" spans="1:39" x14ac:dyDescent="0.25">
      <c r="A75" s="213">
        <v>2024</v>
      </c>
      <c r="B75" s="277">
        <v>99.7</v>
      </c>
      <c r="C75">
        <f t="shared" si="32"/>
        <v>4.6021656769677923</v>
      </c>
      <c r="E75">
        <v>2032</v>
      </c>
      <c r="F75" s="373">
        <f t="shared" si="33"/>
        <v>5.4665839570959635E-2</v>
      </c>
      <c r="G75" s="373">
        <f t="shared" si="34"/>
        <v>9.9270509205608093E-2</v>
      </c>
      <c r="H75" s="409">
        <f t="shared" si="35"/>
        <v>6.3586773497889326E-2</v>
      </c>
      <c r="K75" s="213">
        <v>2024</v>
      </c>
      <c r="L75" s="277">
        <v>71.099999999999994</v>
      </c>
      <c r="M75">
        <f t="shared" si="36"/>
        <v>4.2640873368091947</v>
      </c>
      <c r="O75">
        <v>2032</v>
      </c>
      <c r="P75" s="373">
        <f t="shared" si="37"/>
        <v>4.1487020775794858E-2</v>
      </c>
      <c r="Q75" s="373">
        <f t="shared" si="38"/>
        <v>-6.6508968811005431E-3</v>
      </c>
      <c r="R75" s="409">
        <f t="shared" si="39"/>
        <v>1.7418061947347158E-2</v>
      </c>
      <c r="U75" s="213">
        <v>2024</v>
      </c>
      <c r="V75" s="277">
        <v>63.936496350364969</v>
      </c>
      <c r="W75">
        <f t="shared" si="40"/>
        <v>4.1578903462336445</v>
      </c>
      <c r="Y75">
        <v>2032</v>
      </c>
      <c r="Z75" s="373">
        <f t="shared" si="41"/>
        <v>5.7518819265438309E-2</v>
      </c>
      <c r="AA75" s="373">
        <f t="shared" si="42"/>
        <v>0.16312925678853185</v>
      </c>
      <c r="AB75" s="409">
        <f t="shared" si="43"/>
        <v>7.8640906770057029E-2</v>
      </c>
      <c r="AE75" s="213">
        <v>2024</v>
      </c>
      <c r="AF75">
        <v>36.5</v>
      </c>
      <c r="AG75">
        <f t="shared" si="44"/>
        <v>3.597312260588446</v>
      </c>
      <c r="AI75">
        <v>2032</v>
      </c>
      <c r="AJ75" s="373">
        <f t="shared" si="45"/>
        <v>4.2325092599787978E-2</v>
      </c>
      <c r="AK75" s="373">
        <f t="shared" si="46"/>
        <v>8.9858550892451872E-2</v>
      </c>
      <c r="AL75" s="409">
        <f t="shared" si="47"/>
        <v>5.1831784258320759E-2</v>
      </c>
    </row>
    <row r="76" spans="1:39" x14ac:dyDescent="0.25">
      <c r="E76">
        <v>2033</v>
      </c>
      <c r="F76" s="373">
        <f t="shared" si="33"/>
        <v>5.5813712054010409E-2</v>
      </c>
      <c r="G76" s="373">
        <f t="shared" si="34"/>
        <v>9.9270509205608093E-2</v>
      </c>
      <c r="H76" s="409">
        <f t="shared" si="35"/>
        <v>6.4505071484329948E-2</v>
      </c>
      <c r="O76">
        <v>2033</v>
      </c>
      <c r="P76" s="373">
        <f t="shared" si="37"/>
        <v>4.138475706504096E-2</v>
      </c>
      <c r="Q76" s="373">
        <f t="shared" si="38"/>
        <v>-6.6508968811005431E-3</v>
      </c>
      <c r="R76" s="409">
        <f t="shared" si="39"/>
        <v>1.7366930091970208E-2</v>
      </c>
      <c r="Y76">
        <v>2033</v>
      </c>
      <c r="Z76" s="373">
        <f t="shared" si="41"/>
        <v>5.9427596506276929E-2</v>
      </c>
      <c r="AA76" s="373">
        <f t="shared" si="42"/>
        <v>0.16312925678853185</v>
      </c>
      <c r="AB76" s="409">
        <f t="shared" si="43"/>
        <v>8.0167928562727919E-2</v>
      </c>
      <c r="AI76">
        <v>2033</v>
      </c>
      <c r="AJ76" s="373">
        <f t="shared" si="45"/>
        <v>4.3238720423274229E-2</v>
      </c>
      <c r="AK76" s="373">
        <f t="shared" si="46"/>
        <v>8.9858550892451872E-2</v>
      </c>
      <c r="AL76" s="409">
        <f t="shared" si="47"/>
        <v>5.2562686517109755E-2</v>
      </c>
    </row>
    <row r="77" spans="1:39" x14ac:dyDescent="0.25">
      <c r="E77">
        <v>2034</v>
      </c>
      <c r="F77" s="373">
        <f t="shared" si="33"/>
        <v>5.6961584537061183E-2</v>
      </c>
      <c r="G77" s="373">
        <f t="shared" si="34"/>
        <v>9.9270509205608093E-2</v>
      </c>
      <c r="H77" s="409">
        <f t="shared" si="35"/>
        <v>6.542336947077057E-2</v>
      </c>
      <c r="O77">
        <v>2034</v>
      </c>
      <c r="P77" s="373">
        <f t="shared" si="37"/>
        <v>4.1282493354287055E-2</v>
      </c>
      <c r="Q77" s="373">
        <f t="shared" si="38"/>
        <v>-6.6508968811005431E-3</v>
      </c>
      <c r="R77" s="409">
        <f t="shared" si="39"/>
        <v>1.7315798236593256E-2</v>
      </c>
      <c r="Y77">
        <v>2034</v>
      </c>
      <c r="Z77" s="373">
        <f t="shared" si="41"/>
        <v>6.1336373747114974E-2</v>
      </c>
      <c r="AA77" s="373">
        <f t="shared" si="42"/>
        <v>0.16312925678853185</v>
      </c>
      <c r="AB77" s="409">
        <f t="shared" si="43"/>
        <v>8.1694950355398352E-2</v>
      </c>
      <c r="AI77">
        <v>2034</v>
      </c>
      <c r="AJ77" s="373">
        <f t="shared" si="45"/>
        <v>4.4152348246760766E-2</v>
      </c>
      <c r="AK77" s="373">
        <f t="shared" si="46"/>
        <v>8.9858550892451872E-2</v>
      </c>
      <c r="AL77" s="409">
        <f t="shared" si="47"/>
        <v>5.3293588775898987E-2</v>
      </c>
    </row>
    <row r="79" spans="1:39" x14ac:dyDescent="0.25">
      <c r="A79" s="410" t="s">
        <v>693</v>
      </c>
      <c r="B79" s="410"/>
      <c r="C79" s="410"/>
      <c r="D79" s="410"/>
      <c r="E79" s="410"/>
      <c r="F79" s="410"/>
      <c r="G79" s="410"/>
      <c r="H79" s="410"/>
      <c r="I79" s="410"/>
      <c r="J79" s="410"/>
      <c r="K79" s="410" t="s">
        <v>693</v>
      </c>
      <c r="L79" s="410"/>
      <c r="M79" s="410"/>
      <c r="N79" s="410"/>
      <c r="O79" s="410"/>
      <c r="P79" s="410"/>
      <c r="Q79" s="410"/>
      <c r="R79" s="410"/>
      <c r="S79" s="410"/>
      <c r="T79" s="410"/>
      <c r="U79" s="410" t="s">
        <v>693</v>
      </c>
      <c r="V79" s="410"/>
      <c r="W79" s="410"/>
      <c r="X79" s="410"/>
      <c r="Y79" s="410"/>
      <c r="Z79" s="410"/>
      <c r="AA79" s="410"/>
      <c r="AB79" s="410"/>
      <c r="AC79" s="410"/>
      <c r="AD79" s="410"/>
      <c r="AE79" s="410" t="s">
        <v>693</v>
      </c>
      <c r="AF79" s="410"/>
      <c r="AG79" s="410"/>
      <c r="AH79" s="410"/>
      <c r="AI79" s="410"/>
      <c r="AJ79" s="410"/>
      <c r="AK79" s="410"/>
      <c r="AL79" s="410"/>
      <c r="AM79" s="410"/>
    </row>
    <row r="80" spans="1:39" ht="15.75" thickBot="1" x14ac:dyDescent="0.3">
      <c r="A80" s="410"/>
      <c r="B80" s="410"/>
      <c r="C80" s="410"/>
      <c r="D80" s="410"/>
      <c r="E80" s="410"/>
      <c r="F80" s="410"/>
      <c r="G80" s="410"/>
      <c r="H80" s="410"/>
      <c r="I80" s="410"/>
      <c r="J80" s="410"/>
      <c r="K80" s="410"/>
      <c r="L80" s="410"/>
      <c r="M80" s="410"/>
      <c r="N80" s="410"/>
      <c r="O80" s="410"/>
      <c r="P80" s="410"/>
      <c r="Q80" s="410"/>
      <c r="R80" s="410"/>
      <c r="S80" s="410"/>
      <c r="T80" s="410"/>
      <c r="U80" s="410"/>
      <c r="V80" s="410"/>
      <c r="W80" s="410"/>
      <c r="X80" s="410"/>
      <c r="Y80" s="410"/>
      <c r="Z80" s="410"/>
      <c r="AA80" s="410"/>
      <c r="AB80" s="410"/>
      <c r="AC80" s="410"/>
      <c r="AD80" s="410"/>
      <c r="AE80" s="410"/>
      <c r="AF80" s="410"/>
      <c r="AG80" s="410"/>
      <c r="AH80" s="410"/>
      <c r="AI80" s="410"/>
      <c r="AJ80" s="410"/>
      <c r="AK80" s="410"/>
      <c r="AL80" s="410"/>
      <c r="AM80" s="410"/>
    </row>
    <row r="81" spans="1:39" x14ac:dyDescent="0.25">
      <c r="A81" s="411" t="s">
        <v>694</v>
      </c>
      <c r="B81" s="411"/>
      <c r="C81" s="410"/>
      <c r="D81" s="410"/>
      <c r="E81" s="410"/>
      <c r="F81" s="410"/>
      <c r="G81" s="410"/>
      <c r="H81" s="410"/>
      <c r="I81" s="410"/>
      <c r="J81" s="410"/>
      <c r="K81" s="411" t="s">
        <v>694</v>
      </c>
      <c r="L81" s="411"/>
      <c r="M81" s="410"/>
      <c r="N81" s="410"/>
      <c r="O81" s="410"/>
      <c r="P81" s="410"/>
      <c r="Q81" s="410"/>
      <c r="R81" s="410"/>
      <c r="S81" s="410"/>
      <c r="T81" s="410"/>
      <c r="U81" s="411" t="s">
        <v>694</v>
      </c>
      <c r="V81" s="411"/>
      <c r="W81" s="410"/>
      <c r="X81" s="410"/>
      <c r="Y81" s="410"/>
      <c r="Z81" s="410"/>
      <c r="AA81" s="410"/>
      <c r="AB81" s="410"/>
      <c r="AC81" s="410"/>
      <c r="AD81" s="410"/>
      <c r="AE81" s="411" t="s">
        <v>694</v>
      </c>
      <c r="AF81" s="411"/>
      <c r="AG81" s="410"/>
      <c r="AH81" s="410"/>
      <c r="AI81" s="410"/>
      <c r="AJ81" s="410"/>
      <c r="AK81" s="410"/>
      <c r="AL81" s="410"/>
      <c r="AM81" s="410"/>
    </row>
    <row r="82" spans="1:39" x14ac:dyDescent="0.25">
      <c r="A82" s="412" t="s">
        <v>695</v>
      </c>
      <c r="B82" s="412">
        <v>0.81606322672155318</v>
      </c>
      <c r="C82" s="410"/>
      <c r="D82" s="410"/>
      <c r="E82" s="410"/>
      <c r="F82" s="410"/>
      <c r="G82" s="410"/>
      <c r="H82" s="410"/>
      <c r="I82" s="410"/>
      <c r="J82" s="410"/>
      <c r="K82" s="412" t="s">
        <v>695</v>
      </c>
      <c r="L82" s="412">
        <v>0.21691904212386054</v>
      </c>
      <c r="M82" s="410"/>
      <c r="N82" s="410"/>
      <c r="O82" s="410"/>
      <c r="P82" s="410"/>
      <c r="Q82" s="410"/>
      <c r="R82" s="410"/>
      <c r="S82" s="410"/>
      <c r="T82" s="410"/>
      <c r="U82" s="412" t="s">
        <v>695</v>
      </c>
      <c r="V82" s="412">
        <v>0.9245790476061555</v>
      </c>
      <c r="W82" s="410"/>
      <c r="X82" s="410"/>
      <c r="Y82" s="410"/>
      <c r="Z82" s="410"/>
      <c r="AA82" s="410"/>
      <c r="AB82" s="410"/>
      <c r="AC82" s="410"/>
      <c r="AD82" s="410"/>
      <c r="AE82" s="412" t="s">
        <v>695</v>
      </c>
      <c r="AF82" s="412">
        <v>0.52414346977701909</v>
      </c>
      <c r="AG82" s="410"/>
      <c r="AH82" s="410"/>
      <c r="AI82" s="410"/>
      <c r="AJ82" s="410"/>
      <c r="AK82" s="410"/>
      <c r="AL82" s="410"/>
      <c r="AM82" s="410"/>
    </row>
    <row r="83" spans="1:39" x14ac:dyDescent="0.25">
      <c r="A83" s="412" t="s">
        <v>696</v>
      </c>
      <c r="B83" s="412">
        <v>0.66595919000719306</v>
      </c>
      <c r="C83" s="410"/>
      <c r="D83" s="410"/>
      <c r="E83" s="410"/>
      <c r="F83" s="410"/>
      <c r="G83" s="410"/>
      <c r="H83" s="410"/>
      <c r="I83" s="410"/>
      <c r="J83" s="410"/>
      <c r="K83" s="412" t="s">
        <v>696</v>
      </c>
      <c r="L83" s="412">
        <v>4.7053870835933181E-2</v>
      </c>
      <c r="M83" s="410"/>
      <c r="N83" s="410"/>
      <c r="O83" s="410"/>
      <c r="P83" s="410"/>
      <c r="Q83" s="410"/>
      <c r="R83" s="410"/>
      <c r="S83" s="410"/>
      <c r="T83" s="410"/>
      <c r="U83" s="412" t="s">
        <v>696</v>
      </c>
      <c r="V83" s="412">
        <v>0.85484641527230565</v>
      </c>
      <c r="W83" s="410"/>
      <c r="X83" s="410"/>
      <c r="Y83" s="410"/>
      <c r="Z83" s="410"/>
      <c r="AA83" s="410"/>
      <c r="AB83" s="410"/>
      <c r="AC83" s="410"/>
      <c r="AD83" s="410"/>
      <c r="AE83" s="412" t="s">
        <v>696</v>
      </c>
      <c r="AF83" s="412">
        <v>0.27472637690989288</v>
      </c>
      <c r="AG83" s="410"/>
      <c r="AH83" s="410"/>
      <c r="AI83" s="410"/>
      <c r="AJ83" s="410"/>
      <c r="AK83" s="410"/>
      <c r="AL83" s="410"/>
      <c r="AM83" s="410"/>
    </row>
    <row r="84" spans="1:39" x14ac:dyDescent="0.25">
      <c r="A84" s="412" t="s">
        <v>697</v>
      </c>
      <c r="B84" s="412">
        <v>0.61028572167505857</v>
      </c>
      <c r="C84" s="410"/>
      <c r="D84" s="410"/>
      <c r="E84" s="410"/>
      <c r="F84" s="410"/>
      <c r="G84" s="410"/>
      <c r="H84" s="410"/>
      <c r="I84" s="410"/>
      <c r="J84" s="410"/>
      <c r="K84" s="412" t="s">
        <v>697</v>
      </c>
      <c r="L84" s="412">
        <v>-0.11177048402474461</v>
      </c>
      <c r="M84" s="410"/>
      <c r="N84" s="410"/>
      <c r="O84" s="410"/>
      <c r="P84" s="410"/>
      <c r="Q84" s="410"/>
      <c r="R84" s="410"/>
      <c r="S84" s="410"/>
      <c r="T84" s="410"/>
      <c r="U84" s="412" t="s">
        <v>697</v>
      </c>
      <c r="V84" s="412">
        <v>0.83065415115102326</v>
      </c>
      <c r="W84" s="410"/>
      <c r="X84" s="410"/>
      <c r="Y84" s="410"/>
      <c r="Z84" s="410"/>
      <c r="AA84" s="410"/>
      <c r="AB84" s="410"/>
      <c r="AC84" s="410"/>
      <c r="AD84" s="410"/>
      <c r="AE84" s="412" t="s">
        <v>697</v>
      </c>
      <c r="AF84" s="412">
        <v>0.15384743972820836</v>
      </c>
      <c r="AG84" s="410"/>
      <c r="AH84" s="410"/>
      <c r="AI84" s="410"/>
      <c r="AJ84" s="410"/>
      <c r="AK84" s="410"/>
      <c r="AL84" s="410"/>
      <c r="AM84" s="410"/>
    </row>
    <row r="85" spans="1:39" x14ac:dyDescent="0.25">
      <c r="A85" s="412" t="s">
        <v>698</v>
      </c>
      <c r="B85" s="412">
        <v>0.21508920824107386</v>
      </c>
      <c r="C85" s="410"/>
      <c r="D85" s="410"/>
      <c r="E85" s="410"/>
      <c r="F85" s="410"/>
      <c r="G85" s="410"/>
      <c r="H85" s="410"/>
      <c r="I85" s="410"/>
      <c r="J85" s="410"/>
      <c r="K85" s="412" t="s">
        <v>698</v>
      </c>
      <c r="L85" s="412">
        <v>0.12176067995832587</v>
      </c>
      <c r="M85" s="410"/>
      <c r="N85" s="410"/>
      <c r="O85" s="410"/>
      <c r="P85" s="410"/>
      <c r="Q85" s="410"/>
      <c r="R85" s="410"/>
      <c r="S85" s="410"/>
      <c r="T85" s="410"/>
      <c r="U85" s="412" t="s">
        <v>698</v>
      </c>
      <c r="V85" s="412">
        <v>0.20810096949697701</v>
      </c>
      <c r="W85" s="410"/>
      <c r="X85" s="410"/>
      <c r="Y85" s="410"/>
      <c r="Z85" s="410"/>
      <c r="AA85" s="410"/>
      <c r="AB85" s="410"/>
      <c r="AC85" s="410"/>
      <c r="AD85" s="410"/>
      <c r="AE85" s="412" t="s">
        <v>698</v>
      </c>
      <c r="AF85" s="412">
        <v>0.3927526276564845</v>
      </c>
      <c r="AG85" s="410"/>
      <c r="AH85" s="410"/>
      <c r="AI85" s="410"/>
      <c r="AJ85" s="410"/>
      <c r="AK85" s="410"/>
      <c r="AL85" s="410"/>
      <c r="AM85" s="410"/>
    </row>
    <row r="86" spans="1:39" ht="15.75" thickBot="1" x14ac:dyDescent="0.3">
      <c r="A86" s="413" t="s">
        <v>699</v>
      </c>
      <c r="B86" s="413">
        <v>8</v>
      </c>
      <c r="C86" s="410"/>
      <c r="D86" s="410"/>
      <c r="E86" s="410"/>
      <c r="F86" s="410"/>
      <c r="G86" s="410"/>
      <c r="H86" s="410"/>
      <c r="I86" s="410"/>
      <c r="J86" s="410"/>
      <c r="K86" s="413" t="s">
        <v>699</v>
      </c>
      <c r="L86" s="413">
        <v>8</v>
      </c>
      <c r="M86" s="410"/>
      <c r="N86" s="410"/>
      <c r="O86" s="410"/>
      <c r="P86" s="410"/>
      <c r="Q86" s="410"/>
      <c r="R86" s="410"/>
      <c r="S86" s="410"/>
      <c r="T86" s="410"/>
      <c r="U86" s="413" t="s">
        <v>699</v>
      </c>
      <c r="V86" s="413">
        <v>8</v>
      </c>
      <c r="W86" s="410"/>
      <c r="X86" s="410"/>
      <c r="Y86" s="410"/>
      <c r="Z86" s="410"/>
      <c r="AA86" s="410"/>
      <c r="AB86" s="410"/>
      <c r="AC86" s="410"/>
      <c r="AD86" s="410"/>
      <c r="AE86" s="413" t="s">
        <v>699</v>
      </c>
      <c r="AF86" s="413">
        <v>8</v>
      </c>
      <c r="AG86" s="410"/>
      <c r="AH86" s="410"/>
      <c r="AI86" s="410"/>
      <c r="AJ86" s="410"/>
      <c r="AK86" s="410"/>
      <c r="AL86" s="410"/>
      <c r="AM86" s="410"/>
    </row>
    <row r="87" spans="1:39" x14ac:dyDescent="0.25">
      <c r="A87" s="410"/>
      <c r="B87" s="410"/>
      <c r="C87" s="410"/>
      <c r="D87" s="410"/>
      <c r="E87" s="410"/>
      <c r="F87" s="410"/>
      <c r="G87" s="410"/>
      <c r="H87" s="410"/>
      <c r="I87" s="410"/>
      <c r="J87" s="410"/>
      <c r="K87" s="410"/>
      <c r="L87" s="410"/>
      <c r="M87" s="410"/>
      <c r="N87" s="410"/>
      <c r="O87" s="410"/>
      <c r="P87" s="410"/>
      <c r="Q87" s="410"/>
      <c r="R87" s="410"/>
      <c r="S87" s="410"/>
      <c r="T87" s="410"/>
      <c r="U87" s="410"/>
      <c r="V87" s="410"/>
      <c r="W87" s="410"/>
      <c r="X87" s="410"/>
      <c r="Y87" s="410"/>
      <c r="Z87" s="410"/>
      <c r="AA87" s="410"/>
      <c r="AB87" s="410"/>
      <c r="AC87" s="410"/>
      <c r="AD87" s="410"/>
      <c r="AE87" s="410"/>
      <c r="AF87" s="410"/>
      <c r="AG87" s="410"/>
      <c r="AH87" s="410"/>
      <c r="AI87" s="410"/>
      <c r="AJ87" s="410"/>
      <c r="AK87" s="410"/>
      <c r="AL87" s="410"/>
      <c r="AM87" s="410"/>
    </row>
    <row r="88" spans="1:39" ht="15.75" thickBot="1" x14ac:dyDescent="0.3">
      <c r="A88" s="410" t="s">
        <v>700</v>
      </c>
      <c r="B88" s="410"/>
      <c r="C88" s="410"/>
      <c r="D88" s="410"/>
      <c r="E88" s="410"/>
      <c r="F88" s="410"/>
      <c r="G88" s="410"/>
      <c r="H88" s="410"/>
      <c r="I88" s="410"/>
      <c r="J88" s="410"/>
      <c r="K88" s="410" t="s">
        <v>700</v>
      </c>
      <c r="L88" s="410"/>
      <c r="M88" s="410"/>
      <c r="N88" s="410"/>
      <c r="O88" s="410"/>
      <c r="P88" s="410"/>
      <c r="Q88" s="410"/>
      <c r="R88" s="410"/>
      <c r="S88" s="410"/>
      <c r="T88" s="410"/>
      <c r="U88" s="410" t="s">
        <v>700</v>
      </c>
      <c r="V88" s="410"/>
      <c r="W88" s="410"/>
      <c r="X88" s="410"/>
      <c r="Y88" s="410"/>
      <c r="Z88" s="410"/>
      <c r="AA88" s="410"/>
      <c r="AB88" s="410"/>
      <c r="AC88" s="410"/>
      <c r="AD88" s="410"/>
      <c r="AE88" s="410" t="s">
        <v>700</v>
      </c>
      <c r="AF88" s="410"/>
      <c r="AG88" s="410"/>
      <c r="AH88" s="410"/>
      <c r="AI88" s="410"/>
      <c r="AJ88" s="410"/>
      <c r="AK88" s="410"/>
      <c r="AL88" s="410"/>
      <c r="AM88" s="410"/>
    </row>
    <row r="89" spans="1:39" x14ac:dyDescent="0.25">
      <c r="A89" s="414"/>
      <c r="B89" s="414" t="s">
        <v>701</v>
      </c>
      <c r="C89" s="414" t="s">
        <v>702</v>
      </c>
      <c r="D89" s="414" t="s">
        <v>703</v>
      </c>
      <c r="E89" s="414" t="s">
        <v>704</v>
      </c>
      <c r="F89" s="414" t="s">
        <v>705</v>
      </c>
      <c r="G89" s="410"/>
      <c r="H89" s="410"/>
      <c r="I89" s="410"/>
      <c r="J89" s="410"/>
      <c r="K89" s="414"/>
      <c r="L89" s="414" t="s">
        <v>701</v>
      </c>
      <c r="M89" s="414" t="s">
        <v>702</v>
      </c>
      <c r="N89" s="414" t="s">
        <v>703</v>
      </c>
      <c r="O89" s="414" t="s">
        <v>704</v>
      </c>
      <c r="P89" s="414" t="s">
        <v>705</v>
      </c>
      <c r="Q89" s="410"/>
      <c r="R89" s="410"/>
      <c r="S89" s="410"/>
      <c r="T89" s="410"/>
      <c r="U89" s="414"/>
      <c r="V89" s="414" t="s">
        <v>701</v>
      </c>
      <c r="W89" s="414" t="s">
        <v>702</v>
      </c>
      <c r="X89" s="414" t="s">
        <v>703</v>
      </c>
      <c r="Y89" s="414" t="s">
        <v>704</v>
      </c>
      <c r="Z89" s="414" t="s">
        <v>705</v>
      </c>
      <c r="AA89" s="410"/>
      <c r="AB89" s="410"/>
      <c r="AC89" s="410"/>
      <c r="AD89" s="410"/>
      <c r="AE89" s="414"/>
      <c r="AF89" s="414" t="s">
        <v>701</v>
      </c>
      <c r="AG89" s="414" t="s">
        <v>702</v>
      </c>
      <c r="AH89" s="414" t="s">
        <v>703</v>
      </c>
      <c r="AI89" s="414" t="s">
        <v>704</v>
      </c>
      <c r="AJ89" s="414" t="s">
        <v>705</v>
      </c>
      <c r="AK89" s="410"/>
      <c r="AL89" s="410"/>
      <c r="AM89" s="410"/>
    </row>
    <row r="90" spans="1:39" x14ac:dyDescent="0.25">
      <c r="A90" s="412" t="s">
        <v>707</v>
      </c>
      <c r="B90" s="412">
        <v>1</v>
      </c>
      <c r="C90" s="412">
        <v>0.55339671968491455</v>
      </c>
      <c r="D90" s="412">
        <v>0.55339671968491455</v>
      </c>
      <c r="E90" s="412">
        <v>11.96187717341842</v>
      </c>
      <c r="F90" s="412">
        <v>1.3490438608645926E-2</v>
      </c>
      <c r="G90" s="410"/>
      <c r="H90" s="410"/>
      <c r="I90" s="410"/>
      <c r="J90" s="410"/>
      <c r="K90" s="412" t="s">
        <v>707</v>
      </c>
      <c r="L90" s="412">
        <v>1</v>
      </c>
      <c r="M90" s="412">
        <v>4.3923039456063157E-3</v>
      </c>
      <c r="N90" s="412">
        <v>4.3923039456063157E-3</v>
      </c>
      <c r="O90" s="412">
        <v>0.29626357290863403</v>
      </c>
      <c r="P90" s="412">
        <v>0.60585529428985563</v>
      </c>
      <c r="Q90" s="410"/>
      <c r="R90" s="410"/>
      <c r="S90" s="410"/>
      <c r="T90" s="410"/>
      <c r="U90" s="412" t="s">
        <v>707</v>
      </c>
      <c r="V90" s="412">
        <v>1</v>
      </c>
      <c r="W90" s="412">
        <v>1.5302408331601107</v>
      </c>
      <c r="X90" s="412">
        <v>1.5302408331601107</v>
      </c>
      <c r="Y90" s="412">
        <v>35.335527546604503</v>
      </c>
      <c r="Z90" s="412">
        <v>1.0127920920301949E-3</v>
      </c>
      <c r="AA90" s="410"/>
      <c r="AB90" s="410"/>
      <c r="AC90" s="410"/>
      <c r="AD90" s="410"/>
      <c r="AE90" s="412" t="s">
        <v>707</v>
      </c>
      <c r="AF90" s="412">
        <v>1</v>
      </c>
      <c r="AG90" s="412">
        <v>0.35058063593639388</v>
      </c>
      <c r="AH90" s="412">
        <v>0.35058063593639388</v>
      </c>
      <c r="AI90" s="412">
        <v>2.2727398446345637</v>
      </c>
      <c r="AJ90" s="412">
        <v>0.18239122369214963</v>
      </c>
      <c r="AK90" s="410"/>
      <c r="AL90" s="410"/>
      <c r="AM90" s="410"/>
    </row>
    <row r="91" spans="1:39" x14ac:dyDescent="0.25">
      <c r="A91" s="412" t="s">
        <v>708</v>
      </c>
      <c r="B91" s="412">
        <v>6</v>
      </c>
      <c r="C91" s="412">
        <v>0.27758020501063224</v>
      </c>
      <c r="D91" s="412">
        <v>4.626336750177204E-2</v>
      </c>
      <c r="E91" s="412"/>
      <c r="F91" s="412"/>
      <c r="G91" s="410"/>
      <c r="H91" s="410"/>
      <c r="I91" s="410"/>
      <c r="J91" s="410"/>
      <c r="K91" s="412" t="s">
        <v>708</v>
      </c>
      <c r="L91" s="412">
        <v>6</v>
      </c>
      <c r="M91" s="412">
        <v>8.8953979103483169E-2</v>
      </c>
      <c r="N91" s="412">
        <v>1.4825663183913861E-2</v>
      </c>
      <c r="O91" s="412"/>
      <c r="P91" s="412"/>
      <c r="Q91" s="410"/>
      <c r="R91" s="410"/>
      <c r="S91" s="410"/>
      <c r="T91" s="410"/>
      <c r="U91" s="412" t="s">
        <v>708</v>
      </c>
      <c r="V91" s="412">
        <v>6</v>
      </c>
      <c r="W91" s="412">
        <v>0.25983608103349054</v>
      </c>
      <c r="X91" s="412">
        <v>4.3306013505581754E-2</v>
      </c>
      <c r="Y91" s="412"/>
      <c r="Z91" s="412"/>
      <c r="AA91" s="410"/>
      <c r="AB91" s="410"/>
      <c r="AC91" s="410"/>
      <c r="AD91" s="410"/>
      <c r="AE91" s="412" t="s">
        <v>708</v>
      </c>
      <c r="AF91" s="412">
        <v>6</v>
      </c>
      <c r="AG91" s="412">
        <v>0.92552775918643904</v>
      </c>
      <c r="AH91" s="412">
        <v>0.15425462653107316</v>
      </c>
      <c r="AI91" s="412"/>
      <c r="AJ91" s="412"/>
      <c r="AK91" s="410"/>
      <c r="AL91" s="410"/>
      <c r="AM91" s="410"/>
    </row>
    <row r="92" spans="1:39" ht="15.75" thickBot="1" x14ac:dyDescent="0.3">
      <c r="A92" s="413" t="s">
        <v>468</v>
      </c>
      <c r="B92" s="413">
        <v>7</v>
      </c>
      <c r="C92" s="413">
        <v>0.83097692469554674</v>
      </c>
      <c r="D92" s="413"/>
      <c r="E92" s="413"/>
      <c r="F92" s="413"/>
      <c r="G92" s="410"/>
      <c r="H92" s="410"/>
      <c r="I92" s="410"/>
      <c r="J92" s="410"/>
      <c r="K92" s="413" t="s">
        <v>468</v>
      </c>
      <c r="L92" s="413">
        <v>7</v>
      </c>
      <c r="M92" s="413">
        <v>9.3346283049089485E-2</v>
      </c>
      <c r="N92" s="413"/>
      <c r="O92" s="413"/>
      <c r="P92" s="413"/>
      <c r="Q92" s="410"/>
      <c r="R92" s="410"/>
      <c r="S92" s="410"/>
      <c r="T92" s="410"/>
      <c r="U92" s="413" t="s">
        <v>468</v>
      </c>
      <c r="V92" s="413">
        <v>7</v>
      </c>
      <c r="W92" s="413">
        <v>1.7900769141936013</v>
      </c>
      <c r="X92" s="413"/>
      <c r="Y92" s="413"/>
      <c r="Z92" s="413"/>
      <c r="AA92" s="410"/>
      <c r="AB92" s="410"/>
      <c r="AC92" s="410"/>
      <c r="AD92" s="410"/>
      <c r="AE92" s="413" t="s">
        <v>468</v>
      </c>
      <c r="AF92" s="413">
        <v>7</v>
      </c>
      <c r="AG92" s="413">
        <v>1.2761083951228329</v>
      </c>
      <c r="AH92" s="413"/>
      <c r="AI92" s="413"/>
      <c r="AJ92" s="413"/>
      <c r="AK92" s="410"/>
      <c r="AL92" s="410"/>
      <c r="AM92" s="410"/>
    </row>
    <row r="93" spans="1:39" ht="15.75" thickBot="1" x14ac:dyDescent="0.3">
      <c r="A93" s="410"/>
      <c r="B93" s="410"/>
      <c r="C93" s="410"/>
      <c r="D93" s="410"/>
      <c r="E93" s="410"/>
      <c r="F93" s="410"/>
      <c r="G93" s="410"/>
      <c r="H93" s="410"/>
      <c r="I93" s="410"/>
      <c r="J93" s="410"/>
      <c r="K93" s="410"/>
      <c r="L93" s="410"/>
      <c r="M93" s="410"/>
      <c r="N93" s="410"/>
      <c r="O93" s="410"/>
      <c r="P93" s="410"/>
      <c r="Q93" s="410"/>
      <c r="R93" s="410"/>
      <c r="S93" s="410"/>
      <c r="T93" s="410"/>
      <c r="U93" s="410"/>
      <c r="V93" s="410"/>
      <c r="W93" s="410"/>
      <c r="X93" s="410"/>
      <c r="Y93" s="410"/>
      <c r="Z93" s="410"/>
      <c r="AA93" s="410"/>
      <c r="AB93" s="410"/>
      <c r="AC93" s="410"/>
      <c r="AD93" s="410"/>
      <c r="AE93" s="410"/>
      <c r="AF93" s="410"/>
      <c r="AG93" s="410"/>
      <c r="AH93" s="410"/>
      <c r="AI93" s="410"/>
      <c r="AJ93" s="410"/>
      <c r="AK93" s="410"/>
      <c r="AL93" s="410"/>
      <c r="AM93" s="410"/>
    </row>
    <row r="94" spans="1:39" x14ac:dyDescent="0.25">
      <c r="A94" s="414"/>
      <c r="B94" s="414" t="s">
        <v>709</v>
      </c>
      <c r="C94" s="414" t="s">
        <v>698</v>
      </c>
      <c r="D94" s="414" t="s">
        <v>710</v>
      </c>
      <c r="E94" s="414" t="s">
        <v>711</v>
      </c>
      <c r="F94" s="414" t="s">
        <v>712</v>
      </c>
      <c r="G94" s="414" t="s">
        <v>713</v>
      </c>
      <c r="H94" s="414" t="s">
        <v>714</v>
      </c>
      <c r="I94" s="414" t="s">
        <v>715</v>
      </c>
      <c r="J94" s="410"/>
      <c r="K94" s="414"/>
      <c r="L94" s="414" t="s">
        <v>709</v>
      </c>
      <c r="M94" s="414" t="s">
        <v>698</v>
      </c>
      <c r="N94" s="414" t="s">
        <v>710</v>
      </c>
      <c r="O94" s="414" t="s">
        <v>711</v>
      </c>
      <c r="P94" s="414" t="s">
        <v>712</v>
      </c>
      <c r="Q94" s="414" t="s">
        <v>713</v>
      </c>
      <c r="R94" s="414" t="s">
        <v>714</v>
      </c>
      <c r="S94" s="414" t="s">
        <v>715</v>
      </c>
      <c r="T94" s="410"/>
      <c r="U94" s="414"/>
      <c r="V94" s="414" t="s">
        <v>709</v>
      </c>
      <c r="W94" s="414" t="s">
        <v>698</v>
      </c>
      <c r="X94" s="414" t="s">
        <v>710</v>
      </c>
      <c r="Y94" s="414" t="s">
        <v>711</v>
      </c>
      <c r="Z94" s="414" t="s">
        <v>712</v>
      </c>
      <c r="AA94" s="414" t="s">
        <v>713</v>
      </c>
      <c r="AB94" s="414" t="s">
        <v>714</v>
      </c>
      <c r="AC94" s="414" t="s">
        <v>715</v>
      </c>
      <c r="AD94" s="410"/>
      <c r="AE94" s="414"/>
      <c r="AF94" s="414" t="s">
        <v>709</v>
      </c>
      <c r="AG94" s="414" t="s">
        <v>698</v>
      </c>
      <c r="AH94" s="414" t="s">
        <v>710</v>
      </c>
      <c r="AI94" s="414" t="s">
        <v>711</v>
      </c>
      <c r="AJ94" s="414" t="s">
        <v>712</v>
      </c>
      <c r="AK94" s="414" t="s">
        <v>713</v>
      </c>
      <c r="AL94" s="414" t="s">
        <v>714</v>
      </c>
      <c r="AM94" s="414" t="s">
        <v>715</v>
      </c>
    </row>
    <row r="95" spans="1:39" x14ac:dyDescent="0.25">
      <c r="A95" s="412" t="s">
        <v>716</v>
      </c>
      <c r="B95" s="412">
        <v>-227.78110459881108</v>
      </c>
      <c r="C95" s="412">
        <v>67.058388063279367</v>
      </c>
      <c r="D95" s="412">
        <v>-3.3967578281760424</v>
      </c>
      <c r="E95" s="412">
        <v>1.4553925438804514E-2</v>
      </c>
      <c r="F95" s="412">
        <v>-391.8670690695277</v>
      </c>
      <c r="G95" s="412">
        <v>-63.695140128094437</v>
      </c>
      <c r="H95" s="412">
        <v>-391.8670690695277</v>
      </c>
      <c r="I95" s="412">
        <v>-63.695140128094437</v>
      </c>
      <c r="J95" s="410"/>
      <c r="K95" s="412" t="s">
        <v>716</v>
      </c>
      <c r="L95" s="412">
        <v>24.928688102772565</v>
      </c>
      <c r="M95" s="412">
        <v>37.961341688248218</v>
      </c>
      <c r="N95" s="412">
        <v>0.65668617056519363</v>
      </c>
      <c r="O95" s="412">
        <v>0.53574217153114101</v>
      </c>
      <c r="P95" s="412">
        <v>-67.959368759565592</v>
      </c>
      <c r="Q95" s="412">
        <v>117.81674496511073</v>
      </c>
      <c r="R95" s="412">
        <v>-67.959368759565592</v>
      </c>
      <c r="S95" s="412">
        <v>117.81674496511073</v>
      </c>
      <c r="T95" s="410"/>
      <c r="U95" s="412" t="s">
        <v>716</v>
      </c>
      <c r="V95" s="412">
        <v>-382.11165341184375</v>
      </c>
      <c r="W95" s="412">
        <v>64.879664037965838</v>
      </c>
      <c r="X95" s="412">
        <v>-5.8895442674956247</v>
      </c>
      <c r="Y95" s="412">
        <v>1.0630689975849508E-3</v>
      </c>
      <c r="Z95" s="412">
        <v>-540.8664722446465</v>
      </c>
      <c r="AA95" s="412">
        <v>-223.35683457904105</v>
      </c>
      <c r="AB95" s="412">
        <v>-540.8664722446465</v>
      </c>
      <c r="AC95" s="412">
        <v>-223.35683457904105</v>
      </c>
      <c r="AD95" s="410"/>
      <c r="AE95" s="412" t="s">
        <v>716</v>
      </c>
      <c r="AF95" s="412">
        <v>-181.41666447246433</v>
      </c>
      <c r="AG95" s="412">
        <v>122.44853348821697</v>
      </c>
      <c r="AH95" s="412">
        <v>-1.4815748241682436</v>
      </c>
      <c r="AI95" s="412">
        <v>0.1889620778894795</v>
      </c>
      <c r="AJ95" s="412">
        <v>-481.03743222010411</v>
      </c>
      <c r="AK95" s="412">
        <v>118.20410327517544</v>
      </c>
      <c r="AL95" s="412">
        <v>-481.03743222010411</v>
      </c>
      <c r="AM95" s="412">
        <v>118.20410327517544</v>
      </c>
    </row>
    <row r="96" spans="1:39" ht="15.75" thickBot="1" x14ac:dyDescent="0.3">
      <c r="A96" s="413" t="s">
        <v>41</v>
      </c>
      <c r="B96" s="413">
        <v>0.11478724830507236</v>
      </c>
      <c r="C96" s="413">
        <v>3.3188985372291688E-2</v>
      </c>
      <c r="D96" s="413">
        <v>3.4585946818640676</v>
      </c>
      <c r="E96" s="413">
        <v>1.3490438608645943E-2</v>
      </c>
      <c r="F96" s="413">
        <v>3.3576726670134796E-2</v>
      </c>
      <c r="G96" s="413">
        <v>0.19599776994000995</v>
      </c>
      <c r="H96" s="413">
        <v>3.3576726670134796E-2</v>
      </c>
      <c r="I96" s="413">
        <v>0.19599776994000995</v>
      </c>
      <c r="J96" s="410"/>
      <c r="K96" s="413" t="s">
        <v>41</v>
      </c>
      <c r="L96" s="413">
        <v>-1.0226371075390294E-2</v>
      </c>
      <c r="M96" s="413">
        <v>1.878808081123183E-2</v>
      </c>
      <c r="N96" s="413">
        <v>-0.54430099477093996</v>
      </c>
      <c r="O96" s="413">
        <v>0.60585529428985518</v>
      </c>
      <c r="P96" s="413">
        <v>-5.619914867266286E-2</v>
      </c>
      <c r="Q96" s="413">
        <v>3.5746406521882268E-2</v>
      </c>
      <c r="R96" s="413">
        <v>-5.619914867266286E-2</v>
      </c>
      <c r="S96" s="413">
        <v>3.5746406521882268E-2</v>
      </c>
      <c r="T96" s="410"/>
      <c r="U96" s="413" t="s">
        <v>41</v>
      </c>
      <c r="V96" s="413">
        <v>0.19087772408385215</v>
      </c>
      <c r="W96" s="413">
        <v>3.2110676723742654E-2</v>
      </c>
      <c r="X96" s="413">
        <v>5.9443693985657129</v>
      </c>
      <c r="Y96" s="413">
        <v>1.012792092030196E-3</v>
      </c>
      <c r="Z96" s="413">
        <v>0.11230572866024131</v>
      </c>
      <c r="AA96" s="413">
        <v>0.26944971950746299</v>
      </c>
      <c r="AB96" s="413">
        <v>0.11230572866024131</v>
      </c>
      <c r="AC96" s="413">
        <v>0.26944971950746299</v>
      </c>
      <c r="AD96" s="410"/>
      <c r="AE96" s="413" t="s">
        <v>41</v>
      </c>
      <c r="AF96" s="413">
        <v>9.1362782348643271E-2</v>
      </c>
      <c r="AG96" s="413">
        <v>6.0603046153809716E-2</v>
      </c>
      <c r="AH96" s="413">
        <v>1.5075608925129895</v>
      </c>
      <c r="AI96" s="413">
        <v>0.18239122369214986</v>
      </c>
      <c r="AJ96" s="413">
        <v>-5.6927529500599303E-2</v>
      </c>
      <c r="AK96" s="413">
        <v>0.23965309419788583</v>
      </c>
      <c r="AL96" s="413">
        <v>-5.6927529500599303E-2</v>
      </c>
      <c r="AM96" s="413">
        <v>0.23965309419788583</v>
      </c>
    </row>
    <row r="100" spans="1:39" x14ac:dyDescent="0.25">
      <c r="A100" s="213" t="s">
        <v>41</v>
      </c>
      <c r="B100" s="405" t="s">
        <v>763</v>
      </c>
      <c r="C100" t="s">
        <v>691</v>
      </c>
      <c r="E100" t="s">
        <v>745</v>
      </c>
      <c r="F100" t="s">
        <v>746</v>
      </c>
      <c r="G100" t="s">
        <v>747</v>
      </c>
      <c r="H100" s="408" t="s">
        <v>752</v>
      </c>
      <c r="K100" s="213" t="s">
        <v>41</v>
      </c>
      <c r="L100" s="405" t="s">
        <v>762</v>
      </c>
      <c r="M100" t="s">
        <v>691</v>
      </c>
      <c r="O100" t="s">
        <v>745</v>
      </c>
      <c r="P100" t="s">
        <v>746</v>
      </c>
      <c r="Q100" t="s">
        <v>747</v>
      </c>
      <c r="R100" s="408" t="s">
        <v>753</v>
      </c>
      <c r="U100" s="213" t="s">
        <v>41</v>
      </c>
      <c r="V100" s="405" t="s">
        <v>686</v>
      </c>
      <c r="W100" t="s">
        <v>691</v>
      </c>
      <c r="Y100" t="s">
        <v>745</v>
      </c>
      <c r="Z100" t="s">
        <v>746</v>
      </c>
      <c r="AA100" t="s">
        <v>747</v>
      </c>
      <c r="AB100" s="408" t="s">
        <v>748</v>
      </c>
      <c r="AE100" s="213" t="s">
        <v>41</v>
      </c>
      <c r="AF100" s="405" t="s">
        <v>764</v>
      </c>
      <c r="AG100" t="s">
        <v>691</v>
      </c>
      <c r="AI100" t="s">
        <v>745</v>
      </c>
      <c r="AJ100" t="s">
        <v>746</v>
      </c>
      <c r="AK100" t="s">
        <v>747</v>
      </c>
      <c r="AL100" s="408" t="s">
        <v>748</v>
      </c>
    </row>
    <row r="101" spans="1:39" x14ac:dyDescent="0.25">
      <c r="A101" s="213">
        <v>2017</v>
      </c>
      <c r="B101" s="277"/>
      <c r="E101">
        <v>2025</v>
      </c>
      <c r="F101" s="373">
        <f>($B$128+$B$129*E101)/100</f>
        <v>2.310892039765463E-2</v>
      </c>
      <c r="G101" s="373">
        <f>($B$108/$B$104)^(1/4)-1</f>
        <v>0.19899565339350667</v>
      </c>
      <c r="H101" s="409">
        <f>0.8*F101+0.2*G101</f>
        <v>5.8286266996825042E-2</v>
      </c>
      <c r="K101" s="213">
        <v>2017</v>
      </c>
      <c r="L101" s="277">
        <v>94.825000000000003</v>
      </c>
      <c r="M101">
        <f>LN(L101)</f>
        <v>4.5520330875749631</v>
      </c>
      <c r="O101">
        <v>2025</v>
      </c>
      <c r="P101" s="373">
        <f>($L$128+$L$129*O101)/100</f>
        <v>2.3286332551256238E-2</v>
      </c>
      <c r="Q101" s="373">
        <f>($L$107/$L$101)^(1/7)-1</f>
        <v>-0.13165337230667162</v>
      </c>
      <c r="R101" s="409">
        <f>0.5*P101+0.5*Q101</f>
        <v>-5.4183519877707691E-2</v>
      </c>
      <c r="U101" s="213">
        <v>2017</v>
      </c>
      <c r="V101" s="277"/>
      <c r="Y101">
        <v>2025</v>
      </c>
      <c r="Z101" s="373">
        <f>($V$128+$V$129*Y101)/100</f>
        <v>3.2927688683302564E-2</v>
      </c>
      <c r="AA101" s="373">
        <f>($V$108/$V$104)^(1/4)-1</f>
        <v>-0.14338734708560663</v>
      </c>
      <c r="AB101" s="409">
        <f>0.5*Z101+0.5*AA101</f>
        <v>-5.5229829201152034E-2</v>
      </c>
      <c r="AE101" s="213">
        <v>2017</v>
      </c>
      <c r="AF101">
        <v>-17.895</v>
      </c>
      <c r="AG101">
        <f>LN(-AF101)</f>
        <v>2.8845213442179891</v>
      </c>
      <c r="AI101">
        <v>2025</v>
      </c>
      <c r="AJ101" s="373">
        <f>($AF$95+$AF$96*AI101)/100</f>
        <v>3.5929697835382794E-2</v>
      </c>
      <c r="AK101" s="373">
        <f>($AF$75/$AF$68)^(1/7)-1</f>
        <v>8.9858550892451872E-2</v>
      </c>
      <c r="AL101" s="409">
        <f>0.8*AJ101+0.2*AK101</f>
        <v>4.671546844679661E-2</v>
      </c>
    </row>
    <row r="102" spans="1:39" x14ac:dyDescent="0.25">
      <c r="A102" s="213">
        <v>2018</v>
      </c>
      <c r="B102" s="277"/>
      <c r="E102">
        <v>2026</v>
      </c>
      <c r="F102" s="373">
        <f t="shared" ref="F102:F110" si="48">($B$128+$B$129*E102)/100</f>
        <v>2.1986525361254509E-2</v>
      </c>
      <c r="G102" s="373">
        <f>($B$108/$B$104)^(1/4)-1</f>
        <v>0.19899565339350667</v>
      </c>
      <c r="H102" s="409">
        <f t="shared" ref="H102:H110" si="49">0.8*F102+0.2*G102</f>
        <v>5.7388350967704942E-2</v>
      </c>
      <c r="K102" s="213">
        <v>2018</v>
      </c>
      <c r="L102" s="277">
        <v>139.017</v>
      </c>
      <c r="M102">
        <f t="shared" ref="M102:M107" si="50">LN(L102)</f>
        <v>4.9345962278106663</v>
      </c>
      <c r="O102">
        <v>2026</v>
      </c>
      <c r="P102" s="373">
        <f t="shared" ref="P102:P110" si="51">($L$128+$L$129*O102)/100</f>
        <v>2.0131705494903826E-2</v>
      </c>
      <c r="Q102" s="373">
        <f t="shared" ref="Q102:Q110" si="52">($L$107/$L$101)^(1/7)-1</f>
        <v>-0.13165337230667162</v>
      </c>
      <c r="R102" s="409">
        <f t="shared" ref="R102:R110" si="53">0.5*P102+0.5*Q102</f>
        <v>-5.5760833405883899E-2</v>
      </c>
      <c r="U102" s="213">
        <v>2018</v>
      </c>
      <c r="V102" s="277"/>
      <c r="Y102">
        <v>2026</v>
      </c>
      <c r="Z102" s="373">
        <f t="shared" ref="Z102:Z110" si="54">($V$128+$V$129*Y102)/100</f>
        <v>3.1572805730149867E-2</v>
      </c>
      <c r="AA102" s="373">
        <f t="shared" ref="AA102:AA110" si="55">($V$108/$V$104)^(1/4)-1</f>
        <v>-0.14338734708560663</v>
      </c>
      <c r="AB102" s="409">
        <f t="shared" ref="AB102:AB110" si="56">0.5*Z102+0.5*AA102</f>
        <v>-5.5907270677728382E-2</v>
      </c>
      <c r="AE102" s="213">
        <v>2018</v>
      </c>
      <c r="AF102">
        <v>-2.4699999999999989</v>
      </c>
      <c r="AG102">
        <f t="shared" ref="AG102:AG108" si="57">LN(-AF102)</f>
        <v>0.90421815063988542</v>
      </c>
      <c r="AI102">
        <v>2026</v>
      </c>
      <c r="AJ102" s="373">
        <f t="shared" ref="AJ102:AJ110" si="58">($AF$95+$AF$96*AI102)/100</f>
        <v>3.684332565886933E-2</v>
      </c>
      <c r="AK102" s="373">
        <f t="shared" ref="AK102:AK110" si="59">($AF$75/$AF$68)^(1/7)-1</f>
        <v>8.9858550892451872E-2</v>
      </c>
      <c r="AL102" s="409">
        <f t="shared" ref="AL102:AL110" si="60">0.8*AJ102+0.2*AK102</f>
        <v>4.7446370705585841E-2</v>
      </c>
    </row>
    <row r="103" spans="1:39" x14ac:dyDescent="0.25">
      <c r="A103" s="213">
        <v>2019</v>
      </c>
      <c r="B103" s="277"/>
      <c r="E103">
        <v>2027</v>
      </c>
      <c r="F103" s="373">
        <f t="shared" si="48"/>
        <v>2.0864130324854388E-2</v>
      </c>
      <c r="G103" s="373">
        <f t="shared" ref="G103:G110" si="61">($B$108/$B$104)^(1/4)-1</f>
        <v>0.19899565339350667</v>
      </c>
      <c r="H103" s="409">
        <f t="shared" si="49"/>
        <v>5.6490434938584841E-2</v>
      </c>
      <c r="K103" s="213">
        <v>2019</v>
      </c>
      <c r="L103" s="277">
        <v>122.616</v>
      </c>
      <c r="M103">
        <f t="shared" si="50"/>
        <v>4.8090575206966069</v>
      </c>
      <c r="O103">
        <v>2027</v>
      </c>
      <c r="P103" s="373">
        <f t="shared" si="51"/>
        <v>1.6977078438550279E-2</v>
      </c>
      <c r="Q103" s="373">
        <f t="shared" si="52"/>
        <v>-0.13165337230667162</v>
      </c>
      <c r="R103" s="409">
        <f t="shared" si="53"/>
        <v>-5.7338146934060669E-2</v>
      </c>
      <c r="U103" s="213">
        <v>2019</v>
      </c>
      <c r="V103" s="277"/>
      <c r="Y103">
        <v>2027</v>
      </c>
      <c r="Z103" s="373">
        <f t="shared" si="54"/>
        <v>3.02179227769966E-2</v>
      </c>
      <c r="AA103" s="373">
        <f t="shared" si="55"/>
        <v>-0.14338734708560663</v>
      </c>
      <c r="AB103" s="409">
        <f t="shared" si="56"/>
        <v>-5.6584712154305015E-2</v>
      </c>
      <c r="AE103" s="213">
        <v>2019</v>
      </c>
      <c r="AF103">
        <v>-35.994</v>
      </c>
      <c r="AG103">
        <f t="shared" si="57"/>
        <v>3.5833522578990111</v>
      </c>
      <c r="AI103">
        <v>2027</v>
      </c>
      <c r="AJ103" s="373">
        <f t="shared" si="58"/>
        <v>3.7756953482355866E-2</v>
      </c>
      <c r="AK103" s="373">
        <f t="shared" si="59"/>
        <v>8.9858550892451872E-2</v>
      </c>
      <c r="AL103" s="409">
        <f t="shared" si="60"/>
        <v>4.8177272964375073E-2</v>
      </c>
    </row>
    <row r="104" spans="1:39" x14ac:dyDescent="0.25">
      <c r="A104" s="213">
        <v>2020</v>
      </c>
      <c r="B104" s="277">
        <v>4.5</v>
      </c>
      <c r="C104">
        <f t="shared" ref="C104:C108" si="62">LN(B104)</f>
        <v>1.5040773967762742</v>
      </c>
      <c r="E104">
        <v>2028</v>
      </c>
      <c r="F104" s="373">
        <f t="shared" si="48"/>
        <v>1.9741735288454548E-2</v>
      </c>
      <c r="G104" s="373">
        <f t="shared" si="61"/>
        <v>0.19899565339350667</v>
      </c>
      <c r="H104" s="409">
        <f t="shared" si="49"/>
        <v>5.5592518909464969E-2</v>
      </c>
      <c r="K104" s="213">
        <v>2020</v>
      </c>
      <c r="L104" s="277">
        <v>38</v>
      </c>
      <c r="M104">
        <f t="shared" si="50"/>
        <v>3.6375861597263857</v>
      </c>
      <c r="O104">
        <v>2028</v>
      </c>
      <c r="P104" s="373">
        <f t="shared" si="51"/>
        <v>1.3822451382197868E-2</v>
      </c>
      <c r="Q104" s="373">
        <f t="shared" si="52"/>
        <v>-0.13165337230667162</v>
      </c>
      <c r="R104" s="409">
        <f t="shared" si="53"/>
        <v>-5.8915460462236877E-2</v>
      </c>
      <c r="U104" s="213">
        <v>2020</v>
      </c>
      <c r="V104" s="277">
        <v>81.299999999999955</v>
      </c>
      <c r="W104">
        <f t="shared" ref="W104:W108" si="63">LN(V104)</f>
        <v>4.3981460165537642</v>
      </c>
      <c r="Y104">
        <v>2028</v>
      </c>
      <c r="Z104" s="373">
        <f t="shared" si="54"/>
        <v>2.8863039823843906E-2</v>
      </c>
      <c r="AA104" s="373">
        <f t="shared" si="55"/>
        <v>-0.14338734708560663</v>
      </c>
      <c r="AB104" s="409">
        <f t="shared" si="56"/>
        <v>-5.7262153630881364E-2</v>
      </c>
      <c r="AE104" s="213">
        <v>2020</v>
      </c>
      <c r="AF104">
        <v>-22.8</v>
      </c>
      <c r="AG104">
        <f t="shared" si="57"/>
        <v>3.1267605359603952</v>
      </c>
      <c r="AI104">
        <v>2028</v>
      </c>
      <c r="AJ104" s="373">
        <f t="shared" si="58"/>
        <v>3.8670581305842118E-2</v>
      </c>
      <c r="AK104" s="373">
        <f t="shared" si="59"/>
        <v>8.9858550892451872E-2</v>
      </c>
      <c r="AL104" s="409">
        <f t="shared" si="60"/>
        <v>4.8908175223164069E-2</v>
      </c>
    </row>
    <row r="105" spans="1:39" x14ac:dyDescent="0.25">
      <c r="A105" s="213">
        <v>2021</v>
      </c>
      <c r="B105" s="277">
        <v>13.1</v>
      </c>
      <c r="C105">
        <f t="shared" si="62"/>
        <v>2.5726122302071057</v>
      </c>
      <c r="E105">
        <v>2029</v>
      </c>
      <c r="F105" s="373">
        <f t="shared" si="48"/>
        <v>1.8619340252054428E-2</v>
      </c>
      <c r="G105" s="373">
        <f t="shared" si="61"/>
        <v>0.19899565339350667</v>
      </c>
      <c r="H105" s="409">
        <f t="shared" si="49"/>
        <v>5.4694602880344875E-2</v>
      </c>
      <c r="K105" s="213">
        <v>2021</v>
      </c>
      <c r="L105" s="277">
        <v>17.8</v>
      </c>
      <c r="M105">
        <f t="shared" si="50"/>
        <v>2.8791984572980396</v>
      </c>
      <c r="O105">
        <v>2029</v>
      </c>
      <c r="P105" s="373">
        <f t="shared" si="51"/>
        <v>1.0667824325844321E-2</v>
      </c>
      <c r="Q105" s="373">
        <f t="shared" si="52"/>
        <v>-0.13165337230667162</v>
      </c>
      <c r="R105" s="409">
        <f t="shared" si="53"/>
        <v>-6.0492773990413654E-2</v>
      </c>
      <c r="U105" s="213">
        <v>2021</v>
      </c>
      <c r="V105" s="277">
        <v>48.400000000000091</v>
      </c>
      <c r="W105">
        <f t="shared" si="63"/>
        <v>3.879499813722588</v>
      </c>
      <c r="Y105">
        <v>2029</v>
      </c>
      <c r="Z105" s="373">
        <f t="shared" si="54"/>
        <v>2.7508156870691209E-2</v>
      </c>
      <c r="AA105" s="373">
        <f t="shared" si="55"/>
        <v>-0.14338734708560663</v>
      </c>
      <c r="AB105" s="409">
        <f t="shared" si="56"/>
        <v>-5.7939595107457713E-2</v>
      </c>
      <c r="AE105" s="213">
        <v>2021</v>
      </c>
      <c r="AF105">
        <v>-25.300000000000022</v>
      </c>
      <c r="AG105">
        <f t="shared" si="57"/>
        <v>3.2308043957334753</v>
      </c>
      <c r="AI105">
        <v>2029</v>
      </c>
      <c r="AJ105" s="373">
        <f t="shared" si="58"/>
        <v>3.9584209129328654E-2</v>
      </c>
      <c r="AK105" s="373">
        <f t="shared" si="59"/>
        <v>8.9858550892451872E-2</v>
      </c>
      <c r="AL105" s="409">
        <f t="shared" si="60"/>
        <v>4.96390774819533E-2</v>
      </c>
    </row>
    <row r="106" spans="1:39" x14ac:dyDescent="0.25">
      <c r="A106" s="213">
        <v>2022</v>
      </c>
      <c r="B106" s="277">
        <v>16.928000000000001</v>
      </c>
      <c r="C106">
        <f t="shared" si="62"/>
        <v>2.8289690556758891</v>
      </c>
      <c r="E106">
        <v>2030</v>
      </c>
      <c r="F106" s="373">
        <f t="shared" si="48"/>
        <v>1.7496945215654591E-2</v>
      </c>
      <c r="G106" s="373">
        <f t="shared" si="61"/>
        <v>0.19899565339350667</v>
      </c>
      <c r="H106" s="409">
        <f t="shared" si="49"/>
        <v>5.3796686851225003E-2</v>
      </c>
      <c r="K106" s="213">
        <v>2022</v>
      </c>
      <c r="L106" s="277">
        <v>19.399999999999999</v>
      </c>
      <c r="M106">
        <f t="shared" si="50"/>
        <v>2.9652730660692823</v>
      </c>
      <c r="O106">
        <v>2030</v>
      </c>
      <c r="P106" s="373">
        <f t="shared" si="51"/>
        <v>7.5131972694919115E-3</v>
      </c>
      <c r="Q106" s="373">
        <f t="shared" si="52"/>
        <v>-0.13165337230667162</v>
      </c>
      <c r="R106" s="409">
        <f t="shared" si="53"/>
        <v>-6.2070087518589855E-2</v>
      </c>
      <c r="U106" s="213">
        <v>2022</v>
      </c>
      <c r="V106" s="277">
        <v>52.482999999999997</v>
      </c>
      <c r="W106">
        <f t="shared" si="63"/>
        <v>3.9604893076361445</v>
      </c>
      <c r="Y106">
        <v>2030</v>
      </c>
      <c r="Z106" s="373">
        <f t="shared" si="54"/>
        <v>2.6153273917537946E-2</v>
      </c>
      <c r="AA106" s="373">
        <f t="shared" si="55"/>
        <v>-0.14338734708560663</v>
      </c>
      <c r="AB106" s="409">
        <f t="shared" si="56"/>
        <v>-5.8617036584034346E-2</v>
      </c>
      <c r="AE106" s="213">
        <v>2022</v>
      </c>
      <c r="AF106">
        <v>1.8000000000000007</v>
      </c>
      <c r="AG106">
        <f>LN(AF106)</f>
        <v>0.58778666490211939</v>
      </c>
      <c r="AI106">
        <v>2030</v>
      </c>
      <c r="AJ106" s="373">
        <f t="shared" si="58"/>
        <v>4.049783695281519E-2</v>
      </c>
      <c r="AK106" s="373">
        <f t="shared" si="59"/>
        <v>8.9858550892451872E-2</v>
      </c>
      <c r="AL106" s="409">
        <f t="shared" si="60"/>
        <v>5.0369979740742532E-2</v>
      </c>
    </row>
    <row r="107" spans="1:39" x14ac:dyDescent="0.25">
      <c r="A107" s="213">
        <v>2023</v>
      </c>
      <c r="B107" s="277">
        <v>15.4</v>
      </c>
      <c r="C107">
        <f t="shared" si="62"/>
        <v>2.7343675094195836</v>
      </c>
      <c r="E107">
        <v>2031</v>
      </c>
      <c r="F107" s="373">
        <f t="shared" si="48"/>
        <v>1.6374550179254471E-2</v>
      </c>
      <c r="G107" s="373">
        <f t="shared" si="61"/>
        <v>0.19899565339350667</v>
      </c>
      <c r="H107" s="409">
        <f t="shared" si="49"/>
        <v>5.289877082210491E-2</v>
      </c>
      <c r="K107" s="213">
        <v>2023</v>
      </c>
      <c r="L107" s="277">
        <v>35.299999999999997</v>
      </c>
      <c r="M107">
        <f t="shared" si="50"/>
        <v>3.5638829639392511</v>
      </c>
      <c r="O107">
        <v>2031</v>
      </c>
      <c r="P107" s="373">
        <f t="shared" si="51"/>
        <v>4.3585702131383637E-3</v>
      </c>
      <c r="Q107" s="373">
        <f t="shared" si="52"/>
        <v>-0.13165337230667162</v>
      </c>
      <c r="R107" s="409">
        <f t="shared" si="53"/>
        <v>-6.3647401046766625E-2</v>
      </c>
      <c r="U107" s="213">
        <v>2023</v>
      </c>
      <c r="V107" s="277">
        <v>18.300000000000068</v>
      </c>
      <c r="W107">
        <f t="shared" si="63"/>
        <v>2.906901059847379</v>
      </c>
      <c r="Y107">
        <v>2031</v>
      </c>
      <c r="Z107" s="373">
        <f t="shared" si="54"/>
        <v>2.4798390964385249E-2</v>
      </c>
      <c r="AA107" s="373">
        <f t="shared" si="55"/>
        <v>-0.14338734708560663</v>
      </c>
      <c r="AB107" s="409">
        <f t="shared" si="56"/>
        <v>-5.9294478060610695E-2</v>
      </c>
      <c r="AE107" s="213">
        <v>2023</v>
      </c>
      <c r="AI107">
        <v>2031</v>
      </c>
      <c r="AJ107" s="373">
        <f t="shared" si="58"/>
        <v>4.1411464776301442E-2</v>
      </c>
      <c r="AK107" s="373">
        <f t="shared" si="59"/>
        <v>8.9858550892451872E-2</v>
      </c>
      <c r="AL107" s="409">
        <f t="shared" si="60"/>
        <v>5.1100881999531528E-2</v>
      </c>
    </row>
    <row r="108" spans="1:39" x14ac:dyDescent="0.25">
      <c r="A108" s="213">
        <v>2024</v>
      </c>
      <c r="B108" s="277">
        <v>9.3000000000000007</v>
      </c>
      <c r="C108">
        <f t="shared" si="62"/>
        <v>2.2300144001592104</v>
      </c>
      <c r="E108">
        <v>2032</v>
      </c>
      <c r="F108" s="373">
        <f t="shared" si="48"/>
        <v>1.5252155142854633E-2</v>
      </c>
      <c r="G108" s="373">
        <f t="shared" si="61"/>
        <v>0.19899565339350667</v>
      </c>
      <c r="H108" s="409">
        <f t="shared" si="49"/>
        <v>5.2000854792985038E-2</v>
      </c>
      <c r="K108" s="213">
        <v>2024</v>
      </c>
      <c r="L108" s="277"/>
      <c r="O108">
        <v>2032</v>
      </c>
      <c r="P108" s="373">
        <f t="shared" si="51"/>
        <v>1.2039431567859539E-3</v>
      </c>
      <c r="Q108" s="373">
        <f t="shared" si="52"/>
        <v>-0.13165337230667162</v>
      </c>
      <c r="R108" s="409">
        <f t="shared" si="53"/>
        <v>-6.5224714574942833E-2</v>
      </c>
      <c r="U108" s="213">
        <v>2024</v>
      </c>
      <c r="V108" s="277">
        <v>43.77523494525542</v>
      </c>
      <c r="W108">
        <f t="shared" si="63"/>
        <v>3.779068245267859</v>
      </c>
      <c r="Y108">
        <v>2032</v>
      </c>
      <c r="Z108" s="373">
        <f t="shared" si="54"/>
        <v>2.3443508011231982E-2</v>
      </c>
      <c r="AA108" s="373">
        <f t="shared" si="55"/>
        <v>-0.14338734708560663</v>
      </c>
      <c r="AB108" s="409">
        <f t="shared" si="56"/>
        <v>-5.9971919537187321E-2</v>
      </c>
      <c r="AE108" s="213">
        <v>2024</v>
      </c>
      <c r="AF108">
        <v>-25.49099999999995</v>
      </c>
      <c r="AG108">
        <f t="shared" si="57"/>
        <v>3.2383254486895119</v>
      </c>
      <c r="AI108">
        <v>2032</v>
      </c>
      <c r="AJ108" s="373">
        <f t="shared" si="58"/>
        <v>4.2325092599787978E-2</v>
      </c>
      <c r="AK108" s="373">
        <f t="shared" si="59"/>
        <v>8.9858550892451872E-2</v>
      </c>
      <c r="AL108" s="409">
        <f t="shared" si="60"/>
        <v>5.1831784258320759E-2</v>
      </c>
    </row>
    <row r="109" spans="1:39" x14ac:dyDescent="0.25">
      <c r="E109">
        <v>2033</v>
      </c>
      <c r="F109" s="373">
        <f t="shared" si="48"/>
        <v>1.4129760106454512E-2</v>
      </c>
      <c r="G109" s="373">
        <f t="shared" si="61"/>
        <v>0.19899565339350667</v>
      </c>
      <c r="H109" s="409">
        <f t="shared" si="49"/>
        <v>5.1102938763864944E-2</v>
      </c>
      <c r="O109">
        <v>2033</v>
      </c>
      <c r="P109" s="373">
        <f t="shared" si="51"/>
        <v>-1.9506838995675935E-3</v>
      </c>
      <c r="Q109" s="373">
        <f t="shared" si="52"/>
        <v>-0.13165337230667162</v>
      </c>
      <c r="R109" s="409">
        <f t="shared" si="53"/>
        <v>-6.6802028103119609E-2</v>
      </c>
      <c r="Y109">
        <v>2033</v>
      </c>
      <c r="Z109" s="373">
        <f t="shared" si="54"/>
        <v>2.2088625058079289E-2</v>
      </c>
      <c r="AA109" s="373">
        <f t="shared" si="55"/>
        <v>-0.14338734708560663</v>
      </c>
      <c r="AB109" s="409">
        <f t="shared" si="56"/>
        <v>-6.064936101376367E-2</v>
      </c>
      <c r="AI109">
        <v>2033</v>
      </c>
      <c r="AJ109" s="373">
        <f t="shared" si="58"/>
        <v>4.3238720423274229E-2</v>
      </c>
      <c r="AK109" s="373">
        <f t="shared" si="59"/>
        <v>8.9858550892451872E-2</v>
      </c>
      <c r="AL109" s="409">
        <f t="shared" si="60"/>
        <v>5.2562686517109755E-2</v>
      </c>
    </row>
    <row r="110" spans="1:39" x14ac:dyDescent="0.25">
      <c r="E110">
        <v>2034</v>
      </c>
      <c r="F110" s="373">
        <f t="shared" si="48"/>
        <v>1.3007365070054676E-2</v>
      </c>
      <c r="G110" s="373">
        <f t="shared" si="61"/>
        <v>0.19899565339350667</v>
      </c>
      <c r="H110" s="409">
        <f t="shared" si="49"/>
        <v>5.0205022734745072E-2</v>
      </c>
      <c r="O110">
        <v>2034</v>
      </c>
      <c r="P110" s="373">
        <f t="shared" si="51"/>
        <v>-5.1053109559200038E-3</v>
      </c>
      <c r="Q110" s="373">
        <f t="shared" si="52"/>
        <v>-0.13165337230667162</v>
      </c>
      <c r="R110" s="409">
        <f t="shared" si="53"/>
        <v>-6.8379341631295817E-2</v>
      </c>
      <c r="Y110">
        <v>2034</v>
      </c>
      <c r="Z110" s="373">
        <f t="shared" si="54"/>
        <v>2.0733742104926022E-2</v>
      </c>
      <c r="AA110" s="373">
        <f t="shared" si="55"/>
        <v>-0.14338734708560663</v>
      </c>
      <c r="AB110" s="409">
        <f t="shared" si="56"/>
        <v>-6.1326802490340303E-2</v>
      </c>
      <c r="AI110">
        <v>2034</v>
      </c>
      <c r="AJ110" s="373">
        <f t="shared" si="58"/>
        <v>4.4152348246760766E-2</v>
      </c>
      <c r="AK110" s="373">
        <f t="shared" si="59"/>
        <v>8.9858550892451872E-2</v>
      </c>
      <c r="AL110" s="409">
        <f t="shared" si="60"/>
        <v>5.3293588775898987E-2</v>
      </c>
    </row>
    <row r="112" spans="1:39" x14ac:dyDescent="0.25">
      <c r="A112" s="410" t="s">
        <v>693</v>
      </c>
      <c r="B112" s="410"/>
      <c r="C112" s="410"/>
      <c r="D112" s="410"/>
      <c r="E112" s="410"/>
      <c r="F112" s="410"/>
      <c r="G112" s="410"/>
      <c r="H112" s="410"/>
      <c r="I112" s="410"/>
      <c r="J112" s="410"/>
      <c r="K112" s="410" t="s">
        <v>693</v>
      </c>
      <c r="L112" s="410"/>
      <c r="M112" s="410"/>
      <c r="N112" s="410"/>
      <c r="O112" s="410"/>
      <c r="P112" s="410"/>
      <c r="Q112" s="410"/>
      <c r="R112" s="410"/>
      <c r="S112" s="410"/>
      <c r="T112" s="410"/>
      <c r="U112" s="410" t="s">
        <v>693</v>
      </c>
      <c r="V112" s="410"/>
      <c r="W112" s="410"/>
      <c r="X112" s="410"/>
      <c r="Y112" s="410"/>
      <c r="Z112" s="410"/>
      <c r="AA112" s="410"/>
      <c r="AB112" s="410"/>
      <c r="AC112" s="410"/>
      <c r="AD112" s="410"/>
      <c r="AE112" s="410" t="s">
        <v>693</v>
      </c>
      <c r="AF112" s="410"/>
      <c r="AG112" s="410"/>
      <c r="AH112" s="410"/>
      <c r="AI112" s="410"/>
      <c r="AJ112" s="410"/>
      <c r="AK112" s="410"/>
      <c r="AL112" s="410"/>
      <c r="AM112" s="410"/>
    </row>
    <row r="113" spans="1:39" ht="15.75" thickBot="1" x14ac:dyDescent="0.3">
      <c r="A113" s="410"/>
      <c r="B113" s="410"/>
      <c r="C113" s="410"/>
      <c r="D113" s="410"/>
      <c r="E113" s="410"/>
      <c r="F113" s="410"/>
      <c r="G113" s="410"/>
      <c r="H113" s="410"/>
      <c r="I113" s="410"/>
      <c r="J113" s="410"/>
      <c r="K113" s="410"/>
      <c r="L113" s="410"/>
      <c r="M113" s="410"/>
      <c r="N113" s="410"/>
      <c r="O113" s="410"/>
      <c r="P113" s="410"/>
      <c r="Q113" s="410"/>
      <c r="R113" s="410"/>
      <c r="S113" s="410"/>
      <c r="T113" s="410"/>
      <c r="U113" s="410"/>
      <c r="V113" s="410"/>
      <c r="W113" s="410"/>
      <c r="X113" s="410"/>
      <c r="Y113" s="410"/>
      <c r="Z113" s="410"/>
      <c r="AA113" s="410"/>
      <c r="AB113" s="410"/>
      <c r="AC113" s="410"/>
      <c r="AD113" s="410"/>
      <c r="AE113" s="410"/>
      <c r="AF113" s="410"/>
      <c r="AG113" s="410"/>
      <c r="AH113" s="410"/>
      <c r="AI113" s="410"/>
      <c r="AJ113" s="410"/>
      <c r="AK113" s="410"/>
      <c r="AL113" s="410"/>
      <c r="AM113" s="410"/>
    </row>
    <row r="114" spans="1:39" x14ac:dyDescent="0.25">
      <c r="A114" s="411" t="s">
        <v>694</v>
      </c>
      <c r="B114" s="411"/>
      <c r="C114" s="410"/>
      <c r="D114" s="410"/>
      <c r="E114" s="410"/>
      <c r="F114" s="410"/>
      <c r="G114" s="410"/>
      <c r="H114" s="410"/>
      <c r="I114" s="410"/>
      <c r="J114" s="410"/>
      <c r="K114" s="411" t="s">
        <v>694</v>
      </c>
      <c r="L114" s="411"/>
      <c r="M114" s="410"/>
      <c r="N114" s="410"/>
      <c r="O114" s="410"/>
      <c r="P114" s="410"/>
      <c r="Q114" s="410"/>
      <c r="R114" s="410"/>
      <c r="S114" s="410"/>
      <c r="T114" s="410"/>
      <c r="U114" s="411" t="s">
        <v>694</v>
      </c>
      <c r="V114" s="411"/>
      <c r="W114" s="410"/>
      <c r="X114" s="410"/>
      <c r="Y114" s="410"/>
      <c r="Z114" s="410"/>
      <c r="AA114" s="410"/>
      <c r="AB114" s="410"/>
      <c r="AC114" s="410"/>
      <c r="AD114" s="410"/>
      <c r="AE114" s="411" t="s">
        <v>694</v>
      </c>
      <c r="AF114" s="411"/>
      <c r="AG114" s="410"/>
      <c r="AH114" s="410"/>
      <c r="AI114" s="410"/>
      <c r="AJ114" s="410"/>
      <c r="AK114" s="410"/>
      <c r="AL114" s="410"/>
      <c r="AM114" s="410"/>
    </row>
    <row r="115" spans="1:39" x14ac:dyDescent="0.25">
      <c r="A115" s="412" t="s">
        <v>695</v>
      </c>
      <c r="B115" s="412">
        <v>0.55052278734039639</v>
      </c>
      <c r="C115" s="410"/>
      <c r="D115" s="410"/>
      <c r="E115" s="410"/>
      <c r="F115" s="410"/>
      <c r="G115" s="410"/>
      <c r="H115" s="410"/>
      <c r="I115" s="410"/>
      <c r="J115" s="410"/>
      <c r="K115" s="412" t="s">
        <v>695</v>
      </c>
      <c r="L115" s="412">
        <v>0.794058028242555</v>
      </c>
      <c r="M115" s="410"/>
      <c r="N115" s="410"/>
      <c r="O115" s="410"/>
      <c r="P115" s="410"/>
      <c r="Q115" s="410"/>
      <c r="R115" s="410"/>
      <c r="S115" s="410"/>
      <c r="T115" s="410"/>
      <c r="U115" s="412" t="s">
        <v>695</v>
      </c>
      <c r="V115" s="412">
        <v>0.35789954129641088</v>
      </c>
      <c r="W115" s="410"/>
      <c r="X115" s="410"/>
      <c r="Y115" s="410"/>
      <c r="Z115" s="410"/>
      <c r="AA115" s="410"/>
      <c r="AB115" s="410"/>
      <c r="AC115" s="410"/>
      <c r="AD115" s="410"/>
      <c r="AE115" s="412" t="s">
        <v>695</v>
      </c>
      <c r="AF115" s="412">
        <v>0.20488706277109392</v>
      </c>
      <c r="AG115" s="410"/>
      <c r="AH115" s="410"/>
      <c r="AI115" s="410"/>
      <c r="AJ115" s="410"/>
      <c r="AK115" s="410"/>
      <c r="AL115" s="410"/>
      <c r="AM115" s="410"/>
    </row>
    <row r="116" spans="1:39" x14ac:dyDescent="0.25">
      <c r="A116" s="412" t="s">
        <v>696</v>
      </c>
      <c r="B116" s="412">
        <v>0.30307533938103931</v>
      </c>
      <c r="C116" s="410"/>
      <c r="D116" s="410"/>
      <c r="E116" s="410"/>
      <c r="F116" s="410"/>
      <c r="G116" s="410"/>
      <c r="H116" s="410"/>
      <c r="I116" s="410"/>
      <c r="J116" s="410"/>
      <c r="K116" s="412" t="s">
        <v>696</v>
      </c>
      <c r="L116" s="412">
        <v>0.63052815221645431</v>
      </c>
      <c r="M116" s="410"/>
      <c r="N116" s="410"/>
      <c r="O116" s="410"/>
      <c r="P116" s="410"/>
      <c r="Q116" s="410"/>
      <c r="R116" s="410"/>
      <c r="S116" s="410"/>
      <c r="T116" s="410"/>
      <c r="U116" s="412" t="s">
        <v>696</v>
      </c>
      <c r="V116" s="412">
        <v>0.12809208166018132</v>
      </c>
      <c r="W116" s="410"/>
      <c r="X116" s="410"/>
      <c r="Y116" s="410"/>
      <c r="Z116" s="410"/>
      <c r="AA116" s="410"/>
      <c r="AB116" s="410"/>
      <c r="AC116" s="410"/>
      <c r="AD116" s="410"/>
      <c r="AE116" s="412" t="s">
        <v>696</v>
      </c>
      <c r="AF116" s="412">
        <v>4.1978708490966181E-2</v>
      </c>
      <c r="AG116" s="410"/>
      <c r="AH116" s="410"/>
      <c r="AI116" s="410"/>
      <c r="AJ116" s="410"/>
      <c r="AK116" s="410"/>
      <c r="AL116" s="410"/>
      <c r="AM116" s="410"/>
    </row>
    <row r="117" spans="1:39" x14ac:dyDescent="0.25">
      <c r="A117" s="412" t="s">
        <v>697</v>
      </c>
      <c r="B117" s="412">
        <v>-4.5386990928441007E-2</v>
      </c>
      <c r="C117" s="410"/>
      <c r="D117" s="410"/>
      <c r="E117" s="410"/>
      <c r="F117" s="410"/>
      <c r="G117" s="410"/>
      <c r="H117" s="410"/>
      <c r="I117" s="410"/>
      <c r="J117" s="410"/>
      <c r="K117" s="412" t="s">
        <v>697</v>
      </c>
      <c r="L117" s="412">
        <v>0.55663378265974517</v>
      </c>
      <c r="M117" s="410"/>
      <c r="N117" s="410"/>
      <c r="O117" s="410"/>
      <c r="P117" s="410"/>
      <c r="Q117" s="410"/>
      <c r="R117" s="410"/>
      <c r="S117" s="410"/>
      <c r="T117" s="410"/>
      <c r="U117" s="412" t="s">
        <v>697</v>
      </c>
      <c r="V117" s="412">
        <v>-0.30786187750972804</v>
      </c>
      <c r="W117" s="410"/>
      <c r="X117" s="410"/>
      <c r="Y117" s="410"/>
      <c r="Z117" s="410"/>
      <c r="AA117" s="410"/>
      <c r="AB117" s="410"/>
      <c r="AC117" s="410"/>
      <c r="AD117" s="410"/>
      <c r="AE117" s="412" t="s">
        <v>697</v>
      </c>
      <c r="AF117" s="412">
        <v>-0.19752661438629227</v>
      </c>
      <c r="AG117" s="410"/>
      <c r="AH117" s="410"/>
      <c r="AI117" s="410"/>
      <c r="AJ117" s="410"/>
      <c r="AK117" s="410"/>
      <c r="AL117" s="410"/>
      <c r="AM117" s="410"/>
    </row>
    <row r="118" spans="1:39" x14ac:dyDescent="0.25">
      <c r="A118" s="412" t="s">
        <v>698</v>
      </c>
      <c r="B118" s="412">
        <v>0.2691121821526738</v>
      </c>
      <c r="C118" s="410"/>
      <c r="D118" s="410"/>
      <c r="E118" s="410"/>
      <c r="F118" s="410"/>
      <c r="G118" s="410"/>
      <c r="H118" s="410"/>
      <c r="I118" s="410"/>
      <c r="J118" s="410"/>
      <c r="K118" s="412" t="s">
        <v>698</v>
      </c>
      <c r="L118" s="412">
        <v>0.57145294157838</v>
      </c>
      <c r="M118" s="410"/>
      <c r="N118" s="410"/>
      <c r="O118" s="410"/>
      <c r="P118" s="410"/>
      <c r="Q118" s="410"/>
      <c r="R118" s="410"/>
      <c r="S118" s="410"/>
      <c r="T118" s="410"/>
      <c r="U118" s="412" t="s">
        <v>698</v>
      </c>
      <c r="V118" s="412">
        <v>0.55891524042459784</v>
      </c>
      <c r="W118" s="410"/>
      <c r="X118" s="410"/>
      <c r="Y118" s="410"/>
      <c r="Z118" s="410"/>
      <c r="AA118" s="410"/>
      <c r="AB118" s="410"/>
      <c r="AC118" s="410"/>
      <c r="AD118" s="410"/>
      <c r="AE118" s="412" t="s">
        <v>698</v>
      </c>
      <c r="AF118" s="412">
        <v>1.416185166676456</v>
      </c>
      <c r="AG118" s="410"/>
      <c r="AH118" s="410"/>
      <c r="AI118" s="410"/>
      <c r="AJ118" s="410"/>
      <c r="AK118" s="410"/>
      <c r="AL118" s="410"/>
      <c r="AM118" s="410"/>
    </row>
    <row r="119" spans="1:39" ht="15.75" thickBot="1" x14ac:dyDescent="0.3">
      <c r="A119" s="413" t="s">
        <v>699</v>
      </c>
      <c r="B119" s="413">
        <v>4</v>
      </c>
      <c r="C119" s="410"/>
      <c r="D119" s="410"/>
      <c r="E119" s="410"/>
      <c r="F119" s="410"/>
      <c r="G119" s="410"/>
      <c r="H119" s="410"/>
      <c r="I119" s="410"/>
      <c r="J119" s="410"/>
      <c r="K119" s="413" t="s">
        <v>699</v>
      </c>
      <c r="L119" s="413">
        <v>7</v>
      </c>
      <c r="M119" s="410"/>
      <c r="N119" s="410"/>
      <c r="O119" s="410"/>
      <c r="P119" s="410"/>
      <c r="Q119" s="410"/>
      <c r="R119" s="410"/>
      <c r="S119" s="410"/>
      <c r="T119" s="410"/>
      <c r="U119" s="413" t="s">
        <v>699</v>
      </c>
      <c r="V119" s="413">
        <v>4</v>
      </c>
      <c r="W119" s="410"/>
      <c r="X119" s="410"/>
      <c r="Y119" s="410"/>
      <c r="Z119" s="410"/>
      <c r="AA119" s="410"/>
      <c r="AB119" s="410"/>
      <c r="AC119" s="410"/>
      <c r="AD119" s="410"/>
      <c r="AE119" s="413" t="s">
        <v>699</v>
      </c>
      <c r="AF119" s="413">
        <v>6</v>
      </c>
      <c r="AG119" s="410"/>
      <c r="AH119" s="410"/>
      <c r="AI119" s="410"/>
      <c r="AJ119" s="410"/>
      <c r="AK119" s="410"/>
      <c r="AL119" s="410"/>
      <c r="AM119" s="410"/>
    </row>
    <row r="120" spans="1:39" x14ac:dyDescent="0.25">
      <c r="A120" s="410"/>
      <c r="B120" s="410"/>
      <c r="C120" s="410"/>
      <c r="D120" s="410"/>
      <c r="E120" s="410"/>
      <c r="F120" s="410"/>
      <c r="G120" s="410"/>
      <c r="H120" s="410"/>
      <c r="I120" s="410"/>
      <c r="J120" s="410"/>
      <c r="K120" s="410"/>
      <c r="L120" s="410"/>
      <c r="M120" s="410"/>
      <c r="N120" s="410"/>
      <c r="O120" s="410"/>
      <c r="P120" s="410"/>
      <c r="Q120" s="410"/>
      <c r="R120" s="410"/>
      <c r="S120" s="410"/>
      <c r="T120" s="410"/>
      <c r="U120" s="410"/>
      <c r="V120" s="410"/>
      <c r="W120" s="410"/>
      <c r="X120" s="410"/>
      <c r="Y120" s="410"/>
      <c r="Z120" s="410"/>
      <c r="AA120" s="410"/>
      <c r="AB120" s="410"/>
      <c r="AC120" s="410"/>
      <c r="AD120" s="410"/>
      <c r="AE120" s="410"/>
      <c r="AF120" s="410"/>
      <c r="AG120" s="410"/>
      <c r="AH120" s="410"/>
      <c r="AI120" s="410"/>
      <c r="AJ120" s="410"/>
      <c r="AK120" s="410"/>
      <c r="AL120" s="410"/>
      <c r="AM120" s="410"/>
    </row>
    <row r="121" spans="1:39" ht="15.75" thickBot="1" x14ac:dyDescent="0.3">
      <c r="A121" s="410" t="s">
        <v>700</v>
      </c>
      <c r="B121" s="410"/>
      <c r="C121" s="410"/>
      <c r="D121" s="410"/>
      <c r="E121" s="410"/>
      <c r="F121" s="410"/>
      <c r="G121" s="410"/>
      <c r="H121" s="410"/>
      <c r="I121" s="410"/>
      <c r="J121" s="410"/>
      <c r="K121" s="410" t="s">
        <v>700</v>
      </c>
      <c r="L121" s="410"/>
      <c r="M121" s="410"/>
      <c r="N121" s="410"/>
      <c r="O121" s="410"/>
      <c r="P121" s="410"/>
      <c r="Q121" s="410"/>
      <c r="R121" s="410"/>
      <c r="S121" s="410"/>
      <c r="T121" s="410"/>
      <c r="U121" s="410" t="s">
        <v>700</v>
      </c>
      <c r="V121" s="410"/>
      <c r="W121" s="410"/>
      <c r="X121" s="410"/>
      <c r="Y121" s="410"/>
      <c r="Z121" s="410"/>
      <c r="AA121" s="410"/>
      <c r="AB121" s="410"/>
      <c r="AC121" s="410"/>
      <c r="AD121" s="410"/>
      <c r="AE121" s="410" t="s">
        <v>700</v>
      </c>
      <c r="AF121" s="410"/>
      <c r="AG121" s="410"/>
      <c r="AH121" s="410"/>
      <c r="AI121" s="410"/>
      <c r="AJ121" s="410"/>
      <c r="AK121" s="410"/>
      <c r="AL121" s="410"/>
      <c r="AM121" s="410"/>
    </row>
    <row r="122" spans="1:39" x14ac:dyDescent="0.25">
      <c r="A122" s="414"/>
      <c r="B122" s="414" t="s">
        <v>701</v>
      </c>
      <c r="C122" s="414" t="s">
        <v>702</v>
      </c>
      <c r="D122" s="414" t="s">
        <v>703</v>
      </c>
      <c r="E122" s="414" t="s">
        <v>704</v>
      </c>
      <c r="F122" s="414" t="s">
        <v>705</v>
      </c>
      <c r="G122" s="410"/>
      <c r="H122" s="410"/>
      <c r="I122" s="410"/>
      <c r="J122" s="410"/>
      <c r="K122" s="414"/>
      <c r="L122" s="414" t="s">
        <v>701</v>
      </c>
      <c r="M122" s="414" t="s">
        <v>702</v>
      </c>
      <c r="N122" s="414" t="s">
        <v>703</v>
      </c>
      <c r="O122" s="414" t="s">
        <v>704</v>
      </c>
      <c r="P122" s="414" t="s">
        <v>705</v>
      </c>
      <c r="Q122" s="410"/>
      <c r="R122" s="410"/>
      <c r="S122" s="410"/>
      <c r="T122" s="410"/>
      <c r="U122" s="414"/>
      <c r="V122" s="414" t="s">
        <v>701</v>
      </c>
      <c r="W122" s="414" t="s">
        <v>702</v>
      </c>
      <c r="X122" s="414" t="s">
        <v>703</v>
      </c>
      <c r="Y122" s="414" t="s">
        <v>704</v>
      </c>
      <c r="Z122" s="414" t="s">
        <v>705</v>
      </c>
      <c r="AA122" s="410"/>
      <c r="AB122" s="410"/>
      <c r="AC122" s="410"/>
      <c r="AD122" s="410"/>
      <c r="AE122" s="414"/>
      <c r="AF122" s="414" t="s">
        <v>701</v>
      </c>
      <c r="AG122" s="414" t="s">
        <v>702</v>
      </c>
      <c r="AH122" s="414" t="s">
        <v>703</v>
      </c>
      <c r="AI122" s="414" t="s">
        <v>704</v>
      </c>
      <c r="AJ122" s="414" t="s">
        <v>705</v>
      </c>
      <c r="AK122" s="410"/>
      <c r="AL122" s="410"/>
      <c r="AM122" s="410"/>
    </row>
    <row r="123" spans="1:39" x14ac:dyDescent="0.25">
      <c r="A123" s="412" t="s">
        <v>707</v>
      </c>
      <c r="B123" s="412">
        <v>1</v>
      </c>
      <c r="C123" s="412">
        <v>6.2988530886766897E-2</v>
      </c>
      <c r="D123" s="412">
        <v>6.2988530886766897E-2</v>
      </c>
      <c r="E123" s="412">
        <v>0.86975065313908839</v>
      </c>
      <c r="F123" s="412">
        <v>0.44947721265960361</v>
      </c>
      <c r="G123" s="410"/>
      <c r="H123" s="410"/>
      <c r="I123" s="410"/>
      <c r="J123" s="410"/>
      <c r="K123" s="412" t="s">
        <v>707</v>
      </c>
      <c r="L123" s="412">
        <v>1</v>
      </c>
      <c r="M123" s="412">
        <v>2.7864681221088765</v>
      </c>
      <c r="N123" s="412">
        <v>2.7864681221088765</v>
      </c>
      <c r="O123" s="412">
        <v>8.5328307961618748</v>
      </c>
      <c r="P123" s="412">
        <v>3.2971557831166995E-2</v>
      </c>
      <c r="Q123" s="410"/>
      <c r="R123" s="410"/>
      <c r="S123" s="410"/>
      <c r="T123" s="410"/>
      <c r="U123" s="412" t="s">
        <v>707</v>
      </c>
      <c r="V123" s="412">
        <v>1</v>
      </c>
      <c r="W123" s="412">
        <v>9.1785390837223146E-2</v>
      </c>
      <c r="X123" s="412">
        <v>9.1785390837223146E-2</v>
      </c>
      <c r="Y123" s="412">
        <v>0.29382020501448991</v>
      </c>
      <c r="Z123" s="412">
        <v>0.64210045870358912</v>
      </c>
      <c r="AA123" s="410"/>
      <c r="AB123" s="410"/>
      <c r="AC123" s="410"/>
      <c r="AD123" s="410"/>
      <c r="AE123" s="412" t="s">
        <v>707</v>
      </c>
      <c r="AF123" s="412">
        <v>1</v>
      </c>
      <c r="AG123" s="412">
        <v>0.35152319397338516</v>
      </c>
      <c r="AH123" s="412">
        <v>0.35152319397338516</v>
      </c>
      <c r="AI123" s="412">
        <v>0.17527254921377844</v>
      </c>
      <c r="AJ123" s="412">
        <v>0.69696985298417813</v>
      </c>
      <c r="AK123" s="410"/>
      <c r="AL123" s="410"/>
      <c r="AM123" s="410"/>
    </row>
    <row r="124" spans="1:39" x14ac:dyDescent="0.25">
      <c r="A124" s="412" t="s">
        <v>708</v>
      </c>
      <c r="B124" s="412">
        <v>2</v>
      </c>
      <c r="C124" s="412">
        <v>0.14484273316594778</v>
      </c>
      <c r="D124" s="412">
        <v>7.2421366582973892E-2</v>
      </c>
      <c r="E124" s="412"/>
      <c r="F124" s="412"/>
      <c r="G124" s="410"/>
      <c r="H124" s="410"/>
      <c r="I124" s="410"/>
      <c r="J124" s="410"/>
      <c r="K124" s="412" t="s">
        <v>708</v>
      </c>
      <c r="L124" s="412">
        <v>5</v>
      </c>
      <c r="M124" s="412">
        <v>1.6327923221929166</v>
      </c>
      <c r="N124" s="412">
        <v>0.32655846443858333</v>
      </c>
      <c r="O124" s="412"/>
      <c r="P124" s="412"/>
      <c r="Q124" s="410"/>
      <c r="R124" s="410"/>
      <c r="S124" s="410"/>
      <c r="T124" s="410"/>
      <c r="U124" s="412" t="s">
        <v>708</v>
      </c>
      <c r="V124" s="412">
        <v>2</v>
      </c>
      <c r="W124" s="412">
        <v>0.62477249195777196</v>
      </c>
      <c r="X124" s="412">
        <v>0.31238624597888598</v>
      </c>
      <c r="Y124" s="412"/>
      <c r="Z124" s="412"/>
      <c r="AA124" s="410"/>
      <c r="AB124" s="410"/>
      <c r="AC124" s="410"/>
      <c r="AD124" s="410"/>
      <c r="AE124" s="412" t="s">
        <v>708</v>
      </c>
      <c r="AF124" s="412">
        <v>4</v>
      </c>
      <c r="AG124" s="412">
        <v>8.022321705257685</v>
      </c>
      <c r="AH124" s="412">
        <v>2.0055804263144212</v>
      </c>
      <c r="AI124" s="412"/>
      <c r="AJ124" s="412"/>
      <c r="AK124" s="410"/>
      <c r="AL124" s="410"/>
      <c r="AM124" s="410"/>
    </row>
    <row r="125" spans="1:39" ht="15.75" thickBot="1" x14ac:dyDescent="0.3">
      <c r="A125" s="413" t="s">
        <v>468</v>
      </c>
      <c r="B125" s="413">
        <v>3</v>
      </c>
      <c r="C125" s="413">
        <v>0.20783126405271468</v>
      </c>
      <c r="D125" s="413"/>
      <c r="E125" s="413"/>
      <c r="F125" s="413"/>
      <c r="G125" s="410"/>
      <c r="H125" s="410"/>
      <c r="I125" s="410"/>
      <c r="J125" s="410"/>
      <c r="K125" s="413" t="s">
        <v>468</v>
      </c>
      <c r="L125" s="413">
        <v>6</v>
      </c>
      <c r="M125" s="413">
        <v>4.4192604443017931</v>
      </c>
      <c r="N125" s="413"/>
      <c r="O125" s="413"/>
      <c r="P125" s="413"/>
      <c r="Q125" s="410"/>
      <c r="R125" s="410"/>
      <c r="S125" s="410"/>
      <c r="T125" s="410"/>
      <c r="U125" s="413" t="s">
        <v>468</v>
      </c>
      <c r="V125" s="413">
        <v>3</v>
      </c>
      <c r="W125" s="413">
        <v>0.7165578827949951</v>
      </c>
      <c r="X125" s="413"/>
      <c r="Y125" s="413"/>
      <c r="Z125" s="413"/>
      <c r="AA125" s="410"/>
      <c r="AB125" s="410"/>
      <c r="AC125" s="410"/>
      <c r="AD125" s="410"/>
      <c r="AE125" s="413" t="s">
        <v>468</v>
      </c>
      <c r="AF125" s="413">
        <v>5</v>
      </c>
      <c r="AG125" s="413">
        <v>8.3738448992310701</v>
      </c>
      <c r="AH125" s="413"/>
      <c r="AI125" s="413"/>
      <c r="AJ125" s="413"/>
      <c r="AK125" s="410"/>
      <c r="AL125" s="410"/>
      <c r="AM125" s="410"/>
    </row>
    <row r="126" spans="1:39" ht="15.75" thickBot="1" x14ac:dyDescent="0.3">
      <c r="A126" s="410"/>
      <c r="B126" s="410"/>
      <c r="C126" s="410"/>
      <c r="D126" s="410"/>
      <c r="E126" s="410"/>
      <c r="F126" s="410"/>
      <c r="G126" s="410"/>
      <c r="H126" s="410"/>
      <c r="I126" s="410"/>
      <c r="J126" s="410"/>
      <c r="K126" s="410"/>
      <c r="L126" s="410"/>
      <c r="M126" s="410"/>
      <c r="N126" s="410"/>
      <c r="O126" s="410"/>
      <c r="P126" s="410"/>
      <c r="Q126" s="410"/>
      <c r="R126" s="410"/>
      <c r="S126" s="410"/>
      <c r="T126" s="410"/>
      <c r="U126" s="410"/>
      <c r="V126" s="410"/>
      <c r="W126" s="410"/>
      <c r="X126" s="410"/>
      <c r="Y126" s="410"/>
      <c r="Z126" s="410"/>
      <c r="AA126" s="410"/>
      <c r="AB126" s="410"/>
      <c r="AC126" s="410"/>
      <c r="AD126" s="410"/>
      <c r="AE126" s="410"/>
      <c r="AF126" s="410"/>
      <c r="AG126" s="410"/>
      <c r="AH126" s="410"/>
      <c r="AI126" s="410"/>
      <c r="AJ126" s="410"/>
      <c r="AK126" s="410"/>
      <c r="AL126" s="410"/>
      <c r="AM126" s="410"/>
    </row>
    <row r="127" spans="1:39" x14ac:dyDescent="0.25">
      <c r="A127" s="414"/>
      <c r="B127" s="414" t="s">
        <v>709</v>
      </c>
      <c r="C127" s="414" t="s">
        <v>698</v>
      </c>
      <c r="D127" s="414" t="s">
        <v>710</v>
      </c>
      <c r="E127" s="414" t="s">
        <v>711</v>
      </c>
      <c r="F127" s="414" t="s">
        <v>712</v>
      </c>
      <c r="G127" s="414" t="s">
        <v>713</v>
      </c>
      <c r="H127" s="414" t="s">
        <v>714</v>
      </c>
      <c r="I127" s="414" t="s">
        <v>715</v>
      </c>
      <c r="J127" s="410"/>
      <c r="K127" s="414"/>
      <c r="L127" s="414" t="s">
        <v>709</v>
      </c>
      <c r="M127" s="414" t="s">
        <v>698</v>
      </c>
      <c r="N127" s="414" t="s">
        <v>710</v>
      </c>
      <c r="O127" s="414" t="s">
        <v>711</v>
      </c>
      <c r="P127" s="414" t="s">
        <v>712</v>
      </c>
      <c r="Q127" s="414" t="s">
        <v>713</v>
      </c>
      <c r="R127" s="414" t="s">
        <v>714</v>
      </c>
      <c r="S127" s="414" t="s">
        <v>715</v>
      </c>
      <c r="T127" s="410"/>
      <c r="U127" s="414"/>
      <c r="V127" s="414" t="s">
        <v>709</v>
      </c>
      <c r="W127" s="414" t="s">
        <v>698</v>
      </c>
      <c r="X127" s="414" t="s">
        <v>710</v>
      </c>
      <c r="Y127" s="414" t="s">
        <v>711</v>
      </c>
      <c r="Z127" s="414" t="s">
        <v>712</v>
      </c>
      <c r="AA127" s="414" t="s">
        <v>713</v>
      </c>
      <c r="AB127" s="414" t="s">
        <v>714</v>
      </c>
      <c r="AC127" s="414" t="s">
        <v>715</v>
      </c>
      <c r="AD127" s="410"/>
      <c r="AE127" s="414"/>
      <c r="AF127" s="414" t="s">
        <v>709</v>
      </c>
      <c r="AG127" s="414" t="s">
        <v>698</v>
      </c>
      <c r="AH127" s="414" t="s">
        <v>710</v>
      </c>
      <c r="AI127" s="414" t="s">
        <v>711</v>
      </c>
      <c r="AJ127" s="414" t="s">
        <v>712</v>
      </c>
      <c r="AK127" s="414" t="s">
        <v>713</v>
      </c>
      <c r="AL127" s="414" t="s">
        <v>714</v>
      </c>
      <c r="AM127" s="414" t="s">
        <v>715</v>
      </c>
    </row>
    <row r="128" spans="1:39" x14ac:dyDescent="0.25">
      <c r="A128" s="412" t="s">
        <v>716</v>
      </c>
      <c r="B128" s="412">
        <v>229.59588691076382</v>
      </c>
      <c r="C128" s="412">
        <v>243.40917943574109</v>
      </c>
      <c r="D128" s="412">
        <v>0.94325073295510653</v>
      </c>
      <c r="E128" s="412">
        <v>0.44511993376934511</v>
      </c>
      <c r="F128" s="412">
        <v>-817.70928343450453</v>
      </c>
      <c r="G128" s="412">
        <v>1276.9010572560321</v>
      </c>
      <c r="H128" s="412">
        <v>-817.70928343450453</v>
      </c>
      <c r="I128" s="412">
        <v>1276.9010572560321</v>
      </c>
      <c r="J128" s="410"/>
      <c r="K128" s="412" t="s">
        <v>716</v>
      </c>
      <c r="L128" s="412">
        <v>641.14061216661332</v>
      </c>
      <c r="M128" s="412">
        <v>218.14890593755425</v>
      </c>
      <c r="N128" s="412">
        <v>2.93900448141666</v>
      </c>
      <c r="O128" s="412">
        <v>3.2293879120945702E-2</v>
      </c>
      <c r="P128" s="412">
        <v>80.370997099601254</v>
      </c>
      <c r="Q128" s="412">
        <v>1201.9102272336254</v>
      </c>
      <c r="R128" s="412">
        <v>80.370997099601254</v>
      </c>
      <c r="S128" s="412">
        <v>1201.9102272336254</v>
      </c>
      <c r="T128" s="410"/>
      <c r="U128" s="412" t="s">
        <v>716</v>
      </c>
      <c r="V128" s="412">
        <v>277.65656688180303</v>
      </c>
      <c r="W128" s="412">
        <v>505.53304186244401</v>
      </c>
      <c r="X128" s="412">
        <v>0.54923525049694699</v>
      </c>
      <c r="Y128" s="412">
        <v>0.63797557023619655</v>
      </c>
      <c r="Z128" s="412">
        <v>-1897.4765556661914</v>
      </c>
      <c r="AA128" s="412">
        <v>2452.7896894297974</v>
      </c>
      <c r="AB128" s="412">
        <v>-1897.4765556661914</v>
      </c>
      <c r="AC128" s="412">
        <v>2452.7896894297974</v>
      </c>
      <c r="AD128" s="410"/>
      <c r="AE128" s="412" t="s">
        <v>716</v>
      </c>
      <c r="AF128" s="412">
        <v>288.60745887101154</v>
      </c>
      <c r="AG128" s="412">
        <v>683.66764900067346</v>
      </c>
      <c r="AH128" s="412">
        <v>0.42214584717131648</v>
      </c>
      <c r="AI128" s="412">
        <v>0.69462038866748588</v>
      </c>
      <c r="AJ128" s="412">
        <v>-1609.5582387789914</v>
      </c>
      <c r="AK128" s="412">
        <v>2186.7731565210147</v>
      </c>
      <c r="AL128" s="412">
        <v>-1609.5582387789914</v>
      </c>
      <c r="AM128" s="412">
        <v>2186.7731565210147</v>
      </c>
    </row>
    <row r="129" spans="1:39" ht="15.75" thickBot="1" x14ac:dyDescent="0.3">
      <c r="A129" s="413">
        <v>2020</v>
      </c>
      <c r="B129" s="413">
        <v>-0.1122395036399992</v>
      </c>
      <c r="C129" s="413">
        <v>0.12035062657333687</v>
      </c>
      <c r="D129" s="413">
        <v>-0.93260423178274798</v>
      </c>
      <c r="E129" s="413">
        <v>0.44947721265960339</v>
      </c>
      <c r="F129" s="413">
        <v>-0.63006645559282548</v>
      </c>
      <c r="G129" s="413">
        <v>0.40558744831282706</v>
      </c>
      <c r="H129" s="413">
        <v>-0.63006645559282548</v>
      </c>
      <c r="I129" s="413">
        <v>0.40558744831282706</v>
      </c>
      <c r="J129" s="410"/>
      <c r="K129" s="413" t="s">
        <v>41</v>
      </c>
      <c r="L129" s="413">
        <v>-0.31546270563530254</v>
      </c>
      <c r="M129" s="413">
        <v>0.10799445495662253</v>
      </c>
      <c r="N129" s="413">
        <v>-2.9211009561742083</v>
      </c>
      <c r="O129" s="413">
        <v>3.2971557831166988E-2</v>
      </c>
      <c r="P129" s="413">
        <v>-0.59307128989624069</v>
      </c>
      <c r="Q129" s="413">
        <v>-3.7854121374364447E-2</v>
      </c>
      <c r="R129" s="413">
        <v>-0.59307128989624069</v>
      </c>
      <c r="S129" s="413">
        <v>-3.7854121374364447E-2</v>
      </c>
      <c r="T129" s="410"/>
      <c r="U129" s="413">
        <v>2020</v>
      </c>
      <c r="V129" s="413">
        <v>-0.13548829531529519</v>
      </c>
      <c r="W129" s="413">
        <v>0.24995449425000782</v>
      </c>
      <c r="X129" s="413">
        <v>-0.54205184716454025</v>
      </c>
      <c r="Y129" s="413">
        <v>0.64210045870358901</v>
      </c>
      <c r="Z129" s="413">
        <v>-1.2109556823132379</v>
      </c>
      <c r="AA129" s="413">
        <v>0.93997909168264759</v>
      </c>
      <c r="AB129" s="413">
        <v>-1.2109556823132379</v>
      </c>
      <c r="AC129" s="413">
        <v>0.93997909168264759</v>
      </c>
      <c r="AD129" s="410"/>
      <c r="AE129" s="413" t="s">
        <v>41</v>
      </c>
      <c r="AF129" s="413">
        <v>-0.14172875380677696</v>
      </c>
      <c r="AG129" s="413">
        <v>0.33853300546533938</v>
      </c>
      <c r="AH129" s="413">
        <v>-0.41865564514739118</v>
      </c>
      <c r="AI129" s="413">
        <v>0.69696985298417835</v>
      </c>
      <c r="AJ129" s="413">
        <v>-1.0816470597789163</v>
      </c>
      <c r="AK129" s="413">
        <v>0.79818955216536236</v>
      </c>
      <c r="AL129" s="413">
        <v>-1.0816470597789163</v>
      </c>
      <c r="AM129" s="413">
        <v>0.79818955216536236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EE13-5942-4A5D-931F-C6037612313B}">
  <sheetPr>
    <tabColor rgb="FF92D050"/>
  </sheetPr>
  <dimension ref="A1:AD69"/>
  <sheetViews>
    <sheetView showGridLines="0" topLeftCell="A31" workbookViewId="0">
      <selection activeCell="M59" sqref="M59"/>
    </sheetView>
  </sheetViews>
  <sheetFormatPr defaultColWidth="8.85546875" defaultRowHeight="15" x14ac:dyDescent="0.25"/>
  <cols>
    <col min="1" max="1" width="19.28515625" style="490" bestFit="1" customWidth="1"/>
    <col min="2" max="6" width="8.85546875" style="490"/>
    <col min="7" max="7" width="19.28515625" style="490" bestFit="1" customWidth="1"/>
    <col min="8" max="8" width="8.85546875" style="490"/>
    <col min="9" max="9" width="18" style="490" bestFit="1" customWidth="1"/>
    <col min="10" max="16384" width="8.85546875" style="490"/>
  </cols>
  <sheetData>
    <row r="1" spans="1:30" x14ac:dyDescent="0.25">
      <c r="A1" s="489" t="s">
        <v>838</v>
      </c>
    </row>
    <row r="2" spans="1:30" x14ac:dyDescent="0.25">
      <c r="A2" s="618" t="s">
        <v>839</v>
      </c>
      <c r="B2" s="608" t="s">
        <v>840</v>
      </c>
      <c r="C2" s="620"/>
      <c r="D2" s="609"/>
      <c r="E2" s="494"/>
      <c r="G2" s="618" t="s">
        <v>839</v>
      </c>
      <c r="H2" s="608" t="s">
        <v>841</v>
      </c>
      <c r="I2" s="620"/>
      <c r="J2" s="620"/>
      <c r="K2" s="609"/>
      <c r="Y2" s="490" t="s">
        <v>842</v>
      </c>
      <c r="AD2" s="490" t="s">
        <v>719</v>
      </c>
    </row>
    <row r="3" spans="1:30" x14ac:dyDescent="0.25">
      <c r="A3" s="619"/>
      <c r="B3" s="495" t="s">
        <v>732</v>
      </c>
      <c r="C3" s="496" t="s">
        <v>733</v>
      </c>
      <c r="D3" s="493" t="s">
        <v>843</v>
      </c>
      <c r="G3" s="619"/>
      <c r="H3" s="495" t="s">
        <v>732</v>
      </c>
      <c r="I3" s="496" t="s">
        <v>731</v>
      </c>
      <c r="J3" s="493" t="s">
        <v>730</v>
      </c>
      <c r="K3" s="493" t="s">
        <v>719</v>
      </c>
      <c r="Y3" s="490" t="s">
        <v>844</v>
      </c>
      <c r="AD3" s="490" t="s">
        <v>845</v>
      </c>
    </row>
    <row r="4" spans="1:30" x14ac:dyDescent="0.25">
      <c r="A4" s="497" t="s">
        <v>846</v>
      </c>
      <c r="B4" s="498">
        <v>119</v>
      </c>
      <c r="C4" s="499">
        <v>276</v>
      </c>
      <c r="D4" s="500">
        <v>267</v>
      </c>
      <c r="G4" s="497" t="s">
        <v>847</v>
      </c>
      <c r="H4" s="498">
        <v>613</v>
      </c>
      <c r="I4" s="499">
        <f>28+147</f>
        <v>175</v>
      </c>
      <c r="J4" s="500">
        <f>25+201</f>
        <v>226</v>
      </c>
      <c r="K4" s="500">
        <f>68+31</f>
        <v>99</v>
      </c>
      <c r="Y4" s="490" t="s">
        <v>848</v>
      </c>
      <c r="AD4" s="490" t="s">
        <v>849</v>
      </c>
    </row>
    <row r="5" spans="1:30" x14ac:dyDescent="0.25">
      <c r="A5" s="501" t="s">
        <v>850</v>
      </c>
      <c r="B5" s="502">
        <v>58</v>
      </c>
      <c r="C5" s="503">
        <v>72</v>
      </c>
      <c r="D5" s="504">
        <v>75</v>
      </c>
      <c r="G5" s="501" t="s">
        <v>851</v>
      </c>
      <c r="H5" s="502">
        <v>328</v>
      </c>
      <c r="I5" s="503">
        <v>2</v>
      </c>
      <c r="J5" s="504">
        <v>0</v>
      </c>
      <c r="K5" s="504">
        <v>0</v>
      </c>
      <c r="Y5" s="490" t="s">
        <v>852</v>
      </c>
    </row>
    <row r="6" spans="1:30" x14ac:dyDescent="0.25">
      <c r="H6" s="505" t="s">
        <v>853</v>
      </c>
      <c r="Y6" s="490" t="s">
        <v>854</v>
      </c>
    </row>
    <row r="7" spans="1:30" x14ac:dyDescent="0.25">
      <c r="H7" s="505" t="s">
        <v>930</v>
      </c>
    </row>
    <row r="8" spans="1:30" x14ac:dyDescent="0.25">
      <c r="A8" s="505" t="s">
        <v>855</v>
      </c>
    </row>
    <row r="9" spans="1:30" x14ac:dyDescent="0.25">
      <c r="A9" s="505" t="s">
        <v>856</v>
      </c>
    </row>
    <row r="10" spans="1:30" x14ac:dyDescent="0.25">
      <c r="A10" s="506"/>
    </row>
    <row r="11" spans="1:30" x14ac:dyDescent="0.25">
      <c r="A11" s="489" t="s">
        <v>857</v>
      </c>
    </row>
    <row r="12" spans="1:30" x14ac:dyDescent="0.25">
      <c r="A12" s="618" t="s">
        <v>839</v>
      </c>
      <c r="B12" s="608" t="s">
        <v>840</v>
      </c>
      <c r="C12" s="620"/>
      <c r="D12" s="620"/>
      <c r="E12" s="609"/>
      <c r="G12" s="618" t="s">
        <v>839</v>
      </c>
      <c r="H12" s="608" t="s">
        <v>841</v>
      </c>
      <c r="I12" s="620"/>
      <c r="J12" s="620"/>
      <c r="K12" s="609"/>
    </row>
    <row r="13" spans="1:30" x14ac:dyDescent="0.25">
      <c r="A13" s="619"/>
      <c r="B13" s="495" t="s">
        <v>731</v>
      </c>
      <c r="C13" s="495" t="s">
        <v>732</v>
      </c>
      <c r="D13" s="496" t="s">
        <v>733</v>
      </c>
      <c r="E13" s="493" t="s">
        <v>843</v>
      </c>
      <c r="G13" s="619"/>
      <c r="H13" s="496" t="s">
        <v>731</v>
      </c>
      <c r="I13" s="493" t="s">
        <v>730</v>
      </c>
      <c r="J13" s="493" t="s">
        <v>719</v>
      </c>
      <c r="K13" s="493" t="s">
        <v>858</v>
      </c>
    </row>
    <row r="14" spans="1:30" x14ac:dyDescent="0.25">
      <c r="A14" s="497" t="s">
        <v>846</v>
      </c>
      <c r="B14" s="498">
        <v>81</v>
      </c>
      <c r="C14" s="498">
        <v>119</v>
      </c>
      <c r="D14" s="499">
        <v>276</v>
      </c>
      <c r="E14" s="500">
        <v>267</v>
      </c>
      <c r="G14" s="497" t="s">
        <v>847</v>
      </c>
      <c r="H14" s="498">
        <f>594+71</f>
        <v>665</v>
      </c>
      <c r="I14" s="499">
        <f>35+155</f>
        <v>190</v>
      </c>
      <c r="J14" s="500">
        <f>64+62</f>
        <v>126</v>
      </c>
      <c r="K14" s="500">
        <f>51+13</f>
        <v>64</v>
      </c>
    </row>
    <row r="15" spans="1:30" x14ac:dyDescent="0.25">
      <c r="A15" s="501" t="s">
        <v>850</v>
      </c>
      <c r="B15" s="502">
        <v>30</v>
      </c>
      <c r="C15" s="502">
        <v>58</v>
      </c>
      <c r="D15" s="503">
        <v>72</v>
      </c>
      <c r="E15" s="504">
        <v>75</v>
      </c>
      <c r="G15" s="501" t="s">
        <v>851</v>
      </c>
      <c r="H15" s="502">
        <v>330</v>
      </c>
      <c r="I15" s="503">
        <v>0</v>
      </c>
      <c r="J15" s="504">
        <v>0</v>
      </c>
      <c r="K15" s="504">
        <v>0</v>
      </c>
    </row>
    <row r="17" spans="1:10" x14ac:dyDescent="0.25">
      <c r="A17" s="608" t="s">
        <v>859</v>
      </c>
      <c r="B17" s="609"/>
    </row>
    <row r="18" spans="1:10" x14ac:dyDescent="0.25">
      <c r="A18" s="497" t="s">
        <v>846</v>
      </c>
      <c r="B18" s="507">
        <v>35</v>
      </c>
    </row>
    <row r="19" spans="1:10" x14ac:dyDescent="0.25">
      <c r="A19" s="501" t="s">
        <v>850</v>
      </c>
      <c r="B19" s="508">
        <v>60</v>
      </c>
      <c r="D19" s="490" t="s">
        <v>860</v>
      </c>
    </row>
    <row r="21" spans="1:10" x14ac:dyDescent="0.25">
      <c r="A21" s="489" t="s">
        <v>861</v>
      </c>
    </row>
    <row r="22" spans="1:10" x14ac:dyDescent="0.25">
      <c r="A22" s="509" t="s">
        <v>839</v>
      </c>
    </row>
    <row r="23" spans="1:10" x14ac:dyDescent="0.25">
      <c r="A23" s="510" t="s">
        <v>862</v>
      </c>
      <c r="B23" s="511">
        <v>48</v>
      </c>
    </row>
    <row r="24" spans="1:10" x14ac:dyDescent="0.25">
      <c r="A24" s="610" t="s">
        <v>863</v>
      </c>
      <c r="B24" s="611"/>
    </row>
    <row r="25" spans="1:10" x14ac:dyDescent="0.25">
      <c r="A25" s="512" t="s">
        <v>864</v>
      </c>
      <c r="B25" s="513">
        <v>13.9</v>
      </c>
    </row>
    <row r="26" spans="1:10" x14ac:dyDescent="0.25">
      <c r="A26" s="512" t="s">
        <v>355</v>
      </c>
      <c r="B26" s="513">
        <v>24.2</v>
      </c>
    </row>
    <row r="27" spans="1:10" x14ac:dyDescent="0.25">
      <c r="A27" s="512" t="s">
        <v>865</v>
      </c>
      <c r="B27" s="513">
        <v>0.5</v>
      </c>
    </row>
    <row r="28" spans="1:10" x14ac:dyDescent="0.25">
      <c r="A28" s="512" t="s">
        <v>866</v>
      </c>
      <c r="B28" s="513">
        <v>2.2999999999999998</v>
      </c>
    </row>
    <row r="29" spans="1:10" x14ac:dyDescent="0.25">
      <c r="A29" s="514" t="s">
        <v>266</v>
      </c>
      <c r="B29" s="515">
        <v>6.9</v>
      </c>
    </row>
    <row r="31" spans="1:10" x14ac:dyDescent="0.25">
      <c r="A31" s="489" t="s">
        <v>867</v>
      </c>
    </row>
    <row r="32" spans="1:10" x14ac:dyDescent="0.25">
      <c r="A32" s="608" t="s">
        <v>839</v>
      </c>
      <c r="B32" s="609"/>
      <c r="I32" s="510" t="s">
        <v>868</v>
      </c>
      <c r="J32" s="516">
        <v>76</v>
      </c>
    </row>
    <row r="33" spans="1:17" x14ac:dyDescent="0.25">
      <c r="A33" s="510" t="s">
        <v>862</v>
      </c>
      <c r="B33" s="517">
        <v>64.2</v>
      </c>
      <c r="D33" s="490" t="s">
        <v>869</v>
      </c>
    </row>
    <row r="34" spans="1:17" x14ac:dyDescent="0.25">
      <c r="A34" s="510" t="s">
        <v>870</v>
      </c>
      <c r="B34" s="517">
        <v>63</v>
      </c>
      <c r="D34" s="490" t="s">
        <v>871</v>
      </c>
    </row>
    <row r="35" spans="1:17" x14ac:dyDescent="0.25">
      <c r="D35" s="490" t="s">
        <v>872</v>
      </c>
    </row>
    <row r="37" spans="1:17" x14ac:dyDescent="0.25">
      <c r="A37" s="491" t="s">
        <v>873</v>
      </c>
      <c r="B37" s="496" t="s">
        <v>658</v>
      </c>
    </row>
    <row r="38" spans="1:17" x14ac:dyDescent="0.25">
      <c r="A38" s="514" t="s">
        <v>874</v>
      </c>
      <c r="B38" s="501" t="s">
        <v>875</v>
      </c>
    </row>
    <row r="40" spans="1:17" x14ac:dyDescent="0.25">
      <c r="A40" s="518" t="s">
        <v>876</v>
      </c>
    </row>
    <row r="41" spans="1:17" x14ac:dyDescent="0.25">
      <c r="A41" s="491" t="s">
        <v>839</v>
      </c>
      <c r="B41" s="492">
        <v>19</v>
      </c>
      <c r="C41" s="492">
        <v>20</v>
      </c>
      <c r="D41" s="492">
        <v>21</v>
      </c>
      <c r="E41" s="492">
        <v>22</v>
      </c>
      <c r="F41" s="492">
        <v>23</v>
      </c>
      <c r="G41" s="492">
        <v>24</v>
      </c>
      <c r="H41" s="492" t="s">
        <v>877</v>
      </c>
      <c r="I41" s="492" t="s">
        <v>878</v>
      </c>
      <c r="J41" s="492" t="s">
        <v>879</v>
      </c>
      <c r="K41" s="492" t="s">
        <v>880</v>
      </c>
      <c r="L41" s="492" t="s">
        <v>881</v>
      </c>
      <c r="M41" s="492" t="s">
        <v>882</v>
      </c>
      <c r="N41" s="492" t="s">
        <v>883</v>
      </c>
      <c r="O41" s="492" t="s">
        <v>884</v>
      </c>
      <c r="P41" s="492" t="s">
        <v>885</v>
      </c>
      <c r="Q41" s="493" t="s">
        <v>886</v>
      </c>
    </row>
    <row r="42" spans="1:17" x14ac:dyDescent="0.25">
      <c r="A42" s="519" t="s">
        <v>874</v>
      </c>
      <c r="B42" s="520">
        <f>-D5</f>
        <v>-75</v>
      </c>
      <c r="C42" s="520">
        <f>-C5</f>
        <v>-72</v>
      </c>
      <c r="D42" s="520">
        <f>-B5</f>
        <v>-58</v>
      </c>
      <c r="E42" s="520">
        <f>-B15</f>
        <v>-30</v>
      </c>
      <c r="F42" s="520">
        <f>-B23</f>
        <v>-48</v>
      </c>
      <c r="G42" s="520">
        <f>-B33</f>
        <v>-64.2</v>
      </c>
      <c r="H42" s="520">
        <f>-70</f>
        <v>-70</v>
      </c>
      <c r="I42" s="520">
        <f>AVERAGE(B42:H42)*102.5%</f>
        <v>-61.089999999999996</v>
      </c>
      <c r="J42" s="520">
        <f>I42*(1+2%)</f>
        <v>-62.311799999999998</v>
      </c>
      <c r="K42" s="520">
        <f t="shared" ref="K42:Q42" si="0">J42*(1+2%)</f>
        <v>-63.558036000000001</v>
      </c>
      <c r="L42" s="520">
        <f t="shared" si="0"/>
        <v>-64.829196719999999</v>
      </c>
      <c r="M42" s="520">
        <f t="shared" si="0"/>
        <v>-66.125780654400003</v>
      </c>
      <c r="N42" s="520">
        <f t="shared" si="0"/>
        <v>-67.448296267488004</v>
      </c>
      <c r="O42" s="520">
        <f t="shared" si="0"/>
        <v>-68.797262192837763</v>
      </c>
      <c r="P42" s="520">
        <f t="shared" si="0"/>
        <v>-70.173207436694526</v>
      </c>
      <c r="Q42" s="521">
        <f t="shared" si="0"/>
        <v>-71.576671585428414</v>
      </c>
    </row>
    <row r="43" spans="1:17" x14ac:dyDescent="0.25">
      <c r="A43" s="519" t="s">
        <v>358</v>
      </c>
      <c r="B43" s="522"/>
      <c r="C43" s="522"/>
      <c r="D43" s="522"/>
      <c r="E43" s="522"/>
      <c r="F43" s="522"/>
      <c r="G43" s="522"/>
      <c r="H43" s="520">
        <f>SUM(H44:H53)</f>
        <v>-3.5</v>
      </c>
      <c r="I43" s="520">
        <f t="shared" ref="I43:Q43" si="1">SUM(I44:I53)</f>
        <v>-6.5545</v>
      </c>
      <c r="J43" s="520">
        <f t="shared" si="1"/>
        <v>-9.6700900000000001</v>
      </c>
      <c r="K43" s="520">
        <f t="shared" si="1"/>
        <v>-12.847991799999999</v>
      </c>
      <c r="L43" s="520">
        <f t="shared" si="1"/>
        <v>-16.089451636</v>
      </c>
      <c r="M43" s="520">
        <f t="shared" si="1"/>
        <v>-19.395740668719998</v>
      </c>
      <c r="N43" s="520">
        <f t="shared" si="1"/>
        <v>-22.7681554820944</v>
      </c>
      <c r="O43" s="520">
        <f t="shared" si="1"/>
        <v>-26.208018591736288</v>
      </c>
      <c r="P43" s="520">
        <f t="shared" si="1"/>
        <v>-29.716678963571013</v>
      </c>
      <c r="Q43" s="521">
        <f t="shared" si="1"/>
        <v>-33.295512542842431</v>
      </c>
    </row>
    <row r="44" spans="1:17" x14ac:dyDescent="0.25">
      <c r="A44" s="512" t="s">
        <v>887</v>
      </c>
      <c r="B44" s="523"/>
      <c r="C44" s="523"/>
      <c r="D44" s="523"/>
      <c r="E44" s="523"/>
      <c r="F44" s="523"/>
      <c r="G44" s="523"/>
      <c r="H44" s="524">
        <f>$H$42/20</f>
        <v>-3.5</v>
      </c>
      <c r="I44" s="524">
        <f t="shared" ref="I44:Q44" si="2">$H$42/20</f>
        <v>-3.5</v>
      </c>
      <c r="J44" s="524">
        <f t="shared" si="2"/>
        <v>-3.5</v>
      </c>
      <c r="K44" s="524">
        <f t="shared" si="2"/>
        <v>-3.5</v>
      </c>
      <c r="L44" s="524">
        <f t="shared" si="2"/>
        <v>-3.5</v>
      </c>
      <c r="M44" s="524">
        <f t="shared" si="2"/>
        <v>-3.5</v>
      </c>
      <c r="N44" s="524">
        <f t="shared" si="2"/>
        <v>-3.5</v>
      </c>
      <c r="O44" s="524">
        <f t="shared" si="2"/>
        <v>-3.5</v>
      </c>
      <c r="P44" s="524">
        <f t="shared" si="2"/>
        <v>-3.5</v>
      </c>
      <c r="Q44" s="525">
        <f t="shared" si="2"/>
        <v>-3.5</v>
      </c>
    </row>
    <row r="45" spans="1:17" x14ac:dyDescent="0.25">
      <c r="A45" s="512" t="s">
        <v>888</v>
      </c>
      <c r="B45" s="523"/>
      <c r="C45" s="523"/>
      <c r="D45" s="523"/>
      <c r="E45" s="523"/>
      <c r="F45" s="523"/>
      <c r="G45" s="523"/>
      <c r="H45" s="524">
        <v>0</v>
      </c>
      <c r="I45" s="524">
        <f>$I$42/20</f>
        <v>-3.0545</v>
      </c>
      <c r="J45" s="524">
        <f t="shared" ref="J45:Q45" si="3">$I$42/20</f>
        <v>-3.0545</v>
      </c>
      <c r="K45" s="524">
        <f t="shared" si="3"/>
        <v>-3.0545</v>
      </c>
      <c r="L45" s="524">
        <f t="shared" si="3"/>
        <v>-3.0545</v>
      </c>
      <c r="M45" s="524">
        <f t="shared" si="3"/>
        <v>-3.0545</v>
      </c>
      <c r="N45" s="524">
        <f t="shared" si="3"/>
        <v>-3.0545</v>
      </c>
      <c r="O45" s="524">
        <f t="shared" si="3"/>
        <v>-3.0545</v>
      </c>
      <c r="P45" s="524">
        <f t="shared" si="3"/>
        <v>-3.0545</v>
      </c>
      <c r="Q45" s="525">
        <f t="shared" si="3"/>
        <v>-3.0545</v>
      </c>
    </row>
    <row r="46" spans="1:17" x14ac:dyDescent="0.25">
      <c r="A46" s="512" t="s">
        <v>889</v>
      </c>
      <c r="B46" s="523"/>
      <c r="C46" s="523"/>
      <c r="D46" s="523"/>
      <c r="E46" s="523"/>
      <c r="F46" s="523"/>
      <c r="G46" s="523"/>
      <c r="H46" s="524">
        <v>0</v>
      </c>
      <c r="I46" s="524">
        <v>0</v>
      </c>
      <c r="J46" s="524">
        <f>$J$42/20</f>
        <v>-3.1155900000000001</v>
      </c>
      <c r="K46" s="524">
        <f t="shared" ref="K46:Q46" si="4">$J$42/20</f>
        <v>-3.1155900000000001</v>
      </c>
      <c r="L46" s="524">
        <f t="shared" si="4"/>
        <v>-3.1155900000000001</v>
      </c>
      <c r="M46" s="524">
        <f t="shared" si="4"/>
        <v>-3.1155900000000001</v>
      </c>
      <c r="N46" s="524">
        <f t="shared" si="4"/>
        <v>-3.1155900000000001</v>
      </c>
      <c r="O46" s="524">
        <f t="shared" si="4"/>
        <v>-3.1155900000000001</v>
      </c>
      <c r="P46" s="524">
        <f t="shared" si="4"/>
        <v>-3.1155900000000001</v>
      </c>
      <c r="Q46" s="525">
        <f t="shared" si="4"/>
        <v>-3.1155900000000001</v>
      </c>
    </row>
    <row r="47" spans="1:17" x14ac:dyDescent="0.25">
      <c r="A47" s="512" t="s">
        <v>890</v>
      </c>
      <c r="B47" s="523"/>
      <c r="C47" s="523"/>
      <c r="D47" s="523"/>
      <c r="E47" s="523"/>
      <c r="F47" s="523"/>
      <c r="G47" s="523"/>
      <c r="H47" s="524">
        <v>0</v>
      </c>
      <c r="I47" s="524">
        <v>0</v>
      </c>
      <c r="J47" s="524">
        <v>0</v>
      </c>
      <c r="K47" s="524">
        <f>$K$42/20</f>
        <v>-3.1779017999999999</v>
      </c>
      <c r="L47" s="524">
        <f t="shared" ref="L47:Q47" si="5">$K$42/20</f>
        <v>-3.1779017999999999</v>
      </c>
      <c r="M47" s="524">
        <f t="shared" si="5"/>
        <v>-3.1779017999999999</v>
      </c>
      <c r="N47" s="524">
        <f t="shared" si="5"/>
        <v>-3.1779017999999999</v>
      </c>
      <c r="O47" s="524">
        <f t="shared" si="5"/>
        <v>-3.1779017999999999</v>
      </c>
      <c r="P47" s="524">
        <f t="shared" si="5"/>
        <v>-3.1779017999999999</v>
      </c>
      <c r="Q47" s="525">
        <f t="shared" si="5"/>
        <v>-3.1779017999999999</v>
      </c>
    </row>
    <row r="48" spans="1:17" x14ac:dyDescent="0.25">
      <c r="A48" s="512" t="s">
        <v>891</v>
      </c>
      <c r="B48" s="523"/>
      <c r="C48" s="523"/>
      <c r="D48" s="523"/>
      <c r="E48" s="523"/>
      <c r="F48" s="523"/>
      <c r="G48" s="523"/>
      <c r="H48" s="524">
        <v>0</v>
      </c>
      <c r="I48" s="524">
        <v>0</v>
      </c>
      <c r="J48" s="524">
        <v>0</v>
      </c>
      <c r="K48" s="524">
        <v>0</v>
      </c>
      <c r="L48" s="524">
        <f>$L$42/20</f>
        <v>-3.2414598359999998</v>
      </c>
      <c r="M48" s="524">
        <f t="shared" ref="M48:Q48" si="6">$L$42/20</f>
        <v>-3.2414598359999998</v>
      </c>
      <c r="N48" s="524">
        <f t="shared" si="6"/>
        <v>-3.2414598359999998</v>
      </c>
      <c r="O48" s="524">
        <f t="shared" si="6"/>
        <v>-3.2414598359999998</v>
      </c>
      <c r="P48" s="524">
        <f t="shared" si="6"/>
        <v>-3.2414598359999998</v>
      </c>
      <c r="Q48" s="525">
        <f t="shared" si="6"/>
        <v>-3.2414598359999998</v>
      </c>
    </row>
    <row r="49" spans="1:17" x14ac:dyDescent="0.25">
      <c r="A49" s="512" t="s">
        <v>892</v>
      </c>
      <c r="B49" s="523"/>
      <c r="C49" s="523"/>
      <c r="D49" s="523"/>
      <c r="E49" s="523"/>
      <c r="F49" s="523"/>
      <c r="G49" s="523"/>
      <c r="H49" s="524">
        <v>0</v>
      </c>
      <c r="I49" s="524">
        <v>0</v>
      </c>
      <c r="J49" s="524">
        <v>0</v>
      </c>
      <c r="K49" s="524">
        <v>0</v>
      </c>
      <c r="L49" s="524">
        <v>0</v>
      </c>
      <c r="M49" s="524">
        <f>$M$42/20</f>
        <v>-3.3062890327200001</v>
      </c>
      <c r="N49" s="524">
        <f t="shared" ref="N49:Q49" si="7">$M$42/20</f>
        <v>-3.3062890327200001</v>
      </c>
      <c r="O49" s="524">
        <f t="shared" si="7"/>
        <v>-3.3062890327200001</v>
      </c>
      <c r="P49" s="524">
        <f t="shared" si="7"/>
        <v>-3.3062890327200001</v>
      </c>
      <c r="Q49" s="525">
        <f t="shared" si="7"/>
        <v>-3.3062890327200001</v>
      </c>
    </row>
    <row r="50" spans="1:17" x14ac:dyDescent="0.25">
      <c r="A50" s="512" t="s">
        <v>893</v>
      </c>
      <c r="B50" s="523"/>
      <c r="C50" s="523"/>
      <c r="D50" s="523"/>
      <c r="E50" s="523"/>
      <c r="F50" s="523"/>
      <c r="G50" s="523"/>
      <c r="H50" s="524">
        <v>0</v>
      </c>
      <c r="I50" s="524">
        <v>0</v>
      </c>
      <c r="J50" s="524">
        <v>0</v>
      </c>
      <c r="K50" s="524">
        <v>0</v>
      </c>
      <c r="L50" s="524">
        <v>0</v>
      </c>
      <c r="M50" s="524">
        <v>0</v>
      </c>
      <c r="N50" s="524">
        <f>$N$42/20</f>
        <v>-3.3724148133744003</v>
      </c>
      <c r="O50" s="524">
        <f t="shared" ref="O50:Q50" si="8">$N$42/20</f>
        <v>-3.3724148133744003</v>
      </c>
      <c r="P50" s="524">
        <f t="shared" si="8"/>
        <v>-3.3724148133744003</v>
      </c>
      <c r="Q50" s="525">
        <f t="shared" si="8"/>
        <v>-3.3724148133744003</v>
      </c>
    </row>
    <row r="51" spans="1:17" x14ac:dyDescent="0.25">
      <c r="A51" s="512" t="s">
        <v>894</v>
      </c>
      <c r="B51" s="523"/>
      <c r="C51" s="523"/>
      <c r="D51" s="523"/>
      <c r="E51" s="523"/>
      <c r="F51" s="523"/>
      <c r="G51" s="523"/>
      <c r="H51" s="524">
        <v>0</v>
      </c>
      <c r="I51" s="524">
        <v>0</v>
      </c>
      <c r="J51" s="524">
        <v>0</v>
      </c>
      <c r="K51" s="524">
        <v>0</v>
      </c>
      <c r="L51" s="524">
        <v>0</v>
      </c>
      <c r="M51" s="524">
        <v>0</v>
      </c>
      <c r="N51" s="524">
        <v>0</v>
      </c>
      <c r="O51" s="524">
        <f>$O$42/20</f>
        <v>-3.4398631096418884</v>
      </c>
      <c r="P51" s="524">
        <f t="shared" ref="P51:Q51" si="9">$O$42/20</f>
        <v>-3.4398631096418884</v>
      </c>
      <c r="Q51" s="525">
        <f t="shared" si="9"/>
        <v>-3.4398631096418884</v>
      </c>
    </row>
    <row r="52" spans="1:17" x14ac:dyDescent="0.25">
      <c r="A52" s="512" t="s">
        <v>895</v>
      </c>
      <c r="B52" s="523"/>
      <c r="C52" s="523"/>
      <c r="D52" s="523"/>
      <c r="E52" s="523"/>
      <c r="F52" s="523"/>
      <c r="G52" s="523"/>
      <c r="H52" s="524">
        <v>0</v>
      </c>
      <c r="I52" s="524">
        <v>0</v>
      </c>
      <c r="J52" s="524">
        <v>0</v>
      </c>
      <c r="K52" s="524">
        <v>0</v>
      </c>
      <c r="L52" s="524">
        <v>0</v>
      </c>
      <c r="M52" s="524">
        <v>0</v>
      </c>
      <c r="N52" s="524">
        <v>0</v>
      </c>
      <c r="O52" s="524">
        <v>0</v>
      </c>
      <c r="P52" s="524">
        <f>$P$42/20</f>
        <v>-3.5086603718347265</v>
      </c>
      <c r="Q52" s="525">
        <f>$P$42/20</f>
        <v>-3.5086603718347265</v>
      </c>
    </row>
    <row r="53" spans="1:17" x14ac:dyDescent="0.25">
      <c r="A53" s="514" t="s">
        <v>896</v>
      </c>
      <c r="B53" s="526"/>
      <c r="C53" s="526"/>
      <c r="D53" s="526"/>
      <c r="E53" s="526"/>
      <c r="F53" s="526"/>
      <c r="G53" s="526"/>
      <c r="H53" s="527">
        <v>0</v>
      </c>
      <c r="I53" s="527">
        <v>0</v>
      </c>
      <c r="J53" s="527">
        <v>0</v>
      </c>
      <c r="K53" s="527">
        <v>0</v>
      </c>
      <c r="L53" s="527">
        <v>0</v>
      </c>
      <c r="M53" s="527">
        <v>0</v>
      </c>
      <c r="N53" s="527">
        <v>0</v>
      </c>
      <c r="O53" s="527">
        <v>0</v>
      </c>
      <c r="P53" s="527">
        <v>0</v>
      </c>
      <c r="Q53" s="528">
        <f>$Q$42/20</f>
        <v>-3.5788335792714205</v>
      </c>
    </row>
    <row r="54" spans="1:17" x14ac:dyDescent="0.25">
      <c r="B54" s="523"/>
      <c r="C54" s="523"/>
      <c r="D54" s="523"/>
      <c r="E54" s="523"/>
      <c r="F54" s="523"/>
      <c r="G54" s="523"/>
      <c r="H54" s="524"/>
      <c r="I54" s="524"/>
      <c r="J54" s="524"/>
      <c r="K54" s="524"/>
      <c r="L54" s="524"/>
      <c r="M54" s="524"/>
      <c r="N54" s="524"/>
      <c r="O54" s="524"/>
      <c r="P54" s="524"/>
      <c r="Q54" s="524"/>
    </row>
    <row r="55" spans="1:17" x14ac:dyDescent="0.25">
      <c r="A55" s="612" t="s">
        <v>897</v>
      </c>
      <c r="B55" s="613"/>
      <c r="C55" s="613"/>
      <c r="D55" s="613"/>
      <c r="E55" s="613"/>
      <c r="F55" s="613"/>
      <c r="G55" s="613"/>
      <c r="H55" s="613"/>
      <c r="I55" s="613"/>
      <c r="J55" s="613"/>
      <c r="K55" s="613"/>
      <c r="L55" s="613"/>
      <c r="M55" s="613"/>
      <c r="N55" s="613"/>
      <c r="O55" s="613"/>
      <c r="P55" s="613"/>
      <c r="Q55" s="614"/>
    </row>
    <row r="56" spans="1:17" x14ac:dyDescent="0.25">
      <c r="A56" s="615"/>
      <c r="B56" s="616"/>
      <c r="C56" s="616"/>
      <c r="D56" s="616"/>
      <c r="E56" s="616"/>
      <c r="F56" s="616"/>
      <c r="G56" s="616"/>
      <c r="H56" s="616"/>
      <c r="I56" s="616"/>
      <c r="J56" s="616"/>
      <c r="K56" s="616"/>
      <c r="L56" s="616"/>
      <c r="M56" s="616"/>
      <c r="N56" s="616"/>
      <c r="O56" s="616"/>
      <c r="P56" s="616"/>
      <c r="Q56" s="617"/>
    </row>
    <row r="57" spans="1:17" x14ac:dyDescent="0.25">
      <c r="C57" s="529"/>
      <c r="D57" s="529"/>
      <c r="E57" s="529"/>
      <c r="F57" s="529"/>
      <c r="G57" s="529"/>
      <c r="H57" s="529"/>
      <c r="I57" s="530"/>
      <c r="J57" s="530"/>
      <c r="K57" s="530"/>
      <c r="L57" s="530"/>
      <c r="M57" s="530"/>
      <c r="N57" s="530"/>
      <c r="O57" s="530"/>
      <c r="P57" s="530"/>
      <c r="Q57" s="530"/>
    </row>
    <row r="58" spans="1:17" x14ac:dyDescent="0.25">
      <c r="A58" s="531" t="s">
        <v>898</v>
      </c>
      <c r="B58" s="532"/>
      <c r="C58" s="533"/>
      <c r="D58" s="533"/>
      <c r="E58" s="533"/>
      <c r="F58" s="533"/>
      <c r="G58" s="534"/>
      <c r="H58" s="534">
        <v>0</v>
      </c>
      <c r="I58" s="534">
        <v>0</v>
      </c>
      <c r="J58" s="534">
        <v>0</v>
      </c>
      <c r="K58" s="534">
        <v>0</v>
      </c>
      <c r="L58" s="534">
        <v>0</v>
      </c>
      <c r="M58" s="520">
        <f>-(($H$5+$I$5)-180)*1.025/3</f>
        <v>-51.25</v>
      </c>
      <c r="N58" s="520">
        <f>M58*1.025</f>
        <v>-52.531249999999993</v>
      </c>
      <c r="O58" s="520">
        <f>N58*1.025</f>
        <v>-53.844531249999989</v>
      </c>
      <c r="P58" s="520">
        <v>0</v>
      </c>
      <c r="Q58" s="521">
        <v>0</v>
      </c>
    </row>
    <row r="59" spans="1:17" x14ac:dyDescent="0.25">
      <c r="A59" s="519" t="s">
        <v>899</v>
      </c>
      <c r="B59" s="532"/>
      <c r="C59" s="533"/>
      <c r="D59" s="533"/>
      <c r="E59" s="533"/>
      <c r="F59" s="533"/>
      <c r="G59" s="533"/>
      <c r="H59" s="533"/>
      <c r="I59" s="522"/>
      <c r="J59" s="522"/>
      <c r="K59" s="522"/>
      <c r="L59" s="522"/>
      <c r="M59" s="535">
        <f>SUM(M60:M62)</f>
        <v>-1.0249999999999999</v>
      </c>
      <c r="N59" s="535">
        <f t="shared" ref="N59:Q59" si="10">SUM(N60:N62)</f>
        <v>-2.0756249999999996</v>
      </c>
      <c r="O59" s="535">
        <f t="shared" si="10"/>
        <v>-3.1525156249999995</v>
      </c>
      <c r="P59" s="535">
        <f t="shared" si="10"/>
        <v>-3.1525156249999995</v>
      </c>
      <c r="Q59" s="536">
        <f t="shared" si="10"/>
        <v>-3.1525156249999995</v>
      </c>
    </row>
    <row r="60" spans="1:17" x14ac:dyDescent="0.25">
      <c r="A60" s="512" t="s">
        <v>900</v>
      </c>
      <c r="C60" s="537"/>
      <c r="D60" s="537"/>
      <c r="E60" s="537"/>
      <c r="F60" s="537"/>
      <c r="G60" s="537"/>
      <c r="H60" s="537"/>
      <c r="I60" s="523"/>
      <c r="J60" s="523"/>
      <c r="K60" s="523"/>
      <c r="L60" s="523"/>
      <c r="M60" s="523">
        <f>M58/50</f>
        <v>-1.0249999999999999</v>
      </c>
      <c r="N60" s="523">
        <f>M58/50</f>
        <v>-1.0249999999999999</v>
      </c>
      <c r="O60" s="523">
        <f>M58/50</f>
        <v>-1.0249999999999999</v>
      </c>
      <c r="P60" s="523">
        <f t="shared" ref="P60:Q62" si="11">O60</f>
        <v>-1.0249999999999999</v>
      </c>
      <c r="Q60" s="538">
        <f t="shared" si="11"/>
        <v>-1.0249999999999999</v>
      </c>
    </row>
    <row r="61" spans="1:17" x14ac:dyDescent="0.25">
      <c r="A61" s="512"/>
      <c r="J61" s="523"/>
      <c r="K61" s="523"/>
      <c r="L61" s="523"/>
      <c r="M61" s="523">
        <v>0</v>
      </c>
      <c r="N61" s="523">
        <f>N58/50</f>
        <v>-1.0506249999999999</v>
      </c>
      <c r="O61" s="523">
        <f>N61</f>
        <v>-1.0506249999999999</v>
      </c>
      <c r="P61" s="523">
        <f t="shared" si="11"/>
        <v>-1.0506249999999999</v>
      </c>
      <c r="Q61" s="538">
        <f t="shared" si="11"/>
        <v>-1.0506249999999999</v>
      </c>
    </row>
    <row r="62" spans="1:17" x14ac:dyDescent="0.25">
      <c r="A62" s="514"/>
      <c r="B62" s="539"/>
      <c r="C62" s="539"/>
      <c r="D62" s="539"/>
      <c r="E62" s="539"/>
      <c r="F62" s="539"/>
      <c r="G62" s="539"/>
      <c r="H62" s="539"/>
      <c r="I62" s="539"/>
      <c r="J62" s="539"/>
      <c r="K62" s="526"/>
      <c r="L62" s="526"/>
      <c r="M62" s="526">
        <v>0</v>
      </c>
      <c r="N62" s="526">
        <v>0</v>
      </c>
      <c r="O62" s="526">
        <f>O58/50</f>
        <v>-1.0768906249999999</v>
      </c>
      <c r="P62" s="526">
        <f t="shared" si="11"/>
        <v>-1.0768906249999999</v>
      </c>
      <c r="Q62" s="540">
        <f t="shared" si="11"/>
        <v>-1.0768906249999999</v>
      </c>
    </row>
    <row r="63" spans="1:17" x14ac:dyDescent="0.25">
      <c r="M63" s="530"/>
      <c r="N63" s="530"/>
      <c r="O63" s="530"/>
      <c r="P63" s="530"/>
      <c r="Q63" s="530"/>
    </row>
    <row r="64" spans="1:17" x14ac:dyDescent="0.25">
      <c r="A64" s="541" t="s">
        <v>901</v>
      </c>
      <c r="B64" s="541" t="s">
        <v>902</v>
      </c>
      <c r="N64" s="530"/>
      <c r="O64" s="530"/>
      <c r="P64" s="530"/>
      <c r="Q64" s="530"/>
    </row>
    <row r="65" spans="1:17" x14ac:dyDescent="0.25">
      <c r="A65" s="490" t="s">
        <v>903</v>
      </c>
      <c r="B65" s="490" t="s">
        <v>904</v>
      </c>
      <c r="O65" s="530"/>
      <c r="P65" s="530"/>
      <c r="Q65" s="530"/>
    </row>
    <row r="66" spans="1:17" x14ac:dyDescent="0.25">
      <c r="A66" s="490" t="s">
        <v>905</v>
      </c>
      <c r="B66" s="490" t="s">
        <v>906</v>
      </c>
      <c r="O66" s="530"/>
      <c r="P66" s="530"/>
      <c r="Q66" s="530"/>
    </row>
    <row r="67" spans="1:17" x14ac:dyDescent="0.25">
      <c r="A67" s="490" t="s">
        <v>907</v>
      </c>
      <c r="B67" s="490" t="s">
        <v>908</v>
      </c>
      <c r="O67" s="530"/>
      <c r="P67" s="530"/>
      <c r="Q67" s="530"/>
    </row>
    <row r="68" spans="1:17" x14ac:dyDescent="0.25">
      <c r="P68" s="530"/>
      <c r="Q68" s="530"/>
    </row>
    <row r="69" spans="1:17" x14ac:dyDescent="0.25">
      <c r="A69" s="490" t="s">
        <v>909</v>
      </c>
      <c r="Q69" s="530"/>
    </row>
  </sheetData>
  <mergeCells count="12">
    <mergeCell ref="A17:B17"/>
    <mergeCell ref="A24:B24"/>
    <mergeCell ref="A32:B32"/>
    <mergeCell ref="A55:Q56"/>
    <mergeCell ref="A2:A3"/>
    <mergeCell ref="B2:D2"/>
    <mergeCell ref="G2:G3"/>
    <mergeCell ref="H2:K2"/>
    <mergeCell ref="A12:A13"/>
    <mergeCell ref="B12:E12"/>
    <mergeCell ref="G12:G13"/>
    <mergeCell ref="H12:K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CDCBD-5EA8-4F0F-A023-1A503EFFF490}">
  <sheetPr>
    <tabColor rgb="FF92D050"/>
  </sheetPr>
  <dimension ref="A2:S17"/>
  <sheetViews>
    <sheetView showGridLines="0" workbookViewId="0">
      <selection activeCell="G33" sqref="G33"/>
    </sheetView>
  </sheetViews>
  <sheetFormatPr defaultColWidth="8.85546875" defaultRowHeight="15" x14ac:dyDescent="0.25"/>
  <cols>
    <col min="1" max="1" width="32.85546875" style="490" bestFit="1" customWidth="1"/>
    <col min="2" max="16384" width="8.85546875" style="490"/>
  </cols>
  <sheetData>
    <row r="2" spans="1:19" x14ac:dyDescent="0.25">
      <c r="A2" s="542" t="s">
        <v>910</v>
      </c>
      <c r="B2" s="543">
        <v>2017</v>
      </c>
      <c r="C2" s="543">
        <v>2018</v>
      </c>
      <c r="D2" s="543">
        <v>2019</v>
      </c>
      <c r="E2" s="543">
        <v>2020</v>
      </c>
      <c r="F2" s="543">
        <v>2021</v>
      </c>
      <c r="G2" s="543">
        <v>2022</v>
      </c>
      <c r="H2" s="543">
        <v>2023</v>
      </c>
      <c r="I2" s="543">
        <v>2024</v>
      </c>
      <c r="J2" s="543">
        <v>2025</v>
      </c>
      <c r="K2" s="543">
        <v>2026</v>
      </c>
      <c r="L2" s="543">
        <v>2027</v>
      </c>
      <c r="M2" s="543">
        <v>2028</v>
      </c>
      <c r="N2" s="543">
        <v>2029</v>
      </c>
      <c r="O2" s="543">
        <v>2030</v>
      </c>
      <c r="P2" s="543">
        <v>2031</v>
      </c>
      <c r="Q2" s="543">
        <v>2032</v>
      </c>
      <c r="R2" s="543">
        <v>2033</v>
      </c>
      <c r="S2" s="544">
        <v>2034</v>
      </c>
    </row>
    <row r="3" spans="1:19" x14ac:dyDescent="0.25">
      <c r="A3" s="512" t="s">
        <v>355</v>
      </c>
      <c r="B3" s="545">
        <v>-50.817</v>
      </c>
      <c r="C3" s="545">
        <v>-50.384999999999998</v>
      </c>
      <c r="D3" s="545">
        <v>-47.412999999999997</v>
      </c>
      <c r="E3" s="545">
        <v>-46.073</v>
      </c>
      <c r="F3" s="545">
        <v>-45.514000000000003</v>
      </c>
      <c r="G3" s="545">
        <v>-42.45</v>
      </c>
      <c r="H3" s="545">
        <v>-38.024999999999999</v>
      </c>
      <c r="I3" s="545">
        <v>-40.700000000000003</v>
      </c>
      <c r="J3" s="553">
        <f>AVERAGE(B3:I3)+B16+B17</f>
        <v>-49.922125000000001</v>
      </c>
      <c r="K3" s="553">
        <f>J3</f>
        <v>-49.922125000000001</v>
      </c>
      <c r="L3" s="553">
        <f t="shared" ref="L3:S3" si="0">K3</f>
        <v>-49.922125000000001</v>
      </c>
      <c r="M3" s="553">
        <f t="shared" si="0"/>
        <v>-49.922125000000001</v>
      </c>
      <c r="N3" s="553">
        <f t="shared" si="0"/>
        <v>-49.922125000000001</v>
      </c>
      <c r="O3" s="553">
        <f t="shared" si="0"/>
        <v>-49.922125000000001</v>
      </c>
      <c r="P3" s="553">
        <f t="shared" si="0"/>
        <v>-49.922125000000001</v>
      </c>
      <c r="Q3" s="553">
        <f t="shared" si="0"/>
        <v>-49.922125000000001</v>
      </c>
      <c r="R3" s="553">
        <f t="shared" si="0"/>
        <v>-49.922125000000001</v>
      </c>
      <c r="S3" s="554">
        <f t="shared" si="0"/>
        <v>-49.922125000000001</v>
      </c>
    </row>
    <row r="4" spans="1:19" x14ac:dyDescent="0.25">
      <c r="A4" s="512" t="s">
        <v>356</v>
      </c>
      <c r="B4" s="545">
        <v>-5.69</v>
      </c>
      <c r="C4" s="545">
        <v>-5.4009999999999998</v>
      </c>
      <c r="D4" s="545">
        <v>-5.4</v>
      </c>
      <c r="E4" s="545">
        <v>-5.8</v>
      </c>
      <c r="F4" s="545">
        <v>-5.4</v>
      </c>
      <c r="G4" s="545">
        <v>-5.7</v>
      </c>
      <c r="H4" s="545">
        <v>-5.3</v>
      </c>
      <c r="I4" s="545">
        <v>-5.3999999999999995</v>
      </c>
      <c r="J4" s="545">
        <f>AVERAGE(B4:I4)</f>
        <v>-5.5113750000000001</v>
      </c>
      <c r="K4" s="545">
        <f t="shared" ref="K4:S6" si="1">AVERAGE(C4:J4)</f>
        <v>-5.4890468749999997</v>
      </c>
      <c r="L4" s="545">
        <f t="shared" si="1"/>
        <v>-5.5000527343750001</v>
      </c>
      <c r="M4" s="545">
        <f t="shared" si="1"/>
        <v>-5.5125593261718748</v>
      </c>
      <c r="N4" s="545">
        <f t="shared" si="1"/>
        <v>-5.4766292419433595</v>
      </c>
      <c r="O4" s="545">
        <f t="shared" si="1"/>
        <v>-5.4862078971862784</v>
      </c>
      <c r="P4" s="545">
        <f t="shared" si="1"/>
        <v>-5.4594838843345634</v>
      </c>
      <c r="Q4" s="545">
        <f t="shared" si="1"/>
        <v>-5.4794193698763838</v>
      </c>
      <c r="R4" s="545">
        <f t="shared" si="1"/>
        <v>-5.4893467911109326</v>
      </c>
      <c r="S4" s="546">
        <f t="shared" si="1"/>
        <v>-5.486593264999799</v>
      </c>
    </row>
    <row r="5" spans="1:19" x14ac:dyDescent="0.25">
      <c r="A5" s="512" t="s">
        <v>266</v>
      </c>
      <c r="B5" s="545">
        <v>-50.817</v>
      </c>
      <c r="C5" s="545">
        <v>-50.384999999999998</v>
      </c>
      <c r="D5" s="545">
        <v>-17.678636496350364</v>
      </c>
      <c r="E5" s="545">
        <v>-19.042231522707041</v>
      </c>
      <c r="F5" s="545">
        <v>-22.53259945504087</v>
      </c>
      <c r="G5" s="545">
        <v>-33.024712041884797</v>
      </c>
      <c r="H5" s="545">
        <v>-33.587718749999993</v>
      </c>
      <c r="I5" s="545">
        <v>-32.725387512734969</v>
      </c>
      <c r="J5" s="545">
        <f>AVERAGE(B5:I5)</f>
        <v>-32.474160722339754</v>
      </c>
      <c r="K5" s="545">
        <f t="shared" si="1"/>
        <v>-30.181305812632221</v>
      </c>
      <c r="L5" s="545">
        <f t="shared" si="1"/>
        <v>-27.655844039211249</v>
      </c>
      <c r="M5" s="545">
        <f t="shared" si="1"/>
        <v>-28.902994982068861</v>
      </c>
      <c r="N5" s="545">
        <f t="shared" si="1"/>
        <v>-30.135590414489087</v>
      </c>
      <c r="O5" s="545">
        <f t="shared" si="1"/>
        <v>-31.085964284420115</v>
      </c>
      <c r="P5" s="545">
        <f t="shared" si="1"/>
        <v>-30.843620814737029</v>
      </c>
      <c r="Q5" s="545">
        <f t="shared" si="1"/>
        <v>-30.500608572829162</v>
      </c>
      <c r="R5" s="545">
        <f t="shared" si="1"/>
        <v>-30.222511205340933</v>
      </c>
      <c r="S5" s="546">
        <f t="shared" si="1"/>
        <v>-29.941055015716078</v>
      </c>
    </row>
    <row r="6" spans="1:19" x14ac:dyDescent="0.25">
      <c r="A6" s="512" t="s">
        <v>617</v>
      </c>
      <c r="B6" s="545">
        <v>-20.733000000000001</v>
      </c>
      <c r="C6" s="545">
        <v>-20.304000000000002</v>
      </c>
      <c r="D6" s="545">
        <v>-14.19</v>
      </c>
      <c r="E6" s="545">
        <v>-16.599999999999994</v>
      </c>
      <c r="F6" s="545">
        <v>-19.200000000000003</v>
      </c>
      <c r="G6" s="545">
        <v>-15.700000000000003</v>
      </c>
      <c r="H6" s="545">
        <v>-16.700000000000003</v>
      </c>
      <c r="I6" s="545">
        <v>-15.220999999999989</v>
      </c>
      <c r="J6" s="545">
        <f>AVERAGE(B6:I6)</f>
        <v>-17.331</v>
      </c>
      <c r="K6" s="545">
        <f t="shared" si="1"/>
        <v>-16.905749999999998</v>
      </c>
      <c r="L6" s="545">
        <f t="shared" si="1"/>
        <v>-16.480968749999999</v>
      </c>
      <c r="M6" s="545">
        <f t="shared" si="1"/>
        <v>-16.767339843749998</v>
      </c>
      <c r="N6" s="545">
        <f t="shared" si="1"/>
        <v>-16.788257324218751</v>
      </c>
      <c r="O6" s="545">
        <f t="shared" si="1"/>
        <v>-16.486789489746094</v>
      </c>
      <c r="P6" s="545">
        <f t="shared" si="1"/>
        <v>-16.585138175964353</v>
      </c>
      <c r="Q6" s="545">
        <f t="shared" si="1"/>
        <v>-16.570780447959898</v>
      </c>
      <c r="R6" s="545">
        <f t="shared" si="1"/>
        <v>-16.739503003954884</v>
      </c>
      <c r="S6" s="546">
        <f t="shared" si="1"/>
        <v>-16.665565879449247</v>
      </c>
    </row>
    <row r="7" spans="1:19" x14ac:dyDescent="0.25">
      <c r="A7" s="547" t="s">
        <v>468</v>
      </c>
      <c r="B7" s="548">
        <f>SUM(B3:B6)</f>
        <v>-128.05699999999999</v>
      </c>
      <c r="C7" s="548">
        <f t="shared" ref="C7:S7" si="2">SUM(C3:C6)</f>
        <v>-126.47499999999999</v>
      </c>
      <c r="D7" s="548">
        <f t="shared" si="2"/>
        <v>-84.681636496350364</v>
      </c>
      <c r="E7" s="548">
        <f t="shared" si="2"/>
        <v>-87.51523152270704</v>
      </c>
      <c r="F7" s="548">
        <f t="shared" si="2"/>
        <v>-92.646599455040871</v>
      </c>
      <c r="G7" s="548">
        <f t="shared" si="2"/>
        <v>-96.874712041884806</v>
      </c>
      <c r="H7" s="548">
        <f t="shared" si="2"/>
        <v>-93.612718749999985</v>
      </c>
      <c r="I7" s="548">
        <f t="shared" si="2"/>
        <v>-94.046387512734967</v>
      </c>
      <c r="J7" s="548">
        <f t="shared" si="2"/>
        <v>-105.23866072233976</v>
      </c>
      <c r="K7" s="548">
        <f t="shared" si="2"/>
        <v>-102.49822768763222</v>
      </c>
      <c r="L7" s="548">
        <f t="shared" si="2"/>
        <v>-99.558990523586246</v>
      </c>
      <c r="M7" s="548">
        <f t="shared" si="2"/>
        <v>-101.10501915199073</v>
      </c>
      <c r="N7" s="548">
        <f t="shared" si="2"/>
        <v>-102.32260198065119</v>
      </c>
      <c r="O7" s="548">
        <f t="shared" si="2"/>
        <v>-102.98108667135247</v>
      </c>
      <c r="P7" s="548">
        <f t="shared" si="2"/>
        <v>-102.81036787503595</v>
      </c>
      <c r="Q7" s="548">
        <f t="shared" si="2"/>
        <v>-102.47293339066545</v>
      </c>
      <c r="R7" s="548">
        <f t="shared" si="2"/>
        <v>-102.37348600040674</v>
      </c>
      <c r="S7" s="549">
        <f t="shared" si="2"/>
        <v>-102.01533916016513</v>
      </c>
    </row>
    <row r="8" spans="1:19" x14ac:dyDescent="0.25">
      <c r="J8" s="550"/>
    </row>
    <row r="9" spans="1:19" x14ac:dyDescent="0.25">
      <c r="A9" s="550" t="s">
        <v>901</v>
      </c>
      <c r="B9" s="550" t="s">
        <v>902</v>
      </c>
    </row>
    <row r="10" spans="1:19" x14ac:dyDescent="0.25">
      <c r="A10" s="490" t="s">
        <v>903</v>
      </c>
      <c r="B10" s="490" t="s">
        <v>904</v>
      </c>
    </row>
    <row r="11" spans="1:19" x14ac:dyDescent="0.25">
      <c r="A11" s="490" t="s">
        <v>905</v>
      </c>
      <c r="B11" s="490" t="s">
        <v>906</v>
      </c>
    </row>
    <row r="12" spans="1:19" x14ac:dyDescent="0.25">
      <c r="A12" s="490" t="s">
        <v>907</v>
      </c>
      <c r="B12" s="490" t="s">
        <v>908</v>
      </c>
    </row>
    <row r="15" spans="1:19" x14ac:dyDescent="0.25">
      <c r="A15" s="490" t="s">
        <v>911</v>
      </c>
      <c r="B15" s="551">
        <v>75</v>
      </c>
      <c r="C15" s="490" t="s">
        <v>912</v>
      </c>
      <c r="I15" s="529"/>
    </row>
    <row r="16" spans="1:19" x14ac:dyDescent="0.25">
      <c r="B16" s="552">
        <v>-1</v>
      </c>
      <c r="C16" s="490">
        <v>-1</v>
      </c>
      <c r="D16" s="490">
        <v>-1</v>
      </c>
      <c r="E16" s="490">
        <v>-1</v>
      </c>
      <c r="F16" s="490">
        <v>-1</v>
      </c>
      <c r="G16" s="490">
        <v>-1</v>
      </c>
      <c r="H16" s="490">
        <v>-1</v>
      </c>
      <c r="I16" s="490">
        <v>-1</v>
      </c>
      <c r="J16" s="490">
        <v>-1</v>
      </c>
      <c r="K16" s="490">
        <v>-1</v>
      </c>
    </row>
    <row r="17" spans="1:11" x14ac:dyDescent="0.25">
      <c r="A17" s="490" t="s">
        <v>913</v>
      </c>
      <c r="B17" s="490">
        <v>-3.75</v>
      </c>
      <c r="C17" s="490">
        <v>-3.75</v>
      </c>
      <c r="D17" s="490">
        <v>-3.75</v>
      </c>
      <c r="E17" s="490">
        <v>-3.75</v>
      </c>
      <c r="F17" s="490">
        <v>-3.75</v>
      </c>
      <c r="G17" s="490">
        <v>-3.75</v>
      </c>
      <c r="H17" s="490">
        <v>-3.75</v>
      </c>
      <c r="I17" s="490">
        <v>-3.75</v>
      </c>
      <c r="J17" s="490">
        <v>-3.75</v>
      </c>
      <c r="K17" s="490">
        <v>-3.75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D1000"/>
  <sheetViews>
    <sheetView topLeftCell="HY1" workbookViewId="0">
      <selection activeCell="II2" sqref="II2"/>
    </sheetView>
  </sheetViews>
  <sheetFormatPr defaultColWidth="14.42578125" defaultRowHeight="15" customHeight="1" x14ac:dyDescent="0.25"/>
  <cols>
    <col min="1" max="8" width="8.7109375" customWidth="1"/>
    <col min="9" max="9" width="20.140625" customWidth="1"/>
    <col min="10" max="14" width="8.7109375" customWidth="1"/>
    <col min="15" max="15" width="21.5703125" customWidth="1"/>
    <col min="16" max="268" width="8.7109375" customWidth="1"/>
    <col min="269" max="269" width="15.140625" customWidth="1"/>
    <col min="270" max="278" width="8.7109375" customWidth="1"/>
  </cols>
  <sheetData>
    <row r="1" spans="1:287" x14ac:dyDescent="0.25">
      <c r="A1" s="213" t="s">
        <v>54</v>
      </c>
      <c r="B1" s="213" t="s">
        <v>689</v>
      </c>
      <c r="C1" s="213" t="s">
        <v>690</v>
      </c>
      <c r="D1" s="213" t="s">
        <v>207</v>
      </c>
      <c r="H1" s="213" t="s">
        <v>41</v>
      </c>
      <c r="I1" s="405" t="s">
        <v>742</v>
      </c>
      <c r="J1" s="213" t="s">
        <v>689</v>
      </c>
      <c r="K1" s="213" t="s">
        <v>691</v>
      </c>
      <c r="V1" s="213" t="s">
        <v>41</v>
      </c>
      <c r="W1" s="213" t="s">
        <v>151</v>
      </c>
      <c r="X1" s="213" t="s">
        <v>689</v>
      </c>
      <c r="Y1" s="213" t="s">
        <v>691</v>
      </c>
      <c r="AK1" s="213" t="s">
        <v>41</v>
      </c>
      <c r="AL1" s="213" t="s">
        <v>560</v>
      </c>
      <c r="AM1" s="213" t="s">
        <v>689</v>
      </c>
      <c r="AN1" s="213" t="s">
        <v>691</v>
      </c>
      <c r="AY1" s="213" t="s">
        <v>41</v>
      </c>
      <c r="AZ1" s="213" t="s">
        <v>560</v>
      </c>
      <c r="BA1" s="213" t="s">
        <v>689</v>
      </c>
      <c r="BB1" s="213" t="s">
        <v>691</v>
      </c>
      <c r="BP1" s="213" t="s">
        <v>41</v>
      </c>
      <c r="BQ1" s="213" t="s">
        <v>560</v>
      </c>
      <c r="BR1" s="213" t="s">
        <v>689</v>
      </c>
      <c r="BS1" s="213" t="s">
        <v>691</v>
      </c>
      <c r="CE1" s="213" t="s">
        <v>41</v>
      </c>
      <c r="CF1" s="213" t="s">
        <v>560</v>
      </c>
      <c r="CG1" s="213" t="s">
        <v>689</v>
      </c>
      <c r="CH1" s="213" t="s">
        <v>691</v>
      </c>
      <c r="CT1" s="213" t="s">
        <v>41</v>
      </c>
      <c r="CU1" s="213" t="s">
        <v>560</v>
      </c>
      <c r="CV1" s="213" t="s">
        <v>689</v>
      </c>
      <c r="CW1" s="213" t="s">
        <v>691</v>
      </c>
      <c r="DJ1" s="213" t="s">
        <v>41</v>
      </c>
      <c r="DK1" s="213" t="s">
        <v>560</v>
      </c>
      <c r="DL1" s="213" t="s">
        <v>689</v>
      </c>
      <c r="DM1" s="213" t="s">
        <v>691</v>
      </c>
      <c r="DZ1" s="213" t="s">
        <v>41</v>
      </c>
      <c r="EA1" s="213" t="s">
        <v>560</v>
      </c>
      <c r="EB1" s="213" t="s">
        <v>689</v>
      </c>
      <c r="EC1" s="213" t="s">
        <v>691</v>
      </c>
      <c r="EM1" s="213" t="s">
        <v>41</v>
      </c>
      <c r="EN1" s="213" t="s">
        <v>560</v>
      </c>
      <c r="EO1" s="213" t="s">
        <v>689</v>
      </c>
      <c r="EP1" s="213" t="s">
        <v>691</v>
      </c>
      <c r="FA1" s="213" t="s">
        <v>41</v>
      </c>
      <c r="FB1" s="213" t="s">
        <v>560</v>
      </c>
      <c r="FC1" s="213" t="s">
        <v>689</v>
      </c>
      <c r="FD1" s="213" t="s">
        <v>691</v>
      </c>
      <c r="FO1" s="213" t="s">
        <v>41</v>
      </c>
      <c r="FP1" s="213" t="s">
        <v>560</v>
      </c>
      <c r="FQ1" s="213" t="s">
        <v>689</v>
      </c>
      <c r="FR1" s="213" t="s">
        <v>691</v>
      </c>
      <c r="GB1" s="213" t="s">
        <v>41</v>
      </c>
      <c r="GC1" s="213" t="s">
        <v>560</v>
      </c>
      <c r="GD1" s="213" t="s">
        <v>689</v>
      </c>
      <c r="GE1" s="213" t="s">
        <v>691</v>
      </c>
      <c r="GO1" s="213" t="s">
        <v>41</v>
      </c>
      <c r="GP1" s="213" t="s">
        <v>560</v>
      </c>
      <c r="GQ1" s="213" t="s">
        <v>689</v>
      </c>
      <c r="GR1" s="213" t="s">
        <v>691</v>
      </c>
      <c r="HD1" s="213" t="s">
        <v>41</v>
      </c>
      <c r="HE1" s="213" t="s">
        <v>560</v>
      </c>
      <c r="HF1" s="213" t="s">
        <v>689</v>
      </c>
      <c r="HG1" s="213" t="s">
        <v>691</v>
      </c>
      <c r="HS1" s="213" t="s">
        <v>41</v>
      </c>
      <c r="HT1" s="213" t="s">
        <v>560</v>
      </c>
      <c r="HU1" s="213" t="s">
        <v>689</v>
      </c>
      <c r="HV1" s="213" t="s">
        <v>691</v>
      </c>
      <c r="IF1" s="213" t="s">
        <v>41</v>
      </c>
      <c r="IG1" s="213" t="s">
        <v>560</v>
      </c>
      <c r="IH1" s="213" t="s">
        <v>689</v>
      </c>
      <c r="II1" s="213" t="s">
        <v>691</v>
      </c>
      <c r="IT1" s="213" t="s">
        <v>41</v>
      </c>
      <c r="IU1" s="213" t="s">
        <v>560</v>
      </c>
      <c r="IV1" s="213" t="s">
        <v>689</v>
      </c>
      <c r="IW1" s="213" t="s">
        <v>691</v>
      </c>
      <c r="JH1" s="213" t="s">
        <v>41</v>
      </c>
      <c r="JI1" s="213" t="s">
        <v>692</v>
      </c>
      <c r="JT1" s="213" t="s">
        <v>41</v>
      </c>
      <c r="JU1" t="s">
        <v>326</v>
      </c>
    </row>
    <row r="2" spans="1:287" x14ac:dyDescent="0.25">
      <c r="A2" s="213">
        <v>2020</v>
      </c>
      <c r="B2" s="351">
        <v>-0.14833948339483394</v>
      </c>
      <c r="C2" s="213">
        <v>0.25</v>
      </c>
      <c r="D2" s="213">
        <f t="shared" ref="D2:D6" si="0">B2*C2</f>
        <v>-3.7084870848708484E-2</v>
      </c>
      <c r="E2" s="351"/>
      <c r="H2" s="213">
        <v>2017</v>
      </c>
      <c r="I2" s="277">
        <v>244.5</v>
      </c>
      <c r="K2" s="277">
        <f>LN(I2)</f>
        <v>5.4992153089149269</v>
      </c>
      <c r="L2" s="213" t="s">
        <v>693</v>
      </c>
      <c r="V2" s="213">
        <v>2017</v>
      </c>
      <c r="W2" s="277">
        <v>251.3</v>
      </c>
      <c r="Y2" s="277">
        <f t="shared" ref="Y2:Y9" si="1">LN(W2)</f>
        <v>5.5266474445495462</v>
      </c>
      <c r="Z2" s="213" t="s">
        <v>693</v>
      </c>
      <c r="AK2" s="213">
        <v>2017</v>
      </c>
      <c r="AL2" s="277">
        <v>159.19999999999999</v>
      </c>
      <c r="AN2" s="277">
        <f t="shared" ref="AN2:AN9" si="2">LN(AL2)</f>
        <v>5.0701612734102826</v>
      </c>
      <c r="AO2" s="213" t="s">
        <v>693</v>
      </c>
      <c r="AY2" s="213">
        <v>2017</v>
      </c>
      <c r="AZ2" s="277">
        <v>163</v>
      </c>
      <c r="BB2" s="277">
        <f t="shared" ref="BB2:BB9" si="3">LN(AZ2)</f>
        <v>5.0937502008067623</v>
      </c>
      <c r="BC2" s="213" t="s">
        <v>693</v>
      </c>
      <c r="BP2" s="213">
        <v>2017</v>
      </c>
      <c r="BQ2" s="277">
        <v>48</v>
      </c>
      <c r="BS2" s="277">
        <f t="shared" ref="BS2:BS9" si="4">LN(BQ2)</f>
        <v>3.8712010109078911</v>
      </c>
      <c r="BT2" s="213" t="s">
        <v>693</v>
      </c>
      <c r="CE2" s="213">
        <v>2017</v>
      </c>
      <c r="CF2" s="277">
        <v>14.4</v>
      </c>
      <c r="CH2" s="277">
        <f t="shared" ref="CH2:CH9" si="5">LN(CF2)</f>
        <v>2.6672282065819548</v>
      </c>
      <c r="CI2" s="213" t="s">
        <v>693</v>
      </c>
      <c r="CT2" s="213">
        <v>2017</v>
      </c>
      <c r="CU2" s="277">
        <v>8.9</v>
      </c>
      <c r="CW2" s="277">
        <f t="shared" ref="CW2:CW9" si="6">LN(CU2)</f>
        <v>2.1860512767380942</v>
      </c>
      <c r="CX2" s="213" t="s">
        <v>693</v>
      </c>
      <c r="DJ2" s="213">
        <v>2017</v>
      </c>
      <c r="DK2" s="277">
        <v>25.172000000000001</v>
      </c>
      <c r="DM2" s="277">
        <f t="shared" ref="DM2:DM9" si="7">LN(DK2)</f>
        <v>3.225732265664687</v>
      </c>
      <c r="DN2" s="213" t="s">
        <v>693</v>
      </c>
      <c r="DZ2" s="213">
        <v>2017</v>
      </c>
      <c r="EA2" s="277">
        <v>51.4</v>
      </c>
      <c r="EC2" s="277">
        <f t="shared" ref="EC2:EC9" si="8">LN(EA2)</f>
        <v>3.9396381724611196</v>
      </c>
      <c r="ED2" s="213" t="s">
        <v>693</v>
      </c>
      <c r="EM2" s="213">
        <v>2017</v>
      </c>
      <c r="EN2" s="277">
        <v>74.5</v>
      </c>
      <c r="EP2" s="277">
        <f t="shared" ref="EP2:EP9" si="9">LN(EN2)</f>
        <v>4.3107991253855138</v>
      </c>
      <c r="EQ2" s="213" t="s">
        <v>693</v>
      </c>
      <c r="FA2" s="213">
        <v>2017</v>
      </c>
      <c r="FB2" s="277">
        <v>22.2</v>
      </c>
      <c r="FD2" s="277">
        <f t="shared" ref="FD2:FD9" si="10">LN(FB2)</f>
        <v>3.1000922888782338</v>
      </c>
      <c r="FE2" s="213" t="s">
        <v>693</v>
      </c>
      <c r="FO2" s="213">
        <v>2017</v>
      </c>
      <c r="FP2" s="277">
        <v>22.2</v>
      </c>
      <c r="FR2" s="277">
        <f t="shared" ref="FR2:FR9" si="11">LN(FP2)</f>
        <v>3.1000922888782338</v>
      </c>
      <c r="FS2" s="213" t="s">
        <v>693</v>
      </c>
      <c r="GB2" s="213">
        <v>2017</v>
      </c>
      <c r="GC2" s="277">
        <v>19.984896926582849</v>
      </c>
      <c r="GE2" s="277">
        <f t="shared" ref="GE2:GE9" si="12">LN(GC2)</f>
        <v>2.9949768346109749</v>
      </c>
      <c r="GF2" s="213" t="s">
        <v>693</v>
      </c>
      <c r="GO2" s="213">
        <v>2017</v>
      </c>
      <c r="GR2" s="277" t="e">
        <f t="shared" ref="GR2:GR9" si="13">LN(GP2)</f>
        <v>#NUM!</v>
      </c>
      <c r="GS2" s="213" t="s">
        <v>693</v>
      </c>
      <c r="HD2" s="213">
        <v>2017</v>
      </c>
      <c r="HE2" s="213">
        <v>94.825000000000003</v>
      </c>
      <c r="HG2" s="277">
        <f t="shared" ref="HG2:HG9" si="14">LN(HE2)</f>
        <v>4.5520330875749631</v>
      </c>
      <c r="HH2" s="213" t="s">
        <v>693</v>
      </c>
      <c r="HS2" s="213">
        <v>2017</v>
      </c>
      <c r="HV2" s="277"/>
      <c r="HW2" s="213" t="s">
        <v>693</v>
      </c>
      <c r="IF2" s="213">
        <v>2017</v>
      </c>
      <c r="IG2" s="213">
        <v>-17.895000000000003</v>
      </c>
      <c r="II2" s="277">
        <f>LN(-IG2)</f>
        <v>2.8845213442179891</v>
      </c>
      <c r="IJ2" s="213" t="s">
        <v>693</v>
      </c>
      <c r="IT2" s="213">
        <v>2017</v>
      </c>
      <c r="IU2" s="213">
        <v>18.399999999999999</v>
      </c>
      <c r="IW2" s="277">
        <f>LN(IU2)</f>
        <v>2.91235066461494</v>
      </c>
      <c r="IX2" s="213" t="s">
        <v>693</v>
      </c>
      <c r="JH2" s="213">
        <v>2017</v>
      </c>
      <c r="JI2" s="213">
        <v>1.9976</v>
      </c>
      <c r="JJ2" s="213" t="s">
        <v>693</v>
      </c>
      <c r="JT2" s="213">
        <v>2017</v>
      </c>
      <c r="JU2">
        <v>-154.61699999999999</v>
      </c>
      <c r="JV2" t="s">
        <v>693</v>
      </c>
    </row>
    <row r="3" spans="1:287" ht="15.75" thickBot="1" x14ac:dyDescent="0.3">
      <c r="A3" s="213">
        <v>2021</v>
      </c>
      <c r="B3" s="351">
        <v>0.1451473136915078</v>
      </c>
      <c r="C3" s="213">
        <v>0.6</v>
      </c>
      <c r="D3" s="213">
        <f t="shared" si="0"/>
        <v>8.708838821490468E-2</v>
      </c>
      <c r="E3" s="351"/>
      <c r="H3" s="213">
        <v>2018</v>
      </c>
      <c r="I3" s="277">
        <v>252.2</v>
      </c>
      <c r="J3" s="351">
        <f t="shared" ref="J3:J9" si="15">I3/I2-1</f>
        <v>3.1492842535787213E-2</v>
      </c>
      <c r="K3" s="277">
        <f t="shared" ref="K3:K9" si="16">LN(I3)</f>
        <v>5.5302224235308195</v>
      </c>
      <c r="V3" s="213">
        <v>2018</v>
      </c>
      <c r="W3" s="277">
        <v>260.7</v>
      </c>
      <c r="X3" s="351">
        <f t="shared" ref="X3:X9" si="17">W3/W2-1</f>
        <v>3.740549144448857E-2</v>
      </c>
      <c r="Y3" s="277">
        <f t="shared" si="1"/>
        <v>5.5633703209394563</v>
      </c>
      <c r="AK3" s="213">
        <v>2018</v>
      </c>
      <c r="AL3" s="277">
        <v>161.9</v>
      </c>
      <c r="AM3" s="351">
        <f t="shared" ref="AM3:AM9" si="18">AL3/AL2-1</f>
        <v>1.6959798994975017E-2</v>
      </c>
      <c r="AN3" s="277">
        <f t="shared" si="2"/>
        <v>5.0869788606835895</v>
      </c>
      <c r="AY3" s="213">
        <v>2018</v>
      </c>
      <c r="AZ3" s="277">
        <v>170.52699999999999</v>
      </c>
      <c r="BA3" s="351">
        <f t="shared" ref="BA3:BA9" si="19">AZ3/AZ2-1</f>
        <v>4.6177914110429263E-2</v>
      </c>
      <c r="BB3" s="277">
        <f t="shared" si="3"/>
        <v>5.1388936419575639</v>
      </c>
      <c r="BP3" s="213">
        <v>2018</v>
      </c>
      <c r="BQ3" s="277">
        <v>49.6</v>
      </c>
      <c r="BR3" s="351">
        <f t="shared" ref="BR3:BR9" si="20">BQ3/BQ2-1</f>
        <v>3.3333333333333437E-2</v>
      </c>
      <c r="BS3" s="277">
        <f t="shared" si="4"/>
        <v>3.903990833730882</v>
      </c>
      <c r="CE3" s="213">
        <v>2018</v>
      </c>
      <c r="CF3" s="277">
        <v>14.2</v>
      </c>
      <c r="CG3" s="351">
        <f t="shared" ref="CG3:CG9" si="21">CF3/CF2-1</f>
        <v>-1.3888888888888951E-2</v>
      </c>
      <c r="CH3" s="277">
        <f t="shared" si="5"/>
        <v>2.653241964607215</v>
      </c>
      <c r="CT3" s="213">
        <v>2018</v>
      </c>
      <c r="CU3" s="277">
        <v>9.847999999999999</v>
      </c>
      <c r="CV3" s="351">
        <f t="shared" ref="CV3:CV9" si="22">CU3/CU2-1</f>
        <v>0.10651685393258403</v>
      </c>
      <c r="CW3" s="277">
        <f t="shared" si="6"/>
        <v>2.2872683888821523</v>
      </c>
      <c r="DJ3" s="213">
        <v>2018</v>
      </c>
      <c r="DK3" s="277">
        <v>28.686</v>
      </c>
      <c r="DL3" s="351">
        <f t="shared" ref="DL3:DL9" si="23">DK3/DK2-1</f>
        <v>0.13959955506117905</v>
      </c>
      <c r="DM3" s="277">
        <f t="shared" si="7"/>
        <v>3.3564091988720213</v>
      </c>
      <c r="DZ3" s="213">
        <v>2018</v>
      </c>
      <c r="EA3" s="277">
        <v>51.5</v>
      </c>
      <c r="EB3" s="351">
        <f t="shared" ref="EB3:EB9" si="24">EA3/EA2-1</f>
        <v>1.9455252918287869E-3</v>
      </c>
      <c r="EC3" s="277">
        <f t="shared" si="8"/>
        <v>3.9415818076696905</v>
      </c>
      <c r="EM3" s="213">
        <v>2018</v>
      </c>
      <c r="EN3" s="277">
        <v>75.7</v>
      </c>
      <c r="EO3" s="351">
        <f t="shared" ref="EO3:EO9" si="25">EN3/EN2-1</f>
        <v>1.6107382550335503E-2</v>
      </c>
      <c r="EP3" s="277">
        <f t="shared" si="9"/>
        <v>4.3267781604434035</v>
      </c>
      <c r="FA3" s="213">
        <v>2018</v>
      </c>
      <c r="FB3" s="277">
        <v>21.7</v>
      </c>
      <c r="FC3" s="351">
        <f t="shared" ref="FC3:FC9" si="26">FB3/FB2-1</f>
        <v>-2.2522522522522515E-2</v>
      </c>
      <c r="FD3" s="277">
        <f t="shared" si="10"/>
        <v>3.0773122605464138</v>
      </c>
      <c r="FO3" s="213">
        <v>2018</v>
      </c>
      <c r="FP3" s="277">
        <v>21.7</v>
      </c>
      <c r="FQ3" s="351">
        <f t="shared" ref="FQ3:FQ9" si="27">FP3/FP2-1</f>
        <v>-2.2522522522522515E-2</v>
      </c>
      <c r="FR3" s="277">
        <f t="shared" si="11"/>
        <v>3.0773122605464138</v>
      </c>
      <c r="GB3" s="213">
        <v>2018</v>
      </c>
      <c r="GC3" s="277">
        <v>22.443951000000002</v>
      </c>
      <c r="GD3" s="351">
        <f t="shared" ref="GD3:GD9" si="28">GC3/GC2-1</f>
        <v>0.12304562202401215</v>
      </c>
      <c r="GE3" s="277">
        <f t="shared" si="12"/>
        <v>3.1110211346747936</v>
      </c>
      <c r="GO3" s="213">
        <v>2018</v>
      </c>
      <c r="GQ3" s="351"/>
      <c r="GR3" s="277" t="e">
        <f t="shared" si="13"/>
        <v>#NUM!</v>
      </c>
      <c r="HD3" s="213">
        <v>2018</v>
      </c>
      <c r="HE3" s="213">
        <v>139.017</v>
      </c>
      <c r="HF3" s="351">
        <f t="shared" ref="HF3:HF9" si="29">HE3/HE2-1</f>
        <v>0.46603743738465586</v>
      </c>
      <c r="HG3" s="277">
        <f t="shared" si="14"/>
        <v>4.9345962278106663</v>
      </c>
      <c r="HS3" s="213">
        <v>2018</v>
      </c>
      <c r="HU3" s="351"/>
      <c r="HV3" s="277"/>
      <c r="IF3" s="213">
        <v>2018</v>
      </c>
      <c r="IG3" s="213">
        <v>-2.4699999999999989</v>
      </c>
      <c r="IH3" s="351">
        <f t="shared" ref="IH3:IH8" si="30">IG3/IG2-1</f>
        <v>-0.86197261804973468</v>
      </c>
      <c r="II3" s="277">
        <f t="shared" ref="II3:II6" si="31">LN(-IG3)</f>
        <v>0.90421815063988542</v>
      </c>
      <c r="IT3" s="213">
        <v>2018</v>
      </c>
      <c r="IU3" s="213">
        <v>13</v>
      </c>
      <c r="IV3" s="351">
        <f t="shared" ref="IV3:IV9" si="32">IU3/IU2-1</f>
        <v>-0.29347826086956519</v>
      </c>
      <c r="IW3" s="277">
        <f t="shared" ref="IW3:IW9" si="33">LN(IU3)</f>
        <v>2.5649493574615367</v>
      </c>
      <c r="JH3" s="213">
        <v>2018</v>
      </c>
      <c r="JI3" s="213">
        <v>0.50190000000000001</v>
      </c>
      <c r="JT3" s="213">
        <v>2018</v>
      </c>
      <c r="JU3">
        <v>-206.46600000000001</v>
      </c>
    </row>
    <row r="4" spans="1:287" x14ac:dyDescent="0.25">
      <c r="A4" s="213">
        <v>2022</v>
      </c>
      <c r="B4" s="351">
        <v>-0.29814604615966711</v>
      </c>
      <c r="C4" s="213">
        <v>0</v>
      </c>
      <c r="D4" s="213">
        <f t="shared" si="0"/>
        <v>0</v>
      </c>
      <c r="H4" s="213">
        <v>2019</v>
      </c>
      <c r="I4" s="277">
        <v>271</v>
      </c>
      <c r="J4" s="351">
        <f t="shared" si="15"/>
        <v>7.4544012688342542E-2</v>
      </c>
      <c r="K4" s="277">
        <f t="shared" si="16"/>
        <v>5.602118820879701</v>
      </c>
      <c r="L4" s="621" t="s">
        <v>694</v>
      </c>
      <c r="M4" s="622"/>
      <c r="V4" s="213">
        <v>2019</v>
      </c>
      <c r="W4" s="277">
        <v>267.89999999999998</v>
      </c>
      <c r="X4" s="351">
        <f t="shared" si="17"/>
        <v>2.7617951668584606E-2</v>
      </c>
      <c r="Y4" s="277">
        <f t="shared" si="1"/>
        <v>5.5906137765505628</v>
      </c>
      <c r="Z4" s="621" t="s">
        <v>694</v>
      </c>
      <c r="AA4" s="622"/>
      <c r="AK4" s="213">
        <v>2019</v>
      </c>
      <c r="AL4" s="277">
        <v>163.30000000000001</v>
      </c>
      <c r="AM4" s="351">
        <f t="shared" si="18"/>
        <v>8.6473131562694316E-3</v>
      </c>
      <c r="AN4" s="277">
        <f t="shared" si="2"/>
        <v>5.0955889999764192</v>
      </c>
      <c r="AO4" s="621" t="s">
        <v>694</v>
      </c>
      <c r="AP4" s="622"/>
      <c r="AY4" s="213">
        <v>2019</v>
      </c>
      <c r="AZ4" s="277">
        <v>172.3</v>
      </c>
      <c r="BA4" s="351">
        <f t="shared" si="19"/>
        <v>1.0397180505140158E-2</v>
      </c>
      <c r="BB4" s="277">
        <f t="shared" si="3"/>
        <v>5.1492371435338837</v>
      </c>
      <c r="BC4" s="621" t="s">
        <v>694</v>
      </c>
      <c r="BD4" s="622"/>
      <c r="BP4" s="213">
        <v>2019</v>
      </c>
      <c r="BQ4" s="277">
        <v>51.5</v>
      </c>
      <c r="BR4" s="351">
        <f t="shared" si="20"/>
        <v>3.8306451612903247E-2</v>
      </c>
      <c r="BS4" s="277">
        <f t="shared" si="4"/>
        <v>3.9415818076696905</v>
      </c>
      <c r="BT4" s="621" t="s">
        <v>694</v>
      </c>
      <c r="BU4" s="622"/>
      <c r="CE4" s="213">
        <v>2019</v>
      </c>
      <c r="CF4" s="277">
        <v>13.6</v>
      </c>
      <c r="CG4" s="351">
        <f t="shared" si="21"/>
        <v>-4.2253521126760507E-2</v>
      </c>
      <c r="CH4" s="277">
        <f t="shared" si="5"/>
        <v>2.6100697927420065</v>
      </c>
      <c r="CI4" s="621" t="s">
        <v>694</v>
      </c>
      <c r="CJ4" s="622"/>
      <c r="CT4" s="213">
        <v>2019</v>
      </c>
      <c r="CU4" s="277">
        <v>9.8450000000000131</v>
      </c>
      <c r="CV4" s="351">
        <f t="shared" si="22"/>
        <v>-3.0463038180195134E-4</v>
      </c>
      <c r="CW4" s="277">
        <f t="shared" si="6"/>
        <v>2.2869637120910902</v>
      </c>
      <c r="CX4" s="621" t="s">
        <v>694</v>
      </c>
      <c r="CY4" s="622"/>
      <c r="DJ4" s="213">
        <v>2019</v>
      </c>
      <c r="DK4" s="277">
        <v>29.2</v>
      </c>
      <c r="DL4" s="351">
        <f t="shared" si="23"/>
        <v>1.7918148225615216E-2</v>
      </c>
      <c r="DM4" s="277">
        <f t="shared" si="7"/>
        <v>3.3741687092742358</v>
      </c>
      <c r="DN4" s="621" t="s">
        <v>694</v>
      </c>
      <c r="DO4" s="622"/>
      <c r="DZ4" s="213">
        <v>2019</v>
      </c>
      <c r="EA4" s="277">
        <v>51.4</v>
      </c>
      <c r="EB4" s="351">
        <f t="shared" si="24"/>
        <v>-1.9417475728155109E-3</v>
      </c>
      <c r="EC4" s="277">
        <f t="shared" si="8"/>
        <v>3.9396381724611196</v>
      </c>
      <c r="ED4" s="621" t="s">
        <v>694</v>
      </c>
      <c r="EE4" s="622"/>
      <c r="EM4" s="213">
        <v>2019</v>
      </c>
      <c r="EN4" s="277">
        <v>77.5</v>
      </c>
      <c r="EO4" s="351">
        <f t="shared" si="25"/>
        <v>2.3778071334213946E-2</v>
      </c>
      <c r="EP4" s="277">
        <f t="shared" si="9"/>
        <v>4.3502779363593014</v>
      </c>
      <c r="EQ4" s="621" t="s">
        <v>694</v>
      </c>
      <c r="ER4" s="622"/>
      <c r="FA4" s="213">
        <v>2019</v>
      </c>
      <c r="FB4" s="277">
        <v>19.8</v>
      </c>
      <c r="FC4" s="351">
        <f t="shared" si="26"/>
        <v>-8.7557603686635899E-2</v>
      </c>
      <c r="FD4" s="277">
        <f t="shared" si="10"/>
        <v>2.9856819377004897</v>
      </c>
      <c r="FE4" s="621" t="s">
        <v>694</v>
      </c>
      <c r="FF4" s="622"/>
      <c r="FO4" s="213">
        <v>2019</v>
      </c>
      <c r="FP4" s="277">
        <v>19.8</v>
      </c>
      <c r="FQ4" s="351">
        <f t="shared" si="27"/>
        <v>-8.7557603686635899E-2</v>
      </c>
      <c r="FR4" s="277">
        <f t="shared" si="11"/>
        <v>2.9856819377004897</v>
      </c>
      <c r="FS4" s="621" t="s">
        <v>694</v>
      </c>
      <c r="FT4" s="622"/>
      <c r="GB4" s="213">
        <v>2019</v>
      </c>
      <c r="GC4" s="277">
        <v>20.890228199999999</v>
      </c>
      <c r="GD4" s="351">
        <f t="shared" si="28"/>
        <v>-6.9226795228701121E-2</v>
      </c>
      <c r="GE4" s="277">
        <f t="shared" si="12"/>
        <v>3.0392814993958366</v>
      </c>
      <c r="GF4" s="621" t="s">
        <v>694</v>
      </c>
      <c r="GG4" s="622"/>
      <c r="GO4" s="213">
        <v>2019</v>
      </c>
      <c r="GQ4" s="351" t="e">
        <f t="shared" ref="GQ4:GQ9" si="34">GP4/GP3-1</f>
        <v>#DIV/0!</v>
      </c>
      <c r="GR4" s="277" t="e">
        <f t="shared" si="13"/>
        <v>#NUM!</v>
      </c>
      <c r="GS4" s="621" t="s">
        <v>694</v>
      </c>
      <c r="GT4" s="622"/>
      <c r="HD4" s="213">
        <v>2019</v>
      </c>
      <c r="HE4" s="213">
        <v>122.616</v>
      </c>
      <c r="HF4" s="351">
        <f t="shared" si="29"/>
        <v>-0.1179783767452901</v>
      </c>
      <c r="HG4" s="277">
        <f t="shared" si="14"/>
        <v>4.8090575206966069</v>
      </c>
      <c r="HH4" s="621" t="s">
        <v>694</v>
      </c>
      <c r="HI4" s="622"/>
      <c r="HS4" s="213">
        <v>2019</v>
      </c>
      <c r="HU4" s="351"/>
      <c r="HV4" s="277"/>
      <c r="HW4" s="621" t="s">
        <v>694</v>
      </c>
      <c r="HX4" s="622"/>
      <c r="IF4" s="213">
        <v>2019</v>
      </c>
      <c r="IG4" s="213">
        <v>-35.994</v>
      </c>
      <c r="IH4" s="351">
        <f t="shared" si="30"/>
        <v>13.572469635627536</v>
      </c>
      <c r="II4" s="277">
        <f t="shared" si="31"/>
        <v>3.5833522578990111</v>
      </c>
      <c r="IJ4" s="621" t="s">
        <v>694</v>
      </c>
      <c r="IK4" s="622"/>
      <c r="IT4" s="213">
        <v>2019</v>
      </c>
      <c r="IU4" s="213">
        <v>11.3</v>
      </c>
      <c r="IV4" s="351">
        <f t="shared" si="32"/>
        <v>-0.13076923076923075</v>
      </c>
      <c r="IW4" s="277">
        <f t="shared" si="33"/>
        <v>2.4248027257182949</v>
      </c>
      <c r="IX4" s="621" t="s">
        <v>694</v>
      </c>
      <c r="IY4" s="622"/>
      <c r="JH4" s="213">
        <v>2019</v>
      </c>
      <c r="JI4" s="213">
        <v>0.87909999999999999</v>
      </c>
      <c r="JJ4" s="621" t="s">
        <v>694</v>
      </c>
      <c r="JK4" s="622"/>
      <c r="JT4" s="213">
        <v>2019</v>
      </c>
      <c r="JU4">
        <v>-303.65100000000001</v>
      </c>
      <c r="JV4" s="390" t="s">
        <v>694</v>
      </c>
      <c r="JW4" s="390"/>
    </row>
    <row r="5" spans="1:287" x14ac:dyDescent="0.25">
      <c r="A5" s="213">
        <v>2023</v>
      </c>
      <c r="B5" s="351">
        <v>0.64582210242587612</v>
      </c>
      <c r="C5" s="213">
        <v>0.05</v>
      </c>
      <c r="D5" s="213">
        <f t="shared" si="0"/>
        <v>3.2291105121293809E-2</v>
      </c>
      <c r="H5" s="213">
        <v>2020</v>
      </c>
      <c r="I5" s="277">
        <v>230.8</v>
      </c>
      <c r="J5" s="351">
        <f t="shared" si="15"/>
        <v>-0.14833948339483394</v>
      </c>
      <c r="K5" s="277">
        <f t="shared" si="16"/>
        <v>5.4415515346339447</v>
      </c>
      <c r="L5" s="213" t="s">
        <v>695</v>
      </c>
      <c r="M5" s="213">
        <v>0.19679047799500815</v>
      </c>
      <c r="V5" s="213">
        <v>2020</v>
      </c>
      <c r="W5" s="277">
        <v>193.9</v>
      </c>
      <c r="X5" s="351">
        <f t="shared" si="17"/>
        <v>-0.27622247107129516</v>
      </c>
      <c r="Y5" s="277">
        <f t="shared" si="1"/>
        <v>5.2673425622486061</v>
      </c>
      <c r="Z5" s="213" t="s">
        <v>695</v>
      </c>
      <c r="AA5" s="213">
        <v>0.31140083577839345</v>
      </c>
      <c r="AK5" s="213">
        <v>2020</v>
      </c>
      <c r="AL5" s="277">
        <v>128</v>
      </c>
      <c r="AM5" s="351">
        <f t="shared" si="18"/>
        <v>-0.21616656460502148</v>
      </c>
      <c r="AN5" s="277">
        <f t="shared" si="2"/>
        <v>4.8520302639196169</v>
      </c>
      <c r="AO5" s="213" t="s">
        <v>695</v>
      </c>
      <c r="AP5" s="213">
        <v>0.27433951335186468</v>
      </c>
      <c r="AY5" s="213">
        <v>2020</v>
      </c>
      <c r="AZ5" s="277">
        <v>138.5</v>
      </c>
      <c r="BA5" s="351">
        <f t="shared" si="19"/>
        <v>-0.19616947185142197</v>
      </c>
      <c r="BB5" s="277">
        <f t="shared" si="3"/>
        <v>4.9308703256273931</v>
      </c>
      <c r="BC5" s="213" t="s">
        <v>695</v>
      </c>
      <c r="BD5" s="213">
        <v>0.46644587897455508</v>
      </c>
      <c r="BP5" s="213">
        <v>2020</v>
      </c>
      <c r="BQ5" s="277">
        <v>47.1</v>
      </c>
      <c r="BR5" s="351">
        <f t="shared" si="20"/>
        <v>-8.5436893203883479E-2</v>
      </c>
      <c r="BS5" s="277">
        <f t="shared" si="4"/>
        <v>3.8522730010223722</v>
      </c>
      <c r="BT5" s="213" t="s">
        <v>695</v>
      </c>
      <c r="BU5" s="213">
        <v>0.66582573481138041</v>
      </c>
      <c r="CE5" s="213">
        <v>2020</v>
      </c>
      <c r="CF5" s="277">
        <v>12.2</v>
      </c>
      <c r="CG5" s="351">
        <f t="shared" si="21"/>
        <v>-0.10294117647058831</v>
      </c>
      <c r="CH5" s="277">
        <f t="shared" si="5"/>
        <v>2.5014359517392109</v>
      </c>
      <c r="CI5" s="213" t="s">
        <v>695</v>
      </c>
      <c r="CJ5" s="213">
        <v>4.9553608043367066E-2</v>
      </c>
      <c r="CT5" s="213">
        <v>2020</v>
      </c>
      <c r="CU5" s="277">
        <v>10.600000000000009</v>
      </c>
      <c r="CV5" s="351">
        <f t="shared" si="22"/>
        <v>7.6688674454036931E-2</v>
      </c>
      <c r="CW5" s="277">
        <f t="shared" si="6"/>
        <v>2.3608540011180223</v>
      </c>
      <c r="CX5" s="213" t="s">
        <v>695</v>
      </c>
      <c r="CY5" s="213">
        <v>0.33543631381159111</v>
      </c>
      <c r="DJ5" s="213">
        <v>2020</v>
      </c>
      <c r="DK5" s="277">
        <v>25.099999999999998</v>
      </c>
      <c r="DL5" s="351">
        <f t="shared" si="23"/>
        <v>-0.1404109589041096</v>
      </c>
      <c r="DM5" s="277">
        <f t="shared" si="7"/>
        <v>3.222867846137738</v>
      </c>
      <c r="DN5" s="213" t="s">
        <v>695</v>
      </c>
      <c r="DO5" s="213">
        <v>0.66767862635833131</v>
      </c>
      <c r="DZ5" s="213">
        <v>2020</v>
      </c>
      <c r="EA5" s="277">
        <v>38.299999999999997</v>
      </c>
      <c r="EB5" s="351">
        <f t="shared" si="24"/>
        <v>-0.25486381322957197</v>
      </c>
      <c r="EC5" s="277">
        <f t="shared" si="8"/>
        <v>3.6454498961866002</v>
      </c>
      <c r="ED5" s="213" t="s">
        <v>695</v>
      </c>
      <c r="EE5" s="213">
        <v>0.81606322672155318</v>
      </c>
      <c r="EM5" s="213">
        <v>2020</v>
      </c>
      <c r="EN5" s="277">
        <v>56.9</v>
      </c>
      <c r="EO5" s="351">
        <f t="shared" si="25"/>
        <v>-0.26580645161290328</v>
      </c>
      <c r="EP5" s="277">
        <f t="shared" si="9"/>
        <v>4.0412953411322849</v>
      </c>
      <c r="EQ5" s="213" t="s">
        <v>695</v>
      </c>
      <c r="ER5" s="213">
        <v>0.21691904212386054</v>
      </c>
      <c r="FA5" s="213">
        <v>2020</v>
      </c>
      <c r="FB5" s="277">
        <v>25.8</v>
      </c>
      <c r="FC5" s="351">
        <f t="shared" si="26"/>
        <v>0.30303030303030298</v>
      </c>
      <c r="FD5" s="277">
        <f t="shared" si="10"/>
        <v>3.2503744919275719</v>
      </c>
      <c r="FE5" s="213" t="s">
        <v>695</v>
      </c>
      <c r="FF5" s="213">
        <v>0.9369903956942468</v>
      </c>
      <c r="FO5" s="213">
        <v>2020</v>
      </c>
      <c r="FP5" s="277">
        <v>25.8</v>
      </c>
      <c r="FQ5" s="351">
        <f t="shared" si="27"/>
        <v>0.30303030303030298</v>
      </c>
      <c r="FR5" s="277">
        <f t="shared" si="11"/>
        <v>3.2503744919275719</v>
      </c>
      <c r="FS5" s="213" t="s">
        <v>695</v>
      </c>
      <c r="FT5" s="213">
        <v>0.92468696803142636</v>
      </c>
      <c r="GB5" s="213">
        <v>2020</v>
      </c>
      <c r="GC5" s="277">
        <v>11.2</v>
      </c>
      <c r="GD5" s="351">
        <f t="shared" si="28"/>
        <v>-0.4638641620966113</v>
      </c>
      <c r="GE5" s="277">
        <f t="shared" si="12"/>
        <v>2.4159137783010487</v>
      </c>
      <c r="GF5" s="213" t="s">
        <v>695</v>
      </c>
      <c r="GG5" s="213">
        <v>0.52414346977701909</v>
      </c>
      <c r="GO5" s="213">
        <v>2020</v>
      </c>
      <c r="GP5" s="213">
        <v>4.5</v>
      </c>
      <c r="GQ5" s="351" t="e">
        <f t="shared" si="34"/>
        <v>#DIV/0!</v>
      </c>
      <c r="GR5" s="277">
        <f t="shared" si="13"/>
        <v>1.5040773967762742</v>
      </c>
      <c r="GS5" s="358" t="s">
        <v>695</v>
      </c>
      <c r="GT5" s="358">
        <v>0.47504794972775771</v>
      </c>
      <c r="HD5" s="213">
        <v>2020</v>
      </c>
      <c r="HE5" s="213">
        <v>38</v>
      </c>
      <c r="HF5" s="351">
        <f t="shared" si="29"/>
        <v>-0.69008938474587334</v>
      </c>
      <c r="HG5" s="277">
        <f t="shared" si="14"/>
        <v>3.6375861597263857</v>
      </c>
      <c r="HH5" s="358" t="s">
        <v>695</v>
      </c>
      <c r="HI5" s="358">
        <v>0.79407291321475437</v>
      </c>
      <c r="HS5" s="213">
        <v>2020</v>
      </c>
      <c r="HT5" s="213">
        <v>81.299999999999955</v>
      </c>
      <c r="HU5" s="351"/>
      <c r="HV5" s="277">
        <f t="shared" ref="HV5:HV9" si="35">LN(HT5)</f>
        <v>4.3981460165537642</v>
      </c>
      <c r="HW5" s="358" t="s">
        <v>695</v>
      </c>
      <c r="HX5" s="358">
        <v>0.64173784439875869</v>
      </c>
      <c r="IF5" s="213">
        <v>2020</v>
      </c>
      <c r="IG5" s="213">
        <v>-22.8</v>
      </c>
      <c r="IH5" s="351">
        <f t="shared" si="30"/>
        <v>-0.36656109351558586</v>
      </c>
      <c r="II5" s="277">
        <f t="shared" si="31"/>
        <v>3.1267605359603952</v>
      </c>
      <c r="IJ5" s="358" t="s">
        <v>695</v>
      </c>
      <c r="IK5" s="358">
        <v>0.20488706277109392</v>
      </c>
      <c r="IT5" s="213">
        <v>2020</v>
      </c>
      <c r="IU5" s="213">
        <v>22.4</v>
      </c>
      <c r="IV5" s="351">
        <f t="shared" si="32"/>
        <v>0.98230088495575196</v>
      </c>
      <c r="IW5" s="277">
        <f t="shared" si="33"/>
        <v>3.1090609588609941</v>
      </c>
      <c r="IX5" s="358" t="s">
        <v>695</v>
      </c>
      <c r="IY5" s="358">
        <v>0.64406729724637657</v>
      </c>
      <c r="JH5" s="213">
        <v>2020</v>
      </c>
      <c r="JI5" s="213">
        <v>0.56630000000000003</v>
      </c>
      <c r="JJ5" s="358" t="s">
        <v>695</v>
      </c>
      <c r="JK5" s="358">
        <v>0.56406920604068278</v>
      </c>
      <c r="JT5" s="213">
        <v>2020</v>
      </c>
      <c r="JU5">
        <v>-326.87700000000001</v>
      </c>
      <c r="JV5" s="387" t="s">
        <v>695</v>
      </c>
      <c r="JW5" s="387">
        <v>0.18402888075520799</v>
      </c>
    </row>
    <row r="6" spans="1:287" x14ac:dyDescent="0.25">
      <c r="A6" s="213">
        <v>2024</v>
      </c>
      <c r="B6" s="351">
        <v>-6.6491975106452661E-2</v>
      </c>
      <c r="C6" s="213">
        <v>0.1</v>
      </c>
      <c r="D6" s="213">
        <f t="shared" si="0"/>
        <v>-6.6491975106452664E-3</v>
      </c>
      <c r="H6" s="213">
        <v>2021</v>
      </c>
      <c r="I6" s="277">
        <v>264.3</v>
      </c>
      <c r="J6" s="351">
        <f t="shared" si="15"/>
        <v>0.1451473136915078</v>
      </c>
      <c r="K6" s="277">
        <f t="shared" si="16"/>
        <v>5.577084821610244</v>
      </c>
      <c r="L6" s="213" t="s">
        <v>696</v>
      </c>
      <c r="M6" s="213">
        <v>3.8726492229503785E-2</v>
      </c>
      <c r="V6" s="213">
        <v>2021</v>
      </c>
      <c r="W6" s="277">
        <v>203.4</v>
      </c>
      <c r="X6" s="351">
        <f t="shared" si="17"/>
        <v>4.8994326972666258E-2</v>
      </c>
      <c r="Y6" s="277">
        <f t="shared" si="1"/>
        <v>5.3151744836144594</v>
      </c>
      <c r="Z6" s="213" t="s">
        <v>696</v>
      </c>
      <c r="AA6" s="213">
        <v>9.6970480523481964E-2</v>
      </c>
      <c r="AK6" s="213">
        <v>2021</v>
      </c>
      <c r="AL6" s="277">
        <v>133.1</v>
      </c>
      <c r="AM6" s="351">
        <f t="shared" si="18"/>
        <v>3.9843749999999956E-2</v>
      </c>
      <c r="AN6" s="277">
        <f t="shared" si="2"/>
        <v>4.8911007254010661</v>
      </c>
      <c r="AO6" s="213" t="s">
        <v>696</v>
      </c>
      <c r="AP6" s="213">
        <v>7.5262168586137934E-2</v>
      </c>
      <c r="AY6" s="213">
        <v>2021</v>
      </c>
      <c r="AZ6" s="277">
        <v>90.9</v>
      </c>
      <c r="BA6" s="351">
        <f t="shared" si="19"/>
        <v>-0.34368231046931408</v>
      </c>
      <c r="BB6" s="277">
        <f t="shared" si="3"/>
        <v>4.5097600011834329</v>
      </c>
      <c r="BC6" s="213" t="s">
        <v>696</v>
      </c>
      <c r="BD6" s="213">
        <v>0.2175717580123453</v>
      </c>
      <c r="BP6" s="213">
        <v>2021</v>
      </c>
      <c r="BQ6" s="277">
        <v>61.5</v>
      </c>
      <c r="BR6" s="351">
        <f t="shared" si="20"/>
        <v>0.30573248407643305</v>
      </c>
      <c r="BS6" s="277">
        <f t="shared" si="4"/>
        <v>4.1190371748124726</v>
      </c>
      <c r="BT6" s="213" t="s">
        <v>696</v>
      </c>
      <c r="BU6" s="213">
        <v>0.44332390913711461</v>
      </c>
      <c r="CE6" s="213">
        <v>2021</v>
      </c>
      <c r="CF6" s="277">
        <v>13.7</v>
      </c>
      <c r="CG6" s="351">
        <f t="shared" si="21"/>
        <v>0.12295081967213117</v>
      </c>
      <c r="CH6" s="277">
        <f t="shared" si="5"/>
        <v>2.6173958328340792</v>
      </c>
      <c r="CI6" s="213" t="s">
        <v>696</v>
      </c>
      <c r="CJ6" s="213">
        <v>2.4555600701156532E-3</v>
      </c>
      <c r="CT6" s="213">
        <v>2021</v>
      </c>
      <c r="CU6" s="277">
        <v>11.308999999999997</v>
      </c>
      <c r="CV6" s="351">
        <f t="shared" si="22"/>
        <v>6.6886792452829136E-2</v>
      </c>
      <c r="CW6" s="277">
        <f t="shared" si="6"/>
        <v>2.4255988688891899</v>
      </c>
      <c r="CX6" s="213" t="s">
        <v>696</v>
      </c>
      <c r="CY6" s="213">
        <v>0.11251752062350824</v>
      </c>
      <c r="DJ6" s="213">
        <v>2021</v>
      </c>
      <c r="DK6" s="277">
        <v>38.400000000000006</v>
      </c>
      <c r="DL6" s="351">
        <f t="shared" si="23"/>
        <v>0.52988047808764982</v>
      </c>
      <c r="DM6" s="277">
        <f t="shared" si="7"/>
        <v>3.6480574595936814</v>
      </c>
      <c r="DN6" s="213" t="s">
        <v>696</v>
      </c>
      <c r="DO6" s="213">
        <v>0.44579474809574815</v>
      </c>
      <c r="DZ6" s="213">
        <v>2021</v>
      </c>
      <c r="EA6" s="277">
        <v>65.2</v>
      </c>
      <c r="EB6" s="351">
        <f t="shared" si="24"/>
        <v>0.70234986945169742</v>
      </c>
      <c r="EC6" s="277">
        <f t="shared" si="8"/>
        <v>4.1774594689326072</v>
      </c>
      <c r="ED6" s="213" t="s">
        <v>696</v>
      </c>
      <c r="EE6" s="213">
        <v>0.66595919000719306</v>
      </c>
      <c r="EM6" s="213">
        <v>2021</v>
      </c>
      <c r="EN6" s="277">
        <v>82.4</v>
      </c>
      <c r="EO6" s="351">
        <f t="shared" si="25"/>
        <v>0.44815465729349757</v>
      </c>
      <c r="EP6" s="277">
        <f t="shared" si="9"/>
        <v>4.4115854369154262</v>
      </c>
      <c r="EQ6" s="213" t="s">
        <v>696</v>
      </c>
      <c r="ER6" s="213">
        <v>4.7053870835933181E-2</v>
      </c>
      <c r="FA6" s="213">
        <v>2021</v>
      </c>
      <c r="FB6" s="277">
        <v>30.718020000000003</v>
      </c>
      <c r="FC6" s="351">
        <f t="shared" si="26"/>
        <v>0.19062093023255811</v>
      </c>
      <c r="FD6" s="277">
        <f t="shared" si="10"/>
        <v>3.4248494530772797</v>
      </c>
      <c r="FE6" s="213" t="s">
        <v>696</v>
      </c>
      <c r="FF6" s="213">
        <v>0.87795100162326112</v>
      </c>
      <c r="FO6" s="213">
        <v>2021</v>
      </c>
      <c r="FP6" s="277">
        <v>49.3</v>
      </c>
      <c r="FQ6" s="351">
        <f t="shared" si="27"/>
        <v>0.91085271317829442</v>
      </c>
      <c r="FR6" s="277">
        <f t="shared" si="11"/>
        <v>3.8979240810486444</v>
      </c>
      <c r="FS6" s="213" t="s">
        <v>696</v>
      </c>
      <c r="FT6" s="213">
        <v>0.85504598884715211</v>
      </c>
      <c r="GB6" s="213">
        <v>2021</v>
      </c>
      <c r="GC6" s="277">
        <v>41.4</v>
      </c>
      <c r="GD6" s="351">
        <f t="shared" si="28"/>
        <v>2.6964285714285716</v>
      </c>
      <c r="GE6" s="277">
        <f t="shared" si="12"/>
        <v>3.7232808808312687</v>
      </c>
      <c r="GF6" s="213" t="s">
        <v>696</v>
      </c>
      <c r="GG6" s="213">
        <v>0.27472637690989288</v>
      </c>
      <c r="GO6" s="213">
        <v>2021</v>
      </c>
      <c r="GP6" s="213">
        <v>13.1</v>
      </c>
      <c r="GQ6" s="351">
        <f t="shared" si="34"/>
        <v>1.911111111111111</v>
      </c>
      <c r="GR6" s="277">
        <f t="shared" si="13"/>
        <v>2.5726122302071057</v>
      </c>
      <c r="GS6" s="358" t="s">
        <v>696</v>
      </c>
      <c r="GT6" s="358">
        <v>0.22567055454054621</v>
      </c>
      <c r="HD6" s="213">
        <v>2021</v>
      </c>
      <c r="HE6" s="213">
        <v>17.8</v>
      </c>
      <c r="HF6" s="351">
        <f t="shared" si="29"/>
        <v>-0.53157894736842104</v>
      </c>
      <c r="HG6" s="277">
        <f t="shared" si="14"/>
        <v>2.8791984572980396</v>
      </c>
      <c r="HH6" s="358" t="s">
        <v>696</v>
      </c>
      <c r="HI6" s="358">
        <v>0.63055179150136687</v>
      </c>
      <c r="HS6" s="213">
        <v>2021</v>
      </c>
      <c r="HT6" s="213">
        <v>48.400000000000091</v>
      </c>
      <c r="HU6" s="351">
        <f t="shared" ref="HU6:HU9" si="36">HT6/HT5-1</f>
        <v>-0.40467404674046592</v>
      </c>
      <c r="HV6" s="277">
        <f t="shared" si="35"/>
        <v>3.879499813722588</v>
      </c>
      <c r="HW6" s="358" t="s">
        <v>696</v>
      </c>
      <c r="HX6" s="358">
        <v>0.41182746093356537</v>
      </c>
      <c r="IF6" s="213">
        <v>2021</v>
      </c>
      <c r="IG6" s="213">
        <v>-25.300000000000022</v>
      </c>
      <c r="IH6" s="351">
        <f t="shared" si="30"/>
        <v>0.10964912280701844</v>
      </c>
      <c r="II6" s="277">
        <f t="shared" si="31"/>
        <v>3.2308043957334753</v>
      </c>
      <c r="IJ6" s="358" t="s">
        <v>696</v>
      </c>
      <c r="IK6" s="358">
        <v>4.1978708490966181E-2</v>
      </c>
      <c r="IT6" s="213">
        <v>2021</v>
      </c>
      <c r="IU6" s="213">
        <v>33.9</v>
      </c>
      <c r="IV6" s="351">
        <f t="shared" si="32"/>
        <v>0.51339285714285721</v>
      </c>
      <c r="IW6" s="277">
        <f t="shared" si="33"/>
        <v>3.5234150143864045</v>
      </c>
      <c r="IX6" s="358" t="s">
        <v>696</v>
      </c>
      <c r="IY6" s="358">
        <v>0.41482268338225237</v>
      </c>
      <c r="JH6" s="213">
        <v>2021</v>
      </c>
      <c r="JI6" s="213">
        <v>0.33329999999999999</v>
      </c>
      <c r="JJ6" s="358" t="s">
        <v>696</v>
      </c>
      <c r="JK6" s="358">
        <v>0.31817406920336627</v>
      </c>
      <c r="JT6" s="213">
        <v>2021</v>
      </c>
      <c r="JU6">
        <v>-171.673</v>
      </c>
      <c r="JV6" s="387" t="s">
        <v>696</v>
      </c>
      <c r="JW6" s="387">
        <v>3.386662895201456E-2</v>
      </c>
    </row>
    <row r="7" spans="1:287" x14ac:dyDescent="0.25">
      <c r="D7" s="359">
        <f>AVERAGE(D2:D6)</f>
        <v>1.5129084995368946E-2</v>
      </c>
      <c r="H7" s="213">
        <v>2022</v>
      </c>
      <c r="I7" s="277">
        <v>185.5</v>
      </c>
      <c r="J7" s="351">
        <f t="shared" si="15"/>
        <v>-0.29814604615966711</v>
      </c>
      <c r="K7" s="277">
        <f t="shared" si="16"/>
        <v>5.2230548820474896</v>
      </c>
      <c r="L7" s="213" t="s">
        <v>697</v>
      </c>
      <c r="M7" s="213">
        <v>-0.12148575906557892</v>
      </c>
      <c r="V7" s="213">
        <v>2022</v>
      </c>
      <c r="W7" s="277">
        <v>100.9</v>
      </c>
      <c r="X7" s="351">
        <f t="shared" si="17"/>
        <v>-0.50393313667649942</v>
      </c>
      <c r="Y7" s="277">
        <f t="shared" si="1"/>
        <v>4.6141299273595635</v>
      </c>
      <c r="Z7" s="213" t="s">
        <v>697</v>
      </c>
      <c r="AA7" s="213">
        <v>-5.3534439389271049E-2</v>
      </c>
      <c r="AK7" s="213">
        <v>2022</v>
      </c>
      <c r="AL7" s="277">
        <v>75</v>
      </c>
      <c r="AM7" s="351">
        <f t="shared" si="18"/>
        <v>-0.43651389932381668</v>
      </c>
      <c r="AN7" s="277">
        <f t="shared" si="2"/>
        <v>4.3174881135363101</v>
      </c>
      <c r="AO7" s="213" t="s">
        <v>697</v>
      </c>
      <c r="AP7" s="213">
        <v>-7.8860803316172401E-2</v>
      </c>
      <c r="AY7" s="213">
        <v>2022</v>
      </c>
      <c r="AZ7" s="277">
        <v>70.099999999999994</v>
      </c>
      <c r="BA7" s="351">
        <f t="shared" si="19"/>
        <v>-0.22882288228822889</v>
      </c>
      <c r="BB7" s="277">
        <f t="shared" si="3"/>
        <v>4.2499227940405442</v>
      </c>
      <c r="BC7" s="213" t="s">
        <v>697</v>
      </c>
      <c r="BD7" s="213">
        <v>8.7167051014402849E-2</v>
      </c>
      <c r="BP7" s="213">
        <v>2022</v>
      </c>
      <c r="BQ7" s="277">
        <v>48</v>
      </c>
      <c r="BR7" s="351">
        <f t="shared" si="20"/>
        <v>-0.21951219512195119</v>
      </c>
      <c r="BS7" s="277">
        <f t="shared" si="4"/>
        <v>3.8712010109078911</v>
      </c>
      <c r="BT7" s="213" t="s">
        <v>697</v>
      </c>
      <c r="BU7" s="213">
        <v>0.35054456065996709</v>
      </c>
      <c r="CE7" s="213">
        <v>2022</v>
      </c>
      <c r="CF7" s="277">
        <v>10</v>
      </c>
      <c r="CG7" s="351">
        <f t="shared" si="21"/>
        <v>-0.27007299270072993</v>
      </c>
      <c r="CH7" s="277">
        <f t="shared" si="5"/>
        <v>2.3025850929940459</v>
      </c>
      <c r="CI7" s="213" t="s">
        <v>697</v>
      </c>
      <c r="CJ7" s="213">
        <v>-0.16380184658486507</v>
      </c>
      <c r="CT7" s="213">
        <v>2022</v>
      </c>
      <c r="CU7" s="277">
        <v>8.5750000000000099</v>
      </c>
      <c r="CV7" s="351">
        <f t="shared" si="22"/>
        <v>-0.24175435493854347</v>
      </c>
      <c r="CW7" s="277">
        <f t="shared" si="6"/>
        <v>2.1488509930520046</v>
      </c>
      <c r="CX7" s="213" t="s">
        <v>697</v>
      </c>
      <c r="CY7" s="213">
        <v>-3.539622593924039E-2</v>
      </c>
      <c r="DJ7" s="213">
        <v>2022</v>
      </c>
      <c r="DK7" s="277">
        <v>27.5</v>
      </c>
      <c r="DL7" s="351">
        <f t="shared" si="23"/>
        <v>-0.28385416666666674</v>
      </c>
      <c r="DM7" s="277">
        <f t="shared" si="7"/>
        <v>3.3141860046725258</v>
      </c>
      <c r="DN7" s="213" t="s">
        <v>697</v>
      </c>
      <c r="DO7" s="213">
        <v>0.35342720611170614</v>
      </c>
      <c r="DZ7" s="213">
        <v>2022</v>
      </c>
      <c r="EA7" s="277">
        <v>74.900000000000006</v>
      </c>
      <c r="EB7" s="351">
        <f t="shared" si="24"/>
        <v>0.14877300613496947</v>
      </c>
      <c r="EC7" s="277">
        <f t="shared" si="8"/>
        <v>4.3161538905231742</v>
      </c>
      <c r="ED7" s="213" t="s">
        <v>697</v>
      </c>
      <c r="EE7" s="213">
        <v>0.61028572167505857</v>
      </c>
      <c r="EM7" s="213">
        <v>2022</v>
      </c>
      <c r="EN7" s="277">
        <v>64.900000000000006</v>
      </c>
      <c r="EO7" s="351">
        <f t="shared" si="25"/>
        <v>-0.21237864077669899</v>
      </c>
      <c r="EP7" s="277">
        <f t="shared" si="9"/>
        <v>4.1728476237100445</v>
      </c>
      <c r="EQ7" s="213" t="s">
        <v>697</v>
      </c>
      <c r="ER7" s="213">
        <v>-0.11177048402474461</v>
      </c>
      <c r="FA7" s="213">
        <v>2022</v>
      </c>
      <c r="FB7" s="277">
        <v>31.684296925000002</v>
      </c>
      <c r="FC7" s="351">
        <f t="shared" si="26"/>
        <v>3.1456354446022239E-2</v>
      </c>
      <c r="FD7" s="277">
        <f t="shared" si="10"/>
        <v>3.4558211930074334</v>
      </c>
      <c r="FE7" s="213" t="s">
        <v>697</v>
      </c>
      <c r="FF7" s="213">
        <v>0.85760950189380469</v>
      </c>
      <c r="FO7" s="213">
        <v>2022</v>
      </c>
      <c r="FP7" s="277">
        <v>44.7</v>
      </c>
      <c r="FQ7" s="351">
        <f t="shared" si="27"/>
        <v>-9.3306288032454221E-2</v>
      </c>
      <c r="FR7" s="277">
        <f t="shared" si="11"/>
        <v>3.7999735016195233</v>
      </c>
      <c r="FS7" s="213" t="s">
        <v>697</v>
      </c>
      <c r="FT7" s="213">
        <v>0.83088698698834407</v>
      </c>
      <c r="GB7" s="213">
        <v>2022</v>
      </c>
      <c r="GC7" s="277">
        <v>20.5</v>
      </c>
      <c r="GD7" s="351">
        <f t="shared" si="28"/>
        <v>-0.50483091787439616</v>
      </c>
      <c r="GE7" s="277">
        <f t="shared" si="12"/>
        <v>3.0204248861443626</v>
      </c>
      <c r="GF7" s="213" t="s">
        <v>697</v>
      </c>
      <c r="GG7" s="213">
        <v>0.15384743972820836</v>
      </c>
      <c r="GO7" s="213">
        <v>2022</v>
      </c>
      <c r="GP7" s="213">
        <v>16.928000000000001</v>
      </c>
      <c r="GQ7" s="351">
        <f t="shared" si="34"/>
        <v>0.2922137404580154</v>
      </c>
      <c r="GR7" s="277">
        <f t="shared" si="13"/>
        <v>2.8289690556758891</v>
      </c>
      <c r="GS7" s="358" t="s">
        <v>697</v>
      </c>
      <c r="GT7" s="358">
        <v>-3.2439260612605048E-2</v>
      </c>
      <c r="HD7" s="213">
        <v>2022</v>
      </c>
      <c r="HE7" s="213">
        <v>19.373000000000001</v>
      </c>
      <c r="HF7" s="351">
        <f t="shared" si="29"/>
        <v>8.8370786516853927E-2</v>
      </c>
      <c r="HG7" s="277">
        <f t="shared" si="14"/>
        <v>2.9638803441048087</v>
      </c>
      <c r="HH7" s="358" t="s">
        <v>697</v>
      </c>
      <c r="HI7" s="358">
        <v>0.5566621498016403</v>
      </c>
      <c r="HS7" s="213">
        <v>2022</v>
      </c>
      <c r="HT7" s="213">
        <v>52.482999999999997</v>
      </c>
      <c r="HU7" s="351">
        <f t="shared" si="36"/>
        <v>8.4359504132229368E-2</v>
      </c>
      <c r="HV7" s="277">
        <f t="shared" si="35"/>
        <v>3.9604893076361445</v>
      </c>
      <c r="HW7" s="358" t="s">
        <v>697</v>
      </c>
      <c r="HX7" s="358">
        <v>0.21576994791142048</v>
      </c>
      <c r="IF7" s="213">
        <v>2022</v>
      </c>
      <c r="IG7" s="213">
        <v>1.8000000000000007</v>
      </c>
      <c r="IH7" s="351">
        <f t="shared" si="30"/>
        <v>-1.0711462450592886</v>
      </c>
      <c r="II7" s="277">
        <f>LN(IG7)</f>
        <v>0.58778666490211939</v>
      </c>
      <c r="IJ7" s="358" t="s">
        <v>697</v>
      </c>
      <c r="IK7" s="358">
        <v>-0.19752661438629227</v>
      </c>
      <c r="IT7" s="213">
        <v>2022</v>
      </c>
      <c r="IU7" s="213">
        <v>37.5</v>
      </c>
      <c r="IV7" s="351">
        <f t="shared" si="32"/>
        <v>0.10619469026548667</v>
      </c>
      <c r="IW7" s="277">
        <f t="shared" si="33"/>
        <v>3.6243409329763652</v>
      </c>
      <c r="IX7" s="358" t="s">
        <v>697</v>
      </c>
      <c r="IY7" s="358">
        <v>0.31729313061262782</v>
      </c>
      <c r="JH7" s="213">
        <v>2022</v>
      </c>
      <c r="JI7" s="213">
        <v>0</v>
      </c>
      <c r="JJ7" s="358" t="s">
        <v>697</v>
      </c>
      <c r="JK7" s="358">
        <v>0.204536414070594</v>
      </c>
      <c r="JT7" s="213">
        <v>2022</v>
      </c>
      <c r="JU7">
        <v>-100.065</v>
      </c>
      <c r="JV7" s="387" t="s">
        <v>697</v>
      </c>
      <c r="JW7" s="387">
        <v>-0.12715559955598302</v>
      </c>
    </row>
    <row r="8" spans="1:287" x14ac:dyDescent="0.25">
      <c r="C8" s="213" t="s">
        <v>690</v>
      </c>
      <c r="H8" s="213">
        <v>2023</v>
      </c>
      <c r="I8" s="277">
        <v>305.3</v>
      </c>
      <c r="J8" s="351">
        <f t="shared" si="15"/>
        <v>0.64582210242587612</v>
      </c>
      <c r="K8" s="277">
        <f t="shared" si="16"/>
        <v>5.7212948997408324</v>
      </c>
      <c r="L8" s="213" t="s">
        <v>698</v>
      </c>
      <c r="M8" s="213">
        <v>0.16110138091532081</v>
      </c>
      <c r="V8" s="213">
        <v>2023</v>
      </c>
      <c r="W8" s="277">
        <v>252.6</v>
      </c>
      <c r="X8" s="351">
        <f t="shared" si="17"/>
        <v>1.5034687809712586</v>
      </c>
      <c r="Y8" s="277">
        <f t="shared" si="1"/>
        <v>5.5318072099163906</v>
      </c>
      <c r="Z8" s="213" t="s">
        <v>698</v>
      </c>
      <c r="AA8" s="213">
        <v>0.33156059695087803</v>
      </c>
      <c r="AK8" s="213">
        <v>2023</v>
      </c>
      <c r="AL8" s="277">
        <v>139.6</v>
      </c>
      <c r="AM8" s="351">
        <f t="shared" si="18"/>
        <v>0.86133333333333328</v>
      </c>
      <c r="AN8" s="277">
        <f t="shared" si="2"/>
        <v>4.9387811903282719</v>
      </c>
      <c r="AO8" s="213" t="s">
        <v>698</v>
      </c>
      <c r="AP8" s="213">
        <v>0.27769924949409514</v>
      </c>
      <c r="AY8" s="213">
        <v>2023</v>
      </c>
      <c r="AZ8" s="277">
        <v>123.9</v>
      </c>
      <c r="BA8" s="351">
        <f t="shared" si="19"/>
        <v>0.76747503566333841</v>
      </c>
      <c r="BB8" s="277">
        <f t="shared" si="3"/>
        <v>4.8194747886350964</v>
      </c>
      <c r="BC8" s="213" t="s">
        <v>698</v>
      </c>
      <c r="BD8" s="213">
        <v>0.31145793924338011</v>
      </c>
      <c r="BP8" s="213">
        <v>2023</v>
      </c>
      <c r="BQ8" s="277">
        <v>62.1</v>
      </c>
      <c r="BR8" s="351">
        <f t="shared" si="20"/>
        <v>0.29374999999999996</v>
      </c>
      <c r="BS8" s="277">
        <f t="shared" si="4"/>
        <v>4.1287459889394329</v>
      </c>
      <c r="BT8" s="213" t="s">
        <v>698</v>
      </c>
      <c r="BU8" s="213">
        <v>9.7168616457928902E-2</v>
      </c>
      <c r="CE8" s="213">
        <v>2023</v>
      </c>
      <c r="CF8" s="277">
        <v>14.5</v>
      </c>
      <c r="CG8" s="351">
        <f t="shared" si="21"/>
        <v>0.44999999999999996</v>
      </c>
      <c r="CH8" s="277">
        <f t="shared" si="5"/>
        <v>2.6741486494265287</v>
      </c>
      <c r="CI8" s="213" t="s">
        <v>698</v>
      </c>
      <c r="CJ8" s="213">
        <v>0.15932089744288913</v>
      </c>
      <c r="CT8" s="213">
        <v>2023</v>
      </c>
      <c r="CU8" s="277">
        <v>10.510000000000005</v>
      </c>
      <c r="CV8" s="351">
        <f t="shared" si="22"/>
        <v>0.22565597667638393</v>
      </c>
      <c r="CW8" s="277">
        <f t="shared" si="6"/>
        <v>2.3523271848888601</v>
      </c>
      <c r="CX8" s="213" t="s">
        <v>698</v>
      </c>
      <c r="CY8" s="213">
        <v>9.4295199562619683E-2</v>
      </c>
      <c r="DJ8" s="213">
        <v>2023</v>
      </c>
      <c r="DK8" s="277">
        <v>39.300000000000004</v>
      </c>
      <c r="DL8" s="351">
        <f t="shared" si="23"/>
        <v>0.42909090909090919</v>
      </c>
      <c r="DM8" s="277">
        <f t="shared" si="7"/>
        <v>3.6712245188752157</v>
      </c>
      <c r="DN8" s="213" t="s">
        <v>698</v>
      </c>
      <c r="DO8" s="213">
        <v>0.1449215498047596</v>
      </c>
      <c r="DZ8" s="213">
        <v>2023</v>
      </c>
      <c r="EA8" s="277">
        <v>100.5</v>
      </c>
      <c r="EB8" s="351">
        <f t="shared" si="24"/>
        <v>0.34178905206942578</v>
      </c>
      <c r="EC8" s="277">
        <f t="shared" si="8"/>
        <v>4.6101577274991303</v>
      </c>
      <c r="ED8" s="213" t="s">
        <v>698</v>
      </c>
      <c r="EE8" s="213">
        <v>0.21508920824107386</v>
      </c>
      <c r="EM8" s="213">
        <v>2023</v>
      </c>
      <c r="EN8" s="277">
        <v>70.3</v>
      </c>
      <c r="EO8" s="351">
        <f t="shared" si="25"/>
        <v>8.3204930662557741E-2</v>
      </c>
      <c r="EP8" s="277">
        <f t="shared" si="9"/>
        <v>4.2527717988166192</v>
      </c>
      <c r="EQ8" s="213" t="s">
        <v>698</v>
      </c>
      <c r="ER8" s="213">
        <v>0.12176067995832587</v>
      </c>
      <c r="FA8" s="213">
        <v>2023</v>
      </c>
      <c r="FB8" s="277">
        <v>41.1</v>
      </c>
      <c r="FC8" s="351">
        <f t="shared" si="26"/>
        <v>0.29717254251492276</v>
      </c>
      <c r="FD8" s="277">
        <f t="shared" si="10"/>
        <v>3.7160081215021892</v>
      </c>
      <c r="FE8" s="213" t="s">
        <v>698</v>
      </c>
      <c r="FF8" s="213">
        <v>0.10969362714154003</v>
      </c>
      <c r="FO8" s="213">
        <v>2023</v>
      </c>
      <c r="FP8" s="277">
        <v>65.400000000000006</v>
      </c>
      <c r="FQ8" s="351">
        <f t="shared" si="27"/>
        <v>0.46308724832214776</v>
      </c>
      <c r="FR8" s="277">
        <f t="shared" si="11"/>
        <v>4.180522258463153</v>
      </c>
      <c r="FS8" s="213" t="s">
        <v>698</v>
      </c>
      <c r="FT8" s="213">
        <v>0.20758778316807822</v>
      </c>
      <c r="GB8" s="213">
        <v>2023</v>
      </c>
      <c r="GC8" s="277">
        <v>34.9</v>
      </c>
      <c r="GD8" s="351">
        <f t="shared" si="28"/>
        <v>0.70243902439024386</v>
      </c>
      <c r="GE8" s="277">
        <f t="shared" si="12"/>
        <v>3.5524868292083815</v>
      </c>
      <c r="GF8" s="213" t="s">
        <v>698</v>
      </c>
      <c r="GG8" s="213">
        <v>0.3927526276564845</v>
      </c>
      <c r="GO8" s="213">
        <v>2023</v>
      </c>
      <c r="GP8" s="213">
        <v>15.4</v>
      </c>
      <c r="GQ8" s="351">
        <f t="shared" si="34"/>
        <v>-9.0264650283553904E-2</v>
      </c>
      <c r="GR8" s="277">
        <f t="shared" si="13"/>
        <v>2.7343675094195836</v>
      </c>
      <c r="GS8" s="358" t="s">
        <v>698</v>
      </c>
      <c r="GT8" s="358">
        <v>0.54571837744100649</v>
      </c>
      <c r="HD8" s="213">
        <v>2023</v>
      </c>
      <c r="HE8" s="213">
        <v>35.299999999999997</v>
      </c>
      <c r="HF8" s="351">
        <f t="shared" si="29"/>
        <v>0.82212357404635283</v>
      </c>
      <c r="HG8" s="277">
        <f t="shared" si="14"/>
        <v>3.5638829639392511</v>
      </c>
      <c r="HH8" s="358" t="s">
        <v>698</v>
      </c>
      <c r="HI8" s="358">
        <v>0.57160414522867575</v>
      </c>
      <c r="HS8" s="213">
        <v>2023</v>
      </c>
      <c r="HT8" s="213">
        <v>18.300000000000068</v>
      </c>
      <c r="HU8" s="351">
        <f t="shared" si="36"/>
        <v>-0.6513156641198089</v>
      </c>
      <c r="HV8" s="277">
        <f t="shared" si="35"/>
        <v>2.906901059847379</v>
      </c>
      <c r="HW8" s="358" t="s">
        <v>698</v>
      </c>
      <c r="HX8" s="358">
        <v>0.48236364829347406</v>
      </c>
      <c r="IF8" s="213">
        <v>2023</v>
      </c>
      <c r="IG8" s="213">
        <v>-25.49099999999995</v>
      </c>
      <c r="IH8" s="351">
        <f t="shared" si="30"/>
        <v>-15.161666666666633</v>
      </c>
      <c r="II8" s="277">
        <f>LN(-IG8)</f>
        <v>3.2383254486895119</v>
      </c>
      <c r="IJ8" s="358" t="s">
        <v>698</v>
      </c>
      <c r="IK8" s="358">
        <v>1.416185166676456</v>
      </c>
      <c r="IT8" s="213">
        <v>2023</v>
      </c>
      <c r="IU8" s="213">
        <v>29.9</v>
      </c>
      <c r="IV8" s="351">
        <f t="shared" si="32"/>
        <v>-0.20266666666666666</v>
      </c>
      <c r="IW8" s="277">
        <f t="shared" si="33"/>
        <v>3.3978584803966405</v>
      </c>
      <c r="IX8" s="358" t="s">
        <v>698</v>
      </c>
      <c r="IY8" s="358">
        <v>0.35859526951307391</v>
      </c>
      <c r="JH8" s="213">
        <v>2023</v>
      </c>
      <c r="JI8" s="213">
        <v>0.63639999999999997</v>
      </c>
      <c r="JJ8" s="358" t="s">
        <v>698</v>
      </c>
      <c r="JK8" s="358">
        <v>0.52240101211647505</v>
      </c>
      <c r="JT8" s="213">
        <v>2023</v>
      </c>
      <c r="JU8">
        <v>-254.74600000000001</v>
      </c>
      <c r="JV8" s="387" t="s">
        <v>698</v>
      </c>
      <c r="JW8" s="387">
        <v>87.30138065479909</v>
      </c>
    </row>
    <row r="9" spans="1:287" ht="15.75" thickBot="1" x14ac:dyDescent="0.3">
      <c r="B9" s="351">
        <f>MIN(B2:B6)</f>
        <v>-0.29814604615966711</v>
      </c>
      <c r="C9" s="213">
        <v>0.65</v>
      </c>
      <c r="D9" s="213">
        <f t="shared" ref="D9:D10" si="37">B9*C9</f>
        <v>-0.19379493000378362</v>
      </c>
      <c r="H9" s="213">
        <v>2024</v>
      </c>
      <c r="I9" s="277">
        <v>285</v>
      </c>
      <c r="J9" s="351">
        <f t="shared" si="15"/>
        <v>-6.6491975106452661E-2</v>
      </c>
      <c r="K9" s="277">
        <f t="shared" si="16"/>
        <v>5.6524891802686508</v>
      </c>
      <c r="L9" s="360" t="s">
        <v>699</v>
      </c>
      <c r="M9" s="360">
        <v>8</v>
      </c>
      <c r="V9" s="213">
        <v>2024</v>
      </c>
      <c r="W9" s="277">
        <v>237</v>
      </c>
      <c r="X9" s="351">
        <f t="shared" si="17"/>
        <v>-6.1757719714964354E-2</v>
      </c>
      <c r="Y9" s="277">
        <f t="shared" si="1"/>
        <v>5.4680601411351315</v>
      </c>
      <c r="Z9" s="360" t="s">
        <v>699</v>
      </c>
      <c r="AA9" s="360">
        <v>8</v>
      </c>
      <c r="AK9" s="213">
        <v>2024</v>
      </c>
      <c r="AL9" s="277">
        <v>171.5</v>
      </c>
      <c r="AM9" s="351">
        <f t="shared" si="18"/>
        <v>0.22851002865329528</v>
      </c>
      <c r="AN9" s="277">
        <f t="shared" si="2"/>
        <v>5.144583266605995</v>
      </c>
      <c r="AO9" s="360" t="s">
        <v>699</v>
      </c>
      <c r="AP9" s="360">
        <v>8</v>
      </c>
      <c r="AY9" s="213">
        <v>2024</v>
      </c>
      <c r="AZ9" s="277">
        <v>151.80000000000001</v>
      </c>
      <c r="BA9" s="351">
        <f t="shared" si="19"/>
        <v>0.22518159806295412</v>
      </c>
      <c r="BB9" s="277">
        <f t="shared" si="3"/>
        <v>5.0225638649615298</v>
      </c>
      <c r="BC9" s="360" t="s">
        <v>699</v>
      </c>
      <c r="BD9" s="360">
        <v>8</v>
      </c>
      <c r="BP9" s="213">
        <v>2024</v>
      </c>
      <c r="BQ9" s="277">
        <v>60.1</v>
      </c>
      <c r="BR9" s="351">
        <f t="shared" si="20"/>
        <v>-3.2206119162640934E-2</v>
      </c>
      <c r="BS9" s="277">
        <f t="shared" si="4"/>
        <v>4.0960098415411617</v>
      </c>
      <c r="BT9" s="360" t="s">
        <v>699</v>
      </c>
      <c r="BU9" s="360">
        <v>8</v>
      </c>
      <c r="CE9" s="213">
        <v>2024</v>
      </c>
      <c r="CF9" s="277">
        <v>16.5</v>
      </c>
      <c r="CG9" s="351">
        <f t="shared" si="21"/>
        <v>0.13793103448275867</v>
      </c>
      <c r="CH9" s="277">
        <f t="shared" si="5"/>
        <v>2.8033603809065348</v>
      </c>
      <c r="CI9" s="360" t="s">
        <v>699</v>
      </c>
      <c r="CJ9" s="360">
        <v>8</v>
      </c>
      <c r="CT9" s="213">
        <v>2024</v>
      </c>
      <c r="CU9" s="277">
        <v>10.4</v>
      </c>
      <c r="CV9" s="351">
        <f t="shared" si="22"/>
        <v>-1.0466222645100332E-2</v>
      </c>
      <c r="CW9" s="277">
        <f t="shared" si="6"/>
        <v>2.341805806147327</v>
      </c>
      <c r="CX9" s="360" t="s">
        <v>699</v>
      </c>
      <c r="CY9" s="360">
        <v>8</v>
      </c>
      <c r="DJ9" s="213">
        <v>2024</v>
      </c>
      <c r="DK9" s="277">
        <v>35</v>
      </c>
      <c r="DL9" s="351">
        <f t="shared" si="23"/>
        <v>-0.10941475826972025</v>
      </c>
      <c r="DM9" s="277">
        <f t="shared" si="7"/>
        <v>3.5553480614894135</v>
      </c>
      <c r="DN9" s="360" t="s">
        <v>699</v>
      </c>
      <c r="DO9" s="360">
        <v>8</v>
      </c>
      <c r="DZ9" s="213">
        <v>2024</v>
      </c>
      <c r="EA9" s="277">
        <v>99.7</v>
      </c>
      <c r="EB9" s="351">
        <f t="shared" si="24"/>
        <v>-7.9601990049751326E-3</v>
      </c>
      <c r="EC9" s="277">
        <f t="shared" si="8"/>
        <v>4.6021656769677923</v>
      </c>
      <c r="ED9" s="360" t="s">
        <v>699</v>
      </c>
      <c r="EE9" s="360">
        <v>8</v>
      </c>
      <c r="EM9" s="213">
        <v>2024</v>
      </c>
      <c r="EN9" s="277">
        <v>71.099999999999994</v>
      </c>
      <c r="EO9" s="351">
        <f t="shared" si="25"/>
        <v>1.1379800853485111E-2</v>
      </c>
      <c r="EP9" s="277">
        <f t="shared" si="9"/>
        <v>4.2640873368091947</v>
      </c>
      <c r="EQ9" s="360" t="s">
        <v>699</v>
      </c>
      <c r="ER9" s="360">
        <v>8</v>
      </c>
      <c r="FA9" s="213">
        <v>2024</v>
      </c>
      <c r="FB9" s="277">
        <v>42.6</v>
      </c>
      <c r="FC9" s="351">
        <f t="shared" si="26"/>
        <v>3.649635036496357E-2</v>
      </c>
      <c r="FD9" s="277">
        <f t="shared" si="10"/>
        <v>3.751854253275325</v>
      </c>
      <c r="FE9" s="360" t="s">
        <v>699</v>
      </c>
      <c r="FF9" s="360">
        <v>8</v>
      </c>
      <c r="FO9" s="213">
        <v>2024</v>
      </c>
      <c r="FP9" s="277">
        <v>63.9</v>
      </c>
      <c r="FQ9" s="351">
        <f t="shared" si="27"/>
        <v>-2.2935779816513846E-2</v>
      </c>
      <c r="FR9" s="277">
        <f t="shared" si="11"/>
        <v>4.1573193613834887</v>
      </c>
      <c r="FS9" s="360" t="s">
        <v>699</v>
      </c>
      <c r="FT9" s="360">
        <v>8</v>
      </c>
      <c r="GB9" s="213">
        <v>2024</v>
      </c>
      <c r="GC9" s="277">
        <v>36.5</v>
      </c>
      <c r="GD9" s="351">
        <f t="shared" si="28"/>
        <v>4.5845272206303855E-2</v>
      </c>
      <c r="GE9" s="277">
        <f t="shared" si="12"/>
        <v>3.597312260588446</v>
      </c>
      <c r="GF9" s="360" t="s">
        <v>699</v>
      </c>
      <c r="GG9" s="360">
        <v>8</v>
      </c>
      <c r="GO9" s="213">
        <v>2024</v>
      </c>
      <c r="GP9" s="213">
        <v>9.3000000000000007</v>
      </c>
      <c r="GQ9" s="351">
        <f t="shared" si="34"/>
        <v>-0.39610389610389607</v>
      </c>
      <c r="GR9" s="277">
        <f t="shared" si="13"/>
        <v>2.2300144001592104</v>
      </c>
      <c r="GS9" s="360" t="s">
        <v>699</v>
      </c>
      <c r="GT9" s="360">
        <v>5</v>
      </c>
      <c r="HD9" s="213">
        <v>2024</v>
      </c>
      <c r="HE9" s="213">
        <v>0</v>
      </c>
      <c r="HF9" s="351">
        <f t="shared" si="29"/>
        <v>-1</v>
      </c>
      <c r="HG9" s="277" t="e">
        <f t="shared" si="14"/>
        <v>#NUM!</v>
      </c>
      <c r="HH9" s="360" t="s">
        <v>699</v>
      </c>
      <c r="HI9" s="360">
        <v>7</v>
      </c>
      <c r="HS9" s="213">
        <v>2024</v>
      </c>
      <c r="HT9" s="213">
        <v>43.77523494525542</v>
      </c>
      <c r="HU9" s="351">
        <f t="shared" si="36"/>
        <v>1.3920893412707791</v>
      </c>
      <c r="HV9" s="277">
        <f t="shared" si="35"/>
        <v>3.779068245267859</v>
      </c>
      <c r="HW9" s="360" t="s">
        <v>699</v>
      </c>
      <c r="HX9" s="360">
        <v>5</v>
      </c>
      <c r="IF9" s="213">
        <v>2024</v>
      </c>
      <c r="IJ9" s="360" t="s">
        <v>699</v>
      </c>
      <c r="IK9" s="360">
        <v>6</v>
      </c>
      <c r="IT9" s="213">
        <v>2024</v>
      </c>
      <c r="IU9" s="213">
        <v>22.5</v>
      </c>
      <c r="IV9" s="351">
        <f t="shared" si="32"/>
        <v>-0.24749163879598657</v>
      </c>
      <c r="IW9" s="277">
        <f t="shared" si="33"/>
        <v>3.1135153092103742</v>
      </c>
      <c r="IX9" s="360" t="s">
        <v>699</v>
      </c>
      <c r="IY9" s="360">
        <v>8</v>
      </c>
      <c r="JH9" s="213">
        <v>2024</v>
      </c>
      <c r="JI9" s="213">
        <v>0.69299999999999995</v>
      </c>
      <c r="JJ9" s="360" t="s">
        <v>699</v>
      </c>
      <c r="JK9" s="360">
        <v>8</v>
      </c>
      <c r="JT9" s="213">
        <v>2024</v>
      </c>
      <c r="JU9">
        <v>-303.68900000000002</v>
      </c>
      <c r="JV9" s="388" t="s">
        <v>699</v>
      </c>
      <c r="JW9" s="388">
        <v>8</v>
      </c>
    </row>
    <row r="10" spans="1:287" x14ac:dyDescent="0.25">
      <c r="B10" s="351">
        <f>MAX(B2:B6)</f>
        <v>0.64582210242587612</v>
      </c>
      <c r="C10" s="213">
        <v>0.35</v>
      </c>
      <c r="D10" s="213">
        <f t="shared" si="37"/>
        <v>0.22603773584905662</v>
      </c>
      <c r="J10" s="361"/>
      <c r="K10" s="361"/>
      <c r="AM10" s="361">
        <f>AVERAGE(AM3:AM9)</f>
        <v>7.1801965744147836E-2</v>
      </c>
      <c r="AN10" s="361"/>
    </row>
    <row r="11" spans="1:287" ht="15.75" thickBot="1" x14ac:dyDescent="0.3">
      <c r="B11" s="351"/>
      <c r="D11" s="362">
        <f>AVERAGE(D9:D10)</f>
        <v>1.6121402922636502E-2</v>
      </c>
      <c r="I11" t="s">
        <v>743</v>
      </c>
      <c r="J11" s="351">
        <f>(I9/I2)^(1/7) -1</f>
        <v>2.2137749899388659E-2</v>
      </c>
      <c r="L11" s="213" t="s">
        <v>700</v>
      </c>
      <c r="Z11" s="213" t="s">
        <v>700</v>
      </c>
      <c r="AO11" s="213" t="s">
        <v>700</v>
      </c>
      <c r="BC11" s="213" t="s">
        <v>700</v>
      </c>
      <c r="BT11" s="213" t="s">
        <v>700</v>
      </c>
      <c r="CI11" s="213" t="s">
        <v>700</v>
      </c>
      <c r="CX11" s="213" t="s">
        <v>700</v>
      </c>
      <c r="DN11" s="213" t="s">
        <v>700</v>
      </c>
      <c r="ED11" s="213" t="s">
        <v>700</v>
      </c>
      <c r="EQ11" s="213" t="s">
        <v>700</v>
      </c>
      <c r="FE11" s="213" t="s">
        <v>700</v>
      </c>
      <c r="FS11" s="213" t="s">
        <v>700</v>
      </c>
      <c r="GF11" s="213" t="s">
        <v>700</v>
      </c>
      <c r="GS11" s="213" t="s">
        <v>700</v>
      </c>
      <c r="HH11" s="213" t="s">
        <v>700</v>
      </c>
      <c r="HW11" s="213" t="s">
        <v>700</v>
      </c>
      <c r="IJ11" s="213" t="s">
        <v>700</v>
      </c>
      <c r="IX11" s="213" t="s">
        <v>700</v>
      </c>
      <c r="JJ11" s="213" t="s">
        <v>700</v>
      </c>
      <c r="JV11" t="s">
        <v>700</v>
      </c>
    </row>
    <row r="12" spans="1:287" x14ac:dyDescent="0.25">
      <c r="L12" s="357"/>
      <c r="M12" s="357" t="s">
        <v>701</v>
      </c>
      <c r="N12" s="357" t="s">
        <v>702</v>
      </c>
      <c r="O12" s="357" t="s">
        <v>703</v>
      </c>
      <c r="P12" s="357" t="s">
        <v>704</v>
      </c>
      <c r="Q12" s="357" t="s">
        <v>705</v>
      </c>
      <c r="Z12" s="357"/>
      <c r="AA12" s="357" t="s">
        <v>701</v>
      </c>
      <c r="AB12" s="357" t="s">
        <v>702</v>
      </c>
      <c r="AC12" s="357" t="s">
        <v>703</v>
      </c>
      <c r="AD12" s="357" t="s">
        <v>704</v>
      </c>
      <c r="AE12" s="357" t="s">
        <v>705</v>
      </c>
      <c r="AO12" s="357"/>
      <c r="AP12" s="357" t="s">
        <v>701</v>
      </c>
      <c r="AQ12" s="357" t="s">
        <v>702</v>
      </c>
      <c r="AR12" s="357" t="s">
        <v>703</v>
      </c>
      <c r="AS12" s="357" t="s">
        <v>704</v>
      </c>
      <c r="AT12" s="357" t="s">
        <v>705</v>
      </c>
      <c r="BC12" s="357"/>
      <c r="BD12" s="357" t="s">
        <v>701</v>
      </c>
      <c r="BE12" s="357" t="s">
        <v>702</v>
      </c>
      <c r="BF12" s="357" t="s">
        <v>703</v>
      </c>
      <c r="BG12" s="357" t="s">
        <v>704</v>
      </c>
      <c r="BH12" s="357" t="s">
        <v>705</v>
      </c>
      <c r="BT12" s="357"/>
      <c r="BU12" s="357" t="s">
        <v>701</v>
      </c>
      <c r="BV12" s="357" t="s">
        <v>702</v>
      </c>
      <c r="BW12" s="357" t="s">
        <v>703</v>
      </c>
      <c r="BX12" s="357" t="s">
        <v>704</v>
      </c>
      <c r="BY12" s="357" t="s">
        <v>705</v>
      </c>
      <c r="CI12" s="357"/>
      <c r="CJ12" s="357" t="s">
        <v>701</v>
      </c>
      <c r="CK12" s="357" t="s">
        <v>702</v>
      </c>
      <c r="CL12" s="357" t="s">
        <v>703</v>
      </c>
      <c r="CM12" s="357" t="s">
        <v>704</v>
      </c>
      <c r="CN12" s="357" t="s">
        <v>705</v>
      </c>
      <c r="CX12" s="357"/>
      <c r="CY12" s="357" t="s">
        <v>701</v>
      </c>
      <c r="CZ12" s="357" t="s">
        <v>702</v>
      </c>
      <c r="DA12" s="357" t="s">
        <v>703</v>
      </c>
      <c r="DB12" s="357" t="s">
        <v>704</v>
      </c>
      <c r="DC12" s="357" t="s">
        <v>705</v>
      </c>
      <c r="DN12" s="357"/>
      <c r="DO12" s="357" t="s">
        <v>701</v>
      </c>
      <c r="DP12" s="357" t="s">
        <v>702</v>
      </c>
      <c r="DQ12" s="357" t="s">
        <v>703</v>
      </c>
      <c r="DR12" s="357" t="s">
        <v>704</v>
      </c>
      <c r="DS12" s="357" t="s">
        <v>705</v>
      </c>
      <c r="ED12" s="357"/>
      <c r="EE12" s="357" t="s">
        <v>701</v>
      </c>
      <c r="EF12" s="357" t="s">
        <v>702</v>
      </c>
      <c r="EG12" s="357" t="s">
        <v>703</v>
      </c>
      <c r="EH12" s="357" t="s">
        <v>704</v>
      </c>
      <c r="EI12" s="357" t="s">
        <v>705</v>
      </c>
      <c r="EQ12" s="357"/>
      <c r="ER12" s="357" t="s">
        <v>701</v>
      </c>
      <c r="ES12" s="357" t="s">
        <v>702</v>
      </c>
      <c r="ET12" s="357" t="s">
        <v>703</v>
      </c>
      <c r="EU12" s="357" t="s">
        <v>704</v>
      </c>
      <c r="EV12" s="357" t="s">
        <v>705</v>
      </c>
      <c r="FE12" s="357"/>
      <c r="FF12" s="357" t="s">
        <v>701</v>
      </c>
      <c r="FG12" s="357" t="s">
        <v>702</v>
      </c>
      <c r="FH12" s="357" t="s">
        <v>703</v>
      </c>
      <c r="FI12" s="357" t="s">
        <v>704</v>
      </c>
      <c r="FJ12" s="357" t="s">
        <v>705</v>
      </c>
      <c r="FS12" s="357"/>
      <c r="FT12" s="357" t="s">
        <v>701</v>
      </c>
      <c r="FU12" s="357" t="s">
        <v>702</v>
      </c>
      <c r="FV12" s="357" t="s">
        <v>703</v>
      </c>
      <c r="FW12" s="357" t="s">
        <v>704</v>
      </c>
      <c r="FX12" s="357" t="s">
        <v>705</v>
      </c>
      <c r="GF12" s="357"/>
      <c r="GG12" s="357" t="s">
        <v>701</v>
      </c>
      <c r="GH12" s="357" t="s">
        <v>702</v>
      </c>
      <c r="GI12" s="357" t="s">
        <v>703</v>
      </c>
      <c r="GJ12" s="357" t="s">
        <v>704</v>
      </c>
      <c r="GK12" s="357" t="s">
        <v>705</v>
      </c>
      <c r="GS12" s="357"/>
      <c r="GT12" s="357" t="s">
        <v>701</v>
      </c>
      <c r="GU12" s="357" t="s">
        <v>702</v>
      </c>
      <c r="GV12" s="357" t="s">
        <v>703</v>
      </c>
      <c r="GW12" s="357" t="s">
        <v>704</v>
      </c>
      <c r="GX12" s="357" t="s">
        <v>705</v>
      </c>
      <c r="HH12" s="357"/>
      <c r="HI12" s="357" t="s">
        <v>701</v>
      </c>
      <c r="HJ12" s="357" t="s">
        <v>702</v>
      </c>
      <c r="HK12" s="357" t="s">
        <v>703</v>
      </c>
      <c r="HL12" s="357" t="s">
        <v>704</v>
      </c>
      <c r="HM12" s="357" t="s">
        <v>705</v>
      </c>
      <c r="HW12" s="357"/>
      <c r="HX12" s="357" t="s">
        <v>701</v>
      </c>
      <c r="HY12" s="357" t="s">
        <v>702</v>
      </c>
      <c r="HZ12" s="357" t="s">
        <v>703</v>
      </c>
      <c r="IA12" s="357" t="s">
        <v>704</v>
      </c>
      <c r="IB12" s="357" t="s">
        <v>705</v>
      </c>
      <c r="IJ12" s="357"/>
      <c r="IK12" s="357" t="s">
        <v>701</v>
      </c>
      <c r="IL12" s="357" t="s">
        <v>702</v>
      </c>
      <c r="IM12" s="357" t="s">
        <v>703</v>
      </c>
      <c r="IN12" s="357" t="s">
        <v>704</v>
      </c>
      <c r="IO12" s="357" t="s">
        <v>705</v>
      </c>
      <c r="IX12" s="357"/>
      <c r="IY12" s="357" t="s">
        <v>701</v>
      </c>
      <c r="IZ12" s="357" t="s">
        <v>702</v>
      </c>
      <c r="JA12" s="357" t="s">
        <v>703</v>
      </c>
      <c r="JB12" s="357" t="s">
        <v>704</v>
      </c>
      <c r="JC12" s="357" t="s">
        <v>705</v>
      </c>
      <c r="JJ12" s="357"/>
      <c r="JK12" s="357" t="s">
        <v>701</v>
      </c>
      <c r="JL12" s="357" t="s">
        <v>702</v>
      </c>
      <c r="JM12" s="357" t="s">
        <v>703</v>
      </c>
      <c r="JN12" s="357" t="s">
        <v>704</v>
      </c>
      <c r="JO12" s="357" t="s">
        <v>705</v>
      </c>
      <c r="JV12" s="389"/>
      <c r="JW12" s="389" t="s">
        <v>701</v>
      </c>
      <c r="JX12" s="389" t="s">
        <v>702</v>
      </c>
      <c r="JY12" s="389" t="s">
        <v>703</v>
      </c>
      <c r="JZ12" s="389" t="s">
        <v>704</v>
      </c>
      <c r="KA12" s="389" t="s">
        <v>705</v>
      </c>
    </row>
    <row r="13" spans="1:287" x14ac:dyDescent="0.25">
      <c r="A13" s="194" t="s">
        <v>706</v>
      </c>
      <c r="L13" s="213" t="s">
        <v>707</v>
      </c>
      <c r="M13" s="213">
        <v>1</v>
      </c>
      <c r="N13" s="213">
        <v>6.2735153395478971E-3</v>
      </c>
      <c r="O13" s="213">
        <v>6.2735153395478971E-3</v>
      </c>
      <c r="P13" s="213">
        <v>0.24171991789926486</v>
      </c>
      <c r="Q13" s="213">
        <v>0.64043343436011635</v>
      </c>
      <c r="Z13" s="213" t="s">
        <v>707</v>
      </c>
      <c r="AA13" s="213">
        <v>1</v>
      </c>
      <c r="AB13" s="213">
        <v>7.0829581618334636E-2</v>
      </c>
      <c r="AC13" s="213">
        <v>7.0829581618334636E-2</v>
      </c>
      <c r="AD13" s="213">
        <v>0.64430106723218938</v>
      </c>
      <c r="AE13" s="213">
        <v>0.45277122348721843</v>
      </c>
      <c r="AO13" s="213" t="s">
        <v>707</v>
      </c>
      <c r="AP13" s="213">
        <v>1</v>
      </c>
      <c r="AQ13" s="213">
        <v>3.7658131281064544E-2</v>
      </c>
      <c r="AR13" s="213">
        <v>3.7658131281064544E-2</v>
      </c>
      <c r="AS13" s="213">
        <v>0.48832544335987937</v>
      </c>
      <c r="AT13" s="213">
        <v>0.510839908182803</v>
      </c>
      <c r="BC13" s="213" t="s">
        <v>707</v>
      </c>
      <c r="BD13" s="213">
        <v>1</v>
      </c>
      <c r="BE13" s="213">
        <v>0.16184827119487333</v>
      </c>
      <c r="BF13" s="213">
        <v>0.16184827119487333</v>
      </c>
      <c r="BG13" s="213">
        <v>1.6684348519396481</v>
      </c>
      <c r="BH13" s="213">
        <v>0.24399065139956408</v>
      </c>
      <c r="BT13" s="213" t="s">
        <v>707</v>
      </c>
      <c r="BU13" s="213">
        <v>1</v>
      </c>
      <c r="BV13" s="213">
        <v>4.5115094742030244E-2</v>
      </c>
      <c r="BW13" s="213">
        <v>4.5115094742030244E-2</v>
      </c>
      <c r="BX13" s="213">
        <v>4.7782606411200392</v>
      </c>
      <c r="BY13" s="213">
        <v>7.1475287122897149E-2</v>
      </c>
      <c r="CI13" s="213" t="s">
        <v>707</v>
      </c>
      <c r="CJ13" s="213">
        <v>1</v>
      </c>
      <c r="CK13" s="213">
        <v>3.7489966206988301E-4</v>
      </c>
      <c r="CL13" s="213">
        <v>3.7489966206988301E-4</v>
      </c>
      <c r="CM13" s="213">
        <v>1.4769628129779862E-2</v>
      </c>
      <c r="CN13" s="213">
        <v>0.90723897519631869</v>
      </c>
      <c r="CX13" s="213" t="s">
        <v>707</v>
      </c>
      <c r="CY13" s="213">
        <v>1</v>
      </c>
      <c r="CZ13" s="213">
        <v>6.7638004152316272E-3</v>
      </c>
      <c r="DA13" s="213">
        <v>6.7638004152316272E-3</v>
      </c>
      <c r="DB13" s="213">
        <v>0.76069684690040329</v>
      </c>
      <c r="DC13" s="213">
        <v>0.41664248144223243</v>
      </c>
      <c r="DN13" s="213" t="s">
        <v>707</v>
      </c>
      <c r="DO13" s="213">
        <v>1</v>
      </c>
      <c r="DP13" s="213">
        <v>0.10136347728390682</v>
      </c>
      <c r="DQ13" s="213">
        <v>0.10136347728390682</v>
      </c>
      <c r="DR13" s="213">
        <v>4.8263138600436779</v>
      </c>
      <c r="DS13" s="213">
        <v>7.0403451375228673E-2</v>
      </c>
      <c r="ED13" s="213" t="s">
        <v>707</v>
      </c>
      <c r="EE13" s="213">
        <v>1</v>
      </c>
      <c r="EF13" s="213">
        <v>0.55339671968491455</v>
      </c>
      <c r="EG13" s="213">
        <v>0.55339671968491455</v>
      </c>
      <c r="EH13" s="213">
        <v>11.96187717341842</v>
      </c>
      <c r="EI13" s="213">
        <v>1.3490438608645926E-2</v>
      </c>
      <c r="EQ13" s="213" t="s">
        <v>707</v>
      </c>
      <c r="ER13" s="213">
        <v>1</v>
      </c>
      <c r="ES13" s="213">
        <v>4.3923039456063157E-3</v>
      </c>
      <c r="ET13" s="213">
        <v>4.3923039456063157E-3</v>
      </c>
      <c r="EU13" s="213">
        <v>0.29626357290863403</v>
      </c>
      <c r="EV13" s="213">
        <v>0.60585529428985563</v>
      </c>
      <c r="FE13" s="213" t="s">
        <v>707</v>
      </c>
      <c r="FF13" s="213">
        <v>1</v>
      </c>
      <c r="FG13" s="213">
        <v>0.51933800308118938</v>
      </c>
      <c r="FH13" s="213">
        <v>0.51933800308118938</v>
      </c>
      <c r="FI13" s="213">
        <v>43.160583698354515</v>
      </c>
      <c r="FJ13" s="213">
        <v>5.9622106977602651E-4</v>
      </c>
      <c r="FS13" s="213" t="s">
        <v>707</v>
      </c>
      <c r="FT13" s="213">
        <v>1</v>
      </c>
      <c r="FU13" s="213">
        <v>1.5251553023387887</v>
      </c>
      <c r="FV13" s="213">
        <v>1.5251553023387887</v>
      </c>
      <c r="FW13" s="213">
        <v>35.392438555379151</v>
      </c>
      <c r="FX13" s="213">
        <v>1.0085345081877212E-3</v>
      </c>
      <c r="GF13" s="213" t="s">
        <v>707</v>
      </c>
      <c r="GG13" s="213">
        <v>1</v>
      </c>
      <c r="GH13" s="213">
        <v>0.35058063593639388</v>
      </c>
      <c r="GI13" s="213">
        <v>0.35058063593639388</v>
      </c>
      <c r="GJ13" s="213">
        <v>2.2727398446345637</v>
      </c>
      <c r="GK13" s="213">
        <v>0.18239122369214963</v>
      </c>
      <c r="GS13" s="358" t="s">
        <v>707</v>
      </c>
      <c r="GT13" s="358">
        <v>1</v>
      </c>
      <c r="GU13" s="358">
        <v>0.26037994725670011</v>
      </c>
      <c r="GV13" s="358">
        <v>0.26037994725670011</v>
      </c>
      <c r="GW13" s="358">
        <v>0.87431992621684307</v>
      </c>
      <c r="GX13" s="358">
        <v>0.41873961770468671</v>
      </c>
      <c r="HH13" s="358" t="s">
        <v>707</v>
      </c>
      <c r="HI13" s="358">
        <v>1</v>
      </c>
      <c r="HJ13" s="358">
        <v>2.7882258065616705</v>
      </c>
      <c r="HK13" s="358">
        <v>2.7882258065616705</v>
      </c>
      <c r="HL13" s="358">
        <v>8.533696699515863</v>
      </c>
      <c r="HM13" s="358">
        <v>3.296588306368186E-2</v>
      </c>
      <c r="HW13" s="358" t="s">
        <v>707</v>
      </c>
      <c r="HX13" s="358">
        <v>1</v>
      </c>
      <c r="HY13" s="358">
        <v>0.48874345592589552</v>
      </c>
      <c r="HZ13" s="358">
        <v>0.48874345592589552</v>
      </c>
      <c r="IA13" s="358">
        <v>2.1005441443452826</v>
      </c>
      <c r="IB13" s="358">
        <v>0.24310599696749532</v>
      </c>
      <c r="IJ13" s="358" t="s">
        <v>707</v>
      </c>
      <c r="IK13" s="358">
        <v>1</v>
      </c>
      <c r="IL13" s="358">
        <v>0.35152319397338516</v>
      </c>
      <c r="IM13" s="358">
        <v>0.35152319397338516</v>
      </c>
      <c r="IN13" s="358">
        <v>0.17527254921377844</v>
      </c>
      <c r="IO13" s="358">
        <v>0.69696985298417813</v>
      </c>
      <c r="IX13" s="358" t="s">
        <v>707</v>
      </c>
      <c r="IY13" s="358">
        <v>1</v>
      </c>
      <c r="IZ13" s="358">
        <v>0.54693457190507466</v>
      </c>
      <c r="JA13" s="358">
        <v>0.54693457190507466</v>
      </c>
      <c r="JB13" s="358">
        <v>4.2533024258001939</v>
      </c>
      <c r="JC13" s="358">
        <v>8.4779827815295028E-2</v>
      </c>
      <c r="JJ13" s="358" t="s">
        <v>707</v>
      </c>
      <c r="JK13" s="358">
        <v>1</v>
      </c>
      <c r="JL13" s="358">
        <v>0.76410059523809526</v>
      </c>
      <c r="JM13" s="358">
        <v>0.76410059523809526</v>
      </c>
      <c r="JN13" s="358">
        <v>2.7998999876547717</v>
      </c>
      <c r="JO13" s="358">
        <v>0.14529670749749279</v>
      </c>
      <c r="JV13" s="387" t="s">
        <v>707</v>
      </c>
      <c r="JW13" s="387">
        <v>1</v>
      </c>
      <c r="JX13" s="387">
        <v>1602.9809485952428</v>
      </c>
      <c r="JY13" s="387">
        <v>1602.9809485952428</v>
      </c>
      <c r="JZ13" s="387">
        <v>0.21032269436224138</v>
      </c>
      <c r="KA13" s="387">
        <v>0.66265724398804271</v>
      </c>
    </row>
    <row r="14" spans="1:287" x14ac:dyDescent="0.25">
      <c r="L14" s="213" t="s">
        <v>708</v>
      </c>
      <c r="M14" s="213">
        <v>6</v>
      </c>
      <c r="N14" s="213">
        <v>0.15572192959693976</v>
      </c>
      <c r="O14" s="213">
        <v>2.5953654932823294E-2</v>
      </c>
      <c r="Z14" s="213" t="s">
        <v>708</v>
      </c>
      <c r="AA14" s="213">
        <v>6</v>
      </c>
      <c r="AB14" s="213">
        <v>0.65959457670253541</v>
      </c>
      <c r="AC14" s="213">
        <v>0.10993242945042257</v>
      </c>
      <c r="AO14" s="213" t="s">
        <v>708</v>
      </c>
      <c r="AP14" s="213">
        <v>6</v>
      </c>
      <c r="AQ14" s="213">
        <v>0.46270123901750215</v>
      </c>
      <c r="AR14" s="213">
        <v>7.7116873169583697E-2</v>
      </c>
      <c r="BC14" s="213" t="s">
        <v>708</v>
      </c>
      <c r="BD14" s="213">
        <v>6</v>
      </c>
      <c r="BE14" s="213">
        <v>0.58203628750639824</v>
      </c>
      <c r="BF14" s="213">
        <v>9.700604791773304E-2</v>
      </c>
      <c r="BT14" s="213" t="s">
        <v>708</v>
      </c>
      <c r="BU14" s="213">
        <v>6</v>
      </c>
      <c r="BV14" s="213">
        <v>5.6650440146088547E-2</v>
      </c>
      <c r="BW14" s="213">
        <v>9.4417400243480918E-3</v>
      </c>
      <c r="CI14" s="213" t="s">
        <v>708</v>
      </c>
      <c r="CJ14" s="213">
        <v>6</v>
      </c>
      <c r="CK14" s="213">
        <v>0.15229889017204556</v>
      </c>
      <c r="CL14" s="213">
        <v>2.5383148362007595E-2</v>
      </c>
      <c r="CX14" s="213" t="s">
        <v>708</v>
      </c>
      <c r="CY14" s="213">
        <v>6</v>
      </c>
      <c r="CZ14" s="213">
        <v>5.3349507963325632E-2</v>
      </c>
      <c r="DA14" s="213">
        <v>8.891584660554272E-3</v>
      </c>
      <c r="DN14" s="213" t="s">
        <v>708</v>
      </c>
      <c r="DO14" s="213">
        <v>6</v>
      </c>
      <c r="DP14" s="213">
        <v>0.1260135335868805</v>
      </c>
      <c r="DQ14" s="213">
        <v>2.1002255597813418E-2</v>
      </c>
      <c r="ED14" s="213" t="s">
        <v>708</v>
      </c>
      <c r="EE14" s="213">
        <v>6</v>
      </c>
      <c r="EF14" s="213">
        <v>0.27758020501063224</v>
      </c>
      <c r="EG14" s="213">
        <v>4.626336750177204E-2</v>
      </c>
      <c r="EQ14" s="213" t="s">
        <v>708</v>
      </c>
      <c r="ER14" s="213">
        <v>6</v>
      </c>
      <c r="ES14" s="213">
        <v>8.8953979103483169E-2</v>
      </c>
      <c r="ET14" s="213">
        <v>1.4825663183913861E-2</v>
      </c>
      <c r="FE14" s="213" t="s">
        <v>708</v>
      </c>
      <c r="FF14" s="213">
        <v>6</v>
      </c>
      <c r="FG14" s="213">
        <v>7.2196151012803245E-2</v>
      </c>
      <c r="FH14" s="213">
        <v>1.2032691835467207E-2</v>
      </c>
      <c r="FS14" s="213" t="s">
        <v>708</v>
      </c>
      <c r="FT14" s="213">
        <v>6</v>
      </c>
      <c r="FU14" s="213">
        <v>0.25855612632382236</v>
      </c>
      <c r="FV14" s="213">
        <v>4.3092687720637061E-2</v>
      </c>
      <c r="GF14" s="213" t="s">
        <v>708</v>
      </c>
      <c r="GG14" s="213">
        <v>6</v>
      </c>
      <c r="GH14" s="213">
        <v>0.92552775918643904</v>
      </c>
      <c r="GI14" s="213">
        <v>0.15425462653107316</v>
      </c>
      <c r="GS14" s="358" t="s">
        <v>708</v>
      </c>
      <c r="GT14" s="358">
        <v>3</v>
      </c>
      <c r="GU14" s="358">
        <v>0.89342564243053424</v>
      </c>
      <c r="GV14" s="358">
        <v>0.29780854747684476</v>
      </c>
      <c r="GW14" s="358"/>
      <c r="GX14" s="358"/>
      <c r="HH14" s="358" t="s">
        <v>708</v>
      </c>
      <c r="HI14" s="358">
        <v>5</v>
      </c>
      <c r="HJ14" s="358">
        <v>1.6336564942130254</v>
      </c>
      <c r="HK14" s="358">
        <v>0.3267312988426051</v>
      </c>
      <c r="HL14" s="358"/>
      <c r="HM14" s="358"/>
      <c r="HW14" s="358" t="s">
        <v>708</v>
      </c>
      <c r="HX14" s="358">
        <v>3</v>
      </c>
      <c r="HY14" s="358">
        <v>0.69802406758497104</v>
      </c>
      <c r="HZ14" s="358">
        <v>0.23267468919499035</v>
      </c>
      <c r="IA14" s="358"/>
      <c r="IB14" s="358"/>
      <c r="IJ14" s="358" t="s">
        <v>708</v>
      </c>
      <c r="IK14" s="358">
        <v>4</v>
      </c>
      <c r="IL14" s="358">
        <v>8.022321705257685</v>
      </c>
      <c r="IM14" s="358">
        <v>2.0055804263144212</v>
      </c>
      <c r="IN14" s="358"/>
      <c r="IO14" s="358"/>
      <c r="IX14" s="358" t="s">
        <v>708</v>
      </c>
      <c r="IY14" s="358">
        <v>6</v>
      </c>
      <c r="IZ14" s="358">
        <v>0.77154340390292453</v>
      </c>
      <c r="JA14" s="358">
        <v>0.1285905673171541</v>
      </c>
      <c r="JB14" s="358"/>
      <c r="JC14" s="358"/>
      <c r="JJ14" s="358" t="s">
        <v>708</v>
      </c>
      <c r="JK14" s="358">
        <v>6</v>
      </c>
      <c r="JL14" s="358">
        <v>1.6374169047619049</v>
      </c>
      <c r="JM14" s="358">
        <v>0.27290281746031747</v>
      </c>
      <c r="JN14" s="358"/>
      <c r="JO14" s="358"/>
      <c r="JV14" s="387" t="s">
        <v>708</v>
      </c>
      <c r="JW14" s="387">
        <v>6</v>
      </c>
      <c r="JX14" s="387">
        <v>45729.18638540477</v>
      </c>
      <c r="JY14" s="387">
        <v>7621.5310642341283</v>
      </c>
      <c r="JZ14" s="387"/>
      <c r="KA14" s="387"/>
    </row>
    <row r="15" spans="1:287" ht="15.75" thickBot="1" x14ac:dyDescent="0.3">
      <c r="L15" s="360" t="s">
        <v>468</v>
      </c>
      <c r="M15" s="360">
        <v>7</v>
      </c>
      <c r="N15" s="360">
        <v>0.16199544493648765</v>
      </c>
      <c r="O15" s="360"/>
      <c r="P15" s="360"/>
      <c r="Q15" s="360"/>
      <c r="Z15" s="360" t="s">
        <v>468</v>
      </c>
      <c r="AA15" s="360">
        <v>7</v>
      </c>
      <c r="AB15" s="360">
        <v>0.73042415832087004</v>
      </c>
      <c r="AC15" s="360"/>
      <c r="AD15" s="360"/>
      <c r="AE15" s="360"/>
      <c r="AO15" s="360" t="s">
        <v>468</v>
      </c>
      <c r="AP15" s="360">
        <v>7</v>
      </c>
      <c r="AQ15" s="360">
        <v>0.5003593702985667</v>
      </c>
      <c r="AR15" s="360"/>
      <c r="AS15" s="360"/>
      <c r="AT15" s="360"/>
      <c r="BC15" s="360" t="s">
        <v>468</v>
      </c>
      <c r="BD15" s="360">
        <v>7</v>
      </c>
      <c r="BE15" s="360">
        <v>0.74388455870127157</v>
      </c>
      <c r="BF15" s="360"/>
      <c r="BG15" s="360"/>
      <c r="BH15" s="360"/>
      <c r="BT15" s="360" t="s">
        <v>468</v>
      </c>
      <c r="BU15" s="360">
        <v>7</v>
      </c>
      <c r="BV15" s="360">
        <v>0.10176553488811879</v>
      </c>
      <c r="BW15" s="360"/>
      <c r="BX15" s="360"/>
      <c r="BY15" s="360"/>
      <c r="CI15" s="360" t="s">
        <v>468</v>
      </c>
      <c r="CJ15" s="360">
        <v>7</v>
      </c>
      <c r="CK15" s="360">
        <v>0.15267378983411545</v>
      </c>
      <c r="CL15" s="360"/>
      <c r="CM15" s="360"/>
      <c r="CN15" s="360"/>
      <c r="CX15" s="360" t="s">
        <v>468</v>
      </c>
      <c r="CY15" s="360">
        <v>7</v>
      </c>
      <c r="CZ15" s="360">
        <v>6.0113308378557259E-2</v>
      </c>
      <c r="DA15" s="360"/>
      <c r="DB15" s="360"/>
      <c r="DC15" s="360"/>
      <c r="DN15" s="360" t="s">
        <v>468</v>
      </c>
      <c r="DO15" s="360">
        <v>7</v>
      </c>
      <c r="DP15" s="360">
        <v>0.22737701087078732</v>
      </c>
      <c r="DQ15" s="360"/>
      <c r="DR15" s="360"/>
      <c r="DS15" s="360"/>
      <c r="ED15" s="360" t="s">
        <v>468</v>
      </c>
      <c r="EE15" s="360">
        <v>7</v>
      </c>
      <c r="EF15" s="360">
        <v>0.83097692469554674</v>
      </c>
      <c r="EG15" s="360"/>
      <c r="EH15" s="360"/>
      <c r="EI15" s="360"/>
      <c r="EQ15" s="360" t="s">
        <v>468</v>
      </c>
      <c r="ER15" s="360">
        <v>7</v>
      </c>
      <c r="ES15" s="360">
        <v>9.3346283049089485E-2</v>
      </c>
      <c r="ET15" s="360"/>
      <c r="EU15" s="360"/>
      <c r="EV15" s="360"/>
      <c r="FE15" s="360" t="s">
        <v>468</v>
      </c>
      <c r="FF15" s="360">
        <v>7</v>
      </c>
      <c r="FG15" s="360">
        <v>0.59153415409399268</v>
      </c>
      <c r="FH15" s="360"/>
      <c r="FI15" s="360"/>
      <c r="FJ15" s="360"/>
      <c r="FS15" s="360" t="s">
        <v>468</v>
      </c>
      <c r="FT15" s="360">
        <v>7</v>
      </c>
      <c r="FU15" s="360">
        <v>1.783711428662611</v>
      </c>
      <c r="FV15" s="360"/>
      <c r="FW15" s="360"/>
      <c r="FX15" s="360"/>
      <c r="GF15" s="360" t="s">
        <v>468</v>
      </c>
      <c r="GG15" s="360">
        <v>7</v>
      </c>
      <c r="GH15" s="360">
        <v>1.2761083951228329</v>
      </c>
      <c r="GI15" s="360"/>
      <c r="GJ15" s="360"/>
      <c r="GK15" s="360"/>
      <c r="GS15" s="360" t="s">
        <v>468</v>
      </c>
      <c r="GT15" s="360">
        <v>4</v>
      </c>
      <c r="GU15" s="360">
        <v>1.1538055896872343</v>
      </c>
      <c r="GV15" s="360"/>
      <c r="GW15" s="360"/>
      <c r="GX15" s="360"/>
      <c r="HH15" s="360" t="s">
        <v>468</v>
      </c>
      <c r="HI15" s="360">
        <v>6</v>
      </c>
      <c r="HJ15" s="360">
        <v>4.4218823007746959</v>
      </c>
      <c r="HK15" s="360"/>
      <c r="HL15" s="360"/>
      <c r="HM15" s="360"/>
      <c r="HW15" s="360" t="s">
        <v>468</v>
      </c>
      <c r="HX15" s="360">
        <v>4</v>
      </c>
      <c r="HY15" s="360">
        <v>1.1867675235108666</v>
      </c>
      <c r="HZ15" s="360"/>
      <c r="IA15" s="360"/>
      <c r="IB15" s="360"/>
      <c r="IJ15" s="360" t="s">
        <v>468</v>
      </c>
      <c r="IK15" s="360">
        <v>5</v>
      </c>
      <c r="IL15" s="360">
        <v>8.3738448992310701</v>
      </c>
      <c r="IM15" s="360"/>
      <c r="IN15" s="360"/>
      <c r="IO15" s="360"/>
      <c r="IX15" s="360" t="s">
        <v>468</v>
      </c>
      <c r="IY15" s="360">
        <v>7</v>
      </c>
      <c r="IZ15" s="360">
        <v>1.3184779758079992</v>
      </c>
      <c r="JA15" s="360"/>
      <c r="JB15" s="360"/>
      <c r="JC15" s="360"/>
      <c r="JJ15" s="360" t="s">
        <v>468</v>
      </c>
      <c r="JK15" s="360">
        <v>7</v>
      </c>
      <c r="JL15" s="360">
        <v>2.4015175000000002</v>
      </c>
      <c r="JM15" s="360"/>
      <c r="JN15" s="360"/>
      <c r="JO15" s="360"/>
      <c r="JV15" s="388" t="s">
        <v>468</v>
      </c>
      <c r="JW15" s="388">
        <v>7</v>
      </c>
      <c r="JX15" s="388">
        <v>47332.167334000012</v>
      </c>
      <c r="JY15" s="388"/>
      <c r="JZ15" s="388"/>
      <c r="KA15" s="388"/>
    </row>
    <row r="16" spans="1:287" ht="15" customHeight="1" thickBot="1" x14ac:dyDescent="0.3"/>
    <row r="17" spans="12:290" x14ac:dyDescent="0.25">
      <c r="L17" s="357"/>
      <c r="M17" s="357" t="s">
        <v>709</v>
      </c>
      <c r="N17" s="357" t="s">
        <v>698</v>
      </c>
      <c r="O17" s="357" t="s">
        <v>710</v>
      </c>
      <c r="P17" s="357" t="s">
        <v>711</v>
      </c>
      <c r="Q17" s="357" t="s">
        <v>712</v>
      </c>
      <c r="R17" s="357" t="s">
        <v>713</v>
      </c>
      <c r="S17" s="357" t="s">
        <v>714</v>
      </c>
      <c r="T17" s="357" t="s">
        <v>715</v>
      </c>
      <c r="Z17" s="357"/>
      <c r="AA17" s="357" t="s">
        <v>709</v>
      </c>
      <c r="AB17" s="357" t="s">
        <v>698</v>
      </c>
      <c r="AC17" s="357" t="s">
        <v>710</v>
      </c>
      <c r="AD17" s="357" t="s">
        <v>711</v>
      </c>
      <c r="AE17" s="357" t="s">
        <v>712</v>
      </c>
      <c r="AF17" s="357" t="s">
        <v>713</v>
      </c>
      <c r="AG17" s="357" t="s">
        <v>714</v>
      </c>
      <c r="AH17" s="357" t="s">
        <v>715</v>
      </c>
      <c r="AO17" s="357"/>
      <c r="AP17" s="357" t="s">
        <v>709</v>
      </c>
      <c r="AQ17" s="357" t="s">
        <v>698</v>
      </c>
      <c r="AR17" s="357" t="s">
        <v>710</v>
      </c>
      <c r="AS17" s="357" t="s">
        <v>711</v>
      </c>
      <c r="AT17" s="357" t="s">
        <v>712</v>
      </c>
      <c r="AU17" s="357" t="s">
        <v>713</v>
      </c>
      <c r="AV17" s="357" t="s">
        <v>714</v>
      </c>
      <c r="AW17" s="357" t="s">
        <v>715</v>
      </c>
      <c r="BC17" s="357"/>
      <c r="BD17" s="357" t="s">
        <v>709</v>
      </c>
      <c r="BE17" s="357" t="s">
        <v>698</v>
      </c>
      <c r="BF17" s="357" t="s">
        <v>710</v>
      </c>
      <c r="BG17" s="357" t="s">
        <v>711</v>
      </c>
      <c r="BH17" s="357" t="s">
        <v>712</v>
      </c>
      <c r="BI17" s="357" t="s">
        <v>713</v>
      </c>
      <c r="BJ17" s="357" t="s">
        <v>714</v>
      </c>
      <c r="BK17" s="357" t="s">
        <v>715</v>
      </c>
      <c r="BT17" s="357"/>
      <c r="BU17" s="357" t="s">
        <v>709</v>
      </c>
      <c r="BV17" s="357" t="s">
        <v>698</v>
      </c>
      <c r="BW17" s="357" t="s">
        <v>710</v>
      </c>
      <c r="BX17" s="357" t="s">
        <v>711</v>
      </c>
      <c r="BY17" s="357" t="s">
        <v>712</v>
      </c>
      <c r="BZ17" s="357" t="s">
        <v>713</v>
      </c>
      <c r="CA17" s="357" t="s">
        <v>714</v>
      </c>
      <c r="CB17" s="357" t="s">
        <v>715</v>
      </c>
      <c r="CI17" s="357"/>
      <c r="CJ17" s="357" t="s">
        <v>709</v>
      </c>
      <c r="CK17" s="357" t="s">
        <v>698</v>
      </c>
      <c r="CL17" s="357" t="s">
        <v>710</v>
      </c>
      <c r="CM17" s="357" t="s">
        <v>711</v>
      </c>
      <c r="CN17" s="357" t="s">
        <v>712</v>
      </c>
      <c r="CO17" s="357" t="s">
        <v>713</v>
      </c>
      <c r="CP17" s="357" t="s">
        <v>714</v>
      </c>
      <c r="CQ17" s="357" t="s">
        <v>715</v>
      </c>
      <c r="CX17" s="357"/>
      <c r="CY17" s="357" t="s">
        <v>709</v>
      </c>
      <c r="CZ17" s="357" t="s">
        <v>698</v>
      </c>
      <c r="DA17" s="357" t="s">
        <v>710</v>
      </c>
      <c r="DB17" s="357" t="s">
        <v>711</v>
      </c>
      <c r="DC17" s="357" t="s">
        <v>712</v>
      </c>
      <c r="DD17" s="357" t="s">
        <v>713</v>
      </c>
      <c r="DE17" s="357" t="s">
        <v>714</v>
      </c>
      <c r="DF17" s="357" t="s">
        <v>715</v>
      </c>
      <c r="DN17" s="357"/>
      <c r="DO17" s="357" t="s">
        <v>709</v>
      </c>
      <c r="DP17" s="357" t="s">
        <v>698</v>
      </c>
      <c r="DQ17" s="357" t="s">
        <v>710</v>
      </c>
      <c r="DR17" s="357" t="s">
        <v>711</v>
      </c>
      <c r="DS17" s="357" t="s">
        <v>712</v>
      </c>
      <c r="DT17" s="357" t="s">
        <v>713</v>
      </c>
      <c r="DU17" s="357" t="s">
        <v>714</v>
      </c>
      <c r="DV17" s="357" t="s">
        <v>715</v>
      </c>
      <c r="ED17" s="357"/>
      <c r="EE17" s="357" t="s">
        <v>709</v>
      </c>
      <c r="EF17" s="357" t="s">
        <v>698</v>
      </c>
      <c r="EG17" s="357" t="s">
        <v>710</v>
      </c>
      <c r="EH17" s="357" t="s">
        <v>711</v>
      </c>
      <c r="EI17" s="357" t="s">
        <v>712</v>
      </c>
      <c r="EJ17" s="357" t="s">
        <v>713</v>
      </c>
      <c r="EK17" s="357" t="s">
        <v>714</v>
      </c>
      <c r="EL17" s="357" t="s">
        <v>715</v>
      </c>
      <c r="EQ17" s="357"/>
      <c r="ER17" s="357" t="s">
        <v>709</v>
      </c>
      <c r="ES17" s="357" t="s">
        <v>698</v>
      </c>
      <c r="ET17" s="357" t="s">
        <v>710</v>
      </c>
      <c r="EU17" s="357" t="s">
        <v>711</v>
      </c>
      <c r="EV17" s="357" t="s">
        <v>712</v>
      </c>
      <c r="EW17" s="357" t="s">
        <v>713</v>
      </c>
      <c r="EX17" s="357" t="s">
        <v>714</v>
      </c>
      <c r="EY17" s="357" t="s">
        <v>715</v>
      </c>
      <c r="FE17" s="357"/>
      <c r="FF17" s="357" t="s">
        <v>709</v>
      </c>
      <c r="FG17" s="357" t="s">
        <v>698</v>
      </c>
      <c r="FH17" s="357" t="s">
        <v>710</v>
      </c>
      <c r="FI17" s="357" t="s">
        <v>711</v>
      </c>
      <c r="FJ17" s="357" t="s">
        <v>712</v>
      </c>
      <c r="FK17" s="357" t="s">
        <v>713</v>
      </c>
      <c r="FL17" s="357" t="s">
        <v>714</v>
      </c>
      <c r="FM17" s="357" t="s">
        <v>715</v>
      </c>
      <c r="FS17" s="357"/>
      <c r="FT17" s="357" t="s">
        <v>709</v>
      </c>
      <c r="FU17" s="357" t="s">
        <v>698</v>
      </c>
      <c r="FV17" s="357" t="s">
        <v>710</v>
      </c>
      <c r="FW17" s="357" t="s">
        <v>711</v>
      </c>
      <c r="FX17" s="357" t="s">
        <v>712</v>
      </c>
      <c r="FY17" s="357" t="s">
        <v>713</v>
      </c>
      <c r="FZ17" s="357" t="s">
        <v>714</v>
      </c>
      <c r="GA17" s="357" t="s">
        <v>715</v>
      </c>
      <c r="GF17" s="357"/>
      <c r="GG17" s="357" t="s">
        <v>709</v>
      </c>
      <c r="GH17" s="357" t="s">
        <v>698</v>
      </c>
      <c r="GI17" s="357" t="s">
        <v>710</v>
      </c>
      <c r="GJ17" s="357" t="s">
        <v>711</v>
      </c>
      <c r="GK17" s="357" t="s">
        <v>712</v>
      </c>
      <c r="GL17" s="357" t="s">
        <v>713</v>
      </c>
      <c r="GM17" s="357" t="s">
        <v>714</v>
      </c>
      <c r="GN17" s="357" t="s">
        <v>715</v>
      </c>
      <c r="GS17" s="357"/>
      <c r="GT17" s="357" t="s">
        <v>709</v>
      </c>
      <c r="GU17" s="357" t="s">
        <v>698</v>
      </c>
      <c r="GV17" s="357" t="s">
        <v>710</v>
      </c>
      <c r="GW17" s="357" t="s">
        <v>711</v>
      </c>
      <c r="GX17" s="357" t="s">
        <v>712</v>
      </c>
      <c r="GY17" s="357" t="s">
        <v>713</v>
      </c>
      <c r="GZ17" s="357" t="s">
        <v>714</v>
      </c>
      <c r="HA17" s="357" t="s">
        <v>715</v>
      </c>
      <c r="HH17" s="357"/>
      <c r="HI17" s="357" t="s">
        <v>709</v>
      </c>
      <c r="HJ17" s="357" t="s">
        <v>698</v>
      </c>
      <c r="HK17" s="357" t="s">
        <v>710</v>
      </c>
      <c r="HL17" s="357" t="s">
        <v>711</v>
      </c>
      <c r="HM17" s="357" t="s">
        <v>712</v>
      </c>
      <c r="HN17" s="357" t="s">
        <v>713</v>
      </c>
      <c r="HO17" s="357" t="s">
        <v>714</v>
      </c>
      <c r="HP17" s="357" t="s">
        <v>715</v>
      </c>
      <c r="HW17" s="357"/>
      <c r="HX17" s="357" t="s">
        <v>709</v>
      </c>
      <c r="HY17" s="357" t="s">
        <v>698</v>
      </c>
      <c r="HZ17" s="357" t="s">
        <v>710</v>
      </c>
      <c r="IA17" s="357" t="s">
        <v>711</v>
      </c>
      <c r="IB17" s="357" t="s">
        <v>712</v>
      </c>
      <c r="IC17" s="357" t="s">
        <v>713</v>
      </c>
      <c r="ID17" s="357" t="s">
        <v>714</v>
      </c>
      <c r="IE17" s="357" t="s">
        <v>715</v>
      </c>
      <c r="IJ17" s="357"/>
      <c r="IK17" s="357" t="s">
        <v>709</v>
      </c>
      <c r="IL17" s="357" t="s">
        <v>698</v>
      </c>
      <c r="IM17" s="357" t="s">
        <v>710</v>
      </c>
      <c r="IN17" s="357" t="s">
        <v>711</v>
      </c>
      <c r="IO17" s="357" t="s">
        <v>712</v>
      </c>
      <c r="IP17" s="357" t="s">
        <v>713</v>
      </c>
      <c r="IQ17" s="357" t="s">
        <v>714</v>
      </c>
      <c r="IR17" s="357" t="s">
        <v>715</v>
      </c>
      <c r="IX17" s="357"/>
      <c r="IY17" s="357" t="s">
        <v>709</v>
      </c>
      <c r="IZ17" s="357" t="s">
        <v>698</v>
      </c>
      <c r="JA17" s="357" t="s">
        <v>710</v>
      </c>
      <c r="JB17" s="357" t="s">
        <v>711</v>
      </c>
      <c r="JC17" s="357" t="s">
        <v>712</v>
      </c>
      <c r="JD17" s="357" t="s">
        <v>713</v>
      </c>
      <c r="JE17" s="357" t="s">
        <v>714</v>
      </c>
      <c r="JF17" s="357" t="s">
        <v>715</v>
      </c>
      <c r="JJ17" s="357"/>
      <c r="JK17" s="357" t="s">
        <v>709</v>
      </c>
      <c r="JL17" s="357" t="s">
        <v>698</v>
      </c>
      <c r="JM17" s="357" t="s">
        <v>710</v>
      </c>
      <c r="JN17" s="357" t="s">
        <v>711</v>
      </c>
      <c r="JO17" s="357" t="s">
        <v>712</v>
      </c>
      <c r="JP17" s="357" t="s">
        <v>713</v>
      </c>
      <c r="JQ17" s="357" t="s">
        <v>714</v>
      </c>
      <c r="JR17" s="357" t="s">
        <v>715</v>
      </c>
      <c r="JV17" s="389"/>
      <c r="JW17" s="389" t="s">
        <v>709</v>
      </c>
      <c r="JX17" s="389" t="s">
        <v>698</v>
      </c>
      <c r="JY17" s="389" t="s">
        <v>710</v>
      </c>
      <c r="JZ17" s="389" t="s">
        <v>711</v>
      </c>
      <c r="KA17" s="389" t="s">
        <v>712</v>
      </c>
      <c r="KB17" s="389" t="s">
        <v>713</v>
      </c>
      <c r="KC17" s="389" t="s">
        <v>714</v>
      </c>
      <c r="KD17" s="389" t="s">
        <v>715</v>
      </c>
    </row>
    <row r="18" spans="12:290" x14ac:dyDescent="0.25">
      <c r="L18" s="213" t="s">
        <v>716</v>
      </c>
      <c r="M18" s="213">
        <v>-19.163021391132521</v>
      </c>
      <c r="N18" s="213">
        <v>50.226596709777517</v>
      </c>
      <c r="O18" s="213">
        <v>-0.38153135283804906</v>
      </c>
      <c r="P18" s="213">
        <v>0.71595481285427776</v>
      </c>
      <c r="Q18" s="213">
        <v>-142.06307612296607</v>
      </c>
      <c r="R18" s="213">
        <v>103.73703334070103</v>
      </c>
      <c r="S18" s="213">
        <v>-142.06307612296607</v>
      </c>
      <c r="T18" s="213">
        <v>103.73703334070103</v>
      </c>
      <c r="Z18" s="213" t="s">
        <v>716</v>
      </c>
      <c r="AA18" s="213">
        <v>88.333551682144318</v>
      </c>
      <c r="AB18" s="213">
        <v>103.37068678919758</v>
      </c>
      <c r="AC18" s="213">
        <v>0.85453192221003349</v>
      </c>
      <c r="AD18" s="213">
        <v>0.42560878965179588</v>
      </c>
      <c r="AE18" s="213">
        <v>-164.60540688333799</v>
      </c>
      <c r="AF18" s="213">
        <v>341.2725102476266</v>
      </c>
      <c r="AG18" s="213">
        <v>-164.60540688333799</v>
      </c>
      <c r="AH18" s="213">
        <v>341.2725102476266</v>
      </c>
      <c r="AO18" s="213" t="s">
        <v>716</v>
      </c>
      <c r="AP18" s="213">
        <v>65.425733845476643</v>
      </c>
      <c r="AQ18" s="213">
        <v>86.578328079504089</v>
      </c>
      <c r="AR18" s="213">
        <v>0.75568257434350994</v>
      </c>
      <c r="AS18" s="213">
        <v>0.47844628528653366</v>
      </c>
      <c r="AT18" s="213">
        <v>-146.42380318457924</v>
      </c>
      <c r="AU18" s="213">
        <v>277.2752708755325</v>
      </c>
      <c r="AV18" s="213">
        <v>-146.42380318457924</v>
      </c>
      <c r="AW18" s="213">
        <v>277.2752708755325</v>
      </c>
      <c r="BC18" s="213" t="s">
        <v>716</v>
      </c>
      <c r="BD18" s="213">
        <v>130.29050250830957</v>
      </c>
      <c r="BE18" s="213">
        <v>97.10327880217406</v>
      </c>
      <c r="BF18" s="213">
        <v>1.3417724315339234</v>
      </c>
      <c r="BG18" s="213">
        <v>0.22821787416134506</v>
      </c>
      <c r="BH18" s="213">
        <v>-107.31266117776426</v>
      </c>
      <c r="BI18" s="213">
        <v>367.8936661943834</v>
      </c>
      <c r="BJ18" s="213">
        <v>-107.31266117776426</v>
      </c>
      <c r="BK18" s="213">
        <v>367.8936661943834</v>
      </c>
      <c r="BT18" s="213" t="s">
        <v>716</v>
      </c>
      <c r="BU18" s="213">
        <v>-62.247905215443026</v>
      </c>
      <c r="BV18" s="213">
        <v>30.294271122633887</v>
      </c>
      <c r="BW18" s="213">
        <v>-2.05477481083661</v>
      </c>
      <c r="BX18" s="213">
        <v>8.5673855837475096E-2</v>
      </c>
      <c r="BY18" s="213">
        <v>-136.3753162472147</v>
      </c>
      <c r="BZ18" s="213">
        <v>11.87950581632866</v>
      </c>
      <c r="CA18" s="213">
        <v>-136.3753162472147</v>
      </c>
      <c r="CB18" s="213">
        <v>11.87950581632866</v>
      </c>
      <c r="CI18" s="213" t="s">
        <v>716</v>
      </c>
      <c r="CJ18" s="213">
        <v>-3.4329075181250297</v>
      </c>
      <c r="CK18" s="213">
        <v>49.67149516558122</v>
      </c>
      <c r="CL18" s="213">
        <v>-6.9112224358887184E-2</v>
      </c>
      <c r="CM18" s="213">
        <v>0.94714605520688888</v>
      </c>
      <c r="CN18" s="213">
        <v>-124.97467770287579</v>
      </c>
      <c r="CO18" s="213">
        <v>118.10886266662573</v>
      </c>
      <c r="CP18" s="213">
        <v>-124.97467770287579</v>
      </c>
      <c r="CQ18" s="213">
        <v>118.10886266662573</v>
      </c>
      <c r="CX18" s="213" t="s">
        <v>716</v>
      </c>
      <c r="CY18" s="213">
        <v>-23.341968688089349</v>
      </c>
      <c r="CZ18" s="213">
        <v>29.398425595055098</v>
      </c>
      <c r="DA18" s="213">
        <v>-0.79398703214962429</v>
      </c>
      <c r="DB18" s="213">
        <v>0.45744671125545244</v>
      </c>
      <c r="DC18" s="213">
        <v>-95.277324681633274</v>
      </c>
      <c r="DD18" s="213">
        <v>48.59338730545457</v>
      </c>
      <c r="DE18" s="213">
        <v>-95.277324681633274</v>
      </c>
      <c r="DF18" s="213">
        <v>48.59338730545457</v>
      </c>
      <c r="DN18" s="213" t="s">
        <v>716</v>
      </c>
      <c r="DO18" s="213">
        <v>-95.839158225543741</v>
      </c>
      <c r="DP18" s="213">
        <v>45.182208837958932</v>
      </c>
      <c r="DQ18" s="213">
        <v>-2.1211702723357426</v>
      </c>
      <c r="DR18" s="213">
        <v>7.815695392435594E-2</v>
      </c>
      <c r="DS18" s="213">
        <v>-206.39604049205244</v>
      </c>
      <c r="DT18" s="213">
        <v>14.717724040964953</v>
      </c>
      <c r="DU18" s="213">
        <v>-206.39604049205244</v>
      </c>
      <c r="DV18" s="213">
        <v>14.717724040964953</v>
      </c>
      <c r="ED18" s="213" t="s">
        <v>716</v>
      </c>
      <c r="EE18" s="213">
        <v>-227.78110459881108</v>
      </c>
      <c r="EF18" s="213">
        <v>67.058388063279367</v>
      </c>
      <c r="EG18" s="213">
        <v>-3.3967578281760424</v>
      </c>
      <c r="EH18" s="213">
        <v>1.4553925438804514E-2</v>
      </c>
      <c r="EI18" s="213">
        <v>-391.8670690695277</v>
      </c>
      <c r="EJ18" s="213">
        <v>-63.695140128094437</v>
      </c>
      <c r="EK18" s="213">
        <v>-391.8670690695277</v>
      </c>
      <c r="EL18" s="213">
        <v>-63.695140128094437</v>
      </c>
      <c r="EQ18" s="213" t="s">
        <v>716</v>
      </c>
      <c r="ER18" s="213">
        <v>24.928688102772565</v>
      </c>
      <c r="ES18" s="213">
        <v>37.961341688248218</v>
      </c>
      <c r="ET18" s="213">
        <v>0.65668617056519363</v>
      </c>
      <c r="EU18" s="213">
        <v>0.53574217153114101</v>
      </c>
      <c r="EV18" s="213">
        <v>-67.959368759565592</v>
      </c>
      <c r="EW18" s="213">
        <v>117.81674496511073</v>
      </c>
      <c r="EX18" s="213">
        <v>-67.959368759565592</v>
      </c>
      <c r="EY18" s="213">
        <v>117.81674496511073</v>
      </c>
      <c r="FE18" s="213" t="s">
        <v>716</v>
      </c>
      <c r="FF18" s="213">
        <v>-221.33208448574877</v>
      </c>
      <c r="FG18" s="213">
        <v>34.199195194774873</v>
      </c>
      <c r="FH18" s="213">
        <v>-6.4718506744148474</v>
      </c>
      <c r="FI18" s="213">
        <v>6.4603209219491202E-4</v>
      </c>
      <c r="FJ18" s="213">
        <v>-305.01450050746348</v>
      </c>
      <c r="FK18" s="213">
        <v>-137.64966846403405</v>
      </c>
      <c r="FL18" s="213">
        <v>-305.01450050746348</v>
      </c>
      <c r="FM18" s="213">
        <v>-137.64966846403405</v>
      </c>
      <c r="FS18" s="213" t="s">
        <v>716</v>
      </c>
      <c r="FT18" s="213">
        <v>-381.47090192309298</v>
      </c>
      <c r="FU18" s="213">
        <v>64.719667875101678</v>
      </c>
      <c r="FV18" s="213">
        <v>-5.894203639290442</v>
      </c>
      <c r="FW18" s="213">
        <v>1.0586869916007588E-3</v>
      </c>
      <c r="FX18" s="213">
        <v>-539.83422424884566</v>
      </c>
      <c r="FY18" s="213">
        <v>-223.10757959734036</v>
      </c>
      <c r="FZ18" s="213">
        <v>-539.83422424884566</v>
      </c>
      <c r="GA18" s="213">
        <v>-223.10757959734036</v>
      </c>
      <c r="GF18" s="213" t="s">
        <v>716</v>
      </c>
      <c r="GG18" s="213">
        <v>-181.41666447246433</v>
      </c>
      <c r="GH18" s="213">
        <v>122.44853348821697</v>
      </c>
      <c r="GI18" s="213">
        <v>-1.4815748241682436</v>
      </c>
      <c r="GJ18" s="213">
        <v>0.1889620778894795</v>
      </c>
      <c r="GK18" s="213">
        <v>-481.03743222010411</v>
      </c>
      <c r="GL18" s="213">
        <v>118.20410327517544</v>
      </c>
      <c r="GM18" s="213">
        <v>-481.03743222010411</v>
      </c>
      <c r="GN18" s="213">
        <v>118.20410327517544</v>
      </c>
      <c r="GS18" s="358" t="s">
        <v>716</v>
      </c>
      <c r="GT18" s="358">
        <v>-323.90183350637489</v>
      </c>
      <c r="GU18" s="358">
        <v>348.93926076602719</v>
      </c>
      <c r="GV18" s="358">
        <v>-0.92824703300887501</v>
      </c>
      <c r="GW18" s="358">
        <v>0.4217482779203886</v>
      </c>
      <c r="GX18" s="358">
        <v>-1434.382294699647</v>
      </c>
      <c r="GY18" s="358">
        <v>786.57862768689711</v>
      </c>
      <c r="GZ18" s="358">
        <v>-1434.382294699647</v>
      </c>
      <c r="HA18" s="358">
        <v>786.57862768689711</v>
      </c>
      <c r="HH18" s="358" t="s">
        <v>716</v>
      </c>
      <c r="HI18" s="358">
        <v>641.34136308977804</v>
      </c>
      <c r="HJ18" s="358">
        <v>218.20662706992726</v>
      </c>
      <c r="HK18" s="358">
        <v>2.9391470447148773</v>
      </c>
      <c r="HL18" s="358">
        <v>3.228854560433915E-2</v>
      </c>
      <c r="HM18" s="358">
        <v>80.423371128355598</v>
      </c>
      <c r="HN18" s="358">
        <v>1202.2593550512006</v>
      </c>
      <c r="HO18" s="358">
        <v>80.423371128355598</v>
      </c>
      <c r="HP18" s="358">
        <v>1202.2593550512006</v>
      </c>
      <c r="HW18" s="358" t="s">
        <v>716</v>
      </c>
      <c r="HX18" s="358">
        <v>450.79933963019272</v>
      </c>
      <c r="HY18" s="358">
        <v>308.42944238967675</v>
      </c>
      <c r="HZ18" s="358">
        <v>1.4615963253619693</v>
      </c>
      <c r="IA18" s="358">
        <v>0.24000708397077855</v>
      </c>
      <c r="IB18" s="358">
        <v>-530.76079974354866</v>
      </c>
      <c r="IC18" s="358">
        <v>1432.3594790039342</v>
      </c>
      <c r="ID18" s="358">
        <v>-530.76079974354866</v>
      </c>
      <c r="IE18" s="358">
        <v>1432.3594790039342</v>
      </c>
      <c r="IJ18" s="358" t="s">
        <v>716</v>
      </c>
      <c r="IK18" s="358">
        <v>288.60745887101154</v>
      </c>
      <c r="IL18" s="358">
        <v>683.66764900067346</v>
      </c>
      <c r="IM18" s="358">
        <v>0.42214584717131648</v>
      </c>
      <c r="IN18" s="358">
        <v>0.69462038866748588</v>
      </c>
      <c r="IO18" s="358">
        <v>-1609.5582387789914</v>
      </c>
      <c r="IP18" s="358">
        <v>2186.7731565210147</v>
      </c>
      <c r="IQ18" s="358">
        <v>-1609.5582387789914</v>
      </c>
      <c r="IR18" s="358">
        <v>2186.7731565210147</v>
      </c>
      <c r="IX18" s="358" t="s">
        <v>716</v>
      </c>
      <c r="IY18" s="358">
        <v>-227.48573448349086</v>
      </c>
      <c r="IZ18" s="358">
        <v>111.79928987284231</v>
      </c>
      <c r="JA18" s="358">
        <v>-2.0347690467643167</v>
      </c>
      <c r="JB18" s="358">
        <v>8.808011991854954E-2</v>
      </c>
      <c r="JC18" s="358">
        <v>-501.04874182294054</v>
      </c>
      <c r="JD18" s="358">
        <v>46.077272855958796</v>
      </c>
      <c r="JE18" s="358">
        <v>-501.04874182294054</v>
      </c>
      <c r="JF18" s="358">
        <v>46.077272855958796</v>
      </c>
      <c r="JJ18" s="358" t="s">
        <v>716</v>
      </c>
      <c r="JK18" s="358">
        <v>273.22791428571429</v>
      </c>
      <c r="JL18" s="358">
        <v>162.86902574811202</v>
      </c>
      <c r="JM18" s="358">
        <v>1.6775928573937673</v>
      </c>
      <c r="JN18" s="358">
        <v>0.14443714097157831</v>
      </c>
      <c r="JO18" s="358">
        <v>-125.29823500177622</v>
      </c>
      <c r="JP18" s="358">
        <v>671.7540635732048</v>
      </c>
      <c r="JQ18" s="358">
        <v>-125.29823500177622</v>
      </c>
      <c r="JR18" s="358">
        <v>671.7540635732048</v>
      </c>
      <c r="JV18" s="387" t="s">
        <v>716</v>
      </c>
      <c r="JW18" s="387">
        <v>12254.68546428572</v>
      </c>
      <c r="JX18" s="387">
        <v>27217.961841433011</v>
      </c>
      <c r="JY18" s="387">
        <v>0.45024258376432924</v>
      </c>
      <c r="JZ18" s="387">
        <v>0.66834650975198306</v>
      </c>
      <c r="KA18" s="387">
        <v>-54345.267929528272</v>
      </c>
      <c r="KB18" s="387">
        <v>78854.638858099715</v>
      </c>
      <c r="KC18" s="387">
        <v>-54345.267929528272</v>
      </c>
      <c r="KD18" s="387">
        <v>78854.638858099715</v>
      </c>
    </row>
    <row r="19" spans="12:290" ht="15.75" thickBot="1" x14ac:dyDescent="0.3">
      <c r="L19" s="360" t="s">
        <v>41</v>
      </c>
      <c r="M19" s="360">
        <v>1.222167798816424E-2</v>
      </c>
      <c r="N19" s="360">
        <v>2.4858482758753023E-2</v>
      </c>
      <c r="O19" s="360">
        <v>0.49165019871781251</v>
      </c>
      <c r="P19" s="360">
        <v>0.64043343436011657</v>
      </c>
      <c r="Q19" s="360">
        <v>-4.8604838075711435E-2</v>
      </c>
      <c r="R19" s="360">
        <v>7.3048194052039911E-2</v>
      </c>
      <c r="S19" s="360">
        <v>-4.8604838075711435E-2</v>
      </c>
      <c r="T19" s="360">
        <v>7.3048194052039911E-2</v>
      </c>
      <c r="Z19" s="360" t="s">
        <v>41</v>
      </c>
      <c r="AA19" s="360">
        <v>-4.1066027443135408E-2</v>
      </c>
      <c r="AB19" s="360">
        <v>5.1160910824951437E-2</v>
      </c>
      <c r="AC19" s="360">
        <v>-0.80268366573151972</v>
      </c>
      <c r="AD19" s="360">
        <v>0.45277122348721821</v>
      </c>
      <c r="AE19" s="360">
        <v>-0.16625226645608004</v>
      </c>
      <c r="AF19" s="360">
        <v>8.4120211569809242E-2</v>
      </c>
      <c r="AG19" s="360">
        <v>-0.16625226645608004</v>
      </c>
      <c r="AH19" s="360">
        <v>8.4120211569809242E-2</v>
      </c>
      <c r="AO19" s="360" t="s">
        <v>41</v>
      </c>
      <c r="AP19" s="360">
        <v>-2.9943649967208091E-2</v>
      </c>
      <c r="AQ19" s="360">
        <v>4.2849924478897634E-2</v>
      </c>
      <c r="AR19" s="360">
        <v>-0.69880286444739204</v>
      </c>
      <c r="AS19" s="360">
        <v>0.51083990818280278</v>
      </c>
      <c r="AT19" s="360">
        <v>-0.13479363799528965</v>
      </c>
      <c r="AU19" s="360">
        <v>7.4906338060873462E-2</v>
      </c>
      <c r="AV19" s="360">
        <v>-0.13479363799528965</v>
      </c>
      <c r="AW19" s="360">
        <v>7.4906338060873462E-2</v>
      </c>
      <c r="BC19" s="360" t="s">
        <v>41</v>
      </c>
      <c r="BD19" s="360">
        <v>-6.2076809410154067E-2</v>
      </c>
      <c r="BE19" s="360">
        <v>4.8059003397543237E-2</v>
      </c>
      <c r="BF19" s="360">
        <v>-1.2916790824115887</v>
      </c>
      <c r="BG19" s="360">
        <v>0.24399065139956463</v>
      </c>
      <c r="BH19" s="360">
        <v>-0.17967295437781897</v>
      </c>
      <c r="BI19" s="360">
        <v>5.5519335557510839E-2</v>
      </c>
      <c r="BJ19" s="360">
        <v>-0.17967295437781897</v>
      </c>
      <c r="BK19" s="360">
        <v>5.5519335557510839E-2</v>
      </c>
      <c r="BT19" s="360" t="s">
        <v>41</v>
      </c>
      <c r="BU19" s="360">
        <v>3.2774516356908936E-2</v>
      </c>
      <c r="BV19" s="360">
        <v>1.4993443030640088E-2</v>
      </c>
      <c r="BW19" s="360">
        <v>2.1859232925974412</v>
      </c>
      <c r="BX19" s="360">
        <v>7.1475287122897163E-2</v>
      </c>
      <c r="BY19" s="360">
        <v>-3.9131170842312477E-3</v>
      </c>
      <c r="BZ19" s="360">
        <v>6.9462149798049128E-2</v>
      </c>
      <c r="CA19" s="360">
        <v>-3.9131170842312477E-3</v>
      </c>
      <c r="CB19" s="360">
        <v>6.9462149798049128E-2</v>
      </c>
      <c r="CI19" s="360" t="s">
        <v>41</v>
      </c>
      <c r="CJ19" s="360">
        <v>2.987671740709714E-3</v>
      </c>
      <c r="CK19" s="360">
        <v>2.4583748194404675E-2</v>
      </c>
      <c r="CL19" s="360">
        <v>0.12153035888114554</v>
      </c>
      <c r="CM19" s="360">
        <v>0.90723897519631813</v>
      </c>
      <c r="CN19" s="360">
        <v>-5.7166593061742835E-2</v>
      </c>
      <c r="CO19" s="360">
        <v>6.3141936543162261E-2</v>
      </c>
      <c r="CP19" s="360">
        <v>-5.7166593061742835E-2</v>
      </c>
      <c r="CQ19" s="360">
        <v>6.3141936543162261E-2</v>
      </c>
      <c r="CX19" s="360" t="s">
        <v>41</v>
      </c>
      <c r="CY19" s="360">
        <v>1.269026662561999E-2</v>
      </c>
      <c r="CZ19" s="360">
        <v>1.4550065177856201E-2</v>
      </c>
      <c r="DA19" s="360">
        <v>0.87217936624320791</v>
      </c>
      <c r="DB19" s="360">
        <v>0.41664248144223265</v>
      </c>
      <c r="DC19" s="360">
        <v>-2.2912460293008086E-2</v>
      </c>
      <c r="DD19" s="360">
        <v>4.829299354424807E-2</v>
      </c>
      <c r="DE19" s="360">
        <v>-2.2912460293008086E-2</v>
      </c>
      <c r="DF19" s="360">
        <v>4.829299354424807E-2</v>
      </c>
      <c r="DN19" s="360" t="s">
        <v>41</v>
      </c>
      <c r="DO19" s="360">
        <v>4.9126531790950848E-2</v>
      </c>
      <c r="DP19" s="360">
        <v>2.2361880616572554E-2</v>
      </c>
      <c r="DQ19" s="360">
        <v>2.1968873116397383</v>
      </c>
      <c r="DR19" s="360">
        <v>7.0403451375228757E-2</v>
      </c>
      <c r="DS19" s="360">
        <v>-5.5910189036295146E-3</v>
      </c>
      <c r="DT19" s="360">
        <v>0.1038440824855312</v>
      </c>
      <c r="DU19" s="360">
        <v>-5.5910189036295146E-3</v>
      </c>
      <c r="DV19" s="360">
        <v>0.1038440824855312</v>
      </c>
      <c r="ED19" s="360" t="s">
        <v>41</v>
      </c>
      <c r="EE19" s="360">
        <v>0.11478724830507236</v>
      </c>
      <c r="EF19" s="360">
        <v>3.3188985372291688E-2</v>
      </c>
      <c r="EG19" s="360">
        <v>3.4585946818640676</v>
      </c>
      <c r="EH19" s="360">
        <v>1.3490438608645943E-2</v>
      </c>
      <c r="EI19" s="360">
        <v>3.3576726670134796E-2</v>
      </c>
      <c r="EJ19" s="360">
        <v>0.19599776994000995</v>
      </c>
      <c r="EK19" s="360">
        <v>3.3576726670134796E-2</v>
      </c>
      <c r="EL19" s="360">
        <v>0.19599776994000995</v>
      </c>
      <c r="EQ19" s="360" t="s">
        <v>41</v>
      </c>
      <c r="ER19" s="360">
        <v>-1.0226371075390294E-2</v>
      </c>
      <c r="ES19" s="360">
        <v>1.878808081123183E-2</v>
      </c>
      <c r="ET19" s="360">
        <v>-0.54430099477093996</v>
      </c>
      <c r="EU19" s="360">
        <v>0.60585529428985518</v>
      </c>
      <c r="EV19" s="360">
        <v>-5.619914867266286E-2</v>
      </c>
      <c r="EW19" s="360">
        <v>3.5746406521882268E-2</v>
      </c>
      <c r="EX19" s="360">
        <v>-5.619914867266286E-2</v>
      </c>
      <c r="EY19" s="360">
        <v>3.5746406521882268E-2</v>
      </c>
      <c r="FE19" s="360" t="s">
        <v>41</v>
      </c>
      <c r="FF19" s="360">
        <v>0.11119887836463159</v>
      </c>
      <c r="FG19" s="360">
        <v>1.6926094137432277E-2</v>
      </c>
      <c r="FH19" s="360">
        <v>6.5696715061222442</v>
      </c>
      <c r="FI19" s="360">
        <v>5.9622106977602651E-4</v>
      </c>
      <c r="FJ19" s="360">
        <v>6.9782218026153156E-2</v>
      </c>
      <c r="FK19" s="360">
        <v>0.15261553870311001</v>
      </c>
      <c r="FL19" s="360">
        <v>6.9782218026153156E-2</v>
      </c>
      <c r="FM19" s="360">
        <v>0.15261553870311001</v>
      </c>
      <c r="FS19" s="360" t="s">
        <v>41</v>
      </c>
      <c r="FT19" s="360">
        <v>0.19056028307141251</v>
      </c>
      <c r="FU19" s="360">
        <v>3.2031490354038829E-2</v>
      </c>
      <c r="FV19" s="360">
        <v>5.9491544403704246</v>
      </c>
      <c r="FW19" s="360">
        <v>1.0085345081877221E-3</v>
      </c>
      <c r="FX19" s="360">
        <v>0.11218204971427913</v>
      </c>
      <c r="FY19" s="360">
        <v>0.26893851642854588</v>
      </c>
      <c r="FZ19" s="360">
        <v>0.11218204971427913</v>
      </c>
      <c r="GA19" s="360">
        <v>0.26893851642854588</v>
      </c>
      <c r="GF19" s="360" t="s">
        <v>41</v>
      </c>
      <c r="GG19" s="360">
        <v>9.1362782348643271E-2</v>
      </c>
      <c r="GH19" s="360">
        <v>6.0603046153809716E-2</v>
      </c>
      <c r="GI19" s="360">
        <v>1.5075608925129895</v>
      </c>
      <c r="GJ19" s="360">
        <v>0.18239122369214986</v>
      </c>
      <c r="GK19" s="360">
        <v>-5.6927529500599303E-2</v>
      </c>
      <c r="GL19" s="360">
        <v>0.23965309419788583</v>
      </c>
      <c r="GM19" s="360">
        <v>-5.6927529500599303E-2</v>
      </c>
      <c r="GN19" s="360">
        <v>0.23965309419788583</v>
      </c>
      <c r="GS19" s="360" t="s">
        <v>717</v>
      </c>
      <c r="GT19" s="360">
        <v>0.16136292859783505</v>
      </c>
      <c r="GU19" s="360">
        <v>0.17257130337250304</v>
      </c>
      <c r="GV19" s="360">
        <v>0.93505076130488396</v>
      </c>
      <c r="GW19" s="360">
        <v>0.41873961770468671</v>
      </c>
      <c r="GX19" s="360">
        <v>-0.38783597821798133</v>
      </c>
      <c r="GY19" s="360">
        <v>0.71056183541365148</v>
      </c>
      <c r="GZ19" s="360">
        <v>-0.38783597821798133</v>
      </c>
      <c r="HA19" s="360">
        <v>0.71056183541365148</v>
      </c>
      <c r="HH19" s="360" t="s">
        <v>41</v>
      </c>
      <c r="HI19" s="360">
        <v>-0.31556218577562201</v>
      </c>
      <c r="HJ19" s="360">
        <v>0.1080230297606231</v>
      </c>
      <c r="HK19" s="360">
        <v>-2.9212491676534307</v>
      </c>
      <c r="HL19" s="360">
        <v>3.296588306368186E-2</v>
      </c>
      <c r="HM19" s="360">
        <v>-0.59324422390868081</v>
      </c>
      <c r="HN19" s="360">
        <v>-3.78801476425632E-2</v>
      </c>
      <c r="HO19" s="360">
        <v>-0.59324422390868081</v>
      </c>
      <c r="HP19" s="360">
        <v>-3.78801476425632E-2</v>
      </c>
      <c r="HW19" s="360" t="s">
        <v>717</v>
      </c>
      <c r="HX19" s="360">
        <v>-0.22107542964470187</v>
      </c>
      <c r="HY19" s="360">
        <v>0.15253677890757703</v>
      </c>
      <c r="HZ19" s="360">
        <v>-1.4493254100943933</v>
      </c>
      <c r="IA19" s="360">
        <v>0.24310599696749546</v>
      </c>
      <c r="IB19" s="360">
        <v>-0.70651553809899836</v>
      </c>
      <c r="IC19" s="360">
        <v>0.26436467880959469</v>
      </c>
      <c r="ID19" s="360">
        <v>-0.70651553809899836</v>
      </c>
      <c r="IE19" s="360">
        <v>0.26436467880959469</v>
      </c>
      <c r="IJ19" s="360" t="s">
        <v>41</v>
      </c>
      <c r="IK19" s="360">
        <v>-0.14172875380677696</v>
      </c>
      <c r="IL19" s="360">
        <v>0.33853300546533938</v>
      </c>
      <c r="IM19" s="360">
        <v>-0.41865564514739118</v>
      </c>
      <c r="IN19" s="360">
        <v>0.69696985298417835</v>
      </c>
      <c r="IO19" s="360">
        <v>-1.0816470597789163</v>
      </c>
      <c r="IP19" s="360">
        <v>0.79818955216536236</v>
      </c>
      <c r="IQ19" s="360">
        <v>-1.0816470597789163</v>
      </c>
      <c r="IR19" s="360">
        <v>0.79818955216536236</v>
      </c>
      <c r="IX19" s="360" t="s">
        <v>717</v>
      </c>
      <c r="IY19" s="360">
        <v>0.11411508100170455</v>
      </c>
      <c r="IZ19" s="360">
        <v>5.5332451366426512E-2</v>
      </c>
      <c r="JA19" s="360">
        <v>2.0623536131808713</v>
      </c>
      <c r="JB19" s="360">
        <v>8.4779827815295028E-2</v>
      </c>
      <c r="JC19" s="360">
        <v>-2.1278549999707144E-2</v>
      </c>
      <c r="JD19" s="360">
        <v>0.24950871200311625</v>
      </c>
      <c r="JE19" s="360">
        <v>-2.1278549999707144E-2</v>
      </c>
      <c r="JF19" s="360">
        <v>0.24950871200311625</v>
      </c>
      <c r="JJ19" s="360" t="s">
        <v>717</v>
      </c>
      <c r="JK19" s="360">
        <v>-0.13488095238095241</v>
      </c>
      <c r="JL19" s="360">
        <v>8.0608226193159466E-2</v>
      </c>
      <c r="JM19" s="360">
        <v>-1.6732901683972126</v>
      </c>
      <c r="JN19" s="360">
        <v>0.14529670749749279</v>
      </c>
      <c r="JO19" s="360">
        <v>-0.33212217635276864</v>
      </c>
      <c r="JP19" s="360">
        <v>6.2360271590863853E-2</v>
      </c>
      <c r="JQ19" s="360">
        <v>-0.33212217635276864</v>
      </c>
      <c r="JR19" s="360">
        <v>6.2360271590863853E-2</v>
      </c>
      <c r="JV19" s="388" t="s">
        <v>41</v>
      </c>
      <c r="JW19" s="388">
        <v>-6.1778809523809555</v>
      </c>
      <c r="JX19" s="388">
        <v>13.470895491351264</v>
      </c>
      <c r="JY19" s="388">
        <v>-0.45860952275573275</v>
      </c>
      <c r="JZ19" s="388">
        <v>0.66265724398804315</v>
      </c>
      <c r="KA19" s="388">
        <v>-39.139974775703699</v>
      </c>
      <c r="KB19" s="388">
        <v>26.78421287094179</v>
      </c>
      <c r="KC19" s="388">
        <v>-39.139974775703699</v>
      </c>
      <c r="KD19" s="388">
        <v>26.78421287094179</v>
      </c>
    </row>
    <row r="21" spans="12:290" ht="15.75" customHeight="1" x14ac:dyDescent="0.25">
      <c r="L21" s="213">
        <v>2025</v>
      </c>
      <c r="M21" s="213">
        <f>$M$18+$M$19*L21</f>
        <v>5.5858765349000663</v>
      </c>
      <c r="N21" s="213">
        <f t="shared" ref="N21:N30" si="38">M21/100</f>
        <v>5.5858765349000666E-2</v>
      </c>
      <c r="O21" s="406">
        <f>N21*0.5+J11*0.5</f>
        <v>3.8998257624194663E-2</v>
      </c>
      <c r="Z21" s="213">
        <v>2025</v>
      </c>
      <c r="AA21" s="213">
        <f t="shared" ref="AA21:AA30" si="39">$AA$18+$AA$19*Z21</f>
        <v>5.1748461097951122</v>
      </c>
      <c r="AB21" s="213">
        <f t="shared" ref="AB21:AB30" si="40">AA21/100</f>
        <v>5.1748461097951122E-2</v>
      </c>
      <c r="AO21" s="213">
        <v>2025</v>
      </c>
      <c r="AP21" s="213">
        <f t="shared" ref="AP21:AP30" si="41">$AP$18+$AP$19*AO21</f>
        <v>4.7898426618802574</v>
      </c>
      <c r="AQ21" s="361">
        <f t="shared" ref="AQ21:AQ30" si="42">AP21/100</f>
        <v>4.7898426618802573E-2</v>
      </c>
      <c r="BC21" s="213">
        <v>2025</v>
      </c>
      <c r="BD21" s="213">
        <f t="shared" ref="BD21:BD30" si="43">$BD$18+$BD$19*BC21</f>
        <v>4.5849634527475871</v>
      </c>
      <c r="BE21" s="361">
        <f t="shared" ref="BE21:BE30" si="44">BD21/100</f>
        <v>4.5849634527475869E-2</v>
      </c>
      <c r="BT21" s="213">
        <v>2025</v>
      </c>
      <c r="BU21" s="213">
        <f t="shared" ref="BU21:BU30" si="45">$BU$18+$BU$19*BT21</f>
        <v>4.1204904072975665</v>
      </c>
      <c r="BV21" s="361">
        <f t="shared" ref="BV21:BV30" si="46">BU21/100</f>
        <v>4.1204904072975668E-2</v>
      </c>
      <c r="CI21" s="213">
        <v>2025</v>
      </c>
      <c r="CJ21" s="213">
        <f t="shared" ref="CJ21:CJ30" si="47">$CJ$18+$CJ$19*CI21</f>
        <v>2.6171277568121414</v>
      </c>
      <c r="CK21" s="361">
        <f t="shared" ref="CK21:CK30" si="48">CJ21/100</f>
        <v>2.6171277568121414E-2</v>
      </c>
      <c r="CX21" s="213">
        <v>2025</v>
      </c>
      <c r="CY21" s="213">
        <f t="shared" ref="CY21:CY30" si="49">$CY$18+$CY$19*CX21</f>
        <v>2.3558212287911324</v>
      </c>
      <c r="CZ21" s="361">
        <f t="shared" ref="CZ21:CZ30" si="50">CY21/100</f>
        <v>2.3558212287911325E-2</v>
      </c>
      <c r="DN21" s="213">
        <v>2025</v>
      </c>
      <c r="DO21" s="213">
        <f t="shared" ref="DO21:DO30" si="51">$DO$18+$DO$19*DN21</f>
        <v>3.6420686511317228</v>
      </c>
      <c r="DP21" s="361">
        <f t="shared" ref="DP21:DP30" si="52">DO21/100</f>
        <v>3.6420686511317225E-2</v>
      </c>
    </row>
    <row r="22" spans="12:290" ht="15.75" customHeight="1" x14ac:dyDescent="0.25">
      <c r="L22" s="213">
        <v>2026</v>
      </c>
      <c r="M22" s="213">
        <f t="shared" ref="M22:M30" si="53">$M$18+$M$19*L22</f>
        <v>5.5980982128882282</v>
      </c>
      <c r="N22" s="213">
        <f t="shared" si="38"/>
        <v>5.5980982128882278E-2</v>
      </c>
      <c r="O22" s="406">
        <f t="shared" ref="O22:O30" si="54">N22*0.5+J12*0.5</f>
        <v>2.7990491064441139E-2</v>
      </c>
      <c r="Z22" s="213">
        <v>2026</v>
      </c>
      <c r="AA22" s="213">
        <f t="shared" si="39"/>
        <v>5.1337800823519757</v>
      </c>
      <c r="AB22" s="213">
        <f t="shared" si="40"/>
        <v>5.1337800823519755E-2</v>
      </c>
      <c r="AO22" s="213">
        <v>2026</v>
      </c>
      <c r="AP22" s="213">
        <f t="shared" si="41"/>
        <v>4.7598990119130491</v>
      </c>
      <c r="AQ22" s="361">
        <f t="shared" si="42"/>
        <v>4.7598990119130491E-2</v>
      </c>
      <c r="BC22" s="213">
        <v>2026</v>
      </c>
      <c r="BD22" s="213">
        <f t="shared" si="43"/>
        <v>4.5228866433374293</v>
      </c>
      <c r="BE22" s="361">
        <f t="shared" si="44"/>
        <v>4.5228866433374294E-2</v>
      </c>
      <c r="BT22" s="213">
        <v>2026</v>
      </c>
      <c r="BU22" s="213">
        <f t="shared" si="45"/>
        <v>4.1532649236544756</v>
      </c>
      <c r="BV22" s="361">
        <f t="shared" si="46"/>
        <v>4.1532649236544754E-2</v>
      </c>
      <c r="CI22" s="213">
        <v>2026</v>
      </c>
      <c r="CJ22" s="213">
        <f t="shared" si="47"/>
        <v>2.6201154285528507</v>
      </c>
      <c r="CK22" s="361">
        <f t="shared" si="48"/>
        <v>2.6201154285528508E-2</v>
      </c>
      <c r="CX22" s="213">
        <v>2026</v>
      </c>
      <c r="CY22" s="213">
        <f t="shared" si="49"/>
        <v>2.368511495416751</v>
      </c>
      <c r="CZ22" s="361">
        <f t="shared" si="50"/>
        <v>2.3685114954167509E-2</v>
      </c>
      <c r="DN22" s="213">
        <v>2026</v>
      </c>
      <c r="DO22" s="213">
        <f t="shared" si="51"/>
        <v>3.6911951829226695</v>
      </c>
      <c r="DP22" s="361">
        <f t="shared" si="52"/>
        <v>3.6911951829226693E-2</v>
      </c>
      <c r="ED22" s="213">
        <v>2025</v>
      </c>
      <c r="EE22" s="213">
        <f t="shared" ref="EE22:EE31" si="55">$EE$18+$EE$19*ED22</f>
        <v>4.6630732189604487</v>
      </c>
      <c r="EF22" s="361">
        <f t="shared" ref="EF22:EF31" si="56">EE22/100</f>
        <v>4.6630732189604486E-2</v>
      </c>
      <c r="EQ22" s="213">
        <v>2025</v>
      </c>
      <c r="ER22" s="213">
        <f t="shared" ref="ER22:ER31" si="57">$ER$18+$ER$19*EQ22</f>
        <v>4.2202866751072179</v>
      </c>
      <c r="ES22" s="361">
        <f t="shared" ref="ES22:ES31" si="58">ER22/100</f>
        <v>4.2202866751072182E-2</v>
      </c>
      <c r="FE22" s="213">
        <v>2025</v>
      </c>
      <c r="FF22" s="213">
        <f t="shared" ref="FF22:FF31" si="59">$FF$18+$FF$19*FE22</f>
        <v>3.8456442026302113</v>
      </c>
      <c r="FG22" s="361">
        <f t="shared" ref="FG22:FG31" si="60">FF22/100</f>
        <v>3.8456442026302114E-2</v>
      </c>
      <c r="FS22" s="213">
        <v>2025</v>
      </c>
      <c r="FT22" s="213">
        <f t="shared" ref="FT22:FT31" si="61">$FT$18+$FT$19*FS22</f>
        <v>4.4136712965173501</v>
      </c>
      <c r="FU22" s="361">
        <f t="shared" ref="FU22:FU31" si="62">FT22/100</f>
        <v>4.4136712965173498E-2</v>
      </c>
      <c r="GF22" s="213">
        <v>2025</v>
      </c>
      <c r="GG22" s="213">
        <f t="shared" ref="GG22:GG31" si="63">$GG$18+$GG$19*GF22</f>
        <v>3.5929697835382797</v>
      </c>
      <c r="GH22" s="361">
        <f t="shared" ref="GH22:GH31" si="64">GG22/100</f>
        <v>3.5929697835382794E-2</v>
      </c>
      <c r="GS22" s="213">
        <v>2025</v>
      </c>
      <c r="GT22" s="213">
        <f t="shared" ref="GT22:GT31" si="65">$GT$18+$GT$19*GS22</f>
        <v>2.8580969042411084</v>
      </c>
      <c r="GU22" s="361">
        <f t="shared" ref="GU22:GU31" si="66">GT22/100</f>
        <v>2.8580969042411083E-2</v>
      </c>
      <c r="HH22" s="213">
        <v>2025</v>
      </c>
      <c r="HI22" s="213">
        <f t="shared" ref="HI22:HI31" si="67">$HI$18+$HI$19*HH22</f>
        <v>2.3279368941434768</v>
      </c>
      <c r="HJ22" s="361">
        <f t="shared" ref="HJ22:HJ31" si="68">HI22/100</f>
        <v>2.3279368941434769E-2</v>
      </c>
      <c r="HW22" s="213">
        <v>2025</v>
      </c>
      <c r="HX22" s="213">
        <f t="shared" ref="HX22:HX31" si="69">$HX$18+$HX$19*HW22</f>
        <v>3.1215945996714254</v>
      </c>
      <c r="HY22" s="361">
        <f t="shared" ref="HY22:HY31" si="70">HX22/100</f>
        <v>3.1215945996714255E-2</v>
      </c>
      <c r="IJ22" s="213">
        <v>2025</v>
      </c>
      <c r="IK22" s="213">
        <f t="shared" ref="IK22:IK31" si="71">$IK$18+$IK$19*IJ22</f>
        <v>1.6067324122881814</v>
      </c>
      <c r="IL22" s="361">
        <f t="shared" ref="IL22:IL31" si="72">-IK22/100</f>
        <v>-1.6067324122881813E-2</v>
      </c>
      <c r="IX22" s="213">
        <v>2025</v>
      </c>
      <c r="IY22" s="213">
        <f t="shared" ref="IY22:IY31" si="73">$IY$18+$IY$19*IX22</f>
        <v>3.5973045449608492</v>
      </c>
      <c r="IZ22" s="361">
        <f t="shared" ref="IZ22:IZ31" si="74">-IY22/100</f>
        <v>-3.5973045449608491E-2</v>
      </c>
      <c r="JJ22" s="213">
        <v>2025</v>
      </c>
      <c r="JK22" s="361">
        <f>$JK$18+$JK$19*JJ22</f>
        <v>9.3985714285679478E-2</v>
      </c>
      <c r="JL22" s="361"/>
      <c r="JV22">
        <v>2025</v>
      </c>
      <c r="JW22">
        <f>$JW$18+$JW$19*JV22</f>
        <v>-255.52346428571582</v>
      </c>
    </row>
    <row r="23" spans="12:290" ht="15.75" customHeight="1" x14ac:dyDescent="0.25">
      <c r="L23" s="213">
        <v>2027</v>
      </c>
      <c r="M23" s="213">
        <f t="shared" si="53"/>
        <v>5.6103198908763936</v>
      </c>
      <c r="N23" s="213">
        <f t="shared" si="38"/>
        <v>5.6103198908763939E-2</v>
      </c>
      <c r="O23" s="406">
        <f t="shared" si="54"/>
        <v>2.805159945438197E-2</v>
      </c>
      <c r="Z23" s="213">
        <v>2027</v>
      </c>
      <c r="AA23" s="213">
        <f t="shared" si="39"/>
        <v>5.0927140549088392</v>
      </c>
      <c r="AB23" s="213">
        <f t="shared" si="40"/>
        <v>5.0927140549088395E-2</v>
      </c>
      <c r="AO23" s="213">
        <v>2027</v>
      </c>
      <c r="AP23" s="213">
        <f t="shared" si="41"/>
        <v>4.7299553619458408</v>
      </c>
      <c r="AQ23" s="361">
        <f t="shared" si="42"/>
        <v>4.7299553619458409E-2</v>
      </c>
      <c r="BC23" s="213">
        <v>2027</v>
      </c>
      <c r="BD23" s="213">
        <f t="shared" si="43"/>
        <v>4.4608098339272715</v>
      </c>
      <c r="BE23" s="361">
        <f t="shared" si="44"/>
        <v>4.4608098339272713E-2</v>
      </c>
      <c r="BT23" s="213">
        <v>2027</v>
      </c>
      <c r="BU23" s="213">
        <f t="shared" si="45"/>
        <v>4.1860394400113847</v>
      </c>
      <c r="BV23" s="361">
        <f t="shared" si="46"/>
        <v>4.1860394400113847E-2</v>
      </c>
      <c r="CI23" s="213">
        <v>2027</v>
      </c>
      <c r="CJ23" s="213">
        <f t="shared" si="47"/>
        <v>2.6231031002935601</v>
      </c>
      <c r="CK23" s="361">
        <f t="shared" si="48"/>
        <v>2.6231031002935602E-2</v>
      </c>
      <c r="CX23" s="213">
        <v>2027</v>
      </c>
      <c r="CY23" s="213">
        <f t="shared" si="49"/>
        <v>2.3812017620423731</v>
      </c>
      <c r="CZ23" s="361">
        <f t="shared" si="50"/>
        <v>2.3812017620423731E-2</v>
      </c>
      <c r="DN23" s="213">
        <v>2027</v>
      </c>
      <c r="DO23" s="213">
        <f t="shared" si="51"/>
        <v>3.7403217147136303</v>
      </c>
      <c r="DP23" s="361">
        <f t="shared" si="52"/>
        <v>3.7403217147136306E-2</v>
      </c>
      <c r="ED23" s="213">
        <v>2026</v>
      </c>
      <c r="EE23" s="213">
        <f t="shared" si="55"/>
        <v>4.7778604672655263</v>
      </c>
      <c r="EF23" s="361">
        <f t="shared" si="56"/>
        <v>4.777860467265526E-2</v>
      </c>
      <c r="EQ23" s="213">
        <v>2026</v>
      </c>
      <c r="ER23" s="213">
        <f t="shared" si="57"/>
        <v>4.2100603040318276</v>
      </c>
      <c r="ES23" s="361">
        <f t="shared" si="58"/>
        <v>4.2100603040318277E-2</v>
      </c>
      <c r="FE23" s="213">
        <v>2026</v>
      </c>
      <c r="FF23" s="213">
        <f t="shared" si="59"/>
        <v>3.9568430809948438</v>
      </c>
      <c r="FG23" s="361">
        <f t="shared" si="60"/>
        <v>3.9568430809948436E-2</v>
      </c>
      <c r="FS23" s="213">
        <v>2026</v>
      </c>
      <c r="FT23" s="213">
        <f t="shared" si="61"/>
        <v>4.6042315795887703</v>
      </c>
      <c r="FU23" s="361">
        <f t="shared" si="62"/>
        <v>4.6042315795887703E-2</v>
      </c>
      <c r="GF23" s="213">
        <v>2026</v>
      </c>
      <c r="GG23" s="213">
        <f t="shared" si="63"/>
        <v>3.6843325658869333</v>
      </c>
      <c r="GH23" s="361">
        <f t="shared" si="64"/>
        <v>3.684332565886933E-2</v>
      </c>
      <c r="GS23" s="213">
        <v>2026</v>
      </c>
      <c r="GT23" s="213">
        <f t="shared" si="65"/>
        <v>3.0194598328389475</v>
      </c>
      <c r="GU23" s="361">
        <f t="shared" si="66"/>
        <v>3.0194598328389475E-2</v>
      </c>
      <c r="HH23" s="213">
        <v>2026</v>
      </c>
      <c r="HI23" s="213">
        <f t="shared" si="67"/>
        <v>2.0123747083678154</v>
      </c>
      <c r="HJ23" s="361">
        <f t="shared" si="68"/>
        <v>2.0123747083678156E-2</v>
      </c>
      <c r="HW23" s="213">
        <v>2026</v>
      </c>
      <c r="HX23" s="213">
        <f t="shared" si="69"/>
        <v>2.9005191700267119</v>
      </c>
      <c r="HY23" s="361">
        <f t="shared" si="70"/>
        <v>2.9005191700267118E-2</v>
      </c>
      <c r="IJ23" s="213">
        <v>2026</v>
      </c>
      <c r="IK23" s="213">
        <f t="shared" si="71"/>
        <v>1.4650036584814075</v>
      </c>
      <c r="IL23" s="361">
        <f t="shared" si="72"/>
        <v>-1.4650036584814074E-2</v>
      </c>
      <c r="IX23" s="213">
        <v>2026</v>
      </c>
      <c r="IY23" s="213">
        <f t="shared" si="73"/>
        <v>3.7114196259625487</v>
      </c>
      <c r="IZ23" s="361">
        <f t="shared" si="74"/>
        <v>-3.711419625962549E-2</v>
      </c>
      <c r="JJ23" s="213">
        <v>2026</v>
      </c>
      <c r="JK23" s="363">
        <f t="shared" ref="JK23:JK31" si="75">$JK$18+$JK$19*JJ23</f>
        <v>-4.0895238095288278E-2</v>
      </c>
      <c r="JL23" s="364" t="s">
        <v>718</v>
      </c>
      <c r="JV23" s="213">
        <v>2026</v>
      </c>
      <c r="JW23">
        <f t="shared" ref="JW23:JW31" si="76">$JW$18+$JW$19*JV23</f>
        <v>-261.70134523809611</v>
      </c>
    </row>
    <row r="24" spans="12:290" ht="15.75" customHeight="1" x14ac:dyDescent="0.25">
      <c r="L24" s="213">
        <v>2028</v>
      </c>
      <c r="M24" s="213">
        <f t="shared" si="53"/>
        <v>5.622541568864559</v>
      </c>
      <c r="N24" s="213">
        <f t="shared" si="38"/>
        <v>5.6225415688645593E-2</v>
      </c>
      <c r="O24" s="406">
        <f t="shared" si="54"/>
        <v>2.8112707844322796E-2</v>
      </c>
      <c r="Z24" s="213">
        <v>2028</v>
      </c>
      <c r="AA24" s="213">
        <f t="shared" si="39"/>
        <v>5.0516480274657027</v>
      </c>
      <c r="AB24" s="213">
        <f t="shared" si="40"/>
        <v>5.0516480274657029E-2</v>
      </c>
      <c r="AO24" s="213">
        <v>2028</v>
      </c>
      <c r="AP24" s="213">
        <f t="shared" si="41"/>
        <v>4.7000117119786324</v>
      </c>
      <c r="AQ24" s="361">
        <f t="shared" si="42"/>
        <v>4.7000117119786328E-2</v>
      </c>
      <c r="BC24" s="213">
        <v>2028</v>
      </c>
      <c r="BD24" s="213">
        <f t="shared" si="43"/>
        <v>4.3987330245171279</v>
      </c>
      <c r="BE24" s="361">
        <f t="shared" si="44"/>
        <v>4.3987330245171277E-2</v>
      </c>
      <c r="BT24" s="213">
        <v>2028</v>
      </c>
      <c r="BU24" s="213">
        <f t="shared" si="45"/>
        <v>4.2188139563682938</v>
      </c>
      <c r="BV24" s="361">
        <f t="shared" si="46"/>
        <v>4.218813956368294E-2</v>
      </c>
      <c r="CI24" s="213">
        <v>2028</v>
      </c>
      <c r="CJ24" s="213">
        <f t="shared" si="47"/>
        <v>2.6260907720342703</v>
      </c>
      <c r="CK24" s="361">
        <f t="shared" si="48"/>
        <v>2.6260907720342702E-2</v>
      </c>
      <c r="CX24" s="213">
        <v>2028</v>
      </c>
      <c r="CY24" s="213">
        <f t="shared" si="49"/>
        <v>2.3938920286679917</v>
      </c>
      <c r="CZ24" s="361">
        <f t="shared" si="50"/>
        <v>2.3938920286679918E-2</v>
      </c>
      <c r="DN24" s="213">
        <v>2028</v>
      </c>
      <c r="DO24" s="213">
        <f t="shared" si="51"/>
        <v>3.7894482465045769</v>
      </c>
      <c r="DP24" s="361">
        <f t="shared" si="52"/>
        <v>3.7894482465045766E-2</v>
      </c>
      <c r="ED24" s="213">
        <v>2027</v>
      </c>
      <c r="EE24" s="213">
        <f t="shared" si="55"/>
        <v>4.8926477155706039</v>
      </c>
      <c r="EF24" s="361">
        <f t="shared" si="56"/>
        <v>4.8926477155706041E-2</v>
      </c>
      <c r="EQ24" s="213">
        <v>2027</v>
      </c>
      <c r="ER24" s="213">
        <f t="shared" si="57"/>
        <v>4.1998339329564374</v>
      </c>
      <c r="ES24" s="361">
        <f t="shared" si="58"/>
        <v>4.1998339329564371E-2</v>
      </c>
      <c r="FE24" s="213">
        <v>2027</v>
      </c>
      <c r="FF24" s="213">
        <f t="shared" si="59"/>
        <v>4.0680419593594763</v>
      </c>
      <c r="FG24" s="361">
        <f t="shared" si="60"/>
        <v>4.0680419593594766E-2</v>
      </c>
      <c r="FS24" s="213">
        <v>2027</v>
      </c>
      <c r="FT24" s="213">
        <f t="shared" si="61"/>
        <v>4.7947918626601904</v>
      </c>
      <c r="FU24" s="361">
        <f t="shared" si="62"/>
        <v>4.7947918626601901E-2</v>
      </c>
      <c r="GF24" s="213">
        <v>2027</v>
      </c>
      <c r="GG24" s="213">
        <f t="shared" si="63"/>
        <v>3.7756953482355868</v>
      </c>
      <c r="GH24" s="361">
        <f t="shared" si="64"/>
        <v>3.7756953482355866E-2</v>
      </c>
      <c r="GS24" s="213">
        <v>2027</v>
      </c>
      <c r="GT24" s="213">
        <f t="shared" si="65"/>
        <v>3.1808227614367297</v>
      </c>
      <c r="GU24" s="361">
        <f t="shared" si="66"/>
        <v>3.1808227614367295E-2</v>
      </c>
      <c r="HH24" s="213">
        <v>2027</v>
      </c>
      <c r="HI24" s="213">
        <f t="shared" si="67"/>
        <v>1.6968125225922677</v>
      </c>
      <c r="HJ24" s="361">
        <f t="shared" si="68"/>
        <v>1.6968125225922677E-2</v>
      </c>
      <c r="HW24" s="213">
        <v>2027</v>
      </c>
      <c r="HX24" s="213">
        <f t="shared" si="69"/>
        <v>2.6794437403820552</v>
      </c>
      <c r="HY24" s="361">
        <f t="shared" si="70"/>
        <v>2.6794437403820551E-2</v>
      </c>
      <c r="IJ24" s="213">
        <v>2027</v>
      </c>
      <c r="IK24" s="213">
        <f t="shared" si="71"/>
        <v>1.3232749046746335</v>
      </c>
      <c r="IL24" s="361">
        <f t="shared" si="72"/>
        <v>-1.3232749046746334E-2</v>
      </c>
      <c r="IX24" s="213">
        <v>2027</v>
      </c>
      <c r="IY24" s="213">
        <f t="shared" si="73"/>
        <v>3.8255347069642482</v>
      </c>
      <c r="IZ24" s="361">
        <f t="shared" si="74"/>
        <v>-3.8255347069642481E-2</v>
      </c>
      <c r="JJ24" s="213">
        <v>2027</v>
      </c>
      <c r="JK24" s="361">
        <f t="shared" si="75"/>
        <v>-0.17577619047625603</v>
      </c>
      <c r="JL24" s="361"/>
      <c r="JV24" s="213">
        <v>2027</v>
      </c>
      <c r="JW24">
        <f t="shared" si="76"/>
        <v>-267.8792261904764</v>
      </c>
    </row>
    <row r="25" spans="12:290" ht="15.75" customHeight="1" x14ac:dyDescent="0.25">
      <c r="L25" s="213">
        <v>2029</v>
      </c>
      <c r="M25" s="213">
        <f t="shared" si="53"/>
        <v>5.6347632468527209</v>
      </c>
      <c r="N25" s="213">
        <f t="shared" si="38"/>
        <v>5.6347632468527212E-2</v>
      </c>
      <c r="O25" s="406">
        <f t="shared" si="54"/>
        <v>2.8173816234263606E-2</v>
      </c>
      <c r="Z25" s="213">
        <v>2029</v>
      </c>
      <c r="AA25" s="213">
        <f t="shared" si="39"/>
        <v>5.0105820000225805</v>
      </c>
      <c r="AB25" s="213">
        <f t="shared" si="40"/>
        <v>5.0105820000225808E-2</v>
      </c>
      <c r="AO25" s="213">
        <v>2029</v>
      </c>
      <c r="AP25" s="213">
        <f t="shared" si="41"/>
        <v>4.6700680620114241</v>
      </c>
      <c r="AQ25" s="361">
        <f t="shared" si="42"/>
        <v>4.6700680620114239E-2</v>
      </c>
      <c r="BC25" s="213">
        <v>2029</v>
      </c>
      <c r="BD25" s="213">
        <f t="shared" si="43"/>
        <v>4.3366562151069701</v>
      </c>
      <c r="BE25" s="361">
        <f t="shared" si="44"/>
        <v>4.3366562151069703E-2</v>
      </c>
      <c r="BT25" s="213">
        <v>2029</v>
      </c>
      <c r="BU25" s="213">
        <f t="shared" si="45"/>
        <v>4.2515884727252029</v>
      </c>
      <c r="BV25" s="361">
        <f t="shared" si="46"/>
        <v>4.2515884727252026E-2</v>
      </c>
      <c r="CI25" s="213">
        <v>2029</v>
      </c>
      <c r="CJ25" s="213">
        <f t="shared" si="47"/>
        <v>2.6290784437749797</v>
      </c>
      <c r="CK25" s="361">
        <f t="shared" si="48"/>
        <v>2.6290784437749796E-2</v>
      </c>
      <c r="CX25" s="213">
        <v>2029</v>
      </c>
      <c r="CY25" s="213">
        <f t="shared" si="49"/>
        <v>2.4065822952936102</v>
      </c>
      <c r="CZ25" s="361">
        <f t="shared" si="50"/>
        <v>2.4065822952936102E-2</v>
      </c>
      <c r="DN25" s="213">
        <v>2029</v>
      </c>
      <c r="DO25" s="213">
        <f t="shared" si="51"/>
        <v>3.8385747782955235</v>
      </c>
      <c r="DP25" s="361">
        <f t="shared" si="52"/>
        <v>3.8385747782955233E-2</v>
      </c>
      <c r="ED25" s="213">
        <v>2028</v>
      </c>
      <c r="EE25" s="213">
        <f t="shared" si="55"/>
        <v>5.0074349638756814</v>
      </c>
      <c r="EF25" s="361">
        <f t="shared" si="56"/>
        <v>5.0074349638756815E-2</v>
      </c>
      <c r="EQ25" s="213">
        <v>2028</v>
      </c>
      <c r="ER25" s="213">
        <f t="shared" si="57"/>
        <v>4.1896075618810471</v>
      </c>
      <c r="ES25" s="361">
        <f t="shared" si="58"/>
        <v>4.1896075618810473E-2</v>
      </c>
      <c r="FE25" s="213">
        <v>2028</v>
      </c>
      <c r="FF25" s="213">
        <f t="shared" si="59"/>
        <v>4.1792408377241088</v>
      </c>
      <c r="FG25" s="361">
        <f t="shared" si="60"/>
        <v>4.1792408377241089E-2</v>
      </c>
      <c r="FS25" s="213">
        <v>2028</v>
      </c>
      <c r="FT25" s="213">
        <f t="shared" si="61"/>
        <v>4.9853521457316106</v>
      </c>
      <c r="FU25" s="361">
        <f t="shared" si="62"/>
        <v>4.9853521457316106E-2</v>
      </c>
      <c r="GF25" s="213">
        <v>2028</v>
      </c>
      <c r="GG25" s="213">
        <f t="shared" si="63"/>
        <v>3.867058130584212</v>
      </c>
      <c r="GH25" s="361">
        <f t="shared" si="64"/>
        <v>3.8670581305842118E-2</v>
      </c>
      <c r="GS25" s="213">
        <v>2028</v>
      </c>
      <c r="GT25" s="213">
        <f t="shared" si="65"/>
        <v>3.3421856900345688</v>
      </c>
      <c r="GU25" s="361">
        <f t="shared" si="66"/>
        <v>3.3421856900345687E-2</v>
      </c>
      <c r="HH25" s="213">
        <v>2028</v>
      </c>
      <c r="HI25" s="213">
        <f t="shared" si="67"/>
        <v>1.3812503368166063</v>
      </c>
      <c r="HJ25" s="361">
        <f t="shared" si="68"/>
        <v>1.3812503368166062E-2</v>
      </c>
      <c r="HW25" s="213">
        <v>2028</v>
      </c>
      <c r="HX25" s="213">
        <f t="shared" si="69"/>
        <v>2.4583683107373417</v>
      </c>
      <c r="HY25" s="361">
        <f t="shared" si="70"/>
        <v>2.4583683107373418E-2</v>
      </c>
      <c r="IJ25" s="213">
        <v>2028</v>
      </c>
      <c r="IK25" s="213">
        <f t="shared" si="71"/>
        <v>1.1815461508678595</v>
      </c>
      <c r="IL25" s="361">
        <f t="shared" si="72"/>
        <v>-1.1815461508678595E-2</v>
      </c>
      <c r="IX25" s="213">
        <v>2028</v>
      </c>
      <c r="IY25" s="213">
        <f t="shared" si="73"/>
        <v>3.9396497879659478</v>
      </c>
      <c r="IZ25" s="361">
        <f t="shared" si="74"/>
        <v>-3.939649787965948E-2</v>
      </c>
      <c r="JJ25" s="213">
        <v>2028</v>
      </c>
      <c r="JK25" s="361">
        <f t="shared" si="75"/>
        <v>-0.31065714285716695</v>
      </c>
      <c r="JL25" s="361"/>
      <c r="JV25" s="213">
        <v>2028</v>
      </c>
      <c r="JW25">
        <f t="shared" si="76"/>
        <v>-274.05710714285851</v>
      </c>
    </row>
    <row r="26" spans="12:290" ht="15.75" customHeight="1" x14ac:dyDescent="0.25">
      <c r="L26" s="213">
        <v>2030</v>
      </c>
      <c r="M26" s="213">
        <f t="shared" si="53"/>
        <v>5.6469849248408863</v>
      </c>
      <c r="N26" s="213">
        <f t="shared" si="38"/>
        <v>5.6469849248408865E-2</v>
      </c>
      <c r="O26" s="406">
        <f t="shared" si="54"/>
        <v>2.8234924624204433E-2</v>
      </c>
      <c r="Z26" s="213">
        <v>2030</v>
      </c>
      <c r="AA26" s="213">
        <f t="shared" si="39"/>
        <v>4.969515972579444</v>
      </c>
      <c r="AB26" s="213">
        <f t="shared" si="40"/>
        <v>4.9695159725794441E-2</v>
      </c>
      <c r="AO26" s="213">
        <v>2030</v>
      </c>
      <c r="AP26" s="213">
        <f t="shared" si="41"/>
        <v>4.6401244120442158</v>
      </c>
      <c r="AQ26" s="361">
        <f t="shared" si="42"/>
        <v>4.6401244120442157E-2</v>
      </c>
      <c r="BC26" s="213">
        <v>2030</v>
      </c>
      <c r="BD26" s="213">
        <f t="shared" si="43"/>
        <v>4.2745794056968123</v>
      </c>
      <c r="BE26" s="361">
        <f t="shared" si="44"/>
        <v>4.2745794056968121E-2</v>
      </c>
      <c r="BT26" s="213">
        <v>2030</v>
      </c>
      <c r="BU26" s="213">
        <f t="shared" si="45"/>
        <v>4.284362989082112</v>
      </c>
      <c r="BV26" s="361">
        <f t="shared" si="46"/>
        <v>4.2843629890821119E-2</v>
      </c>
      <c r="CI26" s="213">
        <v>2030</v>
      </c>
      <c r="CJ26" s="213">
        <f t="shared" si="47"/>
        <v>2.6320661155156899</v>
      </c>
      <c r="CK26" s="361">
        <f t="shared" si="48"/>
        <v>2.63206611551569E-2</v>
      </c>
      <c r="CX26" s="213">
        <v>2030</v>
      </c>
      <c r="CY26" s="213">
        <f t="shared" si="49"/>
        <v>2.4192725619192323</v>
      </c>
      <c r="CZ26" s="361">
        <f t="shared" si="50"/>
        <v>2.4192725619192324E-2</v>
      </c>
      <c r="DN26" s="213">
        <v>2030</v>
      </c>
      <c r="DO26" s="213">
        <f t="shared" si="51"/>
        <v>3.8877013100864843</v>
      </c>
      <c r="DP26" s="361">
        <f t="shared" si="52"/>
        <v>3.8877013100864846E-2</v>
      </c>
      <c r="ED26" s="213">
        <v>2029</v>
      </c>
      <c r="EE26" s="213">
        <f t="shared" si="55"/>
        <v>5.1222222121807306</v>
      </c>
      <c r="EF26" s="361">
        <f t="shared" si="56"/>
        <v>5.1222222121807305E-2</v>
      </c>
      <c r="EQ26" s="213">
        <v>2029</v>
      </c>
      <c r="ER26" s="213">
        <f t="shared" si="57"/>
        <v>4.1793811908056568</v>
      </c>
      <c r="ES26" s="361">
        <f t="shared" si="58"/>
        <v>4.1793811908056568E-2</v>
      </c>
      <c r="FE26" s="213">
        <v>2029</v>
      </c>
      <c r="FF26" s="213">
        <f t="shared" si="59"/>
        <v>4.2904397160887413</v>
      </c>
      <c r="FG26" s="361">
        <f t="shared" si="60"/>
        <v>4.2904397160887411E-2</v>
      </c>
      <c r="FS26" s="213">
        <v>2029</v>
      </c>
      <c r="FT26" s="213">
        <f t="shared" si="61"/>
        <v>5.1759124288030307</v>
      </c>
      <c r="FU26" s="361">
        <f t="shared" si="62"/>
        <v>5.1759124288030305E-2</v>
      </c>
      <c r="GF26" s="213">
        <v>2029</v>
      </c>
      <c r="GG26" s="213">
        <f t="shared" si="63"/>
        <v>3.9584209129328656</v>
      </c>
      <c r="GH26" s="361">
        <f t="shared" si="64"/>
        <v>3.9584209129328654E-2</v>
      </c>
      <c r="GS26" s="213">
        <v>2029</v>
      </c>
      <c r="GT26" s="213">
        <f t="shared" si="65"/>
        <v>3.5035486186324079</v>
      </c>
      <c r="GU26" s="361">
        <f t="shared" si="66"/>
        <v>3.5035486186324079E-2</v>
      </c>
      <c r="HH26" s="213">
        <v>2029</v>
      </c>
      <c r="HI26" s="213">
        <f t="shared" si="67"/>
        <v>1.0656881510409448</v>
      </c>
      <c r="HJ26" s="361">
        <f t="shared" si="68"/>
        <v>1.0656881510409449E-2</v>
      </c>
      <c r="HW26" s="213">
        <v>2029</v>
      </c>
      <c r="HX26" s="213">
        <f t="shared" si="69"/>
        <v>2.2372928810926282</v>
      </c>
      <c r="HY26" s="361">
        <f t="shared" si="70"/>
        <v>2.2372928810926281E-2</v>
      </c>
      <c r="IJ26" s="213">
        <v>2029</v>
      </c>
      <c r="IK26" s="213">
        <f t="shared" si="71"/>
        <v>1.0398173970610856</v>
      </c>
      <c r="IL26" s="361">
        <f t="shared" si="72"/>
        <v>-1.0398173970610856E-2</v>
      </c>
      <c r="IX26" s="213">
        <v>2029</v>
      </c>
      <c r="IY26" s="213">
        <f t="shared" si="73"/>
        <v>4.0537648689676757</v>
      </c>
      <c r="IZ26" s="361">
        <f t="shared" si="74"/>
        <v>-4.0537648689676756E-2</v>
      </c>
      <c r="JJ26" s="213">
        <v>2029</v>
      </c>
      <c r="JK26" s="361">
        <f t="shared" si="75"/>
        <v>-0.4455380952381347</v>
      </c>
      <c r="JL26" s="361"/>
      <c r="JV26" s="213">
        <v>2029</v>
      </c>
      <c r="JW26">
        <f t="shared" si="76"/>
        <v>-280.2349880952388</v>
      </c>
    </row>
    <row r="27" spans="12:290" ht="15.75" customHeight="1" x14ac:dyDescent="0.25">
      <c r="L27" s="213">
        <v>2031</v>
      </c>
      <c r="M27" s="213">
        <f t="shared" si="53"/>
        <v>5.6592066028290517</v>
      </c>
      <c r="N27" s="213">
        <f t="shared" si="38"/>
        <v>5.6592066028290519E-2</v>
      </c>
      <c r="O27" s="406">
        <f t="shared" si="54"/>
        <v>2.829603301414526E-2</v>
      </c>
      <c r="Z27" s="213">
        <v>2031</v>
      </c>
      <c r="AA27" s="213">
        <f t="shared" si="39"/>
        <v>4.9284499451363075</v>
      </c>
      <c r="AB27" s="213">
        <f t="shared" si="40"/>
        <v>4.9284499451363074E-2</v>
      </c>
      <c r="AO27" s="213">
        <v>2031</v>
      </c>
      <c r="AP27" s="213">
        <f t="shared" si="41"/>
        <v>4.6101807620770074</v>
      </c>
      <c r="AQ27" s="361">
        <f t="shared" si="42"/>
        <v>4.6101807620770076E-2</v>
      </c>
      <c r="BC27" s="213">
        <v>2031</v>
      </c>
      <c r="BD27" s="213">
        <f t="shared" si="43"/>
        <v>4.2125025962866687</v>
      </c>
      <c r="BE27" s="361">
        <f t="shared" si="44"/>
        <v>4.2125025962866686E-2</v>
      </c>
      <c r="BT27" s="213">
        <v>2031</v>
      </c>
      <c r="BU27" s="213">
        <f t="shared" si="45"/>
        <v>4.3171375054390211</v>
      </c>
      <c r="BV27" s="361">
        <f t="shared" si="46"/>
        <v>4.3171375054390213E-2</v>
      </c>
      <c r="CI27" s="213">
        <v>2031</v>
      </c>
      <c r="CJ27" s="213">
        <f t="shared" si="47"/>
        <v>2.6350537872563993</v>
      </c>
      <c r="CK27" s="361">
        <f t="shared" si="48"/>
        <v>2.6350537872563994E-2</v>
      </c>
      <c r="CX27" s="213">
        <v>2031</v>
      </c>
      <c r="CY27" s="213">
        <f t="shared" si="49"/>
        <v>2.4319628285448509</v>
      </c>
      <c r="CZ27" s="361">
        <f t="shared" si="50"/>
        <v>2.4319628285448508E-2</v>
      </c>
      <c r="DN27" s="213">
        <v>2031</v>
      </c>
      <c r="DO27" s="213">
        <f t="shared" si="51"/>
        <v>3.936827841877431</v>
      </c>
      <c r="DP27" s="361">
        <f t="shared" si="52"/>
        <v>3.9368278418774307E-2</v>
      </c>
      <c r="ED27" s="213">
        <v>2030</v>
      </c>
      <c r="EE27" s="213">
        <f t="shared" si="55"/>
        <v>5.2370094604858082</v>
      </c>
      <c r="EF27" s="361">
        <f t="shared" si="56"/>
        <v>5.2370094604858079E-2</v>
      </c>
      <c r="EQ27" s="213">
        <v>2030</v>
      </c>
      <c r="ER27" s="213">
        <f t="shared" si="57"/>
        <v>4.1691548197302666</v>
      </c>
      <c r="ES27" s="361">
        <f t="shared" si="58"/>
        <v>4.1691548197302669E-2</v>
      </c>
      <c r="FE27" s="213">
        <v>2030</v>
      </c>
      <c r="FF27" s="213">
        <f t="shared" si="59"/>
        <v>4.4016385944533738</v>
      </c>
      <c r="FG27" s="361">
        <f t="shared" si="60"/>
        <v>4.4016385944533741E-2</v>
      </c>
      <c r="FS27" s="213">
        <v>2030</v>
      </c>
      <c r="FT27" s="213">
        <f t="shared" si="61"/>
        <v>5.366472711874394</v>
      </c>
      <c r="FU27" s="361">
        <f t="shared" si="62"/>
        <v>5.3664727118743941E-2</v>
      </c>
      <c r="GF27" s="213">
        <v>2030</v>
      </c>
      <c r="GG27" s="213">
        <f t="shared" si="63"/>
        <v>4.0497836952815192</v>
      </c>
      <c r="GH27" s="361">
        <f t="shared" si="64"/>
        <v>4.049783695281519E-2</v>
      </c>
      <c r="GS27" s="213">
        <v>2030</v>
      </c>
      <c r="GT27" s="213">
        <f t="shared" si="65"/>
        <v>3.6649115472302469</v>
      </c>
      <c r="GU27" s="361">
        <f t="shared" si="66"/>
        <v>3.6649115472302471E-2</v>
      </c>
      <c r="HH27" s="213">
        <v>2030</v>
      </c>
      <c r="HI27" s="213">
        <f t="shared" si="67"/>
        <v>0.7501259652653971</v>
      </c>
      <c r="HJ27" s="361">
        <f t="shared" si="68"/>
        <v>7.5012596526539714E-3</v>
      </c>
      <c r="HW27" s="213">
        <v>2030</v>
      </c>
      <c r="HX27" s="213">
        <f t="shared" si="69"/>
        <v>2.0162174514479148</v>
      </c>
      <c r="HY27" s="361">
        <f t="shared" si="70"/>
        <v>2.0162174514479148E-2</v>
      </c>
      <c r="IJ27" s="213">
        <v>2030</v>
      </c>
      <c r="IK27" s="213">
        <f t="shared" si="71"/>
        <v>0.89808864325431159</v>
      </c>
      <c r="IL27" s="361">
        <f t="shared" si="72"/>
        <v>-8.9808864325431163E-3</v>
      </c>
      <c r="IX27" s="213">
        <v>2030</v>
      </c>
      <c r="IY27" s="213">
        <f t="shared" si="73"/>
        <v>4.1678799499693753</v>
      </c>
      <c r="IZ27" s="361">
        <f t="shared" si="74"/>
        <v>-4.1678799499693754E-2</v>
      </c>
      <c r="JJ27" s="213">
        <v>2030</v>
      </c>
      <c r="JK27" s="361">
        <f t="shared" si="75"/>
        <v>-0.58041904761910246</v>
      </c>
      <c r="JL27" s="361"/>
      <c r="JV27" s="213">
        <v>2030</v>
      </c>
      <c r="JW27">
        <f t="shared" si="76"/>
        <v>-286.4128690476191</v>
      </c>
    </row>
    <row r="28" spans="12:290" ht="15.75" customHeight="1" x14ac:dyDescent="0.25">
      <c r="L28" s="213">
        <v>2032</v>
      </c>
      <c r="M28" s="213">
        <f t="shared" si="53"/>
        <v>5.6714282808172136</v>
      </c>
      <c r="N28" s="213">
        <f t="shared" si="38"/>
        <v>5.6714282808172138E-2</v>
      </c>
      <c r="O28" s="406">
        <f t="shared" si="54"/>
        <v>2.8357141404086069E-2</v>
      </c>
      <c r="Z28" s="213">
        <v>2032</v>
      </c>
      <c r="AA28" s="213">
        <f t="shared" si="39"/>
        <v>4.887383917693171</v>
      </c>
      <c r="AB28" s="213">
        <f t="shared" si="40"/>
        <v>4.8873839176931708E-2</v>
      </c>
      <c r="AO28" s="213">
        <v>2032</v>
      </c>
      <c r="AP28" s="213">
        <f t="shared" si="41"/>
        <v>4.5802371121097991</v>
      </c>
      <c r="AQ28" s="361">
        <f t="shared" si="42"/>
        <v>4.5802371121097994E-2</v>
      </c>
      <c r="BC28" s="213">
        <v>2032</v>
      </c>
      <c r="BD28" s="213">
        <f t="shared" si="43"/>
        <v>4.1504257868765109</v>
      </c>
      <c r="BE28" s="361">
        <f t="shared" si="44"/>
        <v>4.1504257868765111E-2</v>
      </c>
      <c r="BT28" s="213">
        <v>2032</v>
      </c>
      <c r="BU28" s="213">
        <f t="shared" si="45"/>
        <v>4.3499120217959302</v>
      </c>
      <c r="BV28" s="361">
        <f t="shared" si="46"/>
        <v>4.3499120217959299E-2</v>
      </c>
      <c r="CI28" s="213">
        <v>2032</v>
      </c>
      <c r="CJ28" s="213">
        <f t="shared" si="47"/>
        <v>2.6380414589971086</v>
      </c>
      <c r="CK28" s="361">
        <f t="shared" si="48"/>
        <v>2.6380414589971087E-2</v>
      </c>
      <c r="CX28" s="213">
        <v>2032</v>
      </c>
      <c r="CY28" s="213">
        <f t="shared" si="49"/>
        <v>2.444653095170473</v>
      </c>
      <c r="CZ28" s="361">
        <f t="shared" si="50"/>
        <v>2.444653095170473E-2</v>
      </c>
      <c r="DN28" s="213">
        <v>2032</v>
      </c>
      <c r="DO28" s="213">
        <f t="shared" si="51"/>
        <v>3.9859543736683776</v>
      </c>
      <c r="DP28" s="361">
        <f t="shared" si="52"/>
        <v>3.9859543736683774E-2</v>
      </c>
      <c r="ED28" s="213">
        <v>2031</v>
      </c>
      <c r="EE28" s="213">
        <f t="shared" si="55"/>
        <v>5.3517967087908858</v>
      </c>
      <c r="EF28" s="361">
        <f t="shared" si="56"/>
        <v>5.351796708790886E-2</v>
      </c>
      <c r="EQ28" s="213">
        <v>2031</v>
      </c>
      <c r="ER28" s="213">
        <f t="shared" si="57"/>
        <v>4.1589284486548763</v>
      </c>
      <c r="ES28" s="361">
        <f t="shared" si="58"/>
        <v>4.1589284486548764E-2</v>
      </c>
      <c r="FE28" s="213">
        <v>2031</v>
      </c>
      <c r="FF28" s="213">
        <f t="shared" si="59"/>
        <v>4.5128374728180063</v>
      </c>
      <c r="FG28" s="361">
        <f t="shared" si="60"/>
        <v>4.5128374728180064E-2</v>
      </c>
      <c r="FS28" s="213">
        <v>2031</v>
      </c>
      <c r="FT28" s="213">
        <f t="shared" si="61"/>
        <v>5.5570329949458142</v>
      </c>
      <c r="FU28" s="361">
        <f t="shared" si="62"/>
        <v>5.5570329949458139E-2</v>
      </c>
      <c r="GF28" s="213">
        <v>2031</v>
      </c>
      <c r="GG28" s="213">
        <f t="shared" si="63"/>
        <v>4.1411464776301443</v>
      </c>
      <c r="GH28" s="361">
        <f t="shared" si="64"/>
        <v>4.1411464776301442E-2</v>
      </c>
      <c r="GS28" s="213">
        <v>2031</v>
      </c>
      <c r="GT28" s="213">
        <f t="shared" si="65"/>
        <v>3.826274475828086</v>
      </c>
      <c r="GU28" s="361">
        <f t="shared" si="66"/>
        <v>3.8262744758280863E-2</v>
      </c>
      <c r="HH28" s="213">
        <v>2031</v>
      </c>
      <c r="HI28" s="213">
        <f t="shared" si="67"/>
        <v>0.43456377948973568</v>
      </c>
      <c r="HJ28" s="361">
        <f t="shared" si="68"/>
        <v>4.3456377948973566E-3</v>
      </c>
      <c r="HW28" s="213">
        <v>2031</v>
      </c>
      <c r="HX28" s="213">
        <f t="shared" si="69"/>
        <v>1.7951420218032581</v>
      </c>
      <c r="HY28" s="361">
        <f t="shared" si="70"/>
        <v>1.7951420218032581E-2</v>
      </c>
      <c r="IJ28" s="213">
        <v>2031</v>
      </c>
      <c r="IK28" s="213">
        <f t="shared" si="71"/>
        <v>0.75635988944753763</v>
      </c>
      <c r="IL28" s="361">
        <f t="shared" si="72"/>
        <v>-7.5635988944753761E-3</v>
      </c>
      <c r="IX28" s="213">
        <v>2031</v>
      </c>
      <c r="IY28" s="213">
        <f t="shared" si="73"/>
        <v>4.2819950309710748</v>
      </c>
      <c r="IZ28" s="361">
        <f t="shared" si="74"/>
        <v>-4.2819950309710746E-2</v>
      </c>
      <c r="JJ28" s="213">
        <v>2031</v>
      </c>
      <c r="JK28" s="361">
        <f t="shared" si="75"/>
        <v>-0.71530000000007021</v>
      </c>
      <c r="JL28" s="361"/>
      <c r="JV28" s="213">
        <v>2031</v>
      </c>
      <c r="JW28">
        <f t="shared" si="76"/>
        <v>-292.59075000000121</v>
      </c>
    </row>
    <row r="29" spans="12:290" ht="15.75" customHeight="1" x14ac:dyDescent="0.25">
      <c r="L29" s="213">
        <v>2033</v>
      </c>
      <c r="M29" s="213">
        <f t="shared" si="53"/>
        <v>5.683649958805379</v>
      </c>
      <c r="N29" s="213">
        <f t="shared" si="38"/>
        <v>5.6836499588053792E-2</v>
      </c>
      <c r="O29" s="406">
        <f t="shared" si="54"/>
        <v>2.8418249794026896E-2</v>
      </c>
      <c r="Z29" s="213">
        <v>2033</v>
      </c>
      <c r="AA29" s="213">
        <f t="shared" si="39"/>
        <v>4.8463178902500346</v>
      </c>
      <c r="AB29" s="213">
        <f t="shared" si="40"/>
        <v>4.8463178902500348E-2</v>
      </c>
      <c r="AO29" s="213">
        <v>2033</v>
      </c>
      <c r="AP29" s="213">
        <f t="shared" si="41"/>
        <v>4.5502934621425908</v>
      </c>
      <c r="AQ29" s="361">
        <f t="shared" si="42"/>
        <v>4.5502934621425906E-2</v>
      </c>
      <c r="BC29" s="213">
        <v>2033</v>
      </c>
      <c r="BD29" s="213">
        <f t="shared" si="43"/>
        <v>4.0883489774663531</v>
      </c>
      <c r="BE29" s="361">
        <f t="shared" si="44"/>
        <v>4.088348977466353E-2</v>
      </c>
      <c r="BT29" s="213">
        <v>2033</v>
      </c>
      <c r="BU29" s="213">
        <f t="shared" si="45"/>
        <v>4.3826865381528393</v>
      </c>
      <c r="BV29" s="361">
        <f t="shared" si="46"/>
        <v>4.3826865381528392E-2</v>
      </c>
      <c r="CI29" s="213">
        <v>2033</v>
      </c>
      <c r="CJ29" s="213">
        <f t="shared" si="47"/>
        <v>2.6410291307378189</v>
      </c>
      <c r="CK29" s="361">
        <f t="shared" si="48"/>
        <v>2.6410291307378188E-2</v>
      </c>
      <c r="CX29" s="213">
        <v>2033</v>
      </c>
      <c r="CY29" s="213">
        <f t="shared" si="49"/>
        <v>2.4573433617960916</v>
      </c>
      <c r="CZ29" s="361">
        <f t="shared" si="50"/>
        <v>2.4573433617960917E-2</v>
      </c>
      <c r="DN29" s="213">
        <v>2033</v>
      </c>
      <c r="DO29" s="213">
        <f t="shared" si="51"/>
        <v>4.0350809054593384</v>
      </c>
      <c r="DP29" s="361">
        <f t="shared" si="52"/>
        <v>4.0350809054593387E-2</v>
      </c>
      <c r="ED29" s="213">
        <v>2032</v>
      </c>
      <c r="EE29" s="213">
        <f t="shared" si="55"/>
        <v>5.4665839570959633</v>
      </c>
      <c r="EF29" s="361">
        <f t="shared" si="56"/>
        <v>5.4665839570959635E-2</v>
      </c>
      <c r="EQ29" s="213">
        <v>2032</v>
      </c>
      <c r="ER29" s="213">
        <f t="shared" si="57"/>
        <v>4.1487020775794861</v>
      </c>
      <c r="ES29" s="361">
        <f t="shared" si="58"/>
        <v>4.1487020775794858E-2</v>
      </c>
      <c r="FE29" s="213">
        <v>2032</v>
      </c>
      <c r="FF29" s="213">
        <f t="shared" si="59"/>
        <v>4.6240363511826388</v>
      </c>
      <c r="FG29" s="361">
        <f t="shared" si="60"/>
        <v>4.6240363511826386E-2</v>
      </c>
      <c r="FS29" s="213">
        <v>2032</v>
      </c>
      <c r="FT29" s="213">
        <f t="shared" si="61"/>
        <v>5.7475932780172343</v>
      </c>
      <c r="FU29" s="361">
        <f t="shared" si="62"/>
        <v>5.7475932780172344E-2</v>
      </c>
      <c r="GF29" s="213">
        <v>2032</v>
      </c>
      <c r="GG29" s="213">
        <f t="shared" si="63"/>
        <v>4.2325092599787979</v>
      </c>
      <c r="GH29" s="361">
        <f t="shared" si="64"/>
        <v>4.2325092599787978E-2</v>
      </c>
      <c r="GS29" s="213">
        <v>2032</v>
      </c>
      <c r="GT29" s="213">
        <f t="shared" si="65"/>
        <v>3.9876374044259251</v>
      </c>
      <c r="GU29" s="361">
        <f t="shared" si="66"/>
        <v>3.9876374044259248E-2</v>
      </c>
      <c r="HH29" s="213">
        <v>2032</v>
      </c>
      <c r="HI29" s="213">
        <f t="shared" si="67"/>
        <v>0.11900159371407426</v>
      </c>
      <c r="HJ29" s="361">
        <f t="shared" si="68"/>
        <v>1.1900159371407426E-3</v>
      </c>
      <c r="HW29" s="213">
        <v>2032</v>
      </c>
      <c r="HX29" s="213">
        <f t="shared" si="69"/>
        <v>1.5740665921585446</v>
      </c>
      <c r="HY29" s="361">
        <f t="shared" si="70"/>
        <v>1.5740665921585448E-2</v>
      </c>
      <c r="IJ29" s="213">
        <v>2032</v>
      </c>
      <c r="IK29" s="213">
        <f t="shared" si="71"/>
        <v>0.61463113564076366</v>
      </c>
      <c r="IL29" s="361">
        <f t="shared" si="72"/>
        <v>-6.1463113564076367E-3</v>
      </c>
      <c r="IX29" s="213">
        <v>2032</v>
      </c>
      <c r="IY29" s="213">
        <f t="shared" si="73"/>
        <v>4.3961101119727743</v>
      </c>
      <c r="IZ29" s="361">
        <f t="shared" si="74"/>
        <v>-4.3961101119727744E-2</v>
      </c>
      <c r="JJ29" s="213">
        <v>2032</v>
      </c>
      <c r="JK29" s="361">
        <f t="shared" si="75"/>
        <v>-0.85018095238098113</v>
      </c>
      <c r="JL29" s="361"/>
      <c r="JV29" s="213">
        <v>2032</v>
      </c>
      <c r="JW29">
        <f t="shared" si="76"/>
        <v>-298.7686309523815</v>
      </c>
    </row>
    <row r="30" spans="12:290" ht="15.75" customHeight="1" x14ac:dyDescent="0.25">
      <c r="L30" s="213">
        <v>2034</v>
      </c>
      <c r="M30" s="213">
        <f t="shared" si="53"/>
        <v>5.6958716367935445</v>
      </c>
      <c r="N30" s="213">
        <f t="shared" si="38"/>
        <v>5.6958716367935446E-2</v>
      </c>
      <c r="O30" s="406">
        <f t="shared" si="54"/>
        <v>2.8479358183967723E-2</v>
      </c>
      <c r="Z30" s="213">
        <v>2034</v>
      </c>
      <c r="AA30" s="213">
        <f t="shared" si="39"/>
        <v>4.8052518628068981</v>
      </c>
      <c r="AB30" s="213">
        <f t="shared" si="40"/>
        <v>4.8052518628068981E-2</v>
      </c>
      <c r="AO30" s="213">
        <v>2034</v>
      </c>
      <c r="AP30" s="213">
        <f t="shared" si="41"/>
        <v>4.5203498121753896</v>
      </c>
      <c r="AQ30" s="361">
        <f t="shared" si="42"/>
        <v>4.5203498121753893E-2</v>
      </c>
      <c r="BC30" s="213">
        <v>2034</v>
      </c>
      <c r="BD30" s="213">
        <f t="shared" si="43"/>
        <v>4.0262721680561953</v>
      </c>
      <c r="BE30" s="361">
        <f t="shared" si="44"/>
        <v>4.0262721680561955E-2</v>
      </c>
      <c r="BT30" s="213">
        <v>2034</v>
      </c>
      <c r="BU30" s="213">
        <f t="shared" si="45"/>
        <v>4.4154610545097484</v>
      </c>
      <c r="BV30" s="361">
        <f t="shared" si="46"/>
        <v>4.4154610545097485E-2</v>
      </c>
      <c r="CI30" s="213">
        <v>2034</v>
      </c>
      <c r="CJ30" s="213">
        <f t="shared" si="47"/>
        <v>2.6440168024785282</v>
      </c>
      <c r="CK30" s="361">
        <f t="shared" si="48"/>
        <v>2.6440168024785281E-2</v>
      </c>
      <c r="CX30" s="213">
        <v>2034</v>
      </c>
      <c r="CY30" s="213">
        <f t="shared" si="49"/>
        <v>2.4700336284217101</v>
      </c>
      <c r="CZ30" s="361">
        <f t="shared" si="50"/>
        <v>2.4700336284217101E-2</v>
      </c>
      <c r="DN30" s="213">
        <v>2034</v>
      </c>
      <c r="DO30" s="213">
        <f t="shared" si="51"/>
        <v>4.084207437250285</v>
      </c>
      <c r="DP30" s="361">
        <f t="shared" si="52"/>
        <v>4.0842074372502847E-2</v>
      </c>
      <c r="ED30" s="213">
        <v>2033</v>
      </c>
      <c r="EE30" s="213">
        <f t="shared" si="55"/>
        <v>5.5813712054010409</v>
      </c>
      <c r="EF30" s="361">
        <f t="shared" si="56"/>
        <v>5.5813712054010409E-2</v>
      </c>
      <c r="EQ30" s="213">
        <v>2033</v>
      </c>
      <c r="ER30" s="213">
        <f t="shared" si="57"/>
        <v>4.1384757065040958</v>
      </c>
      <c r="ES30" s="361">
        <f t="shared" si="58"/>
        <v>4.138475706504096E-2</v>
      </c>
      <c r="FE30" s="213">
        <v>2033</v>
      </c>
      <c r="FF30" s="213">
        <f t="shared" si="59"/>
        <v>4.7352352295472429</v>
      </c>
      <c r="FG30" s="361">
        <f t="shared" si="60"/>
        <v>4.7352352295472432E-2</v>
      </c>
      <c r="FS30" s="213">
        <v>2033</v>
      </c>
      <c r="FT30" s="213">
        <f t="shared" si="61"/>
        <v>5.9381535610886544</v>
      </c>
      <c r="FU30" s="361">
        <f t="shared" si="62"/>
        <v>5.9381535610886542E-2</v>
      </c>
      <c r="GF30" s="213">
        <v>2033</v>
      </c>
      <c r="GG30" s="213">
        <f t="shared" si="63"/>
        <v>4.3238720423274231</v>
      </c>
      <c r="GH30" s="361">
        <f t="shared" si="64"/>
        <v>4.3238720423274229E-2</v>
      </c>
      <c r="GS30" s="213">
        <v>2033</v>
      </c>
      <c r="GT30" s="213">
        <f t="shared" si="65"/>
        <v>4.1490003330237641</v>
      </c>
      <c r="GU30" s="361">
        <f t="shared" si="66"/>
        <v>4.149000333023764E-2</v>
      </c>
      <c r="HH30" s="213">
        <v>2033</v>
      </c>
      <c r="HI30" s="213">
        <f t="shared" si="67"/>
        <v>-0.19656059206147347</v>
      </c>
      <c r="HJ30" s="361">
        <f t="shared" si="68"/>
        <v>-1.9656059206147347E-3</v>
      </c>
      <c r="HW30" s="213">
        <v>2033</v>
      </c>
      <c r="HX30" s="213">
        <f t="shared" si="69"/>
        <v>1.3529911625138311</v>
      </c>
      <c r="HY30" s="361">
        <f t="shared" si="70"/>
        <v>1.3529911625138311E-2</v>
      </c>
      <c r="IJ30" s="213">
        <v>2033</v>
      </c>
      <c r="IK30" s="213">
        <f t="shared" si="71"/>
        <v>0.47290238183398969</v>
      </c>
      <c r="IL30" s="361">
        <f t="shared" si="72"/>
        <v>-4.7290238183398973E-3</v>
      </c>
      <c r="IX30" s="213">
        <v>2033</v>
      </c>
      <c r="IY30" s="213">
        <f t="shared" si="73"/>
        <v>4.5102251929744739</v>
      </c>
      <c r="IZ30" s="361">
        <f t="shared" si="74"/>
        <v>-4.5102251929744736E-2</v>
      </c>
      <c r="JJ30" s="213">
        <v>2033</v>
      </c>
      <c r="JK30" s="361">
        <f t="shared" si="75"/>
        <v>-0.98506190476194888</v>
      </c>
      <c r="JL30" s="361"/>
      <c r="JV30" s="213">
        <v>2033</v>
      </c>
      <c r="JW30">
        <f t="shared" si="76"/>
        <v>-304.94651190476361</v>
      </c>
    </row>
    <row r="31" spans="12:290" ht="15.75" customHeight="1" x14ac:dyDescent="0.25">
      <c r="O31" s="407" t="s">
        <v>744</v>
      </c>
      <c r="ED31" s="213">
        <v>2034</v>
      </c>
      <c r="EE31" s="213">
        <f t="shared" si="55"/>
        <v>5.6961584537061185</v>
      </c>
      <c r="EF31" s="361">
        <f t="shared" si="56"/>
        <v>5.6961584537061183E-2</v>
      </c>
      <c r="EQ31" s="213">
        <v>2034</v>
      </c>
      <c r="ER31" s="213">
        <f t="shared" si="57"/>
        <v>4.1282493354287055</v>
      </c>
      <c r="ES31" s="361">
        <f t="shared" si="58"/>
        <v>4.1282493354287055E-2</v>
      </c>
      <c r="FE31" s="213">
        <v>2034</v>
      </c>
      <c r="FF31" s="213">
        <f t="shared" si="59"/>
        <v>4.8464341079118753</v>
      </c>
      <c r="FG31" s="361">
        <f t="shared" si="60"/>
        <v>4.8464341079118754E-2</v>
      </c>
      <c r="FS31" s="213">
        <v>2034</v>
      </c>
      <c r="FT31" s="213">
        <f t="shared" si="61"/>
        <v>6.1287138441600746</v>
      </c>
      <c r="FU31" s="361">
        <f t="shared" si="62"/>
        <v>6.1287138441600747E-2</v>
      </c>
      <c r="GF31" s="213">
        <v>2034</v>
      </c>
      <c r="GG31" s="213">
        <f t="shared" si="63"/>
        <v>4.4152348246760766</v>
      </c>
      <c r="GH31" s="361">
        <f t="shared" si="64"/>
        <v>4.4152348246760766E-2</v>
      </c>
      <c r="GS31" s="213">
        <v>2034</v>
      </c>
      <c r="GT31" s="213">
        <f t="shared" si="65"/>
        <v>4.3103632616216032</v>
      </c>
      <c r="GU31" s="361">
        <f t="shared" si="66"/>
        <v>4.3103632616216032E-2</v>
      </c>
      <c r="HH31" s="213">
        <v>2034</v>
      </c>
      <c r="HI31" s="213">
        <f t="shared" si="67"/>
        <v>-0.51212277783713489</v>
      </c>
      <c r="HJ31" s="361">
        <f t="shared" si="68"/>
        <v>-5.121227778371349E-3</v>
      </c>
      <c r="HW31" s="213">
        <v>2034</v>
      </c>
      <c r="HX31" s="213">
        <f t="shared" si="69"/>
        <v>1.1319157328691176</v>
      </c>
      <c r="HY31" s="361">
        <f t="shared" si="70"/>
        <v>1.1319157328691177E-2</v>
      </c>
      <c r="IJ31" s="213">
        <v>2034</v>
      </c>
      <c r="IK31" s="213">
        <f t="shared" si="71"/>
        <v>0.33117362802721573</v>
      </c>
      <c r="IL31" s="361">
        <f t="shared" si="72"/>
        <v>-3.3117362802721571E-3</v>
      </c>
      <c r="IX31" s="213">
        <v>2034</v>
      </c>
      <c r="IY31" s="213">
        <f t="shared" si="73"/>
        <v>4.6243402739762018</v>
      </c>
      <c r="IZ31" s="361">
        <f t="shared" si="74"/>
        <v>-4.6243402739762018E-2</v>
      </c>
      <c r="JJ31" s="213">
        <v>2034</v>
      </c>
      <c r="JK31" s="361">
        <f t="shared" si="75"/>
        <v>-1.1199428571429166</v>
      </c>
      <c r="JL31" s="361"/>
      <c r="JV31" s="213">
        <v>2034</v>
      </c>
      <c r="JW31">
        <f t="shared" si="76"/>
        <v>-311.1243928571439</v>
      </c>
    </row>
    <row r="32" spans="12:29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9">
    <mergeCell ref="L4:M4"/>
    <mergeCell ref="Z4:AA4"/>
    <mergeCell ref="AO4:AP4"/>
    <mergeCell ref="BC4:BD4"/>
    <mergeCell ref="BT4:BU4"/>
    <mergeCell ref="CI4:CJ4"/>
    <mergeCell ref="CX4:CY4"/>
    <mergeCell ref="HH4:HI4"/>
    <mergeCell ref="HW4:HX4"/>
    <mergeCell ref="IJ4:IK4"/>
    <mergeCell ref="IX4:IY4"/>
    <mergeCell ref="JJ4:JK4"/>
    <mergeCell ref="DN4:DO4"/>
    <mergeCell ref="ED4:EE4"/>
    <mergeCell ref="EQ4:ER4"/>
    <mergeCell ref="FE4:FF4"/>
    <mergeCell ref="FS4:FT4"/>
    <mergeCell ref="GF4:GG4"/>
    <mergeCell ref="GS4:GT4"/>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4.42578125" defaultRowHeight="15" customHeight="1" x14ac:dyDescent="0.25"/>
  <cols>
    <col min="1" max="1" width="12.7109375" customWidth="1"/>
    <col min="2" max="11" width="8.7109375" customWidth="1"/>
    <col min="12" max="12" width="9.5703125" customWidth="1"/>
    <col min="13" max="26" width="8.7109375" customWidth="1"/>
  </cols>
  <sheetData>
    <row r="1" spans="1:16" x14ac:dyDescent="0.25">
      <c r="A1" s="365" t="s">
        <v>719</v>
      </c>
    </row>
    <row r="2" spans="1:16" x14ac:dyDescent="0.25">
      <c r="A2" s="365"/>
    </row>
    <row r="3" spans="1:16" x14ac:dyDescent="0.25">
      <c r="A3" s="194" t="s">
        <v>560</v>
      </c>
    </row>
    <row r="4" spans="1:16" x14ac:dyDescent="0.25">
      <c r="B4" s="213" t="s">
        <v>355</v>
      </c>
      <c r="D4" s="213" t="s">
        <v>266</v>
      </c>
      <c r="F4" s="213" t="s">
        <v>720</v>
      </c>
      <c r="H4" s="213" t="s">
        <v>468</v>
      </c>
      <c r="J4" s="213" t="s">
        <v>721</v>
      </c>
      <c r="L4" s="213" t="s">
        <v>631</v>
      </c>
      <c r="N4" s="213" t="s">
        <v>722</v>
      </c>
      <c r="P4" s="213" t="s">
        <v>723</v>
      </c>
    </row>
    <row r="5" spans="1:16" x14ac:dyDescent="0.25">
      <c r="A5" s="213" t="s">
        <v>724</v>
      </c>
      <c r="B5" s="366">
        <v>285</v>
      </c>
      <c r="D5" s="366">
        <v>99.7</v>
      </c>
      <c r="F5" s="366">
        <v>60.1</v>
      </c>
      <c r="H5" s="366">
        <f t="shared" ref="H5:H10" si="0">SUM(B5:F5)</f>
        <v>444.8</v>
      </c>
      <c r="J5" s="213">
        <v>453.2</v>
      </c>
      <c r="L5" s="277">
        <f t="shared" ref="L5:L10" si="1">J5-H5</f>
        <v>8.3999999999999773</v>
      </c>
    </row>
    <row r="6" spans="1:16" x14ac:dyDescent="0.25">
      <c r="A6" s="213" t="s">
        <v>725</v>
      </c>
      <c r="B6" s="366">
        <v>171.5</v>
      </c>
      <c r="D6" s="366">
        <v>71.099999999999994</v>
      </c>
      <c r="F6" s="366">
        <v>16.5</v>
      </c>
      <c r="H6" s="366">
        <f t="shared" si="0"/>
        <v>259.10000000000002</v>
      </c>
      <c r="J6" s="213">
        <f>225.6+39.5</f>
        <v>265.10000000000002</v>
      </c>
      <c r="L6" s="277">
        <f t="shared" si="1"/>
        <v>6</v>
      </c>
    </row>
    <row r="7" spans="1:16" x14ac:dyDescent="0.25">
      <c r="A7" s="194" t="s">
        <v>726</v>
      </c>
      <c r="B7" s="367">
        <f>SUM(B5:B6)</f>
        <v>456.5</v>
      </c>
      <c r="D7" s="367">
        <f>SUM(D5:D6)</f>
        <v>170.8</v>
      </c>
      <c r="F7" s="367">
        <f>SUM(F5:F6)</f>
        <v>76.599999999999994</v>
      </c>
      <c r="H7" s="367">
        <f t="shared" si="0"/>
        <v>703.9</v>
      </c>
      <c r="J7" s="194">
        <f>SUM(J5:J6)</f>
        <v>718.3</v>
      </c>
      <c r="L7" s="368">
        <f t="shared" si="1"/>
        <v>14.399999999999977</v>
      </c>
      <c r="M7" s="213" t="s">
        <v>727</v>
      </c>
    </row>
    <row r="8" spans="1:16" x14ac:dyDescent="0.25">
      <c r="A8" s="213" t="s">
        <v>728</v>
      </c>
      <c r="B8" s="366">
        <v>151.80000000000001</v>
      </c>
      <c r="D8" s="366">
        <v>40.224765054744523</v>
      </c>
      <c r="F8" s="366">
        <v>10.4</v>
      </c>
      <c r="H8" s="366">
        <f t="shared" si="0"/>
        <v>202.42476505474454</v>
      </c>
      <c r="J8" s="213">
        <v>231.8</v>
      </c>
      <c r="L8" s="277">
        <f t="shared" si="1"/>
        <v>29.375234945255471</v>
      </c>
    </row>
    <row r="9" spans="1:16" x14ac:dyDescent="0.25">
      <c r="A9" s="213" t="s">
        <v>729</v>
      </c>
      <c r="B9" s="366">
        <v>-59</v>
      </c>
      <c r="D9" s="366">
        <v>-32.73083622262773</v>
      </c>
      <c r="F9" s="366">
        <v>-10</v>
      </c>
      <c r="H9" s="366">
        <f t="shared" si="0"/>
        <v>-101.73083622262773</v>
      </c>
      <c r="J9" s="369">
        <f>H9</f>
        <v>-101.73083622262773</v>
      </c>
      <c r="L9" s="277">
        <f t="shared" si="1"/>
        <v>0</v>
      </c>
    </row>
    <row r="10" spans="1:16" x14ac:dyDescent="0.25">
      <c r="A10" s="194" t="s">
        <v>468</v>
      </c>
      <c r="B10" s="367">
        <f>SUM(B7:B9)</f>
        <v>549.29999999999995</v>
      </c>
      <c r="D10" s="367">
        <f>SUM(D7:D9)</f>
        <v>178.29392883211682</v>
      </c>
      <c r="F10" s="367">
        <f>SUM(F7:F9)</f>
        <v>77</v>
      </c>
      <c r="H10" s="367">
        <f t="shared" si="0"/>
        <v>804.59392883211672</v>
      </c>
      <c r="J10" s="194">
        <f>SUM(J7:J9)</f>
        <v>848.36916377737214</v>
      </c>
      <c r="L10" s="368">
        <f t="shared" si="1"/>
        <v>43.77523494525542</v>
      </c>
      <c r="M10" s="213" t="s">
        <v>727</v>
      </c>
      <c r="N10" s="213">
        <v>9.3000000000000007</v>
      </c>
      <c r="P10" s="277">
        <v>0</v>
      </c>
    </row>
    <row r="11" spans="1:16" x14ac:dyDescent="0.25">
      <c r="P11" s="277"/>
    </row>
    <row r="12" spans="1:16" x14ac:dyDescent="0.25">
      <c r="P12" s="277"/>
    </row>
    <row r="13" spans="1:16" x14ac:dyDescent="0.25">
      <c r="A13" s="194" t="s">
        <v>151</v>
      </c>
      <c r="B13" s="213">
        <v>237</v>
      </c>
      <c r="D13" s="213">
        <v>34.9</v>
      </c>
      <c r="F13" s="213">
        <v>35</v>
      </c>
      <c r="H13" s="366">
        <f t="shared" ref="H13:H14" si="2">SUM(B13:F13)</f>
        <v>306.89999999999998</v>
      </c>
      <c r="J13" s="213">
        <v>277.80900000000003</v>
      </c>
      <c r="L13" s="277">
        <f t="shared" ref="L13:L14" si="3">J13-H13</f>
        <v>-29.090999999999951</v>
      </c>
      <c r="N13" s="213">
        <v>3.6</v>
      </c>
      <c r="P13" s="277">
        <v>0</v>
      </c>
    </row>
    <row r="14" spans="1:16" x14ac:dyDescent="0.25">
      <c r="A14" s="194" t="s">
        <v>278</v>
      </c>
      <c r="B14" s="213">
        <v>-40.700000000000003</v>
      </c>
      <c r="D14" s="213">
        <v>-30.7</v>
      </c>
      <c r="F14" s="213">
        <v>-5.3999999999999995</v>
      </c>
      <c r="H14" s="366">
        <f t="shared" si="2"/>
        <v>-76.800000000000011</v>
      </c>
      <c r="J14" s="366">
        <v>-92.021000000000001</v>
      </c>
      <c r="L14" s="277">
        <f t="shared" si="3"/>
        <v>-15.220999999999989</v>
      </c>
    </row>
    <row r="18" spans="1:16" x14ac:dyDescent="0.25">
      <c r="A18" s="365" t="s">
        <v>730</v>
      </c>
    </row>
    <row r="19" spans="1:16" x14ac:dyDescent="0.25">
      <c r="A19" s="365"/>
    </row>
    <row r="20" spans="1:16" x14ac:dyDescent="0.25">
      <c r="A20" s="194" t="s">
        <v>560</v>
      </c>
    </row>
    <row r="21" spans="1:16" ht="15.75" customHeight="1" x14ac:dyDescent="0.25">
      <c r="B21" s="213" t="s">
        <v>355</v>
      </c>
      <c r="D21" s="213" t="s">
        <v>266</v>
      </c>
      <c r="F21" s="213" t="s">
        <v>720</v>
      </c>
      <c r="H21" s="213" t="s">
        <v>468</v>
      </c>
      <c r="J21" s="213" t="s">
        <v>721</v>
      </c>
      <c r="L21" s="213" t="s">
        <v>631</v>
      </c>
      <c r="N21" s="213" t="s">
        <v>722</v>
      </c>
      <c r="P21" s="213" t="s">
        <v>723</v>
      </c>
    </row>
    <row r="22" spans="1:16" ht="15.75" customHeight="1" x14ac:dyDescent="0.25">
      <c r="A22" s="213" t="s">
        <v>724</v>
      </c>
      <c r="B22" s="366">
        <v>305.3</v>
      </c>
      <c r="D22" s="366">
        <v>100.5</v>
      </c>
      <c r="F22" s="366">
        <f>54.1+8</f>
        <v>62.1</v>
      </c>
      <c r="H22" s="366">
        <f t="shared" ref="H22:H27" si="4">SUM(B22:F22)</f>
        <v>467.90000000000003</v>
      </c>
      <c r="J22" s="213">
        <v>477.5</v>
      </c>
      <c r="L22" s="277">
        <f t="shared" ref="L22:L27" si="5">J22-H22</f>
        <v>9.5999999999999659</v>
      </c>
    </row>
    <row r="23" spans="1:16" ht="15.75" customHeight="1" x14ac:dyDescent="0.25">
      <c r="A23" s="213" t="s">
        <v>725</v>
      </c>
      <c r="B23" s="366">
        <v>139.6</v>
      </c>
      <c r="D23" s="366">
        <v>70.3</v>
      </c>
      <c r="F23" s="366">
        <f>11.5+3</f>
        <v>14.5</v>
      </c>
      <c r="H23" s="366">
        <f t="shared" si="4"/>
        <v>224.39999999999998</v>
      </c>
      <c r="J23" s="213">
        <v>231.2</v>
      </c>
      <c r="L23" s="277">
        <f t="shared" si="5"/>
        <v>6.8000000000000114</v>
      </c>
    </row>
    <row r="24" spans="1:16" ht="15.75" customHeight="1" x14ac:dyDescent="0.25">
      <c r="A24" s="194" t="s">
        <v>726</v>
      </c>
      <c r="B24" s="367">
        <f>SUM(B22:B23)</f>
        <v>444.9</v>
      </c>
      <c r="D24" s="367">
        <f>SUM(D22:D23)</f>
        <v>170.8</v>
      </c>
      <c r="F24" s="367">
        <f>SUM(F22:F23)</f>
        <v>76.599999999999994</v>
      </c>
      <c r="H24" s="367">
        <f t="shared" si="4"/>
        <v>692.30000000000007</v>
      </c>
      <c r="J24" s="194">
        <f>SUM(J22:J23)</f>
        <v>708.7</v>
      </c>
      <c r="L24" s="368">
        <f t="shared" si="5"/>
        <v>16.399999999999977</v>
      </c>
      <c r="M24" s="213" t="s">
        <v>727</v>
      </c>
    </row>
    <row r="25" spans="1:16" ht="15.75" customHeight="1" x14ac:dyDescent="0.25">
      <c r="A25" s="213" t="s">
        <v>728</v>
      </c>
      <c r="B25" s="366">
        <v>123.9</v>
      </c>
      <c r="D25" s="366">
        <v>65.400000000000006</v>
      </c>
      <c r="F25" s="366">
        <f>9.3+1.3</f>
        <v>10.600000000000001</v>
      </c>
      <c r="H25" s="366">
        <f t="shared" si="4"/>
        <v>199.9</v>
      </c>
      <c r="J25" s="213">
        <v>207.4</v>
      </c>
      <c r="L25" s="277">
        <f t="shared" si="5"/>
        <v>7.5</v>
      </c>
    </row>
    <row r="26" spans="1:16" ht="15.75" customHeight="1" x14ac:dyDescent="0.25">
      <c r="A26" s="213" t="s">
        <v>729</v>
      </c>
      <c r="B26" s="366">
        <v>-57.7</v>
      </c>
      <c r="D26" s="366">
        <v>-15.4</v>
      </c>
      <c r="F26" s="366">
        <f>-8.5-1.4</f>
        <v>-9.9</v>
      </c>
      <c r="H26" s="366">
        <f t="shared" si="4"/>
        <v>-83.000000000000014</v>
      </c>
      <c r="J26" s="213">
        <v>-88.6</v>
      </c>
      <c r="L26" s="277">
        <f t="shared" si="5"/>
        <v>-5.5999999999999801</v>
      </c>
    </row>
    <row r="27" spans="1:16" ht="15.75" customHeight="1" x14ac:dyDescent="0.25">
      <c r="A27" s="194" t="s">
        <v>468</v>
      </c>
      <c r="B27" s="367">
        <f>SUM(B24:B26)</f>
        <v>511.09999999999997</v>
      </c>
      <c r="D27" s="367">
        <f>SUM(D24:D26)</f>
        <v>220.8</v>
      </c>
      <c r="F27" s="367">
        <f>SUM(F24:F26)</f>
        <v>77.299999999999983</v>
      </c>
      <c r="H27" s="367">
        <f t="shared" si="4"/>
        <v>809.19999999999993</v>
      </c>
      <c r="J27" s="194">
        <f>SUM(J24:J26)</f>
        <v>827.5</v>
      </c>
      <c r="L27" s="368">
        <f t="shared" si="5"/>
        <v>18.300000000000068</v>
      </c>
      <c r="M27" s="213" t="s">
        <v>727</v>
      </c>
      <c r="N27" s="213">
        <v>15.4</v>
      </c>
      <c r="P27" s="213">
        <v>35.299999999999997</v>
      </c>
    </row>
    <row r="28" spans="1:16" ht="15.75" customHeight="1" x14ac:dyDescent="0.25"/>
    <row r="29" spans="1:16" ht="15.75" customHeight="1" x14ac:dyDescent="0.25"/>
    <row r="30" spans="1:16" ht="15.75" customHeight="1" x14ac:dyDescent="0.25">
      <c r="A30" s="194" t="s">
        <v>151</v>
      </c>
      <c r="B30" s="213">
        <v>252.6</v>
      </c>
      <c r="D30" s="213">
        <v>34.9</v>
      </c>
      <c r="F30" s="213">
        <f>35.2+4.1</f>
        <v>39.300000000000004</v>
      </c>
      <c r="H30" s="366">
        <f t="shared" ref="H30:H31" si="6">SUM(B30:F30)</f>
        <v>326.8</v>
      </c>
      <c r="J30" s="213">
        <v>310.3</v>
      </c>
      <c r="L30" s="277">
        <f t="shared" ref="L30:L31" si="7">J30-H30</f>
        <v>-16.5</v>
      </c>
      <c r="N30" s="213">
        <v>10.7</v>
      </c>
      <c r="P30" s="213">
        <v>5.8</v>
      </c>
    </row>
    <row r="31" spans="1:16" ht="15.75" customHeight="1" x14ac:dyDescent="0.25">
      <c r="A31" s="194" t="s">
        <v>278</v>
      </c>
      <c r="B31" s="213">
        <v>-38</v>
      </c>
      <c r="D31" s="213">
        <v>-30.7</v>
      </c>
      <c r="F31" s="213">
        <f>-4-1.3</f>
        <v>-5.3</v>
      </c>
      <c r="H31" s="366">
        <f t="shared" si="6"/>
        <v>-74</v>
      </c>
      <c r="J31" s="366">
        <v>-90.7</v>
      </c>
      <c r="L31" s="277">
        <f t="shared" si="7"/>
        <v>-16.700000000000003</v>
      </c>
    </row>
    <row r="32" spans="1:16" ht="15.75" customHeight="1" x14ac:dyDescent="0.25"/>
    <row r="33" spans="1:26" ht="15.75" customHeight="1" x14ac:dyDescent="0.25"/>
    <row r="34" spans="1:26" ht="15.75" customHeight="1" x14ac:dyDescent="0.25">
      <c r="A34" s="365" t="s">
        <v>731</v>
      </c>
    </row>
    <row r="35" spans="1:26" ht="15.75" customHeight="1" x14ac:dyDescent="0.25">
      <c r="A35" s="365"/>
    </row>
    <row r="36" spans="1:26" ht="15.75" customHeight="1" x14ac:dyDescent="0.25">
      <c r="A36" s="194" t="s">
        <v>560</v>
      </c>
    </row>
    <row r="37" spans="1:26" ht="15.75" customHeight="1" x14ac:dyDescent="0.25">
      <c r="A37" s="194"/>
      <c r="B37" s="194" t="s">
        <v>355</v>
      </c>
      <c r="C37" s="194"/>
      <c r="D37" s="194" t="s">
        <v>266</v>
      </c>
      <c r="E37" s="194"/>
      <c r="F37" s="194" t="s">
        <v>720</v>
      </c>
      <c r="G37" s="194"/>
      <c r="H37" s="194" t="s">
        <v>468</v>
      </c>
      <c r="I37" s="194"/>
      <c r="J37" s="194" t="s">
        <v>721</v>
      </c>
      <c r="K37" s="194"/>
      <c r="L37" s="194" t="s">
        <v>631</v>
      </c>
      <c r="M37" s="194"/>
      <c r="N37" s="194" t="s">
        <v>722</v>
      </c>
      <c r="O37" s="194"/>
      <c r="P37" s="194" t="s">
        <v>723</v>
      </c>
      <c r="Q37" s="194"/>
      <c r="R37" s="194"/>
      <c r="S37" s="194"/>
      <c r="T37" s="194"/>
      <c r="U37" s="194"/>
      <c r="V37" s="194"/>
      <c r="W37" s="194"/>
      <c r="X37" s="194"/>
      <c r="Y37" s="194"/>
      <c r="Z37" s="194"/>
    </row>
    <row r="38" spans="1:26" ht="15.75" customHeight="1" x14ac:dyDescent="0.25">
      <c r="A38" s="213" t="s">
        <v>724</v>
      </c>
      <c r="B38" s="366">
        <v>185.5</v>
      </c>
      <c r="D38" s="366">
        <v>74.900000000000006</v>
      </c>
      <c r="F38" s="366">
        <f>40.8+7.2</f>
        <v>48</v>
      </c>
      <c r="H38" s="366">
        <f t="shared" ref="H38:H43" si="8">SUM(B38:F38)</f>
        <v>308.39999999999998</v>
      </c>
      <c r="J38" s="213">
        <v>313.5</v>
      </c>
      <c r="L38" s="277">
        <f t="shared" ref="L38:L43" si="9">J38-H38</f>
        <v>5.1000000000000227</v>
      </c>
    </row>
    <row r="39" spans="1:26" ht="15.75" customHeight="1" x14ac:dyDescent="0.25">
      <c r="A39" s="213" t="s">
        <v>725</v>
      </c>
      <c r="B39" s="366">
        <v>75</v>
      </c>
      <c r="D39" s="366">
        <v>64.900000000000006</v>
      </c>
      <c r="F39" s="366">
        <f>8.1+1.9</f>
        <v>10</v>
      </c>
      <c r="H39" s="366">
        <f t="shared" si="8"/>
        <v>149.9</v>
      </c>
      <c r="J39" s="213">
        <v>154.4</v>
      </c>
      <c r="L39" s="277">
        <f t="shared" si="9"/>
        <v>4.5</v>
      </c>
    </row>
    <row r="40" spans="1:26" ht="15.75" customHeight="1" x14ac:dyDescent="0.25">
      <c r="A40" s="194" t="s">
        <v>726</v>
      </c>
      <c r="B40" s="367">
        <f>SUM(B38:B39)</f>
        <v>260.5</v>
      </c>
      <c r="D40" s="367">
        <f>SUM(D38:D39)</f>
        <v>139.80000000000001</v>
      </c>
      <c r="F40" s="367">
        <f>SUM(F38:F39)</f>
        <v>58</v>
      </c>
      <c r="H40" s="367">
        <f t="shared" si="8"/>
        <v>458.3</v>
      </c>
      <c r="J40" s="194">
        <f>SUM(J38:J39)</f>
        <v>467.9</v>
      </c>
      <c r="L40" s="368">
        <f t="shared" si="9"/>
        <v>9.5999999999999659</v>
      </c>
      <c r="M40" s="213" t="s">
        <v>727</v>
      </c>
    </row>
    <row r="41" spans="1:26" ht="15.75" customHeight="1" x14ac:dyDescent="0.25">
      <c r="A41" s="213" t="s">
        <v>728</v>
      </c>
      <c r="B41" s="366">
        <v>70.099999999999994</v>
      </c>
      <c r="D41" s="366">
        <v>44.7</v>
      </c>
      <c r="F41" s="366">
        <f>7.4+1.1</f>
        <v>8.5</v>
      </c>
      <c r="H41" s="366">
        <f t="shared" si="8"/>
        <v>123.3</v>
      </c>
      <c r="J41" s="213">
        <v>130.19999999999999</v>
      </c>
      <c r="L41" s="277">
        <f t="shared" si="9"/>
        <v>6.8999999999999915</v>
      </c>
    </row>
    <row r="42" spans="1:26" ht="15.75" customHeight="1" x14ac:dyDescent="0.25">
      <c r="A42" s="213" t="s">
        <v>729</v>
      </c>
      <c r="B42" s="366">
        <v>-33.799999999999997</v>
      </c>
      <c r="D42" s="366">
        <v>-12.6</v>
      </c>
      <c r="F42" s="366">
        <v>-7.6</v>
      </c>
      <c r="H42" s="366">
        <f t="shared" si="8"/>
        <v>-54</v>
      </c>
      <c r="J42" s="213">
        <v>-56.5</v>
      </c>
      <c r="L42" s="277">
        <f t="shared" si="9"/>
        <v>-2.5</v>
      </c>
    </row>
    <row r="43" spans="1:26" ht="15.75" customHeight="1" x14ac:dyDescent="0.25">
      <c r="A43" s="194" t="s">
        <v>468</v>
      </c>
      <c r="B43" s="367">
        <f>SUM(B40:B42)</f>
        <v>296.8</v>
      </c>
      <c r="D43" s="367">
        <f>SUM(D40:D42)</f>
        <v>171.9</v>
      </c>
      <c r="F43" s="367">
        <f>SUM(F40:F42)</f>
        <v>58.9</v>
      </c>
      <c r="H43" s="367">
        <f t="shared" si="8"/>
        <v>527.6</v>
      </c>
      <c r="J43" s="194">
        <f>SUM(J40:J42)</f>
        <v>541.59999999999991</v>
      </c>
      <c r="L43" s="368">
        <f t="shared" si="9"/>
        <v>13.999999999999886</v>
      </c>
      <c r="M43" s="213" t="s">
        <v>727</v>
      </c>
      <c r="N43" s="213">
        <v>16.899999999999999</v>
      </c>
      <c r="P43" s="213">
        <v>16.5</v>
      </c>
    </row>
    <row r="44" spans="1:26" ht="15.75" customHeight="1" x14ac:dyDescent="0.25"/>
    <row r="45" spans="1:26" ht="15.75" customHeight="1" x14ac:dyDescent="0.25"/>
    <row r="46" spans="1:26" ht="15.75" customHeight="1" x14ac:dyDescent="0.25">
      <c r="A46" s="194" t="s">
        <v>151</v>
      </c>
      <c r="B46" s="213">
        <v>100.9</v>
      </c>
      <c r="D46" s="213">
        <v>20.5</v>
      </c>
      <c r="F46" s="213">
        <f>24.5+3</f>
        <v>27.5</v>
      </c>
      <c r="H46" s="366">
        <f t="shared" ref="H46:H47" si="10">SUM(B46:F46)</f>
        <v>148.9</v>
      </c>
      <c r="J46" s="213">
        <v>137.9</v>
      </c>
      <c r="L46" s="277">
        <f t="shared" ref="L46:L47" si="11">J46-H46</f>
        <v>-11</v>
      </c>
      <c r="N46" s="213">
        <v>12.9</v>
      </c>
      <c r="P46" s="213">
        <v>-0.1</v>
      </c>
    </row>
    <row r="47" spans="1:26" ht="15.75" customHeight="1" x14ac:dyDescent="0.25">
      <c r="A47" s="194" t="s">
        <v>278</v>
      </c>
      <c r="B47" s="213">
        <v>-42.4</v>
      </c>
      <c r="D47" s="213">
        <v>-30.9</v>
      </c>
      <c r="F47" s="213">
        <f>-4.4-1.3</f>
        <v>-5.7</v>
      </c>
      <c r="H47" s="366">
        <f t="shared" si="10"/>
        <v>-79</v>
      </c>
      <c r="J47" s="366">
        <v>-94.7</v>
      </c>
      <c r="L47" s="277">
        <f t="shared" si="11"/>
        <v>-15.700000000000003</v>
      </c>
    </row>
    <row r="48" spans="1:26" ht="15.75" customHeight="1" x14ac:dyDescent="0.25"/>
    <row r="49" spans="1:26" ht="15.75" customHeight="1" x14ac:dyDescent="0.25">
      <c r="A49" s="365" t="s">
        <v>732</v>
      </c>
    </row>
    <row r="50" spans="1:26" ht="15.75" customHeight="1" x14ac:dyDescent="0.25">
      <c r="A50" s="365"/>
    </row>
    <row r="51" spans="1:26" ht="15.75" customHeight="1" x14ac:dyDescent="0.25">
      <c r="A51" s="194" t="s">
        <v>560</v>
      </c>
    </row>
    <row r="52" spans="1:26" ht="15.75" customHeight="1" x14ac:dyDescent="0.25">
      <c r="A52" s="194"/>
      <c r="B52" s="370" t="s">
        <v>355</v>
      </c>
      <c r="C52" s="194"/>
      <c r="D52" s="194" t="s">
        <v>266</v>
      </c>
      <c r="E52" s="194"/>
      <c r="F52" s="194" t="s">
        <v>720</v>
      </c>
      <c r="G52" s="194"/>
      <c r="H52" s="194" t="s">
        <v>468</v>
      </c>
      <c r="I52" s="194"/>
      <c r="J52" s="194" t="s">
        <v>721</v>
      </c>
      <c r="K52" s="194"/>
      <c r="L52" s="194" t="s">
        <v>631</v>
      </c>
      <c r="M52" s="194"/>
      <c r="N52" s="194" t="s">
        <v>722</v>
      </c>
      <c r="O52" s="194"/>
      <c r="P52" s="194" t="s">
        <v>723</v>
      </c>
      <c r="Q52" s="194"/>
      <c r="R52" s="194"/>
      <c r="S52" s="194"/>
      <c r="T52" s="194"/>
      <c r="U52" s="194"/>
      <c r="V52" s="194"/>
      <c r="W52" s="194"/>
      <c r="X52" s="194"/>
      <c r="Y52" s="194"/>
      <c r="Z52" s="194"/>
    </row>
    <row r="53" spans="1:26" ht="15.75" customHeight="1" x14ac:dyDescent="0.25">
      <c r="A53" s="213" t="s">
        <v>724</v>
      </c>
      <c r="B53" s="366">
        <v>264.3</v>
      </c>
      <c r="D53" s="366">
        <v>65.2</v>
      </c>
      <c r="F53" s="366">
        <f>53+8.5</f>
        <v>61.5</v>
      </c>
      <c r="H53" s="366">
        <f t="shared" ref="H53:H58" si="12">SUM(B53:F53)</f>
        <v>391</v>
      </c>
      <c r="J53" s="213">
        <v>0</v>
      </c>
      <c r="L53" s="277">
        <v>0</v>
      </c>
    </row>
    <row r="54" spans="1:26" ht="15.75" customHeight="1" x14ac:dyDescent="0.25">
      <c r="A54" s="213" t="s">
        <v>725</v>
      </c>
      <c r="B54" s="366">
        <v>133.1</v>
      </c>
      <c r="D54" s="366">
        <v>82.4</v>
      </c>
      <c r="F54" s="366">
        <f>11.5+2.2</f>
        <v>13.7</v>
      </c>
      <c r="H54" s="366">
        <f t="shared" si="12"/>
        <v>229.2</v>
      </c>
      <c r="J54" s="213">
        <v>0</v>
      </c>
      <c r="L54" s="277">
        <v>0</v>
      </c>
    </row>
    <row r="55" spans="1:26" ht="15.75" customHeight="1" x14ac:dyDescent="0.25">
      <c r="A55" s="194" t="s">
        <v>726</v>
      </c>
      <c r="B55" s="367">
        <f>SUM(B53:B54)</f>
        <v>397.4</v>
      </c>
      <c r="D55" s="367">
        <f>SUM(D53:D54)</f>
        <v>147.60000000000002</v>
      </c>
      <c r="F55" s="367">
        <f>SUM(F53:F54)</f>
        <v>75.2</v>
      </c>
      <c r="H55" s="367">
        <f t="shared" si="12"/>
        <v>620.20000000000005</v>
      </c>
      <c r="J55" s="194">
        <v>822.3</v>
      </c>
      <c r="L55" s="368">
        <f>J55-H55</f>
        <v>202.09999999999991</v>
      </c>
      <c r="M55" s="213" t="s">
        <v>727</v>
      </c>
    </row>
    <row r="56" spans="1:26" ht="15.75" customHeight="1" x14ac:dyDescent="0.25">
      <c r="A56" s="213" t="s">
        <v>728</v>
      </c>
      <c r="B56" s="366">
        <v>90.9</v>
      </c>
      <c r="D56" s="366">
        <v>49.3</v>
      </c>
      <c r="F56" s="366">
        <f>8.9+1.6</f>
        <v>10.5</v>
      </c>
      <c r="H56" s="366">
        <f t="shared" si="12"/>
        <v>150.69999999999999</v>
      </c>
      <c r="J56" s="213">
        <v>0</v>
      </c>
      <c r="L56" s="277">
        <v>0</v>
      </c>
    </row>
    <row r="57" spans="1:26" ht="15.75" customHeight="1" x14ac:dyDescent="0.25">
      <c r="A57" s="213" t="s">
        <v>729</v>
      </c>
      <c r="B57" s="366">
        <v>-51.6</v>
      </c>
      <c r="D57" s="366">
        <v>-13.4</v>
      </c>
      <c r="F57" s="366">
        <f>-8.4-1.4</f>
        <v>-9.8000000000000007</v>
      </c>
      <c r="H57" s="366">
        <f t="shared" si="12"/>
        <v>-74.8</v>
      </c>
      <c r="J57" s="213">
        <v>-77.8</v>
      </c>
      <c r="L57" s="277">
        <f t="shared" ref="L57:L58" si="13">J57-H57</f>
        <v>-3</v>
      </c>
    </row>
    <row r="58" spans="1:26" ht="15.75" customHeight="1" x14ac:dyDescent="0.25">
      <c r="A58" s="194" t="s">
        <v>468</v>
      </c>
      <c r="B58" s="367">
        <f>SUM(B55:B57)</f>
        <v>436.69999999999993</v>
      </c>
      <c r="D58" s="367">
        <f>SUM(D55:D57)</f>
        <v>183.50000000000003</v>
      </c>
      <c r="F58" s="367">
        <f>SUM(F55:F57)</f>
        <v>75.900000000000006</v>
      </c>
      <c r="H58" s="367">
        <f t="shared" si="12"/>
        <v>696.09999999999991</v>
      </c>
      <c r="J58" s="194">
        <f>J55+J57</f>
        <v>744.5</v>
      </c>
      <c r="L58" s="368">
        <f t="shared" si="13"/>
        <v>48.400000000000091</v>
      </c>
      <c r="M58" s="213" t="s">
        <v>727</v>
      </c>
      <c r="N58" s="213">
        <v>13.1</v>
      </c>
      <c r="P58" s="213">
        <v>17.8</v>
      </c>
    </row>
    <row r="59" spans="1:26" ht="15.75" customHeight="1" x14ac:dyDescent="0.25"/>
    <row r="60" spans="1:26" ht="15.75" customHeight="1" x14ac:dyDescent="0.25"/>
    <row r="61" spans="1:26" ht="15.75" customHeight="1" x14ac:dyDescent="0.25">
      <c r="A61" s="194" t="s">
        <v>151</v>
      </c>
      <c r="B61" s="213">
        <v>203.4</v>
      </c>
      <c r="D61" s="213">
        <v>42.8</v>
      </c>
      <c r="F61" s="213">
        <f>35.2+3.2</f>
        <v>38.400000000000006</v>
      </c>
      <c r="H61" s="366">
        <f t="shared" ref="H61:H62" si="14">SUM(B61:F61)</f>
        <v>284.60000000000002</v>
      </c>
      <c r="J61" s="213">
        <v>252</v>
      </c>
      <c r="L61" s="277">
        <f t="shared" ref="L61:L62" si="15">J61-H61</f>
        <v>-32.600000000000023</v>
      </c>
      <c r="N61" s="213">
        <v>9.1</v>
      </c>
      <c r="P61" s="213">
        <v>-1.8</v>
      </c>
    </row>
    <row r="62" spans="1:26" ht="15.75" customHeight="1" x14ac:dyDescent="0.25">
      <c r="A62" s="194" t="s">
        <v>278</v>
      </c>
      <c r="B62" s="213">
        <v>-45.5</v>
      </c>
      <c r="D62" s="213">
        <v>-21.3</v>
      </c>
      <c r="F62" s="213">
        <f>-4.2-1.2</f>
        <v>-5.4</v>
      </c>
      <c r="H62" s="366">
        <f t="shared" si="14"/>
        <v>-72.2</v>
      </c>
      <c r="J62" s="366">
        <v>-91.4</v>
      </c>
      <c r="L62" s="277">
        <f t="shared" si="15"/>
        <v>-19.200000000000003</v>
      </c>
    </row>
    <row r="63" spans="1:26" ht="15.75" customHeight="1" x14ac:dyDescent="0.25"/>
    <row r="64" spans="1:26" ht="15.75" customHeight="1" x14ac:dyDescent="0.25">
      <c r="A64" s="365" t="s">
        <v>733</v>
      </c>
    </row>
    <row r="65" spans="1:26" ht="15.75" customHeight="1" x14ac:dyDescent="0.25">
      <c r="A65" s="365"/>
    </row>
    <row r="66" spans="1:26" ht="15.75" customHeight="1" x14ac:dyDescent="0.25">
      <c r="A66" s="194" t="s">
        <v>560</v>
      </c>
    </row>
    <row r="67" spans="1:26" ht="15.75" customHeight="1" x14ac:dyDescent="0.25">
      <c r="A67" s="194"/>
      <c r="B67" s="194" t="s">
        <v>355</v>
      </c>
      <c r="C67" s="194"/>
      <c r="D67" s="194" t="s">
        <v>266</v>
      </c>
      <c r="E67" s="194"/>
      <c r="F67" s="194" t="s">
        <v>720</v>
      </c>
      <c r="G67" s="194"/>
      <c r="H67" s="194" t="s">
        <v>468</v>
      </c>
      <c r="I67" s="194"/>
      <c r="J67" s="194" t="s">
        <v>721</v>
      </c>
      <c r="K67" s="194"/>
      <c r="L67" s="194" t="s">
        <v>631</v>
      </c>
      <c r="M67" s="194"/>
      <c r="N67" s="194" t="s">
        <v>722</v>
      </c>
      <c r="O67" s="194"/>
      <c r="P67" s="194" t="s">
        <v>723</v>
      </c>
      <c r="Q67" s="194"/>
      <c r="R67" s="194"/>
      <c r="S67" s="194"/>
      <c r="T67" s="194"/>
      <c r="U67" s="194"/>
      <c r="V67" s="194"/>
      <c r="W67" s="194"/>
      <c r="X67" s="194"/>
      <c r="Y67" s="194"/>
      <c r="Z67" s="194"/>
    </row>
    <row r="68" spans="1:26" ht="15.75" customHeight="1" x14ac:dyDescent="0.25">
      <c r="A68" s="213" t="s">
        <v>724</v>
      </c>
      <c r="B68" s="366">
        <v>230.8</v>
      </c>
      <c r="D68" s="366">
        <v>38.299999999999997</v>
      </c>
      <c r="F68" s="366">
        <f>41.4+5.7</f>
        <v>47.1</v>
      </c>
      <c r="H68" s="366">
        <f t="shared" ref="H68:H73" si="16">SUM(B68:F68)</f>
        <v>316.20000000000005</v>
      </c>
      <c r="J68" s="213">
        <v>0</v>
      </c>
      <c r="L68" s="277">
        <v>0</v>
      </c>
    </row>
    <row r="69" spans="1:26" ht="15.75" customHeight="1" x14ac:dyDescent="0.25">
      <c r="A69" s="213" t="s">
        <v>725</v>
      </c>
      <c r="B69" s="366">
        <v>128</v>
      </c>
      <c r="D69" s="366">
        <v>56.9</v>
      </c>
      <c r="F69" s="366">
        <f>8.4+3.8</f>
        <v>12.2</v>
      </c>
      <c r="H69" s="366">
        <f t="shared" si="16"/>
        <v>197.1</v>
      </c>
      <c r="J69" s="213">
        <v>0</v>
      </c>
      <c r="L69" s="277">
        <v>0</v>
      </c>
    </row>
    <row r="70" spans="1:26" ht="15.75" customHeight="1" x14ac:dyDescent="0.25">
      <c r="A70" s="194" t="s">
        <v>726</v>
      </c>
      <c r="B70" s="367">
        <f>SUM(B68:B69)</f>
        <v>358.8</v>
      </c>
      <c r="D70" s="367">
        <f>SUM(D68:D69)</f>
        <v>95.199999999999989</v>
      </c>
      <c r="F70" s="367">
        <f>SUM(F68:F69)</f>
        <v>59.3</v>
      </c>
      <c r="H70" s="367">
        <f t="shared" si="16"/>
        <v>513.29999999999995</v>
      </c>
      <c r="J70" s="194">
        <v>779.5</v>
      </c>
      <c r="L70" s="368">
        <f>J70-H70</f>
        <v>266.20000000000005</v>
      </c>
      <c r="M70" s="213" t="s">
        <v>727</v>
      </c>
    </row>
    <row r="71" spans="1:26" ht="15.75" customHeight="1" x14ac:dyDescent="0.25">
      <c r="A71" s="213" t="s">
        <v>728</v>
      </c>
      <c r="B71" s="366">
        <v>138.5</v>
      </c>
      <c r="D71" s="366">
        <v>25.8</v>
      </c>
      <c r="F71" s="366">
        <f>9+1.6</f>
        <v>10.6</v>
      </c>
      <c r="H71" s="366">
        <f t="shared" si="16"/>
        <v>174.9</v>
      </c>
      <c r="J71" s="213">
        <v>0</v>
      </c>
      <c r="L71" s="277">
        <v>0</v>
      </c>
    </row>
    <row r="72" spans="1:26" ht="15.75" customHeight="1" x14ac:dyDescent="0.25">
      <c r="A72" s="213" t="s">
        <v>729</v>
      </c>
      <c r="B72" s="366">
        <v>-46.4</v>
      </c>
      <c r="D72" s="366">
        <v>-8.6999999999999993</v>
      </c>
      <c r="F72" s="366">
        <f>-6.5-1.2</f>
        <v>-7.7</v>
      </c>
      <c r="H72" s="366">
        <f t="shared" si="16"/>
        <v>-62.8</v>
      </c>
      <c r="J72" s="213">
        <v>-72.8</v>
      </c>
      <c r="L72" s="277">
        <f t="shared" ref="L72:L73" si="17">J72-H72</f>
        <v>-10</v>
      </c>
    </row>
    <row r="73" spans="1:26" ht="15.75" customHeight="1" x14ac:dyDescent="0.25">
      <c r="A73" s="194" t="s">
        <v>468</v>
      </c>
      <c r="B73" s="367">
        <f>SUM(B70:B72)</f>
        <v>450.90000000000003</v>
      </c>
      <c r="D73" s="367">
        <f>SUM(D70:D72)</f>
        <v>112.29999999999998</v>
      </c>
      <c r="F73" s="367">
        <f>SUM(F70:F72)</f>
        <v>62.199999999999989</v>
      </c>
      <c r="H73" s="367">
        <f t="shared" si="16"/>
        <v>625.40000000000009</v>
      </c>
      <c r="J73" s="194">
        <f>SUM(J70:J72)</f>
        <v>706.7</v>
      </c>
      <c r="L73" s="368">
        <f t="shared" si="17"/>
        <v>81.299999999999955</v>
      </c>
      <c r="M73" s="213" t="s">
        <v>727</v>
      </c>
      <c r="N73" s="213">
        <v>4.5</v>
      </c>
      <c r="P73" s="213">
        <v>38</v>
      </c>
    </row>
    <row r="74" spans="1:26" ht="15.75" customHeight="1" x14ac:dyDescent="0.25"/>
    <row r="75" spans="1:26" ht="15.75" customHeight="1" x14ac:dyDescent="0.25"/>
    <row r="76" spans="1:26" ht="15.75" customHeight="1" x14ac:dyDescent="0.25">
      <c r="A76" s="194" t="s">
        <v>151</v>
      </c>
      <c r="B76" s="213">
        <v>193.9</v>
      </c>
      <c r="D76" s="213">
        <v>11.2</v>
      </c>
      <c r="F76" s="213">
        <f>24.4+0.7</f>
        <v>25.099999999999998</v>
      </c>
      <c r="H76" s="366">
        <f t="shared" ref="H76:H77" si="18">SUM(B76:F76)</f>
        <v>230.2</v>
      </c>
      <c r="J76" s="213">
        <v>200.7</v>
      </c>
      <c r="L76" s="277">
        <f t="shared" ref="L76:L77" si="19">J76-H76</f>
        <v>-29.5</v>
      </c>
      <c r="N76" s="213">
        <v>2.2000000000000002</v>
      </c>
      <c r="P76" s="213">
        <v>4.5</v>
      </c>
    </row>
    <row r="77" spans="1:26" ht="15.75" customHeight="1" x14ac:dyDescent="0.25">
      <c r="A77" s="194" t="s">
        <v>278</v>
      </c>
      <c r="B77" s="213">
        <v>-46.1</v>
      </c>
      <c r="D77" s="213">
        <v>-18.100000000000001</v>
      </c>
      <c r="F77" s="213">
        <f>-4.4-1.4</f>
        <v>-5.8000000000000007</v>
      </c>
      <c r="H77" s="366">
        <f t="shared" si="18"/>
        <v>-70</v>
      </c>
      <c r="J77" s="366">
        <v>-86.6</v>
      </c>
      <c r="L77" s="277">
        <f t="shared" si="19"/>
        <v>-16.599999999999994</v>
      </c>
    </row>
    <row r="78" spans="1:26" ht="15.75" customHeight="1" x14ac:dyDescent="0.25"/>
    <row r="79" spans="1:26" ht="15.75" customHeight="1" x14ac:dyDescent="0.25"/>
    <row r="80" spans="1:26"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4</vt:i4>
      </vt:variant>
    </vt:vector>
  </HeadingPairs>
  <TitlesOfParts>
    <vt:vector size="22" baseType="lpstr">
      <vt:lpstr>&gt;&gt; Model</vt:lpstr>
      <vt:lpstr>&gt;&gt; Inputs</vt:lpstr>
      <vt:lpstr>&gt;&gt; Dash</vt:lpstr>
      <vt:lpstr>&gt;&gt; Summary</vt:lpstr>
      <vt:lpstr>Scenario analysis</vt:lpstr>
      <vt:lpstr>&gt;&gt; Valuation</vt:lpstr>
      <vt:lpstr>&gt;&gt; DDM</vt:lpstr>
      <vt:lpstr>&gt;&gt; Relative</vt:lpstr>
      <vt:lpstr>&gt;&gt; Summary (2)</vt:lpstr>
      <vt:lpstr>&gt;&gt; Fin Stmts</vt:lpstr>
      <vt:lpstr>Data_Raw</vt:lpstr>
      <vt:lpstr>&gt;&gt; SKC segments</vt:lpstr>
      <vt:lpstr>Growth Drivers</vt:lpstr>
      <vt:lpstr>Growth Rates</vt:lpstr>
      <vt:lpstr>Capex</vt:lpstr>
      <vt:lpstr>Regular Dep. Calculation</vt:lpstr>
      <vt:lpstr>Sheet2</vt:lpstr>
      <vt:lpstr>Sheet1</vt:lpstr>
      <vt:lpstr>DiY</vt:lpstr>
      <vt:lpstr>kt</vt:lpstr>
      <vt:lpstr>Millions</vt:lpstr>
      <vt:lpstr>MiY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Paige Hennessy</dc:creator>
  <cp:lastModifiedBy>Tomasz Osuchowski</cp:lastModifiedBy>
  <dcterms:created xsi:type="dcterms:W3CDTF">2021-06-11T00:18:26Z</dcterms:created>
  <dcterms:modified xsi:type="dcterms:W3CDTF">2024-09-20T06:45:00Z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0x0101000C8165721940C244BBF0A9D500F42FDF</vt:lpwstr>
  </property>
</Properties>
</file>