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430"/>
  <workbookPr/>
  <mc:AlternateContent xmlns:mc="http://schemas.openxmlformats.org/markup-compatibility/2006">
    <mc:Choice Requires="x15">
      <x15ac:absPath xmlns:x15ac="http://schemas.microsoft.com/office/spreadsheetml/2010/11/ac" url="C:\Users\flavi\Downloads\"/>
    </mc:Choice>
  </mc:AlternateContent>
  <xr:revisionPtr revIDLastSave="0" documentId="8_{8C3BC654-5C83-46E0-98F5-520CEB06B906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Chi-square test" sheetId="1" r:id="rId1"/>
    <sheet name="Data &amp; Likelihood" sheetId="2" r:id="rId2"/>
    <sheet name="exercise 1" sheetId="3" r:id="rId3"/>
    <sheet name="exercise 2" sheetId="4" r:id="rId4"/>
  </sheet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6" i="4" l="1"/>
  <c r="E2" i="4"/>
  <c r="D9" i="4"/>
  <c r="D2" i="4"/>
  <c r="F14" i="4"/>
  <c r="F2" i="4"/>
  <c r="G2" i="4"/>
  <c r="F3" i="4"/>
  <c r="G3" i="4"/>
  <c r="F4" i="4"/>
  <c r="G4" i="4"/>
  <c r="F5" i="4"/>
  <c r="G5" i="4"/>
  <c r="F6" i="4"/>
  <c r="G6" i="4"/>
  <c r="F7" i="4"/>
  <c r="G7" i="4"/>
  <c r="F8" i="4"/>
  <c r="G8" i="4"/>
  <c r="G9" i="4"/>
  <c r="H2" i="4"/>
  <c r="H4" i="4"/>
  <c r="D16" i="4"/>
  <c r="E16" i="4"/>
  <c r="C17" i="4"/>
  <c r="D17" i="4"/>
  <c r="E17" i="4"/>
  <c r="C18" i="4"/>
  <c r="D18" i="4"/>
  <c r="E18" i="4"/>
  <c r="C19" i="4"/>
  <c r="D19" i="4"/>
  <c r="E19" i="4"/>
  <c r="C20" i="4"/>
  <c r="D20" i="4"/>
  <c r="E20" i="4"/>
  <c r="E21" i="4"/>
  <c r="O3" i="3"/>
  <c r="N3" i="3"/>
  <c r="Q6" i="3"/>
  <c r="P6" i="3"/>
  <c r="P5" i="3"/>
  <c r="P4" i="3"/>
  <c r="P3" i="3"/>
  <c r="M5" i="3"/>
  <c r="M3" i="3"/>
  <c r="D3" i="1"/>
  <c r="E3" i="1"/>
  <c r="F3" i="1"/>
  <c r="D4" i="1"/>
  <c r="E4" i="1"/>
  <c r="F4" i="1"/>
  <c r="D5" i="1"/>
  <c r="E5" i="1"/>
  <c r="F5" i="1"/>
  <c r="G3" i="1"/>
  <c r="G2" i="3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K3" i="3"/>
  <c r="L3" i="3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K4" i="3"/>
  <c r="L4" i="3"/>
  <c r="E2" i="3"/>
  <c r="F2" i="3"/>
  <c r="E3" i="3"/>
  <c r="F3" i="3"/>
  <c r="E4" i="3"/>
  <c r="F4" i="3"/>
  <c r="E5" i="3"/>
  <c r="F5" i="3"/>
  <c r="E6" i="3"/>
  <c r="F6" i="3"/>
  <c r="E7" i="3"/>
  <c r="F7" i="3"/>
  <c r="E8" i="3"/>
  <c r="F8" i="3"/>
  <c r="E9" i="3"/>
  <c r="F9" i="3"/>
  <c r="E10" i="3"/>
  <c r="F10" i="3"/>
  <c r="E11" i="3"/>
  <c r="F11" i="3"/>
  <c r="E12" i="3"/>
  <c r="F12" i="3"/>
  <c r="E13" i="3"/>
  <c r="F13" i="3"/>
  <c r="E14" i="3"/>
  <c r="F14" i="3"/>
  <c r="E15" i="3"/>
  <c r="F15" i="3"/>
  <c r="E16" i="3"/>
  <c r="F16" i="3"/>
  <c r="E17" i="3"/>
  <c r="F17" i="3"/>
  <c r="E18" i="3"/>
  <c r="F18" i="3"/>
  <c r="E19" i="3"/>
  <c r="F19" i="3"/>
  <c r="E20" i="3"/>
  <c r="F20" i="3"/>
  <c r="E21" i="3"/>
  <c r="F21" i="3"/>
  <c r="E22" i="3"/>
  <c r="F22" i="3"/>
  <c r="E23" i="3"/>
  <c r="F23" i="3"/>
  <c r="E24" i="3"/>
  <c r="F24" i="3"/>
  <c r="E25" i="3"/>
  <c r="F25" i="3"/>
  <c r="E26" i="3"/>
  <c r="F26" i="3"/>
  <c r="L5" i="3"/>
  <c r="L6" i="3"/>
  <c r="E27" i="3"/>
  <c r="K5" i="3"/>
  <c r="K6" i="3"/>
  <c r="G3" i="3"/>
  <c r="H3" i="2"/>
  <c r="I3" i="2"/>
  <c r="C3" i="2"/>
  <c r="D3" i="4"/>
  <c r="D4" i="4"/>
  <c r="D5" i="4"/>
  <c r="D6" i="4"/>
  <c r="D7" i="4"/>
  <c r="D8" i="4"/>
  <c r="B9" i="4"/>
  <c r="C21" i="4"/>
  <c r="F9" i="4"/>
  <c r="Q15" i="3"/>
  <c r="K15" i="3"/>
  <c r="L14" i="3"/>
  <c r="L13" i="3"/>
  <c r="L12" i="3"/>
  <c r="L15" i="3"/>
  <c r="M13" i="3"/>
  <c r="N13" i="3"/>
  <c r="O13" i="3"/>
  <c r="P13" i="3"/>
  <c r="M4" i="3"/>
  <c r="N4" i="3"/>
  <c r="O4" i="3"/>
  <c r="H2" i="3"/>
  <c r="H4" i="3"/>
  <c r="N5" i="3"/>
  <c r="O5" i="3"/>
  <c r="M12" i="3"/>
  <c r="I5" i="1"/>
  <c r="D3" i="2"/>
  <c r="N12" i="3"/>
  <c r="O12" i="3"/>
  <c r="P12" i="3"/>
  <c r="M14" i="3"/>
  <c r="N14" i="3"/>
  <c r="O14" i="3"/>
  <c r="P14" i="3"/>
  <c r="P15" i="3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C8" i="2"/>
  <c r="F3" i="2"/>
  <c r="C9" i="2"/>
  <c r="I8" i="1"/>
  <c r="D8" i="1"/>
  <c r="E8" i="1"/>
  <c r="F8" i="1"/>
  <c r="C17" i="2"/>
  <c r="C16" i="2"/>
  <c r="C7" i="2"/>
  <c r="C21" i="2"/>
  <c r="C13" i="2"/>
  <c r="C5" i="2"/>
  <c r="C20" i="2"/>
  <c r="C12" i="2"/>
  <c r="C4" i="2"/>
  <c r="C22" i="2"/>
  <c r="C18" i="2"/>
  <c r="C14" i="2"/>
  <c r="C10" i="2"/>
  <c r="C6" i="2"/>
  <c r="C19" i="2"/>
  <c r="C15" i="2"/>
  <c r="C11" i="2"/>
  <c r="D10" i="1"/>
  <c r="E10" i="1"/>
  <c r="F10" i="1"/>
  <c r="D9" i="1"/>
  <c r="E9" i="1"/>
  <c r="F9" i="1"/>
  <c r="G8" i="1"/>
  <c r="I10" i="1"/>
  <c r="E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FLAVIA_DELUCA</author>
  </authors>
  <commentList>
    <comment ref="G4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FLAVIA_DELUCA:</t>
        </r>
        <r>
          <rPr>
            <sz val="9"/>
            <color indexed="81"/>
            <rFont val="Tahoma"/>
            <family val="2"/>
          </rPr>
          <t xml:space="preserve">
Chi-square
significance 0.95
degree of freedom 
3-1=2</t>
        </r>
      </text>
    </comment>
    <comment ref="G9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FLAVIA_DELUCA:</t>
        </r>
        <r>
          <rPr>
            <sz val="9"/>
            <color indexed="81"/>
            <rFont val="Tahoma"/>
            <family val="2"/>
          </rPr>
          <t xml:space="preserve">
Chi-square
significance 0.95
degree of freedom 
3-1-1=1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FLAVIA_DELUCA</author>
  </authors>
  <commentList>
    <comment ref="E3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FLAVIA_DELUCA:</t>
        </r>
        <r>
          <rPr>
            <sz val="9"/>
            <color indexed="81"/>
            <rFont val="Tahoma"/>
            <family val="2"/>
          </rPr>
          <t xml:space="preserve">
Model 1 has a likelihood bigger than model 2, so it is a better model to fit the data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 De Luca</author>
  </authors>
  <commentList>
    <comment ref="G3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F De Luca:</t>
        </r>
        <r>
          <rPr>
            <sz val="9"/>
            <color indexed="81"/>
            <rFont val="Tahoma"/>
            <family val="2"/>
          </rPr>
          <t xml:space="preserve">
mean interarrival time</t>
        </r>
      </text>
    </comment>
    <comment ref="Q5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F De Luca:</t>
        </r>
        <r>
          <rPr>
            <sz val="9"/>
            <color indexed="81"/>
            <rFont val="Tahoma"/>
            <family val="2"/>
          </rPr>
          <t xml:space="preserve">
Chi-square distribution for 3-1-1=1 degrees of freedom</t>
        </r>
      </text>
    </comment>
  </commentList>
</comments>
</file>

<file path=xl/sharedStrings.xml><?xml version="1.0" encoding="utf-8"?>
<sst xmlns="http://schemas.openxmlformats.org/spreadsheetml/2006/main" count="104" uniqueCount="72">
  <si>
    <r>
      <t>Number of observed values N</t>
    </r>
    <r>
      <rPr>
        <vertAlign val="subscript"/>
        <sz val="11"/>
        <color theme="1"/>
        <rFont val="Calibri"/>
        <family val="2"/>
        <scheme val="minor"/>
      </rPr>
      <t>0,j</t>
    </r>
  </si>
  <si>
    <t>m</t>
  </si>
  <si>
    <t>s</t>
  </si>
  <si>
    <r>
      <t>Predicted Probability p(x</t>
    </r>
    <r>
      <rPr>
        <vertAlign val="subscript"/>
        <sz val="11"/>
        <color theme="1"/>
        <rFont val="Calibri"/>
        <family val="2"/>
        <scheme val="minor"/>
      </rPr>
      <t>j</t>
    </r>
    <r>
      <rPr>
        <sz val="11"/>
        <color theme="1"/>
        <rFont val="Calibri"/>
        <family val="2"/>
        <scheme val="minor"/>
      </rPr>
      <t>)</t>
    </r>
  </si>
  <si>
    <r>
      <t>Predicted number of observations N</t>
    </r>
    <r>
      <rPr>
        <vertAlign val="subscript"/>
        <sz val="11"/>
        <color theme="1"/>
        <rFont val="Calibri"/>
        <family val="2"/>
        <scheme val="minor"/>
      </rPr>
      <t>p,j</t>
    </r>
  </si>
  <si>
    <r>
      <t>(N</t>
    </r>
    <r>
      <rPr>
        <vertAlign val="subscript"/>
        <sz val="11"/>
        <color theme="1"/>
        <rFont val="Calibri"/>
        <family val="2"/>
        <scheme val="minor"/>
      </rPr>
      <t>0,j</t>
    </r>
    <r>
      <rPr>
        <sz val="11"/>
        <color theme="1"/>
        <rFont val="Calibri"/>
        <family val="2"/>
        <scheme val="minor"/>
      </rPr>
      <t>-N</t>
    </r>
    <r>
      <rPr>
        <vertAlign val="subscript"/>
        <sz val="11"/>
        <color theme="1"/>
        <rFont val="Calibri"/>
        <family val="2"/>
        <scheme val="minor"/>
      </rPr>
      <t>p,j</t>
    </r>
    <r>
      <rPr>
        <sz val="11"/>
        <color theme="1"/>
        <rFont val="Calibri"/>
        <family val="2"/>
        <scheme val="minor"/>
      </rPr>
      <t>)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/N</t>
    </r>
    <r>
      <rPr>
        <vertAlign val="subscript"/>
        <sz val="11"/>
        <color theme="1"/>
        <rFont val="Calibri"/>
        <family val="2"/>
        <scheme val="minor"/>
      </rPr>
      <t>p,j</t>
    </r>
  </si>
  <si>
    <t>inf</t>
  </si>
  <si>
    <r>
      <t>Interval x</t>
    </r>
    <r>
      <rPr>
        <vertAlign val="subscript"/>
        <sz val="11"/>
        <color theme="1"/>
        <rFont val="Calibri"/>
        <family val="2"/>
        <scheme val="minor"/>
      </rPr>
      <t>j,l</t>
    </r>
  </si>
  <si>
    <r>
      <t>Interval x</t>
    </r>
    <r>
      <rPr>
        <vertAlign val="subscript"/>
        <sz val="11"/>
        <color theme="1"/>
        <rFont val="Calibri"/>
        <family val="2"/>
        <scheme val="minor"/>
      </rPr>
      <t>j,r</t>
    </r>
  </si>
  <si>
    <r>
      <rPr>
        <sz val="11"/>
        <color theme="1"/>
        <rFont val="Symbol"/>
        <family val="1"/>
        <charset val="2"/>
      </rPr>
      <t>e</t>
    </r>
    <r>
      <rPr>
        <vertAlign val="superscript"/>
        <sz val="11"/>
        <color theme="1"/>
        <rFont val="Calibri"/>
        <family val="2"/>
        <scheme val="minor"/>
      </rPr>
      <t>2</t>
    </r>
    <r>
      <rPr>
        <vertAlign val="subscript"/>
        <sz val="11"/>
        <color theme="1"/>
        <rFont val="Calibri"/>
        <family val="2"/>
        <scheme val="minor"/>
      </rPr>
      <t>m</t>
    </r>
  </si>
  <si>
    <t>D</t>
  </si>
  <si>
    <t>i</t>
  </si>
  <si>
    <t>Likelihood model 1</t>
  </si>
  <si>
    <t>Likelihood model 2</t>
  </si>
  <si>
    <t>Model 1</t>
  </si>
  <si>
    <t>Model 2</t>
  </si>
  <si>
    <t>∑L model 1</t>
  </si>
  <si>
    <t>∑L model 2</t>
  </si>
  <si>
    <r>
      <t>x</t>
    </r>
    <r>
      <rPr>
        <b/>
        <vertAlign val="superscript"/>
        <sz val="11"/>
        <color theme="1"/>
        <rFont val="Calibri"/>
        <family val="2"/>
        <scheme val="minor"/>
      </rPr>
      <t>0</t>
    </r>
    <r>
      <rPr>
        <b/>
        <vertAlign val="subscript"/>
        <sz val="11"/>
        <color theme="1"/>
        <rFont val="Calibri"/>
        <family val="2"/>
        <scheme val="minor"/>
      </rPr>
      <t>i</t>
    </r>
  </si>
  <si>
    <t>dof</t>
  </si>
  <si>
    <t>Likelihood of chi-square</t>
  </si>
  <si>
    <t>Table 5.5 pag 121 Faber's book</t>
  </si>
  <si>
    <t>Table 5.6 pag 121 Faber's book</t>
  </si>
  <si>
    <t xml:space="preserve"> zeros</t>
  </si>
  <si>
    <t>ones</t>
  </si>
  <si>
    <t>&gt;=2</t>
  </si>
  <si>
    <t>TOTAL</t>
  </si>
  <si>
    <t>sample</t>
  </si>
  <si>
    <t>Nos of veh/min</t>
  </si>
  <si>
    <t>Obs freq</t>
  </si>
  <si>
    <r>
      <rPr>
        <b/>
        <sz val="11"/>
        <color theme="1"/>
        <rFont val="Symbol"/>
        <family val="1"/>
        <charset val="2"/>
      </rPr>
      <t>n</t>
    </r>
    <r>
      <rPr>
        <b/>
        <sz val="11"/>
        <color theme="1"/>
        <rFont val="Calibri"/>
        <family val="2"/>
        <scheme val="minor"/>
      </rPr>
      <t>_hat</t>
    </r>
  </si>
  <si>
    <r>
      <t>s</t>
    </r>
    <r>
      <rPr>
        <b/>
        <vertAlign val="superscript"/>
        <sz val="11"/>
        <color theme="1"/>
        <rFont val="Symbol"/>
        <family val="1"/>
        <charset val="2"/>
      </rPr>
      <t>2</t>
    </r>
  </si>
  <si>
    <t>total number of vehicle obs</t>
  </si>
  <si>
    <t>useful</t>
  </si>
  <si>
    <t>theoretical prob (v=1.08)</t>
  </si>
  <si>
    <t>theoretical frequency ei</t>
  </si>
  <si>
    <t>(ni-ei)^2</t>
  </si>
  <si>
    <t>(ni-ei)^2/e</t>
  </si>
  <si>
    <t>theoretical prob (v=1.2)</t>
  </si>
  <si>
    <t>Case considering the sample made by the first 20 minutes of observations</t>
  </si>
  <si>
    <t>Case considering the sample made by all the 25 minutes of observations</t>
  </si>
  <si>
    <t>Range of K/per day</t>
  </si>
  <si>
    <t>0.000-0.049</t>
  </si>
  <si>
    <t>0.050-0.099</t>
  </si>
  <si>
    <t>0.100-0.149</t>
  </si>
  <si>
    <t>0.150-0.199</t>
  </si>
  <si>
    <t>0.200-0.249</t>
  </si>
  <si>
    <t>0.250-0.299</t>
  </si>
  <si>
    <t>0.300-0.349</t>
  </si>
  <si>
    <t>mid point to represent range (ki)</t>
  </si>
  <si>
    <t>No. of Observation (n)</t>
  </si>
  <si>
    <t>nki</t>
  </si>
  <si>
    <t>(ki-k_hat)^2</t>
  </si>
  <si>
    <t>mean (k_hat)</t>
  </si>
  <si>
    <t>ni(ki-k_hat)^2</t>
  </si>
  <si>
    <r>
      <rPr>
        <b/>
        <sz val="11"/>
        <color theme="1"/>
        <rFont val="Symbol"/>
        <family val="1"/>
        <charset val="2"/>
      </rPr>
      <t>s</t>
    </r>
    <r>
      <rPr>
        <b/>
        <sz val="11"/>
        <color theme="1"/>
        <rFont val="Calibri"/>
        <family val="2"/>
        <scheme val="minor"/>
      </rPr>
      <t>^2</t>
    </r>
  </si>
  <si>
    <t>K</t>
  </si>
  <si>
    <t>(per day)</t>
  </si>
  <si>
    <t>Observed</t>
  </si>
  <si>
    <t>frequency</t>
  </si>
  <si>
    <r>
      <t>n</t>
    </r>
    <r>
      <rPr>
        <vertAlign val="subscript"/>
        <sz val="11"/>
        <color theme="1"/>
        <rFont val="Times New Roman"/>
        <family val="1"/>
      </rPr>
      <t>i</t>
    </r>
  </si>
  <si>
    <t>Theoretical</t>
  </si>
  <si>
    <r>
      <t>e</t>
    </r>
    <r>
      <rPr>
        <vertAlign val="subscript"/>
        <sz val="11"/>
        <color theme="1"/>
        <rFont val="Times New Roman"/>
        <family val="1"/>
      </rPr>
      <t>i</t>
    </r>
  </si>
  <si>
    <t>&lt; 0.100</t>
  </si>
  <si>
    <t>0.100 – 0.150</t>
  </si>
  <si>
    <t>0.150 – 0.200</t>
  </si>
  <si>
    <t>0.200 – 0.250</t>
  </si>
  <si>
    <t>&gt; 0.250</t>
  </si>
  <si>
    <t>S</t>
  </si>
  <si>
    <r>
      <t>(n</t>
    </r>
    <r>
      <rPr>
        <b/>
        <vertAlign val="subscript"/>
        <sz val="11"/>
        <color theme="1"/>
        <rFont val="Times New Roman"/>
        <family val="1"/>
      </rPr>
      <t>i</t>
    </r>
    <r>
      <rPr>
        <b/>
        <sz val="11"/>
        <color theme="1"/>
        <rFont val="Times New Roman"/>
        <family val="1"/>
      </rPr>
      <t>-e</t>
    </r>
    <r>
      <rPr>
        <b/>
        <vertAlign val="subscript"/>
        <sz val="11"/>
        <color theme="1"/>
        <rFont val="Times New Roman"/>
        <family val="1"/>
      </rPr>
      <t>i</t>
    </r>
    <r>
      <rPr>
        <b/>
        <sz val="11"/>
        <color theme="1"/>
        <rFont val="Times New Roman"/>
        <family val="1"/>
      </rPr>
      <t>)</t>
    </r>
    <r>
      <rPr>
        <b/>
        <vertAlign val="superscript"/>
        <sz val="11"/>
        <color theme="1"/>
        <rFont val="Times New Roman"/>
        <family val="1"/>
      </rPr>
      <t>2</t>
    </r>
  </si>
  <si>
    <r>
      <t>(n</t>
    </r>
    <r>
      <rPr>
        <b/>
        <vertAlign val="subscript"/>
        <sz val="11"/>
        <color theme="1"/>
        <rFont val="Times New Roman"/>
        <family val="1"/>
      </rPr>
      <t>i</t>
    </r>
    <r>
      <rPr>
        <b/>
        <sz val="11"/>
        <color theme="1"/>
        <rFont val="Times New Roman"/>
        <family val="1"/>
      </rPr>
      <t>-e</t>
    </r>
    <r>
      <rPr>
        <b/>
        <vertAlign val="subscript"/>
        <sz val="11"/>
        <color theme="1"/>
        <rFont val="Times New Roman"/>
        <family val="1"/>
      </rPr>
      <t>i</t>
    </r>
    <r>
      <rPr>
        <b/>
        <sz val="11"/>
        <color theme="1"/>
        <rFont val="Times New Roman"/>
        <family val="1"/>
      </rPr>
      <t>)</t>
    </r>
    <r>
      <rPr>
        <b/>
        <vertAlign val="superscript"/>
        <sz val="11"/>
        <color theme="1"/>
        <rFont val="Times New Roman"/>
        <family val="1"/>
      </rPr>
      <t>2</t>
    </r>
    <r>
      <rPr>
        <b/>
        <sz val="11"/>
        <color theme="1"/>
        <rFont val="Times New Roman"/>
        <family val="1"/>
      </rPr>
      <t xml:space="preserve"> / e</t>
    </r>
    <r>
      <rPr>
        <b/>
        <vertAlign val="subscript"/>
        <sz val="11"/>
        <color theme="1"/>
        <rFont val="Times New Roman"/>
        <family val="1"/>
      </rPr>
      <t>i</t>
    </r>
  </si>
  <si>
    <t>Page 124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</si>
</sst>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00"/>
    <numFmt numFmtId="165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vertAlign val="superscript"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vertAlign val="superscript"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b/>
      <sz val="11"/>
      <color theme="1"/>
      <name val="Symbol"/>
      <family val="1"/>
      <charset val="2"/>
    </font>
    <font>
      <b/>
      <vertAlign val="superscript"/>
      <sz val="11"/>
      <color theme="1"/>
      <name val="Symbol"/>
      <family val="1"/>
      <charset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Times New Roman"/>
      <family val="1"/>
    </font>
    <font>
      <vertAlign val="subscript"/>
      <sz val="11"/>
      <color theme="1"/>
      <name val="Times New Roman"/>
      <family val="1"/>
    </font>
    <font>
      <b/>
      <vertAlign val="subscript"/>
      <sz val="11"/>
      <color theme="1"/>
      <name val="Times New Roman"/>
      <family val="1"/>
    </font>
    <font>
      <b/>
      <vertAlign val="superscript"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4">
    <xf numFmtId="0" fontId="0" fillId="0" borderId="0" xfId="0"/>
    <xf numFmtId="0" fontId="0" fillId="0" borderId="0" xfId="0" applyAlignment="1">
      <alignment horizontal="center"/>
    </xf>
    <xf numFmtId="0" fontId="4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43" fontId="0" fillId="0" borderId="1" xfId="1" applyFont="1" applyBorder="1" applyAlignment="1">
      <alignment horizontal="center" vertical="center"/>
    </xf>
    <xf numFmtId="43" fontId="0" fillId="0" borderId="1" xfId="0" applyNumberFormat="1" applyBorder="1"/>
    <xf numFmtId="1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164" fontId="0" fillId="0" borderId="1" xfId="0" applyNumberFormat="1" applyBorder="1"/>
    <xf numFmtId="11" fontId="0" fillId="0" borderId="1" xfId="0" applyNumberFormat="1" applyBorder="1"/>
    <xf numFmtId="0" fontId="2" fillId="0" borderId="0" xfId="0" applyFont="1"/>
    <xf numFmtId="0" fontId="2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ill="1"/>
    <xf numFmtId="2" fontId="0" fillId="0" borderId="0" xfId="0" applyNumberFormat="1"/>
    <xf numFmtId="0" fontId="13" fillId="0" borderId="0" xfId="0" applyFont="1"/>
    <xf numFmtId="0" fontId="0" fillId="0" borderId="4" xfId="0" applyBorder="1"/>
    <xf numFmtId="0" fontId="12" fillId="0" borderId="5" xfId="0" applyFon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2" fillId="0" borderId="0" xfId="0" applyFont="1" applyBorder="1"/>
    <xf numFmtId="0" fontId="0" fillId="0" borderId="0" xfId="0" applyBorder="1"/>
    <xf numFmtId="0" fontId="0" fillId="0" borderId="8" xfId="0" applyBorder="1"/>
    <xf numFmtId="0" fontId="0" fillId="0" borderId="9" xfId="0" applyBorder="1"/>
    <xf numFmtId="0" fontId="12" fillId="0" borderId="10" xfId="0" applyFont="1" applyBorder="1"/>
    <xf numFmtId="0" fontId="0" fillId="0" borderId="10" xfId="0" applyBorder="1"/>
    <xf numFmtId="0" fontId="0" fillId="0" borderId="11" xfId="0" applyBorder="1"/>
    <xf numFmtId="165" fontId="0" fillId="0" borderId="0" xfId="0" applyNumberFormat="1" applyAlignment="1">
      <alignment horizontal="center"/>
    </xf>
    <xf numFmtId="165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2" xfId="0" applyFont="1" applyFill="1" applyBorder="1" applyAlignment="1">
      <alignment horizontal="center"/>
    </xf>
    <xf numFmtId="0" fontId="10" fillId="0" borderId="12" xfId="0" applyFont="1" applyBorder="1" applyAlignment="1">
      <alignment horizontal="center"/>
    </xf>
    <xf numFmtId="0" fontId="2" fillId="2" borderId="2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25 MINS OBSERVATIONS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OBSERVED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'exercise 1'!$J$3:$J$5</c:f>
              <c:strCache>
                <c:ptCount val="3"/>
                <c:pt idx="0">
                  <c:v>0</c:v>
                </c:pt>
                <c:pt idx="1">
                  <c:v>1</c:v>
                </c:pt>
                <c:pt idx="2">
                  <c:v>&gt;=2</c:v>
                </c:pt>
              </c:strCache>
            </c:strRef>
          </c:cat>
          <c:val>
            <c:numRef>
              <c:f>'exercise 1'!$K$3:$K$5</c:f>
              <c:numCache>
                <c:formatCode>General</c:formatCode>
                <c:ptCount val="3"/>
                <c:pt idx="0">
                  <c:v>9</c:v>
                </c:pt>
                <c:pt idx="1">
                  <c:v>9</c:v>
                </c:pt>
                <c:pt idx="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EC-495F-9A4D-ADD1AB93B982}"/>
            </c:ext>
          </c:extLst>
        </c:ser>
        <c:ser>
          <c:idx val="1"/>
          <c:order val="1"/>
          <c:tx>
            <c:v>THEORETICAL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'exercise 1'!$J$3:$J$5</c:f>
              <c:strCache>
                <c:ptCount val="3"/>
                <c:pt idx="0">
                  <c:v>0</c:v>
                </c:pt>
                <c:pt idx="1">
                  <c:v>1</c:v>
                </c:pt>
                <c:pt idx="2">
                  <c:v>&gt;=2</c:v>
                </c:pt>
              </c:strCache>
            </c:strRef>
          </c:cat>
          <c:val>
            <c:numRef>
              <c:f>'exercise 1'!$N$3:$N$5</c:f>
              <c:numCache>
                <c:formatCode>General</c:formatCode>
                <c:ptCount val="3"/>
                <c:pt idx="0">
                  <c:v>8.4898881411234779</c:v>
                </c:pt>
                <c:pt idx="1">
                  <c:v>9.1690791924133599</c:v>
                </c:pt>
                <c:pt idx="2">
                  <c:v>7.3410326664631622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EC-495F-9A4D-ADD1AB93B9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17735568"/>
        <c:axId val="1417884448"/>
      </c:barChart>
      <c:catAx>
        <c:axId val="1417735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BINNED OBSERVATIONS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7884448"/>
        <c:crosses val="autoZero"/>
        <c:auto val="1"/>
        <c:lblAlgn val="ctr"/>
        <c:lblOffset val="100"/>
        <c:noMultiLvlLbl val="0"/>
      </c:catAx>
      <c:valAx>
        <c:axId val="141788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773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20 MINS OBSERVATIONS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'exercise 1'!$J$12:$J$14</c:f>
              <c:strCache>
                <c:ptCount val="3"/>
                <c:pt idx="0">
                  <c:v>0</c:v>
                </c:pt>
                <c:pt idx="1">
                  <c:v>1</c:v>
                </c:pt>
                <c:pt idx="2">
                  <c:v>&gt;=2</c:v>
                </c:pt>
              </c:strCache>
            </c:strRef>
          </c:cat>
          <c:val>
            <c:numRef>
              <c:f>'exercise 1'!$K$12:$K$14</c:f>
              <c:numCache>
                <c:formatCode>General</c:formatCode>
                <c:ptCount val="3"/>
                <c:pt idx="0">
                  <c:v>6</c:v>
                </c:pt>
                <c:pt idx="1">
                  <c:v>8</c:v>
                </c:pt>
                <c:pt idx="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7F-462C-B886-4C17C97B2FBF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'exercise 1'!$J$12:$J$14</c:f>
              <c:strCache>
                <c:ptCount val="3"/>
                <c:pt idx="0">
                  <c:v>0</c:v>
                </c:pt>
                <c:pt idx="1">
                  <c:v>1</c:v>
                </c:pt>
                <c:pt idx="2">
                  <c:v>&gt;=2</c:v>
                </c:pt>
              </c:strCache>
            </c:strRef>
          </c:cat>
          <c:val>
            <c:numRef>
              <c:f>'exercise 1'!$N$12:$N$14</c:f>
              <c:numCache>
                <c:formatCode>0.00</c:formatCode>
                <c:ptCount val="3"/>
                <c:pt idx="0">
                  <c:v>6.023884238244043</c:v>
                </c:pt>
                <c:pt idx="1">
                  <c:v>7.2286610858928499</c:v>
                </c:pt>
                <c:pt idx="2">
                  <c:v>6.7474546758631062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7F-462C-B886-4C17C97B2F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17735568"/>
        <c:axId val="1417884448"/>
      </c:barChart>
      <c:catAx>
        <c:axId val="1417735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BINNED OBSERVATIONS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7884448"/>
        <c:crosses val="autoZero"/>
        <c:auto val="1"/>
        <c:lblAlgn val="ctr"/>
        <c:lblOffset val="100"/>
        <c:noMultiLvlLbl val="0"/>
      </c:catAx>
      <c:valAx>
        <c:axId val="141788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773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</xdr:colOff>
      <xdr:row>17</xdr:row>
      <xdr:rowOff>42862</xdr:rowOff>
    </xdr:from>
    <xdr:to>
      <xdr:col>12</xdr:col>
      <xdr:colOff>714375</xdr:colOff>
      <xdr:row>31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135DA5-B024-4A19-80A0-90AA355972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1009650</xdr:colOff>
      <xdr:row>17</xdr:row>
      <xdr:rowOff>28575</xdr:rowOff>
    </xdr:from>
    <xdr:to>
      <xdr:col>18</xdr:col>
      <xdr:colOff>19050</xdr:colOff>
      <xdr:row>31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4E2E280-A3D2-4F37-9B97-B5F97A658F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0"/>
  <sheetViews>
    <sheetView workbookViewId="0">
      <selection activeCell="C19" sqref="C19"/>
    </sheetView>
  </sheetViews>
  <sheetFormatPr defaultColWidth="8.85546875" defaultRowHeight="15" x14ac:dyDescent="0.25"/>
  <cols>
    <col min="1" max="1" width="10.28515625" bestFit="1" customWidth="1"/>
    <col min="2" max="2" width="10.42578125" bestFit="1" customWidth="1"/>
    <col min="3" max="3" width="30.140625" bestFit="1" customWidth="1"/>
    <col min="4" max="4" width="24.42578125" bestFit="1" customWidth="1"/>
    <col min="5" max="5" width="35.28515625" bestFit="1" customWidth="1"/>
    <col min="6" max="6" width="16.140625" bestFit="1" customWidth="1"/>
    <col min="9" max="9" width="22.7109375" bestFit="1" customWidth="1"/>
  </cols>
  <sheetData>
    <row r="1" spans="1:9" x14ac:dyDescent="0.25">
      <c r="A1" s="37" t="s">
        <v>21</v>
      </c>
      <c r="B1" s="37"/>
      <c r="C1" s="37"/>
      <c r="D1" s="37"/>
      <c r="E1" s="37"/>
      <c r="F1" s="37"/>
      <c r="G1" s="37"/>
      <c r="H1" s="37"/>
      <c r="I1" s="37"/>
    </row>
    <row r="2" spans="1:9" ht="18.75" x14ac:dyDescent="0.35">
      <c r="A2" s="3" t="s">
        <v>7</v>
      </c>
      <c r="B2" s="3" t="s">
        <v>8</v>
      </c>
      <c r="C2" s="3" t="s">
        <v>0</v>
      </c>
      <c r="D2" s="3" t="s">
        <v>3</v>
      </c>
      <c r="E2" s="3" t="s">
        <v>4</v>
      </c>
      <c r="F2" s="3" t="s">
        <v>5</v>
      </c>
      <c r="G2" s="3" t="s">
        <v>9</v>
      </c>
      <c r="H2" s="2" t="s">
        <v>1</v>
      </c>
      <c r="I2" s="2" t="s">
        <v>2</v>
      </c>
    </row>
    <row r="3" spans="1:9" x14ac:dyDescent="0.25">
      <c r="A3" s="4">
        <v>0</v>
      </c>
      <c r="B3" s="4">
        <v>30</v>
      </c>
      <c r="C3" s="4">
        <v>5</v>
      </c>
      <c r="D3" s="4">
        <f>NORMDIST(B3,$H$3,$I$3,TRUE)</f>
        <v>0.27425311775007355</v>
      </c>
      <c r="E3" s="4">
        <f>($C$3+$C$4+$C$5)*D3</f>
        <v>5.485062355001471</v>
      </c>
      <c r="F3" s="4">
        <f>+(C3-E3)^2/E3</f>
        <v>4.2895681582367347E-2</v>
      </c>
      <c r="G3" s="5">
        <f>+SUM(F3:F5)</f>
        <v>0.40682910807108535</v>
      </c>
      <c r="H3" s="3">
        <v>33</v>
      </c>
      <c r="I3" s="3">
        <v>5</v>
      </c>
    </row>
    <row r="4" spans="1:9" x14ac:dyDescent="0.25">
      <c r="A4" s="4">
        <v>30</v>
      </c>
      <c r="B4" s="4">
        <v>35</v>
      </c>
      <c r="C4" s="4">
        <v>9</v>
      </c>
      <c r="D4" s="4">
        <f>NORMDIST(B4,$H$3,$I$3,TRUE)-D3</f>
        <v>0.38116862386025074</v>
      </c>
      <c r="E4" s="4">
        <f t="shared" ref="E4:E5" si="0">($C$3+$C$4+$C$5)*D4</f>
        <v>7.6233724772050149</v>
      </c>
      <c r="F4" s="4">
        <f t="shared" ref="F4:F5" si="1">+(C4-E4)^2/E4</f>
        <v>0.24859120319560535</v>
      </c>
      <c r="G4" s="2" t="s">
        <v>10</v>
      </c>
      <c r="H4" s="3" t="s">
        <v>19</v>
      </c>
      <c r="I4" s="5" t="s">
        <v>20</v>
      </c>
    </row>
    <row r="5" spans="1:9" x14ac:dyDescent="0.25">
      <c r="A5" s="4">
        <v>35</v>
      </c>
      <c r="B5" s="4" t="s">
        <v>6</v>
      </c>
      <c r="C5" s="4">
        <v>6</v>
      </c>
      <c r="D5" s="4">
        <f>1-NORMDIST(A5,$H$3,$I$3,TRUE)</f>
        <v>0.34457825838967571</v>
      </c>
      <c r="E5" s="4">
        <f t="shared" si="0"/>
        <v>6.8915651677935141</v>
      </c>
      <c r="F5" s="4">
        <f t="shared" si="1"/>
        <v>0.11534222329311268</v>
      </c>
      <c r="G5" s="5">
        <v>5.9915000000000003</v>
      </c>
      <c r="H5" s="3">
        <v>2</v>
      </c>
      <c r="I5" s="13">
        <f>+G3^(H5/2-1)/(2^(H5/2)*_xlfn.GAMMA(H5/2))*EXP(-G3/2)</f>
        <v>0.40796996005878911</v>
      </c>
    </row>
    <row r="6" spans="1:9" x14ac:dyDescent="0.25">
      <c r="A6" s="37" t="s">
        <v>22</v>
      </c>
      <c r="B6" s="37"/>
      <c r="C6" s="37"/>
      <c r="D6" s="37"/>
      <c r="E6" s="37"/>
      <c r="F6" s="37"/>
      <c r="G6" s="37"/>
      <c r="H6" s="37"/>
      <c r="I6" s="37"/>
    </row>
    <row r="7" spans="1:9" ht="18.75" x14ac:dyDescent="0.35">
      <c r="A7" s="3" t="s">
        <v>7</v>
      </c>
      <c r="B7" s="3" t="s">
        <v>8</v>
      </c>
      <c r="C7" s="3" t="s">
        <v>0</v>
      </c>
      <c r="D7" s="3" t="s">
        <v>3</v>
      </c>
      <c r="E7" s="3" t="s">
        <v>4</v>
      </c>
      <c r="F7" s="3" t="s">
        <v>5</v>
      </c>
      <c r="G7" s="6" t="s">
        <v>9</v>
      </c>
      <c r="H7" s="2" t="s">
        <v>1</v>
      </c>
      <c r="I7" s="2" t="s">
        <v>2</v>
      </c>
    </row>
    <row r="8" spans="1:9" x14ac:dyDescent="0.25">
      <c r="A8" s="4">
        <v>0</v>
      </c>
      <c r="B8" s="4">
        <v>30</v>
      </c>
      <c r="C8" s="4">
        <v>5</v>
      </c>
      <c r="D8" s="3">
        <f>NORMDIST(B8,$H$8,$I$8,TRUE)</f>
        <v>0.22912889382591142</v>
      </c>
      <c r="E8" s="3">
        <f>+($C$8+$C$9+$C$10)*D8</f>
        <v>4.5825778765182283</v>
      </c>
      <c r="F8" s="3">
        <f>+(C8-E8)^2/E8</f>
        <v>3.8022535321192881E-2</v>
      </c>
      <c r="G8" s="5">
        <f>+SUM(F8:F10)</f>
        <v>4.9789699641698458E-2</v>
      </c>
      <c r="H8" s="7">
        <v>33</v>
      </c>
      <c r="I8" s="9">
        <f>+'Data &amp; Likelihood'!I3</f>
        <v>4.0446600598813216</v>
      </c>
    </row>
    <row r="9" spans="1:9" x14ac:dyDescent="0.25">
      <c r="A9" s="4">
        <v>30</v>
      </c>
      <c r="B9" s="4">
        <v>35</v>
      </c>
      <c r="C9" s="4">
        <v>9</v>
      </c>
      <c r="D9" s="3">
        <f>NORMDIST(B9,$H$8,$I$8,TRUE)-D8</f>
        <v>0.46038718631966047</v>
      </c>
      <c r="E9" s="3">
        <f t="shared" ref="E9:E10" si="2">+($C$8+$C$9+$C$10)*D9</f>
        <v>9.2077437263932094</v>
      </c>
      <c r="F9" s="3">
        <f t="shared" ref="F9:F10" si="3">+(C9-E9)^2/E9</f>
        <v>4.6870826489261953E-3</v>
      </c>
      <c r="G9" s="2" t="s">
        <v>10</v>
      </c>
      <c r="H9" s="3" t="s">
        <v>19</v>
      </c>
      <c r="I9" s="5" t="s">
        <v>20</v>
      </c>
    </row>
    <row r="10" spans="1:9" x14ac:dyDescent="0.25">
      <c r="A10" s="4">
        <v>35</v>
      </c>
      <c r="B10" s="4" t="s">
        <v>6</v>
      </c>
      <c r="C10" s="4">
        <v>6</v>
      </c>
      <c r="D10" s="3">
        <f>1-NORMDIST(A10,$H$8,$I$8,TRUE)</f>
        <v>0.31048391985442814</v>
      </c>
      <c r="E10" s="3">
        <f t="shared" si="2"/>
        <v>6.2096783970885632</v>
      </c>
      <c r="F10" s="3">
        <f t="shared" si="3"/>
        <v>7.0800816715793826E-3</v>
      </c>
      <c r="G10" s="5">
        <v>3.8414999999999999</v>
      </c>
      <c r="H10" s="3">
        <v>1</v>
      </c>
      <c r="I10" s="13">
        <f>+G8^(H10/2-1)/(2^(H10/2)*_xlfn.GAMMA(H10/2))*EXP(-G8/2)</f>
        <v>1.7439282653700139</v>
      </c>
    </row>
  </sheetData>
  <mergeCells count="2">
    <mergeCell ref="A1:I1"/>
    <mergeCell ref="A6:I6"/>
  </mergeCells>
  <pageMargins left="0.7" right="0.7" top="0.75" bottom="0.75" header="0.3" footer="0.3"/>
  <pageSetup paperSize="9" orientation="portrait" horizontalDpi="4294967293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2"/>
  <sheetViews>
    <sheetView workbookViewId="0">
      <selection activeCell="C36" sqref="C36"/>
    </sheetView>
  </sheetViews>
  <sheetFormatPr defaultColWidth="8.85546875" defaultRowHeight="15" x14ac:dyDescent="0.25"/>
  <cols>
    <col min="3" max="4" width="18.140625" bestFit="1" customWidth="1"/>
    <col min="5" max="6" width="12" bestFit="1" customWidth="1"/>
  </cols>
  <sheetData>
    <row r="1" spans="1:9" x14ac:dyDescent="0.25">
      <c r="A1" s="41" t="s">
        <v>71</v>
      </c>
      <c r="B1" s="42"/>
      <c r="C1" s="42"/>
      <c r="D1" s="42"/>
      <c r="E1" s="42"/>
      <c r="F1" s="42"/>
      <c r="G1" s="42"/>
      <c r="H1" s="42"/>
      <c r="I1" s="43"/>
    </row>
    <row r="2" spans="1:9" ht="18.75" x14ac:dyDescent="0.35">
      <c r="A2" s="38" t="s">
        <v>11</v>
      </c>
      <c r="B2" s="38" t="s">
        <v>18</v>
      </c>
      <c r="C2" s="38" t="s">
        <v>13</v>
      </c>
      <c r="D2" s="38" t="s">
        <v>12</v>
      </c>
      <c r="E2" s="39" t="s">
        <v>17</v>
      </c>
      <c r="F2" s="39" t="s">
        <v>16</v>
      </c>
      <c r="G2" s="1"/>
      <c r="H2" s="40" t="s">
        <v>1</v>
      </c>
      <c r="I2" s="40" t="s">
        <v>2</v>
      </c>
    </row>
    <row r="3" spans="1:9" x14ac:dyDescent="0.25">
      <c r="A3" s="3">
        <v>1</v>
      </c>
      <c r="B3" s="3">
        <v>24.4</v>
      </c>
      <c r="C3" s="3">
        <f>NORMDIST(B3,$H$3,$I$3,FALSE)</f>
        <v>1.2226502150808142E-2</v>
      </c>
      <c r="D3" s="3">
        <f>NORMDIST(B3,$H$5,$I$5,FALSE)</f>
        <v>1.8177395803256568E-2</v>
      </c>
      <c r="E3" s="14">
        <f>+PRODUCT(C3:C22)</f>
        <v>3.4483867495892855E-25</v>
      </c>
      <c r="F3" s="14">
        <f>+PRODUCT(D3:D22)</f>
        <v>1.5045568636335941E-25</v>
      </c>
      <c r="G3" s="11" t="s">
        <v>15</v>
      </c>
      <c r="H3" s="10">
        <f>+AVERAGE(B3:B22)</f>
        <v>32.665000000000006</v>
      </c>
      <c r="I3" s="8">
        <f>STDEVP(B3:B22)</f>
        <v>4.0446600598813216</v>
      </c>
    </row>
    <row r="4" spans="1:9" x14ac:dyDescent="0.25">
      <c r="A4" s="3">
        <v>2</v>
      </c>
      <c r="B4" s="3">
        <v>27.6</v>
      </c>
      <c r="C4" s="3">
        <f t="shared" ref="C4:C22" si="0">NORMDIST(B4,$H$3,$I$3,FALSE)</f>
        <v>4.5030100218609218E-2</v>
      </c>
      <c r="D4" s="3">
        <f t="shared" ref="D4:D22" si="1">NORMDIST(B4,$H$5,$I$5,FALSE)</f>
        <v>4.4530699750352246E-2</v>
      </c>
      <c r="G4" s="1"/>
      <c r="H4" s="12" t="s">
        <v>1</v>
      </c>
      <c r="I4" s="12" t="s">
        <v>2</v>
      </c>
    </row>
    <row r="5" spans="1:9" x14ac:dyDescent="0.25">
      <c r="A5" s="3">
        <v>3</v>
      </c>
      <c r="B5" s="3">
        <v>27.8</v>
      </c>
      <c r="C5" s="3">
        <f t="shared" si="0"/>
        <v>4.7848064671613622E-2</v>
      </c>
      <c r="D5" s="3">
        <f t="shared" si="1"/>
        <v>4.6459400948673242E-2</v>
      </c>
      <c r="G5" s="11" t="s">
        <v>14</v>
      </c>
      <c r="H5" s="10">
        <v>33</v>
      </c>
      <c r="I5" s="8">
        <v>5</v>
      </c>
    </row>
    <row r="6" spans="1:9" x14ac:dyDescent="0.25">
      <c r="A6" s="3">
        <v>4</v>
      </c>
      <c r="B6" s="3">
        <v>27.9</v>
      </c>
      <c r="C6" s="3">
        <f t="shared" si="0"/>
        <v>4.9277299371918389E-2</v>
      </c>
      <c r="D6" s="3">
        <f t="shared" si="1"/>
        <v>4.7426390403875911E-2</v>
      </c>
    </row>
    <row r="7" spans="1:9" x14ac:dyDescent="0.25">
      <c r="A7" s="3">
        <v>5</v>
      </c>
      <c r="B7" s="3">
        <v>28.5</v>
      </c>
      <c r="C7" s="3">
        <f t="shared" si="0"/>
        <v>5.8045305176248188E-2</v>
      </c>
      <c r="D7" s="3">
        <f t="shared" si="1"/>
        <v>5.3217049979750963E-2</v>
      </c>
    </row>
    <row r="8" spans="1:9" x14ac:dyDescent="0.25">
      <c r="A8" s="3">
        <v>6</v>
      </c>
      <c r="B8" s="3">
        <v>30.1</v>
      </c>
      <c r="C8" s="3">
        <f t="shared" si="0"/>
        <v>8.0667338705955841E-2</v>
      </c>
      <c r="D8" s="3">
        <f t="shared" si="1"/>
        <v>6.7435988764476124E-2</v>
      </c>
    </row>
    <row r="9" spans="1:9" x14ac:dyDescent="0.25">
      <c r="A9" s="3">
        <v>7</v>
      </c>
      <c r="B9" s="3">
        <v>30.3</v>
      </c>
      <c r="C9" s="3">
        <f t="shared" si="0"/>
        <v>8.313531473601328E-2</v>
      </c>
      <c r="D9" s="3">
        <f t="shared" si="1"/>
        <v>6.8963600287866675E-2</v>
      </c>
    </row>
    <row r="10" spans="1:9" x14ac:dyDescent="0.25">
      <c r="A10" s="3">
        <v>8</v>
      </c>
      <c r="B10" s="3">
        <v>31.7</v>
      </c>
      <c r="C10" s="3">
        <f t="shared" si="0"/>
        <v>9.5866591713605051E-2</v>
      </c>
      <c r="D10" s="3">
        <f t="shared" si="1"/>
        <v>7.7136673838363215E-2</v>
      </c>
    </row>
    <row r="11" spans="1:9" x14ac:dyDescent="0.25">
      <c r="A11" s="3">
        <v>9</v>
      </c>
      <c r="B11" s="3">
        <v>32.200000000000003</v>
      </c>
      <c r="C11" s="3">
        <f t="shared" si="0"/>
        <v>9.7984627291900564E-2</v>
      </c>
      <c r="D11" s="3">
        <f t="shared" si="1"/>
        <v>7.8773672313708173E-2</v>
      </c>
    </row>
    <row r="12" spans="1:9" x14ac:dyDescent="0.25">
      <c r="A12" s="3">
        <v>10</v>
      </c>
      <c r="B12" s="3">
        <v>32.799999999999997</v>
      </c>
      <c r="C12" s="3">
        <f t="shared" si="0"/>
        <v>9.8579390150854873E-2</v>
      </c>
      <c r="D12" s="3">
        <f t="shared" si="1"/>
        <v>7.9724650840921008E-2</v>
      </c>
    </row>
    <row r="13" spans="1:9" x14ac:dyDescent="0.25">
      <c r="A13" s="3">
        <v>11</v>
      </c>
      <c r="B13" s="3">
        <v>33.299999999999997</v>
      </c>
      <c r="C13" s="3">
        <f t="shared" si="0"/>
        <v>9.7426202092396885E-2</v>
      </c>
      <c r="D13" s="3">
        <f t="shared" si="1"/>
        <v>7.9644966039121384E-2</v>
      </c>
    </row>
    <row r="14" spans="1:9" x14ac:dyDescent="0.25">
      <c r="A14" s="3">
        <v>12</v>
      </c>
      <c r="B14" s="3">
        <v>33.5</v>
      </c>
      <c r="C14" s="3">
        <f t="shared" si="0"/>
        <v>9.6554678215597489E-2</v>
      </c>
      <c r="D14" s="3">
        <f t="shared" si="1"/>
        <v>7.9390509495402356E-2</v>
      </c>
    </row>
    <row r="15" spans="1:9" x14ac:dyDescent="0.25">
      <c r="A15" s="3">
        <v>13</v>
      </c>
      <c r="B15" s="3">
        <v>34.1</v>
      </c>
      <c r="C15" s="3">
        <f t="shared" si="0"/>
        <v>9.2617832609838038E-2</v>
      </c>
      <c r="D15" s="3">
        <f t="shared" si="1"/>
        <v>7.7880751766758086E-2</v>
      </c>
    </row>
    <row r="16" spans="1:9" x14ac:dyDescent="0.25">
      <c r="A16" s="3">
        <v>14</v>
      </c>
      <c r="B16" s="3">
        <v>34.6</v>
      </c>
      <c r="C16" s="3">
        <f t="shared" si="0"/>
        <v>8.7968769781478634E-2</v>
      </c>
      <c r="D16" s="3">
        <f t="shared" si="1"/>
        <v>7.5806105230540335E-2</v>
      </c>
    </row>
    <row r="17" spans="1:4" x14ac:dyDescent="0.25">
      <c r="A17" s="3">
        <v>15</v>
      </c>
      <c r="B17" s="3">
        <v>35.799999999999997</v>
      </c>
      <c r="C17" s="3">
        <f t="shared" si="0"/>
        <v>7.3041830816816297E-2</v>
      </c>
      <c r="D17" s="3">
        <f t="shared" si="1"/>
        <v>6.820915772607053E-2</v>
      </c>
    </row>
    <row r="18" spans="1:4" x14ac:dyDescent="0.25">
      <c r="A18" s="3">
        <v>16</v>
      </c>
      <c r="B18" s="3">
        <v>35.9</v>
      </c>
      <c r="C18" s="3">
        <f t="shared" si="0"/>
        <v>7.1633527388360152E-2</v>
      </c>
      <c r="D18" s="3">
        <f t="shared" si="1"/>
        <v>6.7435988764476124E-2</v>
      </c>
    </row>
    <row r="19" spans="1:4" x14ac:dyDescent="0.25">
      <c r="A19" s="3">
        <v>17</v>
      </c>
      <c r="B19" s="3">
        <v>36.799999999999997</v>
      </c>
      <c r="C19" s="3">
        <f t="shared" si="0"/>
        <v>5.8488736138787634E-2</v>
      </c>
      <c r="D19" s="3">
        <f t="shared" si="1"/>
        <v>5.977448115519058E-2</v>
      </c>
    </row>
    <row r="20" spans="1:4" x14ac:dyDescent="0.25">
      <c r="A20" s="3">
        <v>18</v>
      </c>
      <c r="B20" s="3">
        <v>37.1</v>
      </c>
      <c r="C20" s="3">
        <f t="shared" si="0"/>
        <v>5.4068670476966639E-2</v>
      </c>
      <c r="D20" s="3">
        <f t="shared" si="1"/>
        <v>5.7007271697801433E-2</v>
      </c>
    </row>
    <row r="21" spans="1:4" x14ac:dyDescent="0.25">
      <c r="A21" s="3">
        <v>19</v>
      </c>
      <c r="B21" s="3">
        <v>39.200000000000003</v>
      </c>
      <c r="C21" s="3">
        <f t="shared" si="0"/>
        <v>2.6739955826126063E-2</v>
      </c>
      <c r="D21" s="3">
        <f t="shared" si="1"/>
        <v>3.6987456192661028E-2</v>
      </c>
    </row>
    <row r="22" spans="1:4" x14ac:dyDescent="0.25">
      <c r="A22" s="3">
        <v>20</v>
      </c>
      <c r="B22" s="3">
        <v>39.700000000000003</v>
      </c>
      <c r="C22" s="3">
        <f t="shared" si="0"/>
        <v>2.173196469507465E-2</v>
      </c>
      <c r="D22" s="3">
        <f t="shared" si="1"/>
        <v>3.2511011045106807E-2</v>
      </c>
    </row>
  </sheetData>
  <mergeCells count="1">
    <mergeCell ref="A1:I1"/>
  </mergeCells>
  <pageMargins left="0.7" right="0.7" top="0.75" bottom="0.75" header="0.3" footer="0.3"/>
  <pageSetup paperSize="9" orientation="portrait" horizontalDpi="4294967293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27"/>
  <sheetViews>
    <sheetView tabSelected="1" workbookViewId="0">
      <selection activeCell="M17" sqref="M17"/>
    </sheetView>
  </sheetViews>
  <sheetFormatPr defaultColWidth="8.85546875" defaultRowHeight="15" x14ac:dyDescent="0.25"/>
  <cols>
    <col min="10" max="10" width="14.85546875" bestFit="1" customWidth="1"/>
    <col min="12" max="12" width="25.85546875" bestFit="1" customWidth="1"/>
    <col min="13" max="13" width="22.140625" bestFit="1" customWidth="1"/>
    <col min="14" max="14" width="22.7109375" bestFit="1" customWidth="1"/>
    <col min="16" max="16" width="12" bestFit="1" customWidth="1"/>
  </cols>
  <sheetData>
    <row r="1" spans="1:17" x14ac:dyDescent="0.25">
      <c r="B1" s="16" t="s">
        <v>27</v>
      </c>
      <c r="C1" s="16" t="s">
        <v>23</v>
      </c>
      <c r="D1" s="16" t="s">
        <v>24</v>
      </c>
      <c r="E1" s="16" t="s">
        <v>25</v>
      </c>
      <c r="F1" s="18" t="s">
        <v>33</v>
      </c>
      <c r="G1" s="16" t="s">
        <v>30</v>
      </c>
      <c r="H1" s="17" t="s">
        <v>2</v>
      </c>
      <c r="I1" s="17"/>
      <c r="J1" s="36" t="s">
        <v>40</v>
      </c>
      <c r="K1" s="36"/>
      <c r="L1" s="36"/>
      <c r="M1" s="36"/>
      <c r="N1" s="36"/>
      <c r="O1" s="36"/>
      <c r="P1" s="36"/>
    </row>
    <row r="2" spans="1:17" x14ac:dyDescent="0.25">
      <c r="A2" s="22">
        <v>1</v>
      </c>
      <c r="B2" s="23">
        <v>0</v>
      </c>
      <c r="C2" s="24">
        <f>+IF(B2=0,1,0)</f>
        <v>1</v>
      </c>
      <c r="D2" s="24">
        <f>+IF(B2=1,1,0)</f>
        <v>0</v>
      </c>
      <c r="E2" s="24">
        <f>+IF(B2&gt;=2,1,0)</f>
        <v>0</v>
      </c>
      <c r="F2" s="25">
        <f>+IF(E2=0,0,B2)</f>
        <v>0</v>
      </c>
      <c r="G2">
        <f>AVERAGE(B2:B26)</f>
        <v>1.08</v>
      </c>
      <c r="H2">
        <f>_xlfn.STDEV.S(B2:B26)</f>
        <v>1.1150485789118487</v>
      </c>
      <c r="J2" s="16" t="s">
        <v>28</v>
      </c>
      <c r="K2" s="16" t="s">
        <v>29</v>
      </c>
      <c r="L2" s="16" t="s">
        <v>32</v>
      </c>
      <c r="M2" s="16" t="s">
        <v>34</v>
      </c>
      <c r="N2" s="16" t="s">
        <v>35</v>
      </c>
      <c r="O2" s="16" t="s">
        <v>36</v>
      </c>
      <c r="P2" s="16" t="s">
        <v>37</v>
      </c>
    </row>
    <row r="3" spans="1:17" ht="16.5" x14ac:dyDescent="0.25">
      <c r="A3" s="26">
        <v>2</v>
      </c>
      <c r="B3" s="27">
        <v>3</v>
      </c>
      <c r="C3" s="28">
        <f t="shared" ref="C3:C26" si="0">+IF(B3=0,1,0)</f>
        <v>0</v>
      </c>
      <c r="D3" s="28">
        <f t="shared" ref="D3:D26" si="1">+IF(B3=1,1,0)</f>
        <v>0</v>
      </c>
      <c r="E3" s="28">
        <f t="shared" ref="E3:E26" si="2">+IF(B3&gt;=2,1,0)</f>
        <v>1</v>
      </c>
      <c r="F3" s="29">
        <f>+IF(E3=0,0,B3)</f>
        <v>3</v>
      </c>
      <c r="G3">
        <f>+L6/K6</f>
        <v>1.08</v>
      </c>
      <c r="H3" s="17" t="s">
        <v>31</v>
      </c>
      <c r="I3" s="17"/>
      <c r="J3" s="16">
        <v>0</v>
      </c>
      <c r="K3">
        <f>+C27</f>
        <v>9</v>
      </c>
      <c r="L3">
        <f>+J3*K3</f>
        <v>0</v>
      </c>
      <c r="M3">
        <f>_xlfn.POISSON.DIST(J3,$G$2,TRUE)</f>
        <v>0.33959552564493911</v>
      </c>
      <c r="N3">
        <f>+M3*$K$6</f>
        <v>8.4898881411234779</v>
      </c>
      <c r="O3">
        <f>+(K3-N3)^2</f>
        <v>0.26021410856646082</v>
      </c>
      <c r="P3">
        <f>+O3/N3</f>
        <v>3.0649886575776056E-2</v>
      </c>
    </row>
    <row r="4" spans="1:17" x14ac:dyDescent="0.25">
      <c r="A4" s="26">
        <v>3</v>
      </c>
      <c r="B4" s="27">
        <v>1</v>
      </c>
      <c r="C4" s="28">
        <f t="shared" si="0"/>
        <v>0</v>
      </c>
      <c r="D4" s="28">
        <f t="shared" si="1"/>
        <v>1</v>
      </c>
      <c r="E4" s="28">
        <f t="shared" si="2"/>
        <v>0</v>
      </c>
      <c r="F4" s="29">
        <f>+IF(E4=0,0,B4)</f>
        <v>0</v>
      </c>
      <c r="H4">
        <f>+H2^2</f>
        <v>1.2433333333333334</v>
      </c>
      <c r="J4" s="16">
        <v>1</v>
      </c>
      <c r="K4">
        <f>+D27</f>
        <v>9</v>
      </c>
      <c r="L4">
        <f>+J4*K4</f>
        <v>9</v>
      </c>
      <c r="M4">
        <f>_xlfn.POISSON.DIST(J4,$G$2,TRUE)-M3</f>
        <v>0.36676316769653439</v>
      </c>
      <c r="N4">
        <f>+M4*$K$6</f>
        <v>9.1690791924133599</v>
      </c>
      <c r="O4">
        <f t="shared" ref="O4:O5" si="3">+(K4-N4)^2</f>
        <v>2.8587773307153976E-2</v>
      </c>
      <c r="P4">
        <f>+O4/N4</f>
        <v>3.1178456099286338E-3</v>
      </c>
    </row>
    <row r="5" spans="1:17" x14ac:dyDescent="0.25">
      <c r="A5" s="26">
        <v>4</v>
      </c>
      <c r="B5" s="27">
        <v>2</v>
      </c>
      <c r="C5" s="28">
        <f t="shared" si="0"/>
        <v>0</v>
      </c>
      <c r="D5" s="28">
        <f t="shared" si="1"/>
        <v>0</v>
      </c>
      <c r="E5" s="28">
        <f t="shared" si="2"/>
        <v>1</v>
      </c>
      <c r="F5" s="29">
        <f t="shared" ref="F5:F26" si="4">+IF(E5=0,0,B5)</f>
        <v>2</v>
      </c>
      <c r="J5" s="16" t="s">
        <v>25</v>
      </c>
      <c r="K5">
        <f>+E27</f>
        <v>7</v>
      </c>
      <c r="L5">
        <f>+SUM(F2:F26)</f>
        <v>18</v>
      </c>
      <c r="M5" s="19">
        <f>1-M4-M3</f>
        <v>0.2936413066585265</v>
      </c>
      <c r="N5">
        <f>+M5*$K$6</f>
        <v>7.3410326664631622</v>
      </c>
      <c r="O5">
        <f t="shared" si="3"/>
        <v>0.11630327959497444</v>
      </c>
      <c r="P5">
        <f>+O5/N5</f>
        <v>1.5842904517547697E-2</v>
      </c>
      <c r="Q5" s="17" t="s">
        <v>10</v>
      </c>
    </row>
    <row r="6" spans="1:17" x14ac:dyDescent="0.25">
      <c r="A6" s="26">
        <v>5</v>
      </c>
      <c r="B6" s="27">
        <v>0</v>
      </c>
      <c r="C6" s="28">
        <f t="shared" si="0"/>
        <v>1</v>
      </c>
      <c r="D6" s="28">
        <f t="shared" si="1"/>
        <v>0</v>
      </c>
      <c r="E6" s="28">
        <f t="shared" si="2"/>
        <v>0</v>
      </c>
      <c r="F6" s="29">
        <f t="shared" si="4"/>
        <v>0</v>
      </c>
      <c r="K6" s="15">
        <f>+SUM(K3:K5)</f>
        <v>25</v>
      </c>
      <c r="L6" s="15">
        <f>+SUM(L3:L5)</f>
        <v>27</v>
      </c>
      <c r="P6" s="15">
        <f>+SUM(P3:P5)</f>
        <v>4.9610636703252387E-2</v>
      </c>
      <c r="Q6" s="15">
        <f>+_xlfn.CHISQ.INV(0.99,1)</f>
        <v>6.6348966010212118</v>
      </c>
    </row>
    <row r="7" spans="1:17" x14ac:dyDescent="0.25">
      <c r="A7" s="26">
        <v>6</v>
      </c>
      <c r="B7" s="27">
        <v>1</v>
      </c>
      <c r="C7" s="28">
        <f t="shared" si="0"/>
        <v>0</v>
      </c>
      <c r="D7" s="28">
        <f t="shared" si="1"/>
        <v>1</v>
      </c>
      <c r="E7" s="28">
        <f t="shared" si="2"/>
        <v>0</v>
      </c>
      <c r="F7" s="29">
        <f t="shared" si="4"/>
        <v>0</v>
      </c>
    </row>
    <row r="8" spans="1:17" x14ac:dyDescent="0.25">
      <c r="A8" s="26">
        <v>7</v>
      </c>
      <c r="B8" s="27">
        <v>1</v>
      </c>
      <c r="C8" s="28">
        <f t="shared" si="0"/>
        <v>0</v>
      </c>
      <c r="D8" s="28">
        <f t="shared" si="1"/>
        <v>1</v>
      </c>
      <c r="E8" s="28">
        <f t="shared" si="2"/>
        <v>0</v>
      </c>
      <c r="F8" s="29">
        <f t="shared" si="4"/>
        <v>0</v>
      </c>
    </row>
    <row r="9" spans="1:17" x14ac:dyDescent="0.25">
      <c r="A9" s="26">
        <v>8</v>
      </c>
      <c r="B9" s="27">
        <v>1</v>
      </c>
      <c r="C9" s="28">
        <f t="shared" si="0"/>
        <v>0</v>
      </c>
      <c r="D9" s="28">
        <f t="shared" si="1"/>
        <v>1</v>
      </c>
      <c r="E9" s="28">
        <f t="shared" si="2"/>
        <v>0</v>
      </c>
      <c r="F9" s="29">
        <f t="shared" si="4"/>
        <v>0</v>
      </c>
    </row>
    <row r="10" spans="1:17" x14ac:dyDescent="0.25">
      <c r="A10" s="26">
        <v>9</v>
      </c>
      <c r="B10" s="27">
        <v>2</v>
      </c>
      <c r="C10" s="28">
        <f t="shared" si="0"/>
        <v>0</v>
      </c>
      <c r="D10" s="28">
        <f t="shared" si="1"/>
        <v>0</v>
      </c>
      <c r="E10" s="28">
        <f t="shared" si="2"/>
        <v>1</v>
      </c>
      <c r="F10" s="29">
        <f t="shared" si="4"/>
        <v>2</v>
      </c>
      <c r="J10" s="36" t="s">
        <v>39</v>
      </c>
      <c r="K10" s="36"/>
      <c r="L10" s="36"/>
      <c r="M10" s="36"/>
      <c r="N10" s="36"/>
      <c r="O10" s="36"/>
      <c r="P10" s="36"/>
    </row>
    <row r="11" spans="1:17" x14ac:dyDescent="0.25">
      <c r="A11" s="26">
        <v>10</v>
      </c>
      <c r="B11" s="27">
        <v>0</v>
      </c>
      <c r="C11" s="28">
        <f t="shared" si="0"/>
        <v>1</v>
      </c>
      <c r="D11" s="28">
        <f t="shared" si="1"/>
        <v>0</v>
      </c>
      <c r="E11" s="28">
        <f t="shared" si="2"/>
        <v>0</v>
      </c>
      <c r="F11" s="29">
        <f t="shared" si="4"/>
        <v>0</v>
      </c>
      <c r="J11" s="16" t="s">
        <v>28</v>
      </c>
      <c r="K11" s="16" t="s">
        <v>29</v>
      </c>
      <c r="L11" s="16" t="s">
        <v>32</v>
      </c>
      <c r="M11" s="16" t="s">
        <v>38</v>
      </c>
      <c r="N11" s="16" t="s">
        <v>35</v>
      </c>
      <c r="O11" s="16" t="s">
        <v>36</v>
      </c>
      <c r="P11" s="16" t="s">
        <v>37</v>
      </c>
    </row>
    <row r="12" spans="1:17" x14ac:dyDescent="0.25">
      <c r="A12" s="26">
        <v>11</v>
      </c>
      <c r="B12" s="27">
        <v>1</v>
      </c>
      <c r="C12" s="28">
        <f t="shared" si="0"/>
        <v>0</v>
      </c>
      <c r="D12" s="28">
        <f t="shared" si="1"/>
        <v>1</v>
      </c>
      <c r="E12" s="28">
        <f t="shared" si="2"/>
        <v>0</v>
      </c>
      <c r="F12" s="29">
        <f t="shared" si="4"/>
        <v>0</v>
      </c>
      <c r="J12" s="16">
        <v>0</v>
      </c>
      <c r="K12">
        <v>6</v>
      </c>
      <c r="L12">
        <f>+J3*K12</f>
        <v>0</v>
      </c>
      <c r="M12">
        <f>+_xlfn.POISSON.DIST(J3,$L$15/$K$15,FALSE)</f>
        <v>0.30119421191220214</v>
      </c>
      <c r="N12" s="20">
        <f>+M12*20</f>
        <v>6.023884238244043</v>
      </c>
      <c r="O12">
        <f>+(K12-N12)^2</f>
        <v>5.7045683649820404E-4</v>
      </c>
      <c r="P12">
        <f>+O12/N12</f>
        <v>9.469916982742214E-5</v>
      </c>
    </row>
    <row r="13" spans="1:17" x14ac:dyDescent="0.25">
      <c r="A13" s="26">
        <v>12</v>
      </c>
      <c r="B13" s="27">
        <v>4</v>
      </c>
      <c r="C13" s="28">
        <f t="shared" si="0"/>
        <v>0</v>
      </c>
      <c r="D13" s="28">
        <f t="shared" si="1"/>
        <v>0</v>
      </c>
      <c r="E13" s="28">
        <f t="shared" si="2"/>
        <v>1</v>
      </c>
      <c r="F13" s="29">
        <f t="shared" si="4"/>
        <v>4</v>
      </c>
      <c r="J13" s="16">
        <v>1</v>
      </c>
      <c r="K13">
        <v>8</v>
      </c>
      <c r="L13">
        <f>8*1</f>
        <v>8</v>
      </c>
      <c r="M13">
        <f>+_xlfn.POISSON.DIST(J4,$L$15/$K$15,FALSE)</f>
        <v>0.36143305429464251</v>
      </c>
      <c r="N13" s="20">
        <f t="shared" ref="N13:N14" si="5">+M13*20</f>
        <v>7.2286610858928499</v>
      </c>
      <c r="O13">
        <f t="shared" ref="O13:O14" si="6">+(K13-N13)^2</f>
        <v>0.59496372041599743</v>
      </c>
      <c r="P13">
        <f t="shared" ref="P13:P14" si="7">+O13/N13</f>
        <v>8.2306213190310382E-2</v>
      </c>
    </row>
    <row r="14" spans="1:17" x14ac:dyDescent="0.25">
      <c r="A14" s="26">
        <v>13</v>
      </c>
      <c r="B14" s="27">
        <v>3</v>
      </c>
      <c r="C14" s="28">
        <f t="shared" si="0"/>
        <v>0</v>
      </c>
      <c r="D14" s="28">
        <f t="shared" si="1"/>
        <v>0</v>
      </c>
      <c r="E14" s="28">
        <f t="shared" si="2"/>
        <v>1</v>
      </c>
      <c r="F14" s="29">
        <f t="shared" si="4"/>
        <v>3</v>
      </c>
      <c r="J14" s="16" t="s">
        <v>25</v>
      </c>
      <c r="K14">
        <v>6</v>
      </c>
      <c r="L14">
        <f>+SUM(F2:F21)</f>
        <v>16</v>
      </c>
      <c r="M14">
        <f>1-M12-M13</f>
        <v>0.3373727337931553</v>
      </c>
      <c r="N14" s="20">
        <f t="shared" si="5"/>
        <v>6.7474546758631062</v>
      </c>
      <c r="O14">
        <f t="shared" si="6"/>
        <v>0.55868849246962116</v>
      </c>
      <c r="P14">
        <f t="shared" si="7"/>
        <v>8.2799888151624534E-2</v>
      </c>
      <c r="Q14" s="17" t="s">
        <v>10</v>
      </c>
    </row>
    <row r="15" spans="1:17" x14ac:dyDescent="0.25">
      <c r="A15" s="26">
        <v>14</v>
      </c>
      <c r="B15" s="27">
        <v>1</v>
      </c>
      <c r="C15" s="28">
        <f t="shared" si="0"/>
        <v>0</v>
      </c>
      <c r="D15" s="28">
        <f t="shared" si="1"/>
        <v>1</v>
      </c>
      <c r="E15" s="28">
        <f t="shared" si="2"/>
        <v>0</v>
      </c>
      <c r="F15" s="29">
        <f t="shared" si="4"/>
        <v>0</v>
      </c>
      <c r="K15" s="15">
        <f>+SUM(K12:K14)</f>
        <v>20</v>
      </c>
      <c r="L15" s="15">
        <f>+SUM(L12:L14)</f>
        <v>24</v>
      </c>
      <c r="P15" s="21">
        <f>+SUM(P12:P14)</f>
        <v>0.16520080051176234</v>
      </c>
      <c r="Q15" s="15">
        <f>+_xlfn.CHISQ.INV(0.99,1)</f>
        <v>6.6348966010212118</v>
      </c>
    </row>
    <row r="16" spans="1:17" x14ac:dyDescent="0.25">
      <c r="A16" s="26">
        <v>15</v>
      </c>
      <c r="B16" s="27">
        <v>1</v>
      </c>
      <c r="C16" s="28">
        <f t="shared" si="0"/>
        <v>0</v>
      </c>
      <c r="D16" s="28">
        <f t="shared" si="1"/>
        <v>1</v>
      </c>
      <c r="E16" s="28">
        <f t="shared" si="2"/>
        <v>0</v>
      </c>
      <c r="F16" s="29">
        <f t="shared" si="4"/>
        <v>0</v>
      </c>
    </row>
    <row r="17" spans="1:6" x14ac:dyDescent="0.25">
      <c r="A17" s="26">
        <v>16</v>
      </c>
      <c r="B17" s="27">
        <v>0</v>
      </c>
      <c r="C17" s="28">
        <f t="shared" si="0"/>
        <v>1</v>
      </c>
      <c r="D17" s="28">
        <f t="shared" si="1"/>
        <v>0</v>
      </c>
      <c r="E17" s="28">
        <f t="shared" si="2"/>
        <v>0</v>
      </c>
      <c r="F17" s="29">
        <f t="shared" si="4"/>
        <v>0</v>
      </c>
    </row>
    <row r="18" spans="1:6" x14ac:dyDescent="0.25">
      <c r="A18" s="26">
        <v>17</v>
      </c>
      <c r="B18" s="27">
        <v>0</v>
      </c>
      <c r="C18" s="28">
        <f t="shared" si="0"/>
        <v>1</v>
      </c>
      <c r="D18" s="28">
        <f t="shared" si="1"/>
        <v>0</v>
      </c>
      <c r="E18" s="28">
        <f t="shared" si="2"/>
        <v>0</v>
      </c>
      <c r="F18" s="29">
        <f t="shared" si="4"/>
        <v>0</v>
      </c>
    </row>
    <row r="19" spans="1:6" x14ac:dyDescent="0.25">
      <c r="A19" s="26">
        <v>18</v>
      </c>
      <c r="B19" s="27">
        <v>1</v>
      </c>
      <c r="C19" s="28">
        <f t="shared" si="0"/>
        <v>0</v>
      </c>
      <c r="D19" s="28">
        <f t="shared" si="1"/>
        <v>1</v>
      </c>
      <c r="E19" s="28">
        <f t="shared" si="2"/>
        <v>0</v>
      </c>
      <c r="F19" s="29">
        <f t="shared" si="4"/>
        <v>0</v>
      </c>
    </row>
    <row r="20" spans="1:6" x14ac:dyDescent="0.25">
      <c r="A20" s="30">
        <v>19</v>
      </c>
      <c r="B20" s="31">
        <v>0</v>
      </c>
      <c r="C20" s="32">
        <f t="shared" si="0"/>
        <v>1</v>
      </c>
      <c r="D20" s="32">
        <f t="shared" si="1"/>
        <v>0</v>
      </c>
      <c r="E20" s="32">
        <f t="shared" si="2"/>
        <v>0</v>
      </c>
      <c r="F20" s="33">
        <f t="shared" si="4"/>
        <v>0</v>
      </c>
    </row>
    <row r="21" spans="1:6" x14ac:dyDescent="0.25">
      <c r="A21" s="22">
        <v>20</v>
      </c>
      <c r="B21" s="23">
        <v>2</v>
      </c>
      <c r="C21" s="24">
        <f t="shared" si="0"/>
        <v>0</v>
      </c>
      <c r="D21" s="24">
        <f t="shared" si="1"/>
        <v>0</v>
      </c>
      <c r="E21" s="24">
        <f t="shared" si="2"/>
        <v>1</v>
      </c>
      <c r="F21" s="25">
        <f t="shared" si="4"/>
        <v>2</v>
      </c>
    </row>
    <row r="22" spans="1:6" x14ac:dyDescent="0.25">
      <c r="A22" s="26">
        <v>21</v>
      </c>
      <c r="B22" s="27">
        <v>2</v>
      </c>
      <c r="C22" s="28">
        <f t="shared" si="0"/>
        <v>0</v>
      </c>
      <c r="D22" s="28">
        <f t="shared" si="1"/>
        <v>0</v>
      </c>
      <c r="E22" s="28">
        <f t="shared" si="2"/>
        <v>1</v>
      </c>
      <c r="F22" s="29">
        <f t="shared" si="4"/>
        <v>2</v>
      </c>
    </row>
    <row r="23" spans="1:6" x14ac:dyDescent="0.25">
      <c r="A23" s="26">
        <v>22</v>
      </c>
      <c r="B23" s="27">
        <v>0</v>
      </c>
      <c r="C23" s="28">
        <f t="shared" si="0"/>
        <v>1</v>
      </c>
      <c r="D23" s="28">
        <f t="shared" si="1"/>
        <v>0</v>
      </c>
      <c r="E23" s="28">
        <f t="shared" si="2"/>
        <v>0</v>
      </c>
      <c r="F23" s="29">
        <f t="shared" si="4"/>
        <v>0</v>
      </c>
    </row>
    <row r="24" spans="1:6" x14ac:dyDescent="0.25">
      <c r="A24" s="26">
        <v>23</v>
      </c>
      <c r="B24" s="27">
        <v>1</v>
      </c>
      <c r="C24" s="28">
        <f t="shared" si="0"/>
        <v>0</v>
      </c>
      <c r="D24" s="28">
        <f t="shared" si="1"/>
        <v>1</v>
      </c>
      <c r="E24" s="28">
        <f t="shared" si="2"/>
        <v>0</v>
      </c>
      <c r="F24" s="29">
        <f t="shared" si="4"/>
        <v>0</v>
      </c>
    </row>
    <row r="25" spans="1:6" x14ac:dyDescent="0.25">
      <c r="A25" s="26">
        <v>24</v>
      </c>
      <c r="B25" s="27">
        <v>0</v>
      </c>
      <c r="C25" s="28">
        <f t="shared" si="0"/>
        <v>1</v>
      </c>
      <c r="D25" s="28">
        <f t="shared" si="1"/>
        <v>0</v>
      </c>
      <c r="E25" s="28">
        <f t="shared" si="2"/>
        <v>0</v>
      </c>
      <c r="F25" s="29">
        <f t="shared" si="4"/>
        <v>0</v>
      </c>
    </row>
    <row r="26" spans="1:6" x14ac:dyDescent="0.25">
      <c r="A26" s="30">
        <v>25</v>
      </c>
      <c r="B26" s="31">
        <v>0</v>
      </c>
      <c r="C26" s="32">
        <f t="shared" si="0"/>
        <v>1</v>
      </c>
      <c r="D26" s="32">
        <f t="shared" si="1"/>
        <v>0</v>
      </c>
      <c r="E26" s="32">
        <f t="shared" si="2"/>
        <v>0</v>
      </c>
      <c r="F26" s="33">
        <f t="shared" si="4"/>
        <v>0</v>
      </c>
    </row>
    <row r="27" spans="1:6" x14ac:dyDescent="0.25">
      <c r="B27" s="15" t="s">
        <v>26</v>
      </c>
      <c r="C27" s="15">
        <f>+SUM(C2:C26)</f>
        <v>9</v>
      </c>
      <c r="D27" s="15">
        <f t="shared" ref="D27:E27" si="8">+SUM(D2:D26)</f>
        <v>9</v>
      </c>
      <c r="E27" s="15">
        <f t="shared" si="8"/>
        <v>7</v>
      </c>
      <c r="F27" s="15"/>
    </row>
  </sheetData>
  <mergeCells count="2">
    <mergeCell ref="J10:P10"/>
    <mergeCell ref="J1:P1"/>
  </mergeCells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21"/>
  <sheetViews>
    <sheetView workbookViewId="0">
      <selection activeCell="G14" sqref="G14"/>
    </sheetView>
  </sheetViews>
  <sheetFormatPr defaultColWidth="8.85546875" defaultRowHeight="15" x14ac:dyDescent="0.25"/>
  <cols>
    <col min="1" max="1" width="21.42578125" customWidth="1"/>
    <col min="2" max="2" width="21" bestFit="1" customWidth="1"/>
    <col min="3" max="3" width="30.42578125" bestFit="1" customWidth="1"/>
    <col min="5" max="5" width="12.7109375" bestFit="1" customWidth="1"/>
    <col min="6" max="6" width="11.42578125" bestFit="1" customWidth="1"/>
    <col min="7" max="7" width="13.42578125" bestFit="1" customWidth="1"/>
  </cols>
  <sheetData>
    <row r="1" spans="1:8" x14ac:dyDescent="0.25">
      <c r="A1" s="16" t="s">
        <v>41</v>
      </c>
      <c r="B1" s="16" t="s">
        <v>50</v>
      </c>
      <c r="C1" s="16" t="s">
        <v>49</v>
      </c>
      <c r="D1" s="16" t="s">
        <v>51</v>
      </c>
      <c r="E1" s="16" t="s">
        <v>53</v>
      </c>
      <c r="F1" s="16" t="s">
        <v>52</v>
      </c>
      <c r="G1" s="16" t="s">
        <v>54</v>
      </c>
      <c r="H1" s="16" t="s">
        <v>55</v>
      </c>
    </row>
    <row r="2" spans="1:8" x14ac:dyDescent="0.25">
      <c r="A2" s="1" t="s">
        <v>42</v>
      </c>
      <c r="B2" s="1">
        <v>1</v>
      </c>
      <c r="C2" s="1">
        <v>2.5000000000000001E-2</v>
      </c>
      <c r="D2" s="34">
        <f>+B2*C2</f>
        <v>2.5000000000000001E-2</v>
      </c>
      <c r="E2" s="35">
        <f>+D9/B9</f>
        <v>0.17379518072289157</v>
      </c>
      <c r="F2">
        <f>+(C2-$E$2)^2</f>
        <v>2.2140005806357967E-2</v>
      </c>
      <c r="G2">
        <f>+B2*F2</f>
        <v>2.2140005806357967E-2</v>
      </c>
      <c r="H2">
        <f>+G9/B9</f>
        <v>4.5166206996661356E-3</v>
      </c>
    </row>
    <row r="3" spans="1:8" x14ac:dyDescent="0.25">
      <c r="A3" s="1" t="s">
        <v>43</v>
      </c>
      <c r="B3" s="1">
        <v>11</v>
      </c>
      <c r="C3" s="1">
        <v>7.4999999999999997E-2</v>
      </c>
      <c r="D3" s="34">
        <f t="shared" ref="D3:D8" si="0">+B3*C3</f>
        <v>0.82499999999999996</v>
      </c>
      <c r="E3" s="1"/>
      <c r="F3">
        <f t="shared" ref="F3:F8" si="1">+(C3-$E$2)^2</f>
        <v>9.7604877340688075E-3</v>
      </c>
      <c r="G3">
        <f t="shared" ref="G3:G8" si="2">+B3*F3</f>
        <v>0.10736536507475689</v>
      </c>
      <c r="H3" s="17" t="s">
        <v>2</v>
      </c>
    </row>
    <row r="4" spans="1:8" x14ac:dyDescent="0.25">
      <c r="A4" s="1" t="s">
        <v>44</v>
      </c>
      <c r="B4" s="1">
        <v>20</v>
      </c>
      <c r="C4" s="1">
        <v>0.125</v>
      </c>
      <c r="D4" s="34">
        <f t="shared" si="0"/>
        <v>2.5</v>
      </c>
      <c r="E4" s="1"/>
      <c r="F4">
        <f t="shared" si="1"/>
        <v>2.3809696617796495E-3</v>
      </c>
      <c r="G4">
        <f t="shared" si="2"/>
        <v>4.7619393235592986E-2</v>
      </c>
      <c r="H4">
        <f>+SQRT(H2)</f>
        <v>6.7205808526243735E-2</v>
      </c>
    </row>
    <row r="5" spans="1:8" x14ac:dyDescent="0.25">
      <c r="A5" s="1" t="s">
        <v>45</v>
      </c>
      <c r="B5" s="1">
        <v>23</v>
      </c>
      <c r="C5" s="1">
        <v>0.17499999999999999</v>
      </c>
      <c r="D5" s="34">
        <f t="shared" si="0"/>
        <v>4.0249999999999995</v>
      </c>
      <c r="E5" s="1"/>
      <c r="F5">
        <f t="shared" si="1"/>
        <v>1.4515894904920446E-6</v>
      </c>
      <c r="G5">
        <f t="shared" si="2"/>
        <v>3.3386558281317025E-5</v>
      </c>
    </row>
    <row r="6" spans="1:8" x14ac:dyDescent="0.25">
      <c r="A6" s="1" t="s">
        <v>46</v>
      </c>
      <c r="B6" s="1">
        <v>15</v>
      </c>
      <c r="C6" s="1">
        <v>0.22500000000000001</v>
      </c>
      <c r="D6" s="34">
        <f t="shared" si="0"/>
        <v>3.375</v>
      </c>
      <c r="E6" s="1"/>
      <c r="F6">
        <f t="shared" si="1"/>
        <v>2.6219335172013355E-3</v>
      </c>
      <c r="G6">
        <f t="shared" si="2"/>
        <v>3.932900275802003E-2</v>
      </c>
    </row>
    <row r="7" spans="1:8" x14ac:dyDescent="0.25">
      <c r="A7" s="1" t="s">
        <v>47</v>
      </c>
      <c r="B7" s="1">
        <v>11</v>
      </c>
      <c r="C7" s="1">
        <v>0.27500000000000002</v>
      </c>
      <c r="D7" s="34">
        <f t="shared" si="0"/>
        <v>3.0250000000000004</v>
      </c>
      <c r="E7" s="1"/>
      <c r="F7">
        <f t="shared" si="1"/>
        <v>1.0242415444912181E-2</v>
      </c>
      <c r="G7">
        <f t="shared" si="2"/>
        <v>0.11266656989403399</v>
      </c>
    </row>
    <row r="8" spans="1:8" x14ac:dyDescent="0.25">
      <c r="A8" s="1" t="s">
        <v>48</v>
      </c>
      <c r="B8" s="1">
        <v>2</v>
      </c>
      <c r="C8" s="1">
        <v>0.32500000000000001</v>
      </c>
      <c r="D8" s="34">
        <f t="shared" si="0"/>
        <v>0.65</v>
      </c>
      <c r="E8" s="1"/>
      <c r="F8">
        <f t="shared" si="1"/>
        <v>2.2862897372623023E-2</v>
      </c>
      <c r="G8">
        <f t="shared" si="2"/>
        <v>4.5725794745246046E-2</v>
      </c>
    </row>
    <row r="9" spans="1:8" x14ac:dyDescent="0.25">
      <c r="A9" s="17" t="s">
        <v>68</v>
      </c>
      <c r="B9" s="16">
        <f>+SUM(B2:B8)</f>
        <v>83</v>
      </c>
      <c r="D9" s="35">
        <f>+SUM(D2:D8)</f>
        <v>14.425000000000001</v>
      </c>
      <c r="F9" s="15">
        <f>+SUM(F2:F8)</f>
        <v>7.0010161126433462E-2</v>
      </c>
      <c r="G9" s="15">
        <f>+SUM(G2:G8)</f>
        <v>0.37487951807228925</v>
      </c>
    </row>
    <row r="13" spans="1:8" ht="15" customHeight="1" x14ac:dyDescent="0.3">
      <c r="A13" s="16" t="s">
        <v>56</v>
      </c>
      <c r="B13" s="16" t="s">
        <v>58</v>
      </c>
      <c r="C13" s="16" t="s">
        <v>61</v>
      </c>
      <c r="D13" s="16" t="s">
        <v>69</v>
      </c>
      <c r="E13" s="16" t="s">
        <v>70</v>
      </c>
      <c r="F13" s="17" t="s">
        <v>10</v>
      </c>
    </row>
    <row r="14" spans="1:8" x14ac:dyDescent="0.25">
      <c r="A14" s="16" t="s">
        <v>57</v>
      </c>
      <c r="B14" s="16" t="s">
        <v>59</v>
      </c>
      <c r="C14" s="16" t="s">
        <v>59</v>
      </c>
      <c r="D14" s="16"/>
      <c r="E14" s="16"/>
      <c r="F14" s="15">
        <f>+_xlfn.CHISQ.INV(0.95,2)</f>
        <v>5.9914645471079799</v>
      </c>
    </row>
    <row r="15" spans="1:8" ht="16.5" x14ac:dyDescent="0.3">
      <c r="A15" s="1"/>
      <c r="B15" s="1" t="s">
        <v>60</v>
      </c>
      <c r="C15" s="1" t="s">
        <v>62</v>
      </c>
      <c r="D15" s="1"/>
      <c r="E15" s="1"/>
    </row>
    <row r="16" spans="1:8" x14ac:dyDescent="0.25">
      <c r="A16" s="1" t="s">
        <v>63</v>
      </c>
      <c r="B16" s="1">
        <v>12</v>
      </c>
      <c r="C16" s="1">
        <f>+NORMDIST(0.1,$E$2,$H$4,TRUE)*$B$21</f>
        <v>11.295622674101416</v>
      </c>
      <c r="D16" s="1">
        <f>+(B16-C16)^2</f>
        <v>0.49614741724003958</v>
      </c>
      <c r="E16" s="1">
        <f>+D16/C16</f>
        <v>4.3923866045703308E-2</v>
      </c>
    </row>
    <row r="17" spans="1:5" x14ac:dyDescent="0.25">
      <c r="A17" s="1" t="s">
        <v>64</v>
      </c>
      <c r="B17" s="1">
        <v>20</v>
      </c>
      <c r="C17" s="1">
        <f>+(NORMDIST(0.15,$E$2,$H$4,TRUE)-NORMDIST(0.1,$E$2,$H$4,TRUE))*$B$21</f>
        <v>18.720939732966237</v>
      </c>
      <c r="D17" s="1">
        <f t="shared" ref="D17:D20" si="3">+(B17-C17)^2</f>
        <v>1.6359951667044821</v>
      </c>
      <c r="E17" s="1">
        <f t="shared" ref="E17:E20" si="4">+D17/C17</f>
        <v>8.7388517352235878E-2</v>
      </c>
    </row>
    <row r="18" spans="1:5" x14ac:dyDescent="0.25">
      <c r="A18" s="1" t="s">
        <v>65</v>
      </c>
      <c r="B18" s="1">
        <v>23</v>
      </c>
      <c r="C18" s="1">
        <f>+(NORMDIST(0.2,$E$2,$H$4,TRUE)-NORMDIST(0.15,$E$2,$H$4,TRUE))*$B$21</f>
        <v>24.074684091233355</v>
      </c>
      <c r="D18" s="1">
        <f t="shared" si="3"/>
        <v>1.1549458959500614</v>
      </c>
      <c r="E18" s="1">
        <f t="shared" si="4"/>
        <v>4.7973460070058725E-2</v>
      </c>
    </row>
    <row r="19" spans="1:5" x14ac:dyDescent="0.25">
      <c r="A19" s="1" t="s">
        <v>66</v>
      </c>
      <c r="B19" s="1">
        <v>15</v>
      </c>
      <c r="C19" s="1">
        <f>+(NORMDIST(0.25,$E$2,$H$4,TRUE)-NORMDIST(0.2,$E$2,$H$4,TRUE))*$B$21</f>
        <v>18.25007850304479</v>
      </c>
      <c r="D19" s="1">
        <f t="shared" si="3"/>
        <v>10.563010275953863</v>
      </c>
      <c r="E19" s="1">
        <f t="shared" si="4"/>
        <v>0.57879259391632543</v>
      </c>
    </row>
    <row r="20" spans="1:5" x14ac:dyDescent="0.25">
      <c r="A20" s="1" t="s">
        <v>67</v>
      </c>
      <c r="B20" s="1">
        <v>13</v>
      </c>
      <c r="C20" s="1">
        <f>+(1-NORMDIST(0.25,$E$2,$H$4,TRUE))*$B$21</f>
        <v>10.658674998654202</v>
      </c>
      <c r="D20" s="1">
        <f t="shared" si="3"/>
        <v>5.4818027619268994</v>
      </c>
      <c r="E20" s="1">
        <f t="shared" si="4"/>
        <v>0.51430433544685894</v>
      </c>
    </row>
    <row r="21" spans="1:5" x14ac:dyDescent="0.25">
      <c r="A21" s="17" t="s">
        <v>68</v>
      </c>
      <c r="B21" s="16">
        <v>83</v>
      </c>
      <c r="C21" s="16">
        <f>+SUM(C16:C20)</f>
        <v>83</v>
      </c>
      <c r="D21" s="16"/>
      <c r="E21" s="16">
        <f>+SUM(E16:E20)</f>
        <v>1.2723827728311823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Chi-square test</vt:lpstr>
      <vt:lpstr>Data &amp; Likelihood</vt:lpstr>
      <vt:lpstr>exercise 1</vt:lpstr>
      <vt:lpstr>exercise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FLAVIA_DELUCA</dc:creator>
  <cp:lastModifiedBy>flavia de luca</cp:lastModifiedBy>
  <dcterms:created xsi:type="dcterms:W3CDTF">2015-12-06T20:48:21Z</dcterms:created>
  <dcterms:modified xsi:type="dcterms:W3CDTF">2021-10-17T09:57:44Z</dcterms:modified>
</cp:coreProperties>
</file>