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專業稅費分算計算機" sheetId="1" state="visible" r:id="rId2"/>
    <sheet name="稅率表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5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請輸入該筆租金的實際收款日期，
系統將依此自動判斷找補方向。</t>
        </r>
      </text>
    </comment>
    <comment ref="C15" authorId="0">
      <text>
        <r>
          <rPr>
            <sz val="11"/>
            <color rgb="FF000000"/>
            <rFont val="Noto Sans TC"/>
            <family val="2"/>
            <charset val="136"/>
          </rPr>
          <t xml:space="preserve">若有多筆稅額，請使用 </t>
        </r>
        <r>
          <rPr>
            <sz val="11"/>
            <color rgb="FF000000"/>
            <rFont val="Calibri"/>
            <family val="2"/>
            <charset val="1"/>
          </rPr>
          <t xml:space="preserve">Excel </t>
        </r>
        <r>
          <rPr>
            <sz val="11"/>
            <color rgb="FF000000"/>
            <rFont val="Noto Sans TC"/>
            <family val="2"/>
            <charset val="136"/>
          </rPr>
          <t xml:space="preserve">公式計算，
例如： </t>
        </r>
        <r>
          <rPr>
            <sz val="11"/>
            <color rgb="FF000000"/>
            <rFont val="Calibri"/>
            <family val="2"/>
            <charset val="1"/>
          </rPr>
          <t xml:space="preserve">=12345+6789</t>
        </r>
      </text>
    </comment>
    <comment ref="C16" authorId="0">
      <text>
        <r>
          <rPr>
            <sz val="11"/>
            <color rgb="FF000000"/>
            <rFont val="Noto Sans TC"/>
            <family val="2"/>
            <charset val="136"/>
          </rPr>
          <t xml:space="preserve">若有多筆稅額，請使用 </t>
        </r>
        <r>
          <rPr>
            <sz val="11"/>
            <color rgb="FF000000"/>
            <rFont val="Calibri"/>
            <family val="2"/>
            <charset val="1"/>
          </rPr>
          <t xml:space="preserve">Excel </t>
        </r>
        <r>
          <rPr>
            <sz val="11"/>
            <color rgb="FF000000"/>
            <rFont val="Noto Sans TC"/>
            <family val="2"/>
            <charset val="136"/>
          </rPr>
          <t xml:space="preserve">公式計算，
例如： </t>
        </r>
        <r>
          <rPr>
            <sz val="11"/>
            <color rgb="FF000000"/>
            <rFont val="Calibri"/>
            <family val="2"/>
            <charset val="1"/>
          </rPr>
          <t xml:space="preserve">=12345+6789</t>
        </r>
      </text>
    </comment>
    <comment ref="E7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請輸入分數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1/2)</t>
        </r>
        <r>
          <rPr>
            <sz val="11"/>
            <color rgb="FF000000"/>
            <rFont val="Noto Sans TC"/>
            <family val="2"/>
            <charset val="136"/>
          </rPr>
          <t xml:space="preserve">、百分比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50%)</t>
        </r>
        <r>
          <rPr>
            <sz val="11"/>
            <color rgb="FF000000"/>
            <rFont val="Noto Sans TC"/>
            <family val="2"/>
            <charset val="136"/>
          </rPr>
          <t xml:space="preserve">、
或純數字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2</t>
        </r>
        <r>
          <rPr>
            <sz val="11"/>
            <color rgb="FF000000"/>
            <rFont val="Noto Sans TC"/>
            <family val="2"/>
            <charset val="136"/>
          </rPr>
          <t xml:space="preserve">，將自動視為 </t>
        </r>
        <r>
          <rPr>
            <sz val="11"/>
            <color rgb="FF000000"/>
            <rFont val="Calibri"/>
            <family val="2"/>
            <charset val="1"/>
          </rPr>
          <t xml:space="preserve">2%)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</commentList>
</comments>
</file>

<file path=xl/sharedStrings.xml><?xml version="1.0" encoding="utf-8"?>
<sst xmlns="http://schemas.openxmlformats.org/spreadsheetml/2006/main" count="86" uniqueCount="83">
  <si>
    <t xml:space="preserve">不動產買賣稅費分算計算機 v5.33</t>
  </si>
  <si>
    <t xml:space="preserve">權狀登記(過戶)日期</t>
  </si>
  <si>
    <t xml:space="preserve">房屋點交(交屋)日期</t>
  </si>
  <si>
    <t xml:space="preserve">是否帶租約交屋</t>
  </si>
  <si>
    <t xml:space="preserve">否</t>
  </si>
  <si>
    <t xml:space="preserve">（一）稅額計算模式</t>
  </si>
  <si>
    <t xml:space="preserve">模式一：多筆地價詳算</t>
  </si>
  <si>
    <t xml:space="preserve">地號/說明</t>
  </si>
  <si>
    <t xml:space="preserve">申報地價</t>
  </si>
  <si>
    <t xml:space="preserve">面積(m²)</t>
  </si>
  <si>
    <t xml:space="preserve">權利範圍</t>
  </si>
  <si>
    <t xml:space="preserve">土地類型</t>
  </si>
  <si>
    <t xml:space="preserve">地價總額</t>
  </si>
  <si>
    <t xml:space="preserve">土地 1</t>
  </si>
  <si>
    <t xml:space="preserve">甲地</t>
  </si>
  <si>
    <t xml:space="preserve">100%</t>
  </si>
  <si>
    <r>
      <rPr>
        <sz val="11"/>
        <color rgb="FF000000"/>
        <rFont val="Noto Sans TC"/>
        <family val="2"/>
        <charset val="136"/>
      </rPr>
      <t xml:space="preserve">一般用地 </t>
    </r>
    <r>
      <rPr>
        <sz val="11"/>
        <color rgb="FF000000"/>
        <rFont val="Calibri"/>
        <family val="2"/>
        <charset val="1"/>
      </rPr>
      <t xml:space="preserve">(10‰)</t>
    </r>
  </si>
  <si>
    <t xml:space="preserve">土地 2</t>
  </si>
  <si>
    <t xml:space="preserve">乙地</t>
  </si>
  <si>
    <t xml:space="preserve">1/1</t>
  </si>
  <si>
    <r>
      <rPr>
        <sz val="11"/>
        <color rgb="FF000000"/>
        <rFont val="Noto Sans TC"/>
        <family val="2"/>
        <charset val="136"/>
      </rPr>
      <t xml:space="preserve">自用住宅 </t>
    </r>
    <r>
      <rPr>
        <sz val="11"/>
        <color rgb="FF000000"/>
        <rFont val="Calibri"/>
        <family val="2"/>
        <charset val="1"/>
      </rPr>
      <t xml:space="preserve">(2‰)</t>
    </r>
  </si>
  <si>
    <t xml:space="preserve">土地 3</t>
  </si>
  <si>
    <r>
      <rPr>
        <sz val="11"/>
        <color rgb="FF000000"/>
        <rFont val="Noto Sans TC"/>
        <family val="2"/>
        <charset val="136"/>
      </rPr>
      <t xml:space="preserve">累進起點地價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元</t>
    </r>
    <r>
      <rPr>
        <sz val="11"/>
        <color rgb="FF000000"/>
        <rFont val="Calibri"/>
        <family val="2"/>
        <charset val="1"/>
      </rPr>
      <t xml:space="preserve">)</t>
    </r>
  </si>
  <si>
    <t xml:space="preserve">請輸入該縣市的累進起點地價。若留空或填 0，則一般用地將全部以基本稅率(10‰)計算。</t>
  </si>
  <si>
    <r>
      <rPr>
        <sz val="11"/>
        <color rgb="FF000000"/>
        <rFont val="Noto Sans TC"/>
        <family val="2"/>
        <charset val="136"/>
      </rPr>
      <t xml:space="preserve">房屋現值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元</t>
    </r>
    <r>
      <rPr>
        <sz val="11"/>
        <color rgb="FF000000"/>
        <rFont val="Calibri"/>
        <family val="2"/>
        <charset val="1"/>
      </rPr>
      <t xml:space="preserve">)</t>
    </r>
  </si>
  <si>
    <t xml:space="preserve">1000000</t>
  </si>
  <si>
    <t xml:space="preserve">房屋使用情境</t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</si>
  <si>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(1.2%)</t>
    </r>
  </si>
  <si>
    <t xml:space="preserve">模式二：快速稅額輸入 (若此區有值，將優先採用)</t>
  </si>
  <si>
    <t xml:space="preserve">年度應納地價稅</t>
  </si>
  <si>
    <t xml:space="preserve">年度應納房屋稅</t>
  </si>
  <si>
    <t xml:space="preserve">（二）核心稅費計算</t>
  </si>
  <si>
    <t xml:space="preserve">項目</t>
  </si>
  <si>
    <t xml:space="preserve">賣方持有期間</t>
  </si>
  <si>
    <t xml:space="preserve">買方持有期間</t>
  </si>
  <si>
    <t xml:space="preserve">年度總稅額</t>
  </si>
  <si>
    <t xml:space="preserve">找補金額</t>
  </si>
  <si>
    <t xml:space="preserve">地價稅</t>
  </si>
  <si>
    <t xml:space="preserve">房屋稅</t>
  </si>
  <si>
    <t xml:space="preserve">（三）其他費用分算 (輸入區)</t>
  </si>
  <si>
    <t xml:space="preserve">管理費(月)</t>
  </si>
  <si>
    <t xml:space="preserve">管理費已預繳至</t>
  </si>
  <si>
    <t xml:space="preserve">1141031</t>
  </si>
  <si>
    <t xml:space="preserve">車位費(月)</t>
  </si>
  <si>
    <t xml:space="preserve">車位費已預繳至</t>
  </si>
  <si>
    <t xml:space="preserve">租金(月)</t>
  </si>
  <si>
    <t xml:space="preserve">租金收款日</t>
  </si>
  <si>
    <t xml:space="preserve">租金期間(起)</t>
  </si>
  <si>
    <t xml:space="preserve">租金期間(迄)</t>
  </si>
  <si>
    <t xml:space="preserve">水費溢繳</t>
  </si>
  <si>
    <t xml:space="preserve">電費溢繳</t>
  </si>
  <si>
    <t xml:space="preserve">瓦斯費溢繳</t>
  </si>
  <si>
    <t xml:space="preserve">押金/保證金</t>
  </si>
  <si>
    <t xml:space="preserve">（四）最終結算</t>
  </si>
  <si>
    <t xml:space="preserve">買方應付給賣方</t>
  </si>
  <si>
    <t xml:space="preserve">賣方應付給買方</t>
  </si>
  <si>
    <t xml:space="preserve">說明</t>
  </si>
  <si>
    <t xml:space="preserve">地價稅找補</t>
  </si>
  <si>
    <t xml:space="preserve">房屋稅找補</t>
  </si>
  <si>
    <t xml:space="preserve">管理費找補</t>
  </si>
  <si>
    <t xml:space="preserve">車位費找補</t>
  </si>
  <si>
    <t xml:space="preserve">租金找補</t>
  </si>
  <si>
    <t xml:space="preserve">水電瓦斯溢繳</t>
  </si>
  <si>
    <t xml:space="preserve">買方補貼賣方已溢繳之費用</t>
  </si>
  <si>
    <t xml:space="preserve">押金/保證金轉交</t>
  </si>
  <si>
    <t xml:space="preserve">賣方將原持有之押金轉交給新屋主(買方)</t>
  </si>
  <si>
    <t xml:space="preserve">款項小計</t>
  </si>
  <si>
    <t xml:space="preserve">最終結算結果</t>
  </si>
  <si>
    <t xml:space="preserve">工具開發：陳定康</t>
  </si>
  <si>
    <t xml:space="preserve">房屋使用情境選項</t>
  </si>
  <si>
    <t xml:space="preserve">對應稅率</t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</si>
  <si>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全國單一自住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現值一定金額下</t>
    </r>
    <r>
      <rPr>
        <sz val="11"/>
        <color rgb="FF000000"/>
        <rFont val="Calibri"/>
        <family val="2"/>
        <charset val="1"/>
      </rPr>
      <t xml:space="preserve">) (1.0%)</t>
    </r>
  </si>
  <si>
    <r>
      <rPr>
        <sz val="11"/>
        <color rgb="FF000000"/>
        <rFont val="Noto Sans TC"/>
        <family val="2"/>
        <charset val="136"/>
      </rPr>
      <t xml:space="preserve">公益出租人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社會住宅 </t>
    </r>
    <r>
      <rPr>
        <sz val="11"/>
        <color rgb="FF000000"/>
        <rFont val="Calibri"/>
        <family val="2"/>
        <charset val="1"/>
      </rPr>
      <t xml:space="preserve">(1.2%)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</si>
  <si>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(1.5%)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</si>
  <si>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(2.0%)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</si>
  <si>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 </t>
    </r>
    <r>
      <rPr>
        <sz val="11"/>
        <color rgb="FF000000"/>
        <rFont val="Calibri"/>
        <family val="2"/>
        <charset val="1"/>
      </rPr>
      <t xml:space="preserve">(2.4%)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</si>
  <si>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(3.2%)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</si>
  <si>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-3~4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(3.8%)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</si>
  <si>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(4.2%)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</si>
  <si>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 </t>
    </r>
    <r>
      <rPr>
        <sz val="11"/>
        <color rgb="FF000000"/>
        <rFont val="Calibri"/>
        <family val="2"/>
        <charset val="1"/>
      </rPr>
      <t xml:space="preserve">(4.8%)</t>
    </r>
  </si>
  <si>
    <r>
      <rPr>
        <sz val="11"/>
        <color rgb="FF000000"/>
        <rFont val="Noto Sans TC"/>
        <family val="2"/>
        <charset val="136"/>
      </rPr>
      <t xml:space="preserve">營業用 </t>
    </r>
    <r>
      <rPr>
        <sz val="11"/>
        <color rgb="FF000000"/>
        <rFont val="Calibri"/>
        <family val="2"/>
        <charset val="1"/>
      </rPr>
      <t xml:space="preserve">(3.0%)</t>
    </r>
  </si>
  <si>
    <r>
      <rPr>
        <sz val="11"/>
        <color rgb="FF000000"/>
        <rFont val="Noto Sans TC"/>
        <family val="2"/>
        <charset val="136"/>
      </rPr>
      <t xml:space="preserve">私人醫院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診所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事務所用 </t>
    </r>
    <r>
      <rPr>
        <sz val="11"/>
        <color rgb="FF000000"/>
        <rFont val="Calibri"/>
        <family val="2"/>
        <charset val="1"/>
      </rPr>
      <t xml:space="preserve">(3.0%)</t>
    </r>
  </si>
  <si>
    <r>
      <rPr>
        <sz val="11"/>
        <color rgb="FF000000"/>
        <rFont val="Noto Sans TC"/>
        <family val="2"/>
        <charset val="136"/>
      </rPr>
      <t xml:space="preserve">非住家非營業用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人民團體等</t>
    </r>
    <r>
      <rPr>
        <sz val="11"/>
        <color rgb="FF000000"/>
        <rFont val="Calibri"/>
        <family val="2"/>
        <charset val="1"/>
      </rPr>
      <t xml:space="preserve">) (2.0%)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</si>
</sst>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/d"/>
    <numFmt numFmtId="166" formatCode="@"/>
    <numFmt numFmtId="167" formatCode="General"/>
    <numFmt numFmtId="168" formatCode="#,##0"/>
    <numFmt numFmtId="169" formatCode="0.00%"/>
  </numFmts>
  <fonts count="14">
    <font>
      <sz val="11"/>
      <color rgb="FF000000"/>
      <name val="Noto Sans TC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8"/>
      <name val="微軟正黑體"/>
      <family val="0"/>
      <charset val="1"/>
    </font>
    <font>
      <sz val="11"/>
      <color rgb="FF000000"/>
      <name val="Calibri"/>
      <family val="2"/>
      <charset val="1"/>
    </font>
    <font>
      <sz val="12"/>
      <name val="微軟正黑體"/>
      <family val="0"/>
      <charset val="1"/>
    </font>
    <font>
      <b val="true"/>
      <sz val="12"/>
      <color rgb="FFC00000"/>
      <name val="微軟正黑體"/>
      <family val="0"/>
      <charset val="1"/>
    </font>
    <font>
      <b val="true"/>
      <sz val="12"/>
      <name val="微軟正黑體"/>
      <family val="0"/>
      <charset val="1"/>
    </font>
    <font>
      <b val="true"/>
      <sz val="14"/>
      <name val="微軟正黑體"/>
      <family val="0"/>
      <charset val="1"/>
    </font>
    <font>
      <i val="true"/>
      <sz val="11"/>
      <name val="微軟正黑體"/>
      <family val="0"/>
      <charset val="1"/>
    </font>
    <font>
      <b val="true"/>
      <sz val="12"/>
      <color rgb="FF0000FF"/>
      <name val="微軟正黑體"/>
      <family val="0"/>
      <charset val="1"/>
    </font>
    <font>
      <b val="true"/>
      <sz val="16"/>
      <color rgb="FFC00000"/>
      <name val="微軟正黑體"/>
      <family val="0"/>
      <charset val="1"/>
    </font>
    <font>
      <sz val="10"/>
      <color rgb="FF808080"/>
      <name val="微軟正黑體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7E9D1"/>
        <bgColor rgb="FFE2EFDA"/>
      </patternFill>
    </fill>
    <fill>
      <patternFill patternType="solid">
        <fgColor rgb="FFE7E6E6"/>
        <bgColor rgb="FFDEEBF7"/>
      </patternFill>
    </fill>
    <fill>
      <patternFill patternType="solid">
        <fgColor rgb="FFFFFFE0"/>
        <bgColor rgb="FFFFF2E6"/>
      </patternFill>
    </fill>
    <fill>
      <patternFill patternType="solid">
        <fgColor rgb="FFEAF1FF"/>
        <bgColor rgb="FFDEEBF7"/>
      </patternFill>
    </fill>
    <fill>
      <patternFill patternType="solid">
        <fgColor rgb="FFE2EFDA"/>
        <bgColor rgb="FFD7E9D1"/>
      </patternFill>
    </fill>
    <fill>
      <patternFill patternType="solid">
        <fgColor rgb="FFDEEBF7"/>
        <bgColor rgb="FFE7E6E6"/>
      </patternFill>
    </fill>
    <fill>
      <patternFill patternType="solid">
        <fgColor rgb="FFFFF2E6"/>
        <bgColor rgb="FFFFFFE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E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DEEBF7"/>
      <rgbColor rgb="FF660066"/>
      <rgbColor rgb="FFFF8080"/>
      <rgbColor rgb="FF0066CC"/>
      <rgbColor rgb="FFE7E6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FF"/>
      <rgbColor rgb="FFE2EFDA"/>
      <rgbColor rgb="FFD7E9D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7.7734375" defaultRowHeight="15" zeroHeight="false" outlineLevelRow="0" outlineLevelCol="0"/>
  <cols>
    <col collapsed="false" customWidth="true" hidden="false" outlineLevel="0" max="1" min="1" style="0" width="18.2"/>
    <col collapsed="false" customWidth="true" hidden="false" outlineLevel="0" max="4" min="2" style="0" width="16.38"/>
    <col collapsed="false" customWidth="true" hidden="false" outlineLevel="0" max="5" min="5" style="0" width="13.65"/>
    <col collapsed="false" customWidth="true" hidden="false" outlineLevel="0" max="6" min="6" style="0" width="18.2"/>
    <col collapsed="false" customWidth="true" hidden="false" outlineLevel="0" max="7" min="7" style="0" width="16.38"/>
    <col collapsed="false" customWidth="true" hidden="false" outlineLevel="0" max="8" min="8" style="0" width="50.04"/>
    <col collapsed="false" customWidth="true" hidden="true" outlineLevel="0" max="28" min="27" style="0" width="11.83"/>
  </cols>
  <sheetData>
    <row r="1" customFormat="false" ht="49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AA1" s="2" t="n">
        <f aca="false">IFERROR(IF(LEN(C2)=7, DATE(VALUE(LEFT(C2,3))+1911, VALUE(MID(C2,4,2)), VALUE(RIGHT(C2,2))), IF(LEN(C2)=6, DATE(VALUE(LEFT(C2,2))+1911, VALUE(MID(C2,3,2)), VALUE(RIGHT(C2,2))), "")), "")</f>
        <v>45938</v>
      </c>
      <c r="AB1" s="0" t="n">
        <f aca="false">IF(C15&lt;&gt;"", C15, AA15)</f>
        <v>500</v>
      </c>
    </row>
    <row r="2" customFormat="false" ht="31.5" hidden="false" customHeight="true" outlineLevel="0" collapsed="false">
      <c r="A2" s="3" t="s">
        <v>1</v>
      </c>
      <c r="B2" s="3"/>
      <c r="C2" s="4" t="n">
        <v>1141008</v>
      </c>
      <c r="D2" s="5" t="str">
        <f aca="false">IF(AA1&lt;&gt;"", TEXT(AA1, "民國 e 年 m 月 d 日"), "請依左側格式輸入日期")</f>
        <v>民國 114 年 10 月 8 日</v>
      </c>
      <c r="E2" s="5"/>
      <c r="F2" s="6" t="str">
        <f aca="false">IF(AA1="","",IF(MOD(YEAR(AA1)-1911,2)=1, "【注意】
民國 " &amp; YEAR(AA1)-1911 &amp; " 年為地價調整年！
前一年稅單僅供參考。", "【資訊】
民國 " &amp; YEAR(AA1)-1911 &amp; " 年非地價調整年。"))</f>
        <v>【資訊】
民國 114 年非地價調整年。</v>
      </c>
      <c r="G2" s="6"/>
      <c r="H2" s="6"/>
      <c r="AA2" s="2" t="n">
        <f aca="false">IFERROR(IF(LEN(C3)=7, DATE(VALUE(LEFT(C3,3))+1911, VALUE(MID(C3,4,2)), VALUE(RIGHT(C3,2))), IF(LEN(C3)=6, DATE(VALUE(LEFT(C3,2))+1911, VALUE(MID(C3,3,2)), VALUE(RIGHT(C3,2))), "")), "")</f>
        <v>45938</v>
      </c>
      <c r="AB2" s="0" t="n">
        <f aca="false">IF(C16&lt;&gt;"", C16, IFERROR(ROUND(AA18*VLOOKUP(C13, 稅率表!$A$2:$B$15, 2, FALSE()),0), ""))</f>
        <v>1000000</v>
      </c>
    </row>
    <row r="3" customFormat="false" ht="31.5" hidden="false" customHeight="true" outlineLevel="0" collapsed="false">
      <c r="A3" s="3" t="s">
        <v>2</v>
      </c>
      <c r="B3" s="3"/>
      <c r="C3" s="4" t="n">
        <v>1141008</v>
      </c>
      <c r="D3" s="5" t="str">
        <f aca="false">IF(AA2&lt;&gt;"", TEXT(AA2, "民國 e 年 m 月 d 日"), "請依左側格式輸入日期")</f>
        <v>民國 114 年 10 月 8 日</v>
      </c>
      <c r="E3" s="5"/>
      <c r="F3" s="6"/>
      <c r="G3" s="6"/>
      <c r="H3" s="6"/>
      <c r="AB3" s="0" t="n">
        <f aca="false">IF(AA5, 12, IFERROR(DATE(YEAR(AA2),12,31)-DATE(YEAR(AA2),1,1)+1, ""))</f>
        <v>365</v>
      </c>
    </row>
    <row r="4" customFormat="false" ht="31.5" hidden="false" customHeight="true" outlineLevel="0" collapsed="false">
      <c r="A4" s="3" t="s">
        <v>3</v>
      </c>
      <c r="B4" s="3"/>
      <c r="C4" s="7" t="s">
        <v>4</v>
      </c>
      <c r="D4" s="8" t="str">
        <f aca="false">IF(AA5, "【按月分算模式】", "【按日分算模式】") &amp; " 交屋日歸屬：" &amp; IF(C4="是", "買方", "賣方")</f>
        <v>【按日分算模式】 交屋日歸屬：賣方</v>
      </c>
      <c r="E4" s="8"/>
      <c r="F4" s="6"/>
      <c r="G4" s="6"/>
      <c r="H4" s="6"/>
      <c r="AA4" s="0" t="n">
        <f aca="false">IF(C4="是", 1, 0)</f>
        <v>0</v>
      </c>
      <c r="AB4" s="0" t="n">
        <f aca="false">IFERROR(DATE(YEAR(AA2)-IF(MONTH(AA2)&lt;7,1,0),7,1), "")</f>
        <v>45839</v>
      </c>
    </row>
    <row r="5" customFormat="false" ht="31.5" hidden="false" customHeight="true" outlineLevel="0" collapsed="false">
      <c r="A5" s="9" t="s">
        <v>5</v>
      </c>
      <c r="B5" s="9"/>
      <c r="C5" s="9"/>
      <c r="D5" s="9"/>
      <c r="E5" s="9"/>
      <c r="F5" s="9"/>
      <c r="G5" s="9"/>
      <c r="H5" s="9"/>
      <c r="AA5" s="10" t="b">
        <f aca="false">IF(AA2="","",AND(DAY(EOMONTH(AA2,0))=DAY(AA2), C4="否"))</f>
        <v>0</v>
      </c>
      <c r="AB5" s="0" t="n">
        <f aca="false">IFERROR(DATE(YEAR(AA2)-IF(MONTH(AA2)&lt;7,1,0)+1,6,30), "")</f>
        <v>46203</v>
      </c>
    </row>
    <row r="6" customFormat="false" ht="31.5" hidden="false" customHeight="true" outlineLevel="0" collapsed="false">
      <c r="A6" s="11" t="s">
        <v>6</v>
      </c>
      <c r="B6" s="12" t="s">
        <v>7</v>
      </c>
      <c r="C6" s="12" t="s">
        <v>8</v>
      </c>
      <c r="D6" s="12" t="s">
        <v>9</v>
      </c>
      <c r="E6" s="12" t="s">
        <v>10</v>
      </c>
      <c r="F6" s="12" t="s">
        <v>11</v>
      </c>
      <c r="G6" s="12" t="s">
        <v>12</v>
      </c>
      <c r="H6" s="13"/>
      <c r="AB6" s="0" t="n">
        <f aca="false">IF(AA5, 12, IFERROR(AB5-AB4+1, ""))</f>
        <v>365</v>
      </c>
    </row>
    <row r="7" customFormat="false" ht="31.5" hidden="false" customHeight="true" outlineLevel="0" collapsed="false">
      <c r="A7" s="14" t="s">
        <v>13</v>
      </c>
      <c r="B7" s="15" t="s">
        <v>14</v>
      </c>
      <c r="C7" s="15" t="n">
        <v>10000</v>
      </c>
      <c r="D7" s="15" t="n">
        <v>70</v>
      </c>
      <c r="E7" s="16" t="s">
        <v>15</v>
      </c>
      <c r="F7" s="15" t="s">
        <v>16</v>
      </c>
      <c r="G7" s="17" t="n">
        <f aca="false">IFERROR(C7*D7*AA7, "")</f>
        <v>700000</v>
      </c>
      <c r="H7" s="13"/>
      <c r="AA7" s="0" t="n">
        <f aca="false">IFERROR(IF(ISNUMBER(FIND("/",E7)), LEFT(E7, FIND("/", E7)-1) / MID(E7, FIND("/", E7)+1, LEN(E7)), IF(ISNUMBER(FIND("%",E7)), VALUE(SUBSTITUTE(E7,"%",""))/100, IF(ISNUMBER(E7), E7/100, 1))), 1)</f>
        <v>1</v>
      </c>
      <c r="AB7" s="0" t="n">
        <f aca="false">IFERROR(EOMONTH(DATE(YEAR(AB5),2,1),0), "")</f>
        <v>46081</v>
      </c>
    </row>
    <row r="8" customFormat="false" ht="31.5" hidden="false" customHeight="true" outlineLevel="0" collapsed="false">
      <c r="A8" s="14" t="s">
        <v>17</v>
      </c>
      <c r="B8" s="15" t="s">
        <v>18</v>
      </c>
      <c r="C8" s="15" t="n">
        <v>8800</v>
      </c>
      <c r="D8" s="15" t="n">
        <v>60</v>
      </c>
      <c r="E8" s="16" t="s">
        <v>19</v>
      </c>
      <c r="F8" s="15" t="s">
        <v>20</v>
      </c>
      <c r="G8" s="17" t="n">
        <f aca="false">IFERROR(C8*D8*AA8, "")</f>
        <v>528000</v>
      </c>
      <c r="H8" s="13"/>
      <c r="AA8" s="0" t="n">
        <f aca="false">IFERROR(IF(ISNUMBER(FIND("/",E8)), LEFT(E8, FIND("/", E8)-1) / MID(E8, FIND("/", E8)+1, LEN(E8)), IF(ISNUMBER(FIND("%",E8)), VALUE(SUBSTITUTE(E8,"%",""))/100, IF(ISNUMBER(E8), E8/100, 1))), 1)</f>
        <v>1</v>
      </c>
      <c r="AB8" s="0" t="str">
        <f aca="false">IFERROR(IF(AA1&gt;DATE(YEAR(AA2),8,31), "賣方", "買方"), "")</f>
        <v>賣方</v>
      </c>
    </row>
    <row r="9" customFormat="false" ht="31.5" hidden="false" customHeight="true" outlineLevel="0" collapsed="false">
      <c r="A9" s="14" t="s">
        <v>21</v>
      </c>
      <c r="B9" s="15"/>
      <c r="C9" s="15"/>
      <c r="D9" s="15"/>
      <c r="E9" s="16"/>
      <c r="F9" s="15"/>
      <c r="G9" s="17" t="n">
        <f aca="false">IFERROR(C9*D9*AA9, "")</f>
        <v>0</v>
      </c>
      <c r="H9" s="13"/>
      <c r="AA9" s="0" t="n">
        <f aca="false">IFERROR(IF(ISNUMBER(FIND("/",E9)), LEFT(E9, FIND("/", E9)-1) / MID(E9, FIND("/", E9)+1, LEN(E9)), IF(ISNUMBER(FIND("%",E9)), VALUE(SUBSTITUTE(E9,"%",""))/100, IF(ISNUMBER(E9), E9/100, 1))), 1)</f>
        <v>1</v>
      </c>
      <c r="AB9" s="0" t="str">
        <f aca="false">IFERROR(IF(AA1&gt;AB7, "賣方", "買方"), "")</f>
        <v>買方</v>
      </c>
    </row>
    <row r="10" customFormat="false" ht="31.5" hidden="false" customHeight="true" outlineLevel="0" collapsed="false">
      <c r="A10" s="18" t="s">
        <v>22</v>
      </c>
      <c r="B10" s="18"/>
      <c r="C10" s="19" t="n">
        <v>1700000</v>
      </c>
      <c r="D10" s="20" t="s">
        <v>23</v>
      </c>
      <c r="E10" s="20"/>
      <c r="F10" s="20"/>
      <c r="G10" s="20"/>
      <c r="H10" s="20"/>
      <c r="AB10" s="0" t="n">
        <f aca="false">IFERROR(IF(AA5, MONTH(AA2), AA2-DATE(YEAR(AA2),1,1)+1-AA4),"")</f>
        <v>281</v>
      </c>
    </row>
    <row r="11" customFormat="false" ht="31.5" hidden="false" customHeight="true" outlineLevel="0" collapsed="false">
      <c r="A11" s="13"/>
      <c r="B11" s="13"/>
      <c r="C11" s="13"/>
      <c r="D11" s="13"/>
      <c r="E11" s="13"/>
      <c r="F11" s="13"/>
      <c r="G11" s="13"/>
      <c r="H11" s="13"/>
      <c r="AA11" s="0" t="n">
        <f aca="false">ROUND(SUMPRODUCT((F7:F9="自用住宅 (2‰)")*G7:G9*0.002),0)</f>
        <v>1056</v>
      </c>
      <c r="AB11" s="0" t="n">
        <f aca="false">IFERROR(IF(AA5, 12-MONTH(AA2), DATE(YEAR(AA2),12,31)-AA2+AA4),"")</f>
        <v>84</v>
      </c>
    </row>
    <row r="12" customFormat="false" ht="31.5" hidden="false" customHeight="true" outlineLevel="0" collapsed="false">
      <c r="A12" s="18" t="s">
        <v>24</v>
      </c>
      <c r="B12" s="18"/>
      <c r="C12" s="21" t="s">
        <v>25</v>
      </c>
      <c r="D12" s="13"/>
      <c r="E12" s="13"/>
      <c r="F12" s="13"/>
      <c r="G12" s="13"/>
      <c r="H12" s="13"/>
      <c r="AA12" s="0" t="n">
        <f aca="false">SUMPRODUCT((F7:F9&lt;&gt;"自用住宅 (2‰)")*G7:G9)</f>
        <v>700000</v>
      </c>
      <c r="AB12" s="0" t="n">
        <f aca="false">IFERROR(IF(AA5, IF(MONTH(AA2)&gt;=7, MONTH(AA2)-6, MONTH(AA2)+6), AA2-AB4+1-AA4),"")</f>
        <v>100</v>
      </c>
    </row>
    <row r="13" customFormat="false" ht="31.5" hidden="false" customHeight="true" outlineLevel="0" collapsed="false">
      <c r="A13" s="18" t="s">
        <v>26</v>
      </c>
      <c r="B13" s="18"/>
      <c r="C13" s="15" t="s">
        <v>27</v>
      </c>
      <c r="D13" s="22" t="n">
        <f aca="false">IFERROR(VLOOKUP(C13, 稅率表!$A$2:$B$15, 2, FALSE()), "")</f>
        <v>0.012</v>
      </c>
      <c r="E13" s="22"/>
      <c r="F13" s="13"/>
      <c r="G13" s="13"/>
      <c r="H13" s="13"/>
      <c r="AA13" s="0" t="n">
        <f aca="false">IF(C10="",0,C10)</f>
        <v>1700000</v>
      </c>
      <c r="AB13" s="0" t="n">
        <f aca="false">IFERROR(IF(AA5, 12 - IF(MONTH(AA2)&gt;=7, MONTH(AA2)-6, MONTH(AA2)+6), AB5-AA2+AA4),"")</f>
        <v>265</v>
      </c>
    </row>
    <row r="14" customFormat="false" ht="31.5" hidden="false" customHeight="true" outlineLevel="0" collapsed="false">
      <c r="A14" s="23" t="s">
        <v>28</v>
      </c>
      <c r="B14" s="23"/>
      <c r="C14" s="23"/>
      <c r="D14" s="23"/>
      <c r="E14" s="23"/>
      <c r="F14" s="23"/>
      <c r="G14" s="23"/>
      <c r="H14" s="23"/>
      <c r="AA14" s="0" t="n">
        <f aca="false">ROUND(IF(AA13=0, AA12*0.01, IF(AA12&lt;=AA13, AA12*0.01, IF(AA12&lt;=AA13*5, AA12*0.015-AA13*0.005, IF(AA12&lt;=AA13*10, AA12*0.025-AA13*0.065, IF(AA12&lt;=AA13*15, AA12*0.035-AA13*0.175, IF(AA12&lt;=AA13*20, AA12*0.045-AA13*0.335, AA12*0.055-AA13*0.545)))))),0)</f>
        <v>7000</v>
      </c>
    </row>
    <row r="15" customFormat="false" ht="31.5" hidden="false" customHeight="true" outlineLevel="0" collapsed="false">
      <c r="A15" s="18" t="s">
        <v>29</v>
      </c>
      <c r="B15" s="18"/>
      <c r="C15" s="24" t="n">
        <v>500</v>
      </c>
      <c r="AA15" s="0" t="n">
        <f aca="false">AA11+AA14</f>
        <v>8056</v>
      </c>
    </row>
    <row r="16" customFormat="false" ht="31.5" hidden="false" customHeight="true" outlineLevel="0" collapsed="false">
      <c r="A16" s="18" t="s">
        <v>30</v>
      </c>
      <c r="B16" s="18"/>
      <c r="C16" s="24" t="n">
        <v>1000000</v>
      </c>
      <c r="AA16" s="0" t="str">
        <f aca="false">IFERROR(IF(ISNUMBER(FIND("-",C12)), VALUE(LEFT(C12, FIND("-",C12)-1)), C12), C12)</f>
        <v>1000000</v>
      </c>
    </row>
    <row r="17" customFormat="false" ht="31.5" hidden="false" customHeight="true" outlineLevel="0" collapsed="false">
      <c r="A17" s="9" t="s">
        <v>31</v>
      </c>
      <c r="B17" s="9"/>
      <c r="C17" s="9"/>
      <c r="D17" s="9"/>
      <c r="E17" s="9"/>
      <c r="F17" s="9"/>
      <c r="G17" s="9"/>
      <c r="H17" s="9"/>
      <c r="AA17" s="0" t="n">
        <f aca="false">IFERROR(IF(ISNUMBER(FIND("-",C12)), VALUE(MID(C12, FIND("-",C12)+1, LEN(C12))), 0), 0)</f>
        <v>0</v>
      </c>
    </row>
    <row r="18" customFormat="false" ht="180" hidden="false" customHeight="true" outlineLevel="0" collapsed="false">
      <c r="A18" s="11" t="s">
        <v>32</v>
      </c>
      <c r="B18" s="11" t="s">
        <v>33</v>
      </c>
      <c r="C18" s="11" t="s">
        <v>34</v>
      </c>
      <c r="D18" s="11" t="s">
        <v>35</v>
      </c>
      <c r="E18" s="11" t="s">
        <v>36</v>
      </c>
      <c r="F18" s="11"/>
      <c r="G18" s="11"/>
      <c r="H18" s="11"/>
      <c r="AA18" s="0" t="n">
        <f aca="false">IF(ISNUMBER(C12), C12, AA16-AA17)</f>
        <v>1000000</v>
      </c>
    </row>
    <row r="19" customFormat="false" ht="180" hidden="false" customHeight="true" outlineLevel="0" collapsed="false">
      <c r="A19" s="25" t="s">
        <v>37</v>
      </c>
      <c r="B19" s="26" t="str">
        <f aca="false">IF(AB10&lt;&gt;"", AB10 &amp; IF(AA5, " 月", " 天"), "")</f>
        <v>281 天</v>
      </c>
      <c r="C19" s="26" t="str">
        <f aca="false">IF(AB11&lt;&gt;"", AB11 &amp; IF(AA5, " 月", " 天"), "")</f>
        <v>84 天</v>
      </c>
      <c r="D19" s="27" t="n">
        <f aca="false">AB1</f>
        <v>500</v>
      </c>
      <c r="E19" s="27" t="n">
        <f aca="false">IFERROR(IF(AB8="賣方", ROUND(D19*AB11/AB3,0), ROUND(D19*AB10/AB3,0)),0)</f>
        <v>115</v>
      </c>
      <c r="F19" s="27"/>
      <c r="G19" s="27"/>
      <c r="H19" s="28" t="str">
        <f aca="false">IF(E19=0, "無需找補", "納稅人為【" &amp; AB8 &amp; "】，" &amp; IF(AB8="賣方", "由【買方】補貼賣方", "由【賣方】補貼買方") &amp; "。" &amp; CHAR(10) &amp; "【找補計算】" &amp; CHAR(10) &amp; "  " &amp; TEXT(D19, "#,##0") &amp; " * (" &amp; IF(AB8="賣方", AB11, AB10) &amp; " / " &amp; AB3 &amp; ") = " &amp; TEXT(E19, "#,##0") &amp; CHAR(10) &amp; "【款項性質】" &amp; CHAR(10) &amp; "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>納稅人為【賣方】，由【買方】補貼賣方。
【找補計算】
  500 * (84 / 365) = 115
【款項性質】
  此為民國 114 年度地價稅找補，屬【未到期數】款項。
---
【稅務規則】
● 課稅年度： 民國 114 年 (1/1 ~ 12/31)
● 開徵期間： 民國 114 年 11 月 1 日 至 11 月 30 日
● 納稅基準日： 民國 114 年 8 月 31 日
● 本案納稅人： 【賣方】 (以基準日之地政登記所有權人為準)</v>
      </c>
    </row>
    <row r="20" customFormat="false" ht="31.5" hidden="false" customHeight="true" outlineLevel="0" collapsed="false">
      <c r="A20" s="25" t="s">
        <v>38</v>
      </c>
      <c r="B20" s="29" t="str">
        <f aca="false">IF(AB12&lt;&gt;"", AB12 &amp; IF(AA5, " 月", " 天"), "")</f>
        <v>100 天</v>
      </c>
      <c r="C20" s="29" t="str">
        <f aca="false">IF(AB13&lt;&gt;"", AB13 &amp; IF(AA5, " 月", " 天"), "")</f>
        <v>265 天</v>
      </c>
      <c r="D20" s="27" t="n">
        <f aca="false">AB2</f>
        <v>1000000</v>
      </c>
      <c r="E20" s="27" t="n">
        <f aca="false">IFERROR(IF(AB9="賣方", ROUND(D20*AB13/AB6,0), ROUND(D20*AB12/AB6,0)),0)</f>
        <v>273973</v>
      </c>
      <c r="F20" s="27"/>
      <c r="G20" s="27"/>
      <c r="H20" s="28" t="str">
        <f aca="false">IF(E20=0, "無需找補", "納稅人為【" &amp; AB9 &amp; "】，" &amp; IF(AB9="賣方", "由【買方】補貼賣方", "由【賣方】補貼買方") &amp; "。" &amp; CHAR(10) &amp; IF(C16="", "【年稅額計算】" &amp; CHAR(10) &amp; "  " &amp; IF(AA17&gt;0, "(" &amp; TEXT(AA16,"#,##0") &amp; "-" &amp; TEXT(AA17,"#,##0") &amp; ")", TEXT(AA18,"#,##0")) &amp; " * " &amp; TEXT(D13,"0.0%") &amp; " = " &amp; TEXT(D20, "#,##0") &amp; CHAR(10), "") &amp; "【找補計算】" &amp; CHAR(10) &amp; "  " &amp; TEXT(D20, "#,##0") &amp; " * (" &amp; IF(AB9="賣方", AB13, AB12) &amp; " / " &amp; AB6 &amp; ") = " &amp; TEXT(E20, "#,##0") &amp; CHAR(10) &amp; "【款項性質】" &amp; CHAR(10) &amp; "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>納稅人為【買方】，由【賣方】補貼買方。
【找補計算】
  1,000,000 * (100 / 365) = 273,973
【款項性質】
  此為民國 115 年度房屋稅找補，屬【已到期數】款項。
---
【稅務規則】
● 課稅期間： 民國 114/7/1 至 115/6/30
● 開徵期間： 民國 115 年 5 月 1 日 至 5 月 31 日
● 納稅基準日： 民國 115 年 2 月 28 日
● 本案納稅人： 【買方】 (以基準日之房屋所有權人為準)</v>
      </c>
      <c r="AA20" s="2" t="n">
        <f aca="false">IFERROR(IF(LEN(F22)=7, DATE(VALUE(LEFT(F22,3))+1911, VALUE(MID(F22,4,2)), VALUE(RIGHT(F22,2))), IF(LEN(F22)=6, DATE(VALUE(LEFT(F22,2))+1911, VALUE(MID(F22,3,2)), VALUE(RIGHT(F22,2))), "")), "")</f>
        <v>45961</v>
      </c>
    </row>
    <row r="21" customFormat="false" ht="31.5" hidden="false" customHeight="true" outlineLevel="0" collapsed="false">
      <c r="A21" s="9" t="s">
        <v>39</v>
      </c>
      <c r="B21" s="9"/>
      <c r="C21" s="9"/>
      <c r="D21" s="9"/>
      <c r="E21" s="9"/>
      <c r="F21" s="9"/>
      <c r="G21" s="9"/>
      <c r="H21" s="9"/>
      <c r="AA21" s="2" t="n">
        <f aca="false">IFERROR(IF(LEN(F23)=7, DATE(VALUE(LEFT(F23,3))+1911, VALUE(MID(F23,4,2)), VALUE(RIGHT(F23,2))), IF(LEN(F23)=6, DATE(VALUE(LEFT(F23,2))+1911, VALUE(MID(F23,3,2)), VALUE(RIGHT(F23,2))), "")), "")</f>
        <v>45961</v>
      </c>
      <c r="AB21" s="0" t="n">
        <f aca="false">IFERROR(IF(AND(B22&gt;0, AA20&gt;=AA2), IF((YEAR(AA20)=YEAR(AA2))*(MONTH(AA20)=MONTH(AA2)), ROUND(B22*(AA20-AA2+AA4)/DAY(EOMONTH(AA2,0)),0), ROUND((B22*(DAY(EOMONTH(AA2,0))-DAY(AA2)+AA4)/DAY(EOMONTH(AA2,0))) + (B22*MAX(0,(YEAR(AA20)-YEAR(AA2))*12+MONTH(AA20)-MONTH(AA2)-1)) + (B22*DAY(AA20)/DAY(EOMONTH(AA20,0))),0)), 0), 0)</f>
        <v>742</v>
      </c>
    </row>
    <row r="22" customFormat="false" ht="31.5" hidden="false" customHeight="true" outlineLevel="0" collapsed="false">
      <c r="A22" s="14" t="s">
        <v>40</v>
      </c>
      <c r="B22" s="30" t="n">
        <v>1000</v>
      </c>
      <c r="C22" s="14"/>
      <c r="D22" s="14" t="s">
        <v>41</v>
      </c>
      <c r="E22" s="14"/>
      <c r="F22" s="31" t="s">
        <v>42</v>
      </c>
      <c r="G22" s="5" t="str">
        <f aca="false">IF(AA20&lt;&gt;"", TEXT(AA20, "民國 e 年 m 月 d 日"), "格式: YYYMMDD")</f>
        <v>民國 114 年 10 月 31 日</v>
      </c>
      <c r="H22" s="5"/>
      <c r="AA22" s="0" t="str">
        <f aca="false">IFERROR(IF(LEN(B25)=7, DATE(VALUE(LEFT(B25,3))+1911, VALUE(MID(B25,4,2)), VALUE(RIGHT(B25,2))), IF(LEN(B25)=6, DATE(VALUE(LEFT(B25,2))+1911, VALUE(MID(B25,3,2)), VALUE(RIGHT(B25,2))), "")), "")</f>
        <v/>
      </c>
      <c r="AB22" s="0" t="n">
        <f aca="false">IFERROR(IF(AND(B23&gt;0, AA21&gt;=AA2), IF((YEAR(AA21)=YEAR(AA2))*(MONTH(AA21)=MONTH(AA2)), ROUND(B23*(AA21-AA2+AA4)/DAY(EOMONTH(AA2,0)),0), ROUND((B23*(DAY(EOMONTH(AA2,0))-DAY(AA2)+AA4)/DAY(EOMONTH(AA2,0))) + (B23*MAX(0,(YEAR(AA21)-YEAR(AA2))*12+MONTH(AA21)-MONTH(AA2)-1)) + (B23*DAY(AA21)/DAY(EOMONTH(AA21,0))),0)), 0), 0)</f>
        <v>742</v>
      </c>
    </row>
    <row r="23" customFormat="false" ht="31.5" hidden="false" customHeight="true" outlineLevel="0" collapsed="false">
      <c r="A23" s="14" t="s">
        <v>43</v>
      </c>
      <c r="B23" s="30" t="n">
        <v>1000</v>
      </c>
      <c r="C23" s="14"/>
      <c r="D23" s="14" t="s">
        <v>44</v>
      </c>
      <c r="E23" s="14"/>
      <c r="F23" s="31" t="s">
        <v>42</v>
      </c>
      <c r="G23" s="5" t="str">
        <f aca="false">IF(AA21&lt;&gt;"", TEXT(AA21, "民國 e 年 m 月 d 日"), "格式: YYYMMDD")</f>
        <v>民國 114 年 10 月 31 日</v>
      </c>
      <c r="H23" s="5"/>
      <c r="AA23" s="0" t="str">
        <f aca="false">IFERROR(IF(LEN(B26)=7, DATE(VALUE(LEFT(B26,3))+1911, VALUE(MID(B26,4,2)), VALUE(RIGHT(B26,2))), IF(LEN(B26)=6, DATE(VALUE(LEFT(B26,2))+1911, VALUE(MID(B26,3,2)), VALUE(RIGHT(B26,2))), "")), "")</f>
        <v/>
      </c>
    </row>
    <row r="24" customFormat="false" ht="31.5" hidden="false" customHeight="true" outlineLevel="0" collapsed="false">
      <c r="A24" s="14" t="s">
        <v>45</v>
      </c>
      <c r="B24" s="30"/>
      <c r="C24" s="14"/>
      <c r="D24" s="14"/>
      <c r="E24" s="14"/>
      <c r="F24" s="14"/>
      <c r="G24" s="14"/>
      <c r="H24" s="14"/>
      <c r="AA24" s="0" t="str">
        <f aca="false">IFERROR(IF(LEN(B27)=7, DATE(VALUE(LEFT(B27,3))+1911, VALUE(MID(B27,4,2)), VALUE(RIGHT(B27,2))), IF(LEN(B27)=6, DATE(VALUE(LEFT(B27,2))+1911, VALUE(MID(B27,3,2)), VALUE(RIGHT(B27,2))), "")), "")</f>
        <v/>
      </c>
      <c r="AB24" s="0" t="n">
        <f aca="false">IFERROR(IF(AND(B22&gt;0, AA20&lt;AA2), ROUND((B22*(DAY(EOMONTH(AA20,0))-DAY(AA20))/DAY(EOMONTH(AA20,0))) + (B22*MAX(0,(YEAR(AA2)-YEAR(AA20))*12+MONTH(AA2)-MONTH(AA20)-1)) + (B22*DAY(AA2)/DAY(EOMONTH(AA2,0))),0), 0), 0)</f>
        <v>0</v>
      </c>
    </row>
    <row r="25" customFormat="false" ht="31.5" hidden="false" customHeight="true" outlineLevel="0" collapsed="false">
      <c r="A25" s="14" t="s">
        <v>46</v>
      </c>
      <c r="B25" s="31"/>
      <c r="C25" s="5" t="str">
        <f aca="false">IF(AA22&lt;&gt;"", TEXT(AA22, "民國 e 年 m 月 d 日"), "格式: YYYMMDD")</f>
        <v>格式: YYYMMDD</v>
      </c>
      <c r="D25" s="5"/>
      <c r="E25" s="5"/>
      <c r="F25" s="5"/>
      <c r="G25" s="5"/>
      <c r="H25" s="5"/>
      <c r="AB25" s="0" t="n">
        <f aca="false">IFERROR(IF(AND(B23&gt;0, AA21&lt;AA2), ROUND((B23*(DAY(EOMONTH(AA21,0))-DAY(AA21))/DAY(EOMONTH(AA21,0))) + (B23*MAX(0,(YEAR(AA2)-YEAR(AA21))*12+MONTH(AA2)-MONTH(AA21)-1)) + (B23*DAY(AA2)/DAY(EOMONTH(AA2,0))),0), 0), 0)</f>
        <v>0</v>
      </c>
    </row>
    <row r="26" customFormat="false" ht="31.5" hidden="false" customHeight="true" outlineLevel="0" collapsed="false">
      <c r="A26" s="14" t="s">
        <v>47</v>
      </c>
      <c r="B26" s="31"/>
      <c r="C26" s="5" t="str">
        <f aca="false">IF(AA23&lt;&gt;"", TEXT(AA23, "民國 e 年 m 月 d 日"), "格式: YYYMMDD")</f>
        <v>格式: YYYMMDD</v>
      </c>
      <c r="D26" s="5"/>
      <c r="E26" s="5"/>
      <c r="F26" s="5"/>
      <c r="G26" s="5"/>
      <c r="H26" s="5"/>
    </row>
    <row r="27" customFormat="false" ht="31.5" hidden="false" customHeight="true" outlineLevel="0" collapsed="false">
      <c r="A27" s="14" t="s">
        <v>48</v>
      </c>
      <c r="B27" s="31"/>
      <c r="C27" s="5" t="str">
        <f aca="false">IF(AA24&lt;&gt;"", TEXT(AA24, "民國 e 年 m 月 d 日"), "格式: YYYMMDD")</f>
        <v>格式: YYYMMDD</v>
      </c>
      <c r="D27" s="5"/>
      <c r="E27" s="5"/>
      <c r="F27" s="5"/>
      <c r="G27" s="5"/>
      <c r="H27" s="5"/>
    </row>
    <row r="28" customFormat="false" ht="31.5" hidden="false" customHeight="true" outlineLevel="0" collapsed="false">
      <c r="A28" s="14" t="s">
        <v>49</v>
      </c>
      <c r="B28" s="30"/>
      <c r="C28" s="14"/>
      <c r="D28" s="14"/>
      <c r="E28" s="14"/>
      <c r="F28" s="14"/>
      <c r="G28" s="14"/>
      <c r="H28" s="14"/>
    </row>
    <row r="29" customFormat="false" ht="31.5" hidden="false" customHeight="true" outlineLevel="0" collapsed="false">
      <c r="A29" s="14" t="s">
        <v>50</v>
      </c>
      <c r="B29" s="30"/>
      <c r="C29" s="14"/>
      <c r="D29" s="14"/>
      <c r="E29" s="14"/>
      <c r="F29" s="14"/>
      <c r="G29" s="14"/>
      <c r="H29" s="14"/>
    </row>
    <row r="30" customFormat="false" ht="31.5" hidden="false" customHeight="true" outlineLevel="0" collapsed="false">
      <c r="A30" s="14" t="s">
        <v>51</v>
      </c>
      <c r="B30" s="30"/>
      <c r="C30" s="14"/>
      <c r="D30" s="14"/>
      <c r="E30" s="14"/>
      <c r="F30" s="14"/>
      <c r="G30" s="14"/>
      <c r="H30" s="14"/>
      <c r="AB30" s="0" t="n">
        <f aca="false">IFERROR(IF(AND(C4="是", B24&gt;0, AA24&gt;=AA2, AA23&lt;=AA2, AA22&gt;=AA2), ROUND(B24 * (AA2-AA23+1) / (AA24-AA23+1), 0), 0), 0)</f>
        <v>0</v>
      </c>
    </row>
    <row r="31" customFormat="false" ht="31.5" hidden="false" customHeight="true" outlineLevel="0" collapsed="false">
      <c r="A31" s="14" t="s">
        <v>52</v>
      </c>
      <c r="B31" s="30"/>
      <c r="C31" s="14"/>
      <c r="D31" s="14"/>
      <c r="E31" s="14"/>
      <c r="F31" s="14"/>
      <c r="G31" s="14"/>
      <c r="H31" s="14"/>
      <c r="AB31" s="0" t="n">
        <f aca="false">IFERROR(IF(AND(C4="是", B24&gt;0, AA24&gt;=AA2, AA23&lt;=AA2, AA22&lt;AA2), ROUND(B24 * (AA24-AA2) / (AA24-AA23+1), 0), 0), 0)</f>
        <v>0</v>
      </c>
    </row>
    <row r="32" customFormat="false" ht="31.5" hidden="false" customHeight="true" outlineLevel="0" collapsed="false"/>
    <row r="33" customFormat="false" ht="31.5" hidden="false" customHeight="true" outlineLevel="0" collapsed="false">
      <c r="A33" s="9" t="s">
        <v>53</v>
      </c>
      <c r="B33" s="9"/>
      <c r="C33" s="9"/>
      <c r="D33" s="9"/>
      <c r="E33" s="9"/>
      <c r="F33" s="9"/>
      <c r="G33" s="9"/>
      <c r="H33" s="9"/>
    </row>
    <row r="34" customFormat="false" ht="31.5" hidden="false" customHeight="true" outlineLevel="0" collapsed="false">
      <c r="A34" s="11" t="s">
        <v>32</v>
      </c>
      <c r="B34" s="11"/>
      <c r="C34" s="11"/>
      <c r="D34" s="11" t="s">
        <v>54</v>
      </c>
      <c r="E34" s="11" t="s">
        <v>55</v>
      </c>
      <c r="F34" s="11" t="s">
        <v>56</v>
      </c>
      <c r="G34" s="11"/>
      <c r="H34" s="11"/>
    </row>
    <row r="35" customFormat="false" ht="31.5" hidden="false" customHeight="true" outlineLevel="0" collapsed="false">
      <c r="A35" s="5" t="s">
        <v>57</v>
      </c>
      <c r="B35" s="5"/>
      <c r="C35" s="5"/>
      <c r="D35" s="32" t="n">
        <f aca="false">IF(AB8="賣方", E19, 0)</f>
        <v>115</v>
      </c>
      <c r="E35" s="33" t="n">
        <f aca="false">IF(AB8="買方", E19, 0)</f>
        <v>0</v>
      </c>
      <c r="F35" s="34" t="str">
        <f aca="false">IF(OR(D35&gt;0,E35&gt;0), "找補 " &amp; IF(D35&gt;0, "買方持有 " &amp; AB11, "賣方持有 " &amp; AB10) &amp; IF(AA5," 個月", " 天") &amp; "稅額。" &amp; CHAR(10) &amp; "【計算】" &amp; TEXT(D19,"#,##0") &amp; " * (" &amp; IF(D35&gt;0, AB11, AB10) &amp; " / " &amp; AB3 &amp; ") = " &amp; TEXT(E19,"#,##0"), "無需找補")</f>
        <v>找補 買方持有 84 天稅額。
【計算】500 * (84 / 365) = 115</v>
      </c>
      <c r="G35" s="34"/>
      <c r="H35" s="34"/>
    </row>
    <row r="36" customFormat="false" ht="31.5" hidden="false" customHeight="true" outlineLevel="0" collapsed="false">
      <c r="A36" s="5" t="s">
        <v>58</v>
      </c>
      <c r="B36" s="5"/>
      <c r="C36" s="5"/>
      <c r="D36" s="32" t="n">
        <f aca="false">IF(AB9="賣方", E20, 0)</f>
        <v>0</v>
      </c>
      <c r="E36" s="33" t="n">
        <f aca="false">IF(AB9="買方", E20, 0)</f>
        <v>273973</v>
      </c>
      <c r="F36" s="34" t="str">
        <f aca="false">IF(OR(D36&gt;0,E36&gt;0), "找補 " &amp; IF(D36&gt;0, "買方持有 " &amp; AB13, "賣方持有 " &amp; AB12) &amp; IF(AA5," 個月", " 天") &amp; "稅額。" &amp; CHAR(10) &amp; "【計算】" &amp; TEXT(D20,"#,##0") &amp; " * (" &amp; IF(D36&gt;0, AB13, AB12) &amp; " / " &amp; AB6 &amp; ") = " &amp; TEXT(E20,"#,##0"), "無需找補")</f>
        <v>找補 賣方持有 100 天稅額。
【計算】1,000,000 * (100 / 365) = 273,973</v>
      </c>
      <c r="G36" s="34"/>
      <c r="H36" s="34"/>
    </row>
    <row r="37" customFormat="false" ht="31.5" hidden="false" customHeight="true" outlineLevel="0" collapsed="false">
      <c r="A37" s="5" t="s">
        <v>59</v>
      </c>
      <c r="B37" s="5"/>
      <c r="C37" s="5"/>
      <c r="D37" s="32" t="n">
        <f aca="false">AB21</f>
        <v>742</v>
      </c>
      <c r="E37" s="33" t="n">
        <f aca="false">AB24</f>
        <v>0</v>
      </c>
      <c r="F37" s="34" t="str">
        <f aca="false">IF(D37&gt;0, "買方補貼賣方預繳 ( " &amp; TEXT(AA20-AA2+AA4, "#,##0") &amp; " 天)。" &amp; CHAR(10) &amp; "【計算】" &amp; TEXT(B22, "#,##0") &amp; " * (" &amp; (AA20-AA2+AA4) &amp; " / " &amp; DAY(EOMONTH(AA2,0)) &amp; ") = " &amp; TEXT(D37, "#,##0"), IF(E37&gt;0, "賣方補足費用 (" &amp; TEXT(AA2-AA20, "#,##0") &amp; " 天)。" &amp; CHAR(10) &amp; "【計算】" &amp; TEXT(B22, "#,##0") &amp; " * (" &amp; (AA2-AA20) &amp; " / " &amp; DAY(EOMONTH(AA20,0)) &amp; ") = " &amp; TEXT(E37, "#,##0"), "無需找補"))</f>
        <v>買方補貼賣方預繳 ( 23 天)。
【計算】1,000 * (23 / 31) = 742</v>
      </c>
      <c r="G37" s="34"/>
      <c r="H37" s="34"/>
    </row>
    <row r="38" customFormat="false" ht="31.5" hidden="false" customHeight="true" outlineLevel="0" collapsed="false">
      <c r="A38" s="5" t="s">
        <v>60</v>
      </c>
      <c r="B38" s="5"/>
      <c r="C38" s="5"/>
      <c r="D38" s="32" t="n">
        <f aca="false">AB22</f>
        <v>742</v>
      </c>
      <c r="E38" s="33" t="n">
        <f aca="false">AB25</f>
        <v>0</v>
      </c>
      <c r="F38" s="34" t="str">
        <f aca="false">IF(D38&gt;0, "買方補貼賣方預繳 ( " &amp; TEXT(AA21-AA2+AA4, "#,##0") &amp; " 天)。" &amp; CHAR(10) &amp; "【計算】" &amp; TEXT(B23, "#,##0") &amp; " * (" &amp; (AA21-AA2+AA4) &amp; " / " &amp; DAY(EOMONTH(AA2,0)) &amp; ") = " &amp; TEXT(D38, "#,##0"), IF(E38&gt;0, "賣方補足費用 (" &amp; TEXT(AA2-AA21, "#,##0") &amp; " 天)。" &amp; CHAR(10) &amp; "【計算】" &amp; TEXT(B23, "#,##0") &amp; " * (" &amp; (AA2-AA21) &amp; " / " &amp; DAY(EOMONTH(AA21,0)) &amp; ") = " &amp; TEXT(E38, "#,##0"), "無需找補"))</f>
        <v>買方補貼賣方預繳 ( 23 天)。
【計算】1,000 * (23 / 31) = 742</v>
      </c>
      <c r="G38" s="34"/>
      <c r="H38" s="34"/>
    </row>
    <row r="39" customFormat="false" ht="31.5" hidden="false" customHeight="true" outlineLevel="0" collapsed="false">
      <c r="A39" s="5" t="s">
        <v>61</v>
      </c>
      <c r="B39" s="5"/>
      <c r="C39" s="5"/>
      <c r="D39" s="32" t="n">
        <f aca="false">AB30</f>
        <v>0</v>
      </c>
      <c r="E39" s="33" t="n">
        <f aca="false">AB31</f>
        <v>0</v>
      </c>
      <c r="F39" s="34" t="str">
        <f aca="false">IF(D39&gt;0, "買方返還賣方 " &amp; (AA2-AA23+1) &amp; " 天租金。" &amp; CHAR(10) &amp; "【計算】" &amp; TEXT(B24,"#,##0") &amp; " * (" &amp; (AA2-AA23+1) &amp; " / " &amp; (AA24-AA23+1) &amp; ") = " &amp; TEXT(D39,"#,##0"), IF(E39&gt;0, "賣方返還買方 " &amp; (AA24-AA2) &amp; " 天租金。" &amp; CHAR(10) &amp; "【計算】" &amp; TEXT(B24,"#,##0") &amp; " * (" &amp; (AA24-AA2) &amp; " / " &amp; (AA24-AA23+1) &amp; ") = " &amp; TEXT(E39,"#,##0"), "無需找補"))</f>
        <v>無需找補</v>
      </c>
      <c r="G39" s="34"/>
      <c r="H39" s="34"/>
    </row>
    <row r="40" customFormat="false" ht="31.5" hidden="false" customHeight="true" outlineLevel="0" collapsed="false">
      <c r="A40" s="5" t="s">
        <v>62</v>
      </c>
      <c r="B40" s="5"/>
      <c r="C40" s="5"/>
      <c r="D40" s="32" t="n">
        <f aca="false">SUM(B28:B30)</f>
        <v>0</v>
      </c>
      <c r="E40" s="33" t="n">
        <f aca="false">0</f>
        <v>0</v>
      </c>
      <c r="F40" s="34" t="s">
        <v>63</v>
      </c>
      <c r="G40" s="34"/>
      <c r="H40" s="34"/>
    </row>
    <row r="41" customFormat="false" ht="54.75" hidden="false" customHeight="true" outlineLevel="0" collapsed="false">
      <c r="A41" s="5" t="s">
        <v>64</v>
      </c>
      <c r="B41" s="5"/>
      <c r="C41" s="5"/>
      <c r="D41" s="32" t="n">
        <f aca="false">0</f>
        <v>0</v>
      </c>
      <c r="E41" s="33" t="n">
        <f aca="false">B31</f>
        <v>0</v>
      </c>
      <c r="F41" s="34" t="s">
        <v>65</v>
      </c>
      <c r="G41" s="34"/>
      <c r="H41" s="34"/>
    </row>
    <row r="42" customFormat="false" ht="31.5" hidden="false" customHeight="true" outlineLevel="0" collapsed="false">
      <c r="A42" s="5" t="s">
        <v>66</v>
      </c>
      <c r="B42" s="5"/>
      <c r="C42" s="5"/>
      <c r="D42" s="32" t="n">
        <f aca="false">SUM(D35:D41)</f>
        <v>1599</v>
      </c>
      <c r="E42" s="33" t="n">
        <f aca="false">SUM(E35:E41)</f>
        <v>273973</v>
      </c>
      <c r="F42" s="13"/>
      <c r="G42" s="13"/>
      <c r="H42" s="13"/>
    </row>
    <row r="43" customFormat="false" ht="31.5" hidden="false" customHeight="true" outlineLevel="0" collapsed="false">
      <c r="A43" s="35" t="s">
        <v>67</v>
      </c>
      <c r="B43" s="35"/>
      <c r="C43" s="36" t="str">
        <f aca="false">IF(D42&gt;E42, "【買方】應支付給【賣方】 NT$ " &amp; TEXT(D42-E42, "#,##0"), IF(E42&gt;D42, "【賣方】應支付給【買方】 NT$ " &amp; TEXT(E42-D42, "#,##0"), "雙方無需找補"))</f>
        <v>【賣方】應支付給【買方】 NT$ 272,374</v>
      </c>
      <c r="D43" s="36"/>
      <c r="E43" s="36"/>
      <c r="F43" s="36"/>
      <c r="G43" s="36"/>
      <c r="H43" s="36"/>
    </row>
    <row r="44" customFormat="false" ht="31.5" hidden="false" customHeight="true" outlineLevel="0" collapsed="false">
      <c r="A44" s="35"/>
      <c r="B44" s="35"/>
      <c r="C44" s="36"/>
      <c r="D44" s="36"/>
      <c r="E44" s="36"/>
      <c r="F44" s="36"/>
      <c r="G44" s="36"/>
      <c r="H44" s="36"/>
    </row>
    <row r="45" customFormat="false" ht="31.5" hidden="false" customHeight="true" outlineLevel="0" collapsed="false"/>
    <row r="46" customFormat="false" ht="31.5" hidden="false" customHeight="true" outlineLevel="0" collapsed="false">
      <c r="A46" s="37" t="s">
        <v>68</v>
      </c>
      <c r="B46" s="37"/>
      <c r="C46" s="37"/>
      <c r="D46" s="37"/>
      <c r="E46" s="37"/>
      <c r="F46" s="37"/>
      <c r="G46" s="37"/>
      <c r="H46" s="37"/>
    </row>
    <row r="47" customFormat="false" ht="31.5" hidden="false" customHeight="true" outlineLevel="0" collapsed="false"/>
    <row r="48" customFormat="false" ht="31.5" hidden="false" customHeight="true" outlineLevel="0" collapsed="false"/>
    <row r="49" customFormat="false" ht="31.5" hidden="false" customHeight="true" outlineLevel="0" collapsed="false"/>
  </sheetData>
  <mergeCells count="50">
    <mergeCell ref="A1:H1"/>
    <mergeCell ref="A2:B2"/>
    <mergeCell ref="D2:E2"/>
    <mergeCell ref="F2:H4"/>
    <mergeCell ref="A3:B3"/>
    <mergeCell ref="D3:E3"/>
    <mergeCell ref="A4:B4"/>
    <mergeCell ref="D4:E4"/>
    <mergeCell ref="A5:H5"/>
    <mergeCell ref="A10:B10"/>
    <mergeCell ref="D10:H10"/>
    <mergeCell ref="A12:B12"/>
    <mergeCell ref="A13:B13"/>
    <mergeCell ref="D13:E13"/>
    <mergeCell ref="A14:H14"/>
    <mergeCell ref="A15:B15"/>
    <mergeCell ref="A16:B16"/>
    <mergeCell ref="A17:H17"/>
    <mergeCell ref="E18:G18"/>
    <mergeCell ref="E19:G19"/>
    <mergeCell ref="E20:G20"/>
    <mergeCell ref="A21:H21"/>
    <mergeCell ref="D22:E22"/>
    <mergeCell ref="G22:H22"/>
    <mergeCell ref="D23:E23"/>
    <mergeCell ref="G23:H23"/>
    <mergeCell ref="C25:H25"/>
    <mergeCell ref="C26:H26"/>
    <mergeCell ref="C27:H27"/>
    <mergeCell ref="A33:H33"/>
    <mergeCell ref="A34:C34"/>
    <mergeCell ref="F34:H34"/>
    <mergeCell ref="A35:C35"/>
    <mergeCell ref="F35:H35"/>
    <mergeCell ref="A36:C36"/>
    <mergeCell ref="F36:H36"/>
    <mergeCell ref="A37:C37"/>
    <mergeCell ref="F37:H37"/>
    <mergeCell ref="A38:C38"/>
    <mergeCell ref="F38:H38"/>
    <mergeCell ref="A39:C39"/>
    <mergeCell ref="F39:H39"/>
    <mergeCell ref="A40:C40"/>
    <mergeCell ref="F40:H40"/>
    <mergeCell ref="A41:C41"/>
    <mergeCell ref="F41:H41"/>
    <mergeCell ref="A42:C42"/>
    <mergeCell ref="A43:B44"/>
    <mergeCell ref="C43:H44"/>
    <mergeCell ref="A46:H46"/>
  </mergeCells>
  <dataValidations count="4">
    <dataValidation allowBlank="false" errorStyle="stop" operator="between" showDropDown="false" showErrorMessage="false" showInputMessage="false" sqref="C4" type="list">
      <formula1>"是,否"</formula1>
      <formula2>0</formula2>
    </dataValidation>
    <dataValidation allowBlank="false" errorStyle="stop" operator="between" showDropDown="false" showErrorMessage="false" showInputMessage="false" sqref="F7:F9" type="list">
      <formula1>"自用住宅 (2‰),一般用地 (10‰)"</formula1>
      <formula2>0</formula2>
    </dataValidation>
    <dataValidation allowBlank="false" errorStyle="stop" operator="between" showDropDown="false" showErrorMessage="false" showInputMessage="false" sqref="C13" type="list">
      <formula1>稅率表!$A$2:$A$15</formula1>
      <formula2>0</formula2>
    </dataValidation>
    <dataValidation allowBlank="false" error="【房屋點交日期】(C3) 必須晚於或等於【權狀登記日期】(C2)。" errorStyle="stop" errorTitle="日期輸入錯誤" operator="between" showDropDown="false" showErrorMessage="false" showInputMessage="false" sqref="C3" type="custom">
      <formula1>VALUE(C3)&gt;=VALUE(C2)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7734375" defaultRowHeight="15" zeroHeight="false" outlineLevelRow="0" outlineLevelCol="0"/>
  <cols>
    <col collapsed="false" customWidth="true" hidden="false" outlineLevel="0" max="1" min="1" style="0" width="45.49"/>
    <col collapsed="false" customWidth="true" hidden="false" outlineLevel="0" max="2" min="2" style="0" width="13.65"/>
  </cols>
  <sheetData>
    <row r="1" customFormat="false" ht="15" hidden="false" customHeight="false" outlineLevel="0" collapsed="false">
      <c r="A1" s="38" t="s">
        <v>69</v>
      </c>
      <c r="B1" s="38" t="s">
        <v>70</v>
      </c>
    </row>
    <row r="2" customFormat="false" ht="15" hidden="false" customHeight="false" outlineLevel="0" collapsed="false">
      <c r="A2" s="0" t="s">
        <v>71</v>
      </c>
      <c r="B2" s="39" t="n">
        <v>0.01</v>
      </c>
    </row>
    <row r="3" customFormat="false" ht="15" hidden="false" customHeight="false" outlineLevel="0" collapsed="false">
      <c r="A3" s="0" t="s">
        <v>27</v>
      </c>
      <c r="B3" s="39" t="n">
        <v>0.012</v>
      </c>
    </row>
    <row r="4" customFormat="false" ht="15" hidden="false" customHeight="false" outlineLevel="0" collapsed="false">
      <c r="A4" s="0" t="s">
        <v>72</v>
      </c>
      <c r="B4" s="39" t="n">
        <v>0.012</v>
      </c>
    </row>
    <row r="5" customFormat="false" ht="15" hidden="false" customHeight="false" outlineLevel="0" collapsed="false">
      <c r="A5" s="0" t="s">
        <v>73</v>
      </c>
      <c r="B5" s="39" t="n">
        <v>0.015</v>
      </c>
    </row>
    <row r="6" customFormat="false" ht="15" hidden="false" customHeight="false" outlineLevel="0" collapsed="false">
      <c r="A6" s="0" t="s">
        <v>74</v>
      </c>
      <c r="B6" s="39" t="n">
        <v>0.02</v>
      </c>
    </row>
    <row r="7" customFormat="false" ht="15" hidden="false" customHeight="false" outlineLevel="0" collapsed="false">
      <c r="A7" s="0" t="s">
        <v>75</v>
      </c>
      <c r="B7" s="39" t="n">
        <v>0.024</v>
      </c>
    </row>
    <row r="8" customFormat="false" ht="15" hidden="false" customHeight="false" outlineLevel="0" collapsed="false">
      <c r="A8" s="0" t="s">
        <v>76</v>
      </c>
      <c r="B8" s="39" t="n">
        <v>0.032</v>
      </c>
    </row>
    <row r="9" customFormat="false" ht="15" hidden="false" customHeight="false" outlineLevel="0" collapsed="false">
      <c r="A9" s="0" t="s">
        <v>77</v>
      </c>
      <c r="B9" s="39" t="n">
        <v>0.038</v>
      </c>
    </row>
    <row r="10" customFormat="false" ht="15" hidden="false" customHeight="false" outlineLevel="0" collapsed="false">
      <c r="A10" s="0" t="s">
        <v>78</v>
      </c>
      <c r="B10" s="39" t="n">
        <v>0.042</v>
      </c>
    </row>
    <row r="11" customFormat="false" ht="15" hidden="false" customHeight="false" outlineLevel="0" collapsed="false">
      <c r="A11" s="0" t="s">
        <v>79</v>
      </c>
      <c r="B11" s="39" t="n">
        <v>0.048</v>
      </c>
    </row>
    <row r="12" customFormat="false" ht="15" hidden="false" customHeight="false" outlineLevel="0" collapsed="false">
      <c r="A12" s="0" t="s">
        <v>80</v>
      </c>
      <c r="B12" s="39" t="n">
        <v>0.03</v>
      </c>
    </row>
    <row r="13" customFormat="false" ht="15" hidden="false" customHeight="false" outlineLevel="0" collapsed="false">
      <c r="A13" s="0" t="s">
        <v>81</v>
      </c>
      <c r="B13" s="39" t="n">
        <v>0.03</v>
      </c>
    </row>
    <row r="14" customFormat="false" ht="15" hidden="false" customHeight="false" outlineLevel="0" collapsed="false">
      <c r="A14" s="0" t="s">
        <v>82</v>
      </c>
      <c r="B14" s="39" t="n">
        <v>0.02</v>
      </c>
    </row>
    <row r="15" customFormat="false" ht="15" hidden="false" customHeight="false" outlineLevel="0" collapsed="false">
      <c r="B15" s="3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2025-10-15T14:04:01Z</dcterms:created>
  <dc:creator>陳定康</dc:creator>
  <dc:description>此工具用於精確計算不動產買賣過程中，買賣雙方應分攤之地價稅、房屋稅及其他相關費用。</dc:description>
  <dc:language>zh-TW</dc:language>
  <cp:lastModifiedBy/>
  <dcterms:modified xsi:type="dcterms:W3CDTF">2025-10-15T22:05:28Z</dcterms:modified>
  <cp:revision>1</cp:revision>
  <dc:subject/>
  <dc:title>不動產買賣稅費分算計算機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