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專業稅費分算計算機" sheetId="1" state="visible" r:id="rId2"/>
    <sheet name="稅率表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請輸入民國年日期。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1141001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B3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請輸入民國年日期。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31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1141031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B4" authorId="0">
      <text>
        <r>
          <rPr>
            <sz val="11"/>
            <color rgb="FF000000"/>
            <rFont val="Noto Sans TC"/>
            <family val="2"/>
            <charset val="136"/>
          </rPr>
          <t xml:space="preserve">此選項將影響交屋當日費用歸屬：
● 否 </t>
        </r>
        <r>
          <rPr>
            <sz val="11"/>
            <color rgb="FF000000"/>
            <rFont val="Calibri"/>
            <family val="2"/>
            <charset val="1"/>
          </rPr>
          <t xml:space="preserve">(</t>
        </r>
        <r>
          <rPr>
            <sz val="11"/>
            <color rgb="FF000000"/>
            <rFont val="Noto Sans TC"/>
            <family val="2"/>
            <charset val="136"/>
          </rPr>
          <t xml:space="preserve">預設</t>
        </r>
        <r>
          <rPr>
            <sz val="11"/>
            <color rgb="FF000000"/>
            <rFont val="Calibri"/>
            <family val="2"/>
            <charset val="1"/>
          </rPr>
          <t xml:space="preserve">)</t>
        </r>
        <r>
          <rPr>
            <sz val="11"/>
            <color rgb="FF000000"/>
            <rFont val="Noto Sans TC"/>
            <family val="2"/>
            <charset val="136"/>
          </rPr>
          <t xml:space="preserve">：交屋日歸【賣方】負責。
● 是：交屋日歸【買方】負責。</t>
        </r>
      </text>
    </comment>
    <comment ref="B9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請輸入房屋評定現值總額。
可使用減法格式輸入：
</t>
        </r>
        <r>
          <rPr>
            <sz val="11"/>
            <color rgb="FF000000"/>
            <rFont val="Calibri"/>
            <family val="2"/>
            <charset val="1"/>
          </rPr>
          <t xml:space="preserve">[</t>
        </r>
        <r>
          <rPr>
            <sz val="11"/>
            <color rgb="FF000000"/>
            <rFont val="Noto Sans TC"/>
            <family val="2"/>
            <charset val="136"/>
          </rPr>
          <t xml:space="preserve">總現值</t>
        </r>
        <r>
          <rPr>
            <sz val="11"/>
            <color rgb="FF000000"/>
            <rFont val="Calibri"/>
            <family val="2"/>
            <charset val="1"/>
          </rPr>
          <t xml:space="preserve">]-[</t>
        </r>
        <r>
          <rPr>
            <sz val="11"/>
            <color rgb="FF000000"/>
            <rFont val="Noto Sans TC"/>
            <family val="2"/>
            <charset val="136"/>
          </rPr>
          <t xml:space="preserve">免稅現值</t>
        </r>
        <r>
          <rPr>
            <sz val="11"/>
            <color rgb="FF000000"/>
            <rFont val="Calibri"/>
            <family val="2"/>
            <charset val="1"/>
          </rPr>
          <t xml:space="preserve">]</t>
        </r>
      </text>
    </comment>
    <comment ref="B12" authorId="0">
      <text>
        <r>
          <rPr>
            <sz val="11"/>
            <color rgb="FF000000"/>
            <rFont val="Noto Sans TC"/>
            <family val="2"/>
            <charset val="136"/>
          </rPr>
          <t xml:space="preserve">若您已知曉年度總稅額，可直接填寫於此。
系統將【優先採用此處稅額】，並忽略上方「模式一」的詳細資料。</t>
        </r>
      </text>
    </comment>
    <comment ref="B13" authorId="0">
      <text>
        <r>
          <rPr>
            <sz val="11"/>
            <color rgb="FF000000"/>
            <rFont val="Noto Sans TC"/>
            <family val="2"/>
            <charset val="136"/>
          </rPr>
          <t xml:space="preserve">若您已知曉年度總稅額，可直接填寫於此。
系統將【優先採用此處稅額】，並忽略上方「模式一」的詳細資料。</t>
        </r>
      </text>
    </comment>
    <comment ref="B23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請輸入費用已預繳之「截止日期」。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範例：預繳至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31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1141031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B24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請輸入費用已預繳之「截止日期」。
格式為 </t>
        </r>
        <r>
          <rPr>
            <sz val="11"/>
            <color rgb="FF000000"/>
            <rFont val="Calibri"/>
            <family val="2"/>
            <charset val="1"/>
          </rPr>
          <t xml:space="preserve">YYYMMDD </t>
        </r>
        <r>
          <rPr>
            <sz val="11"/>
            <color rgb="FF000000"/>
            <rFont val="Noto Sans TC"/>
            <family val="2"/>
            <charset val="136"/>
          </rPr>
          <t xml:space="preserve">或 </t>
        </r>
        <r>
          <rPr>
            <sz val="11"/>
            <color rgb="FF000000"/>
            <rFont val="Calibri"/>
            <family val="2"/>
            <charset val="1"/>
          </rPr>
          <t xml:space="preserve">YYMMDD</t>
        </r>
        <r>
          <rPr>
            <sz val="11"/>
            <color rgb="FF000000"/>
            <rFont val="Noto Sans TC"/>
            <family val="2"/>
            <charset val="136"/>
          </rPr>
          <t xml:space="preserve">。
範例：預繳至</t>
        </r>
        <r>
          <rPr>
            <sz val="11"/>
            <color rgb="FF000000"/>
            <rFont val="Calibri"/>
            <family val="2"/>
            <charset val="1"/>
          </rPr>
          <t xml:space="preserve">114</t>
        </r>
        <r>
          <rPr>
            <sz val="11"/>
            <color rgb="FF000000"/>
            <rFont val="Noto Sans TC"/>
            <family val="2"/>
            <charset val="136"/>
          </rPr>
          <t xml:space="preserve">年</t>
        </r>
        <r>
          <rPr>
            <sz val="11"/>
            <color rgb="FF000000"/>
            <rFont val="Calibri"/>
            <family val="2"/>
            <charset val="1"/>
          </rPr>
          <t xml:space="preserve">10</t>
        </r>
        <r>
          <rPr>
            <sz val="11"/>
            <color rgb="FF000000"/>
            <rFont val="Noto Sans TC"/>
            <family val="2"/>
            <charset val="136"/>
          </rPr>
          <t xml:space="preserve">月</t>
        </r>
        <r>
          <rPr>
            <sz val="11"/>
            <color rgb="FF000000"/>
            <rFont val="Calibri"/>
            <family val="2"/>
            <charset val="1"/>
          </rPr>
          <t xml:space="preserve">31</t>
        </r>
        <r>
          <rPr>
            <sz val="11"/>
            <color rgb="FF000000"/>
            <rFont val="Noto Sans TC"/>
            <family val="2"/>
            <charset val="136"/>
          </rPr>
          <t xml:space="preserve">日，請輸入 </t>
        </r>
        <r>
          <rPr>
            <sz val="11"/>
            <color rgb="FF000000"/>
            <rFont val="Calibri"/>
            <family val="2"/>
            <charset val="1"/>
          </rPr>
          <t xml:space="preserve">1141031</t>
        </r>
        <r>
          <rPr>
            <sz val="11"/>
            <color rgb="FF000000"/>
            <rFont val="Noto Sans TC"/>
            <family val="2"/>
            <charset val="136"/>
          </rPr>
          <t xml:space="preserve">。</t>
        </r>
      </text>
    </comment>
    <comment ref="C7" authorId="0">
      <text>
        <r>
          <rPr>
            <sz val="11"/>
            <color rgb="FF000000"/>
            <rFont val="Noto Sans TC"/>
            <family val="2"/>
            <charset val="136"/>
          </rPr>
          <t xml:space="preserve">請輸入分數，例如：</t>
        </r>
        <r>
          <rPr>
            <sz val="11"/>
            <color rgb="FF000000"/>
            <rFont val="Calibri"/>
            <family val="2"/>
            <charset val="1"/>
          </rPr>
          <t xml:space="preserve">1/4</t>
        </r>
        <r>
          <rPr>
            <sz val="11"/>
            <color rgb="FF000000"/>
            <rFont val="Noto Sans TC"/>
            <family val="2"/>
            <charset val="136"/>
          </rPr>
          <t xml:space="preserve">。
若此欄位與左側百分比欄位皆有數值，將【優先採用此分數幾分之幾】進行計算。</t>
        </r>
      </text>
    </comment>
  </commentList>
</comments>
</file>

<file path=xl/sharedStrings.xml><?xml version="1.0" encoding="utf-8"?>
<sst xmlns="http://schemas.openxmlformats.org/spreadsheetml/2006/main" count="72" uniqueCount="69">
  <si>
    <t xml:space="preserve">不動產買賣稅費分算計算機</t>
  </si>
  <si>
    <t xml:space="preserve">權狀登記(過戶)日期</t>
  </si>
  <si>
    <t xml:space="preserve">房屋點交(交屋)日期</t>
  </si>
  <si>
    <t xml:space="preserve">是否帶租約交屋</t>
  </si>
  <si>
    <t xml:space="preserve">否</t>
  </si>
  <si>
    <t xml:space="preserve">模式一：詳細資料輸入</t>
  </si>
  <si>
    <t xml:space="preserve">申報地價 (元/m²)</t>
  </si>
  <si>
    <t xml:space="preserve">土地面積 (m²)</t>
  </si>
  <si>
    <t xml:space="preserve">權利範圍 (% 或 分數)</t>
  </si>
  <si>
    <t xml:space="preserve">一般用地 (千分之十)</t>
  </si>
  <si>
    <t xml:space="preserve">地價稅率</t>
  </si>
  <si>
    <t xml:space="preserve">13272200-277300</t>
  </si>
  <si>
    <t xml:space="preserve">房屋現值 (元)</t>
  </si>
  <si>
    <t xml:space="preserve">自住用-全國3戶內</t>
  </si>
  <si>
    <t xml:space="preserve">房屋使用情境</t>
  </si>
  <si>
    <t xml:space="preserve">模式二：快速稅額輸入</t>
  </si>
  <si>
    <t xml:space="preserve">年度應納地價稅 (快速)</t>
  </si>
  <si>
    <t xml:space="preserve">若填寫此區藍色欄位，將優先採用此處稅額進行計算。</t>
  </si>
  <si>
    <t xml:space="preserve">年度應納房屋稅 (快速)</t>
  </si>
  <si>
    <t xml:space="preserve">（二）核心稅費計算</t>
  </si>
  <si>
    <t xml:space="preserve">項目</t>
  </si>
  <si>
    <t xml:space="preserve">賣方持有期間</t>
  </si>
  <si>
    <t xml:space="preserve">買方持有期間</t>
  </si>
  <si>
    <t xml:space="preserve">年度總稅額</t>
  </si>
  <si>
    <t xml:space="preserve">找補金額</t>
  </si>
  <si>
    <t xml:space="preserve">備註 (計算過程 &amp; 稅務規則)</t>
  </si>
  <si>
    <t xml:space="preserve">地價稅</t>
  </si>
  <si>
    <t xml:space="preserve">房屋稅</t>
  </si>
  <si>
    <t xml:space="preserve">（三）其他費用分算</t>
  </si>
  <si>
    <t xml:space="preserve">管理費(月)</t>
  </si>
  <si>
    <t xml:space="preserve">請填寫月繳金額，若無則填 0。
找補金額將依交屋日與費用預繳截止日，按當月天數比例分算。</t>
  </si>
  <si>
    <t xml:space="preserve">車位費(月)</t>
  </si>
  <si>
    <t xml:space="preserve">押金/保證金</t>
  </si>
  <si>
    <t xml:space="preserve">此金額將作為「賣方應付給買方」的款項</t>
  </si>
  <si>
    <t xml:space="preserve">管理費已預繳至</t>
  </si>
  <si>
    <t xml:space="preserve">車位費已預繳至</t>
  </si>
  <si>
    <t xml:space="preserve">其他費用找補金額 (管理費、清潔費)</t>
  </si>
  <si>
    <t xml:space="preserve">（四）最終結算</t>
  </si>
  <si>
    <t xml:space="preserve">買方應付給賣方</t>
  </si>
  <si>
    <t xml:space="preserve">賣方應付給買方</t>
  </si>
  <si>
    <t xml:space="preserve">說明</t>
  </si>
  <si>
    <t xml:space="preserve">地價稅找補</t>
  </si>
  <si>
    <t xml:space="preserve">依持有天數比例分算</t>
  </si>
  <si>
    <t xml:space="preserve">房屋稅找補</t>
  </si>
  <si>
    <t xml:space="preserve">管理費找補</t>
  </si>
  <si>
    <t xml:space="preserve">車位清潔費找補</t>
  </si>
  <si>
    <t xml:space="preserve">押金/保證金轉交</t>
  </si>
  <si>
    <t xml:space="preserve">賣方將原持有之押金轉交給新屋主(買方)</t>
  </si>
  <si>
    <t xml:space="preserve">款項小計</t>
  </si>
  <si>
    <t xml:space="preserve">最終結算結果</t>
  </si>
  <si>
    <t xml:space="preserve">本計算機由 陳定康 設計</t>
  </si>
  <si>
    <t xml:space="preserve">房屋使用情境選項</t>
  </si>
  <si>
    <t xml:space="preserve">對應稅率</t>
  </si>
  <si>
    <t xml:space="preserve">地價稅率選項</t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</si>
  <si>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全國單一自住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現值一定金額下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</si>
  <si>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TC"/>
        <family val="2"/>
        <charset val="136"/>
      </rPr>
      <t xml:space="preserve">自用住宅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千分之二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</si>
  <si>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TC"/>
        <family val="2"/>
        <charset val="136"/>
      </rPr>
      <t xml:space="preserve">自住用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全國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Noto Sans TC"/>
        <family val="2"/>
        <charset val="136"/>
      </rPr>
      <t xml:space="preserve">戶內</t>
    </r>
  </si>
  <si>
    <r>
      <rPr>
        <sz val="11"/>
        <color rgb="FF000000"/>
        <rFont val="Noto Sans TC"/>
        <family val="2"/>
        <charset val="136"/>
      </rPr>
      <t xml:space="preserve">一般用地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千分之十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</si>
  <si>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TC"/>
        <family val="2"/>
        <charset val="136"/>
      </rPr>
      <t xml:space="preserve">公益出租人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社會住宅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</si>
  <si>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Noto Sans TC"/>
        <family val="2"/>
        <charset val="136"/>
      </rPr>
      <t xml:space="preserve">戶內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</si>
  <si>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</si>
  <si>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出租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達租金標準</t>
    </r>
    <r>
      <rPr>
        <sz val="11"/>
        <color rgb="FF000000"/>
        <rFont val="Calibri"/>
        <family val="2"/>
        <charset val="1"/>
      </rPr>
      <t xml:space="preserve">)/</t>
    </r>
    <r>
      <rPr>
        <sz val="11"/>
        <color rgb="FF000000"/>
        <rFont val="Noto Sans TC"/>
        <family val="2"/>
        <charset val="136"/>
      </rPr>
      <t xml:space="preserve">繼承共有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</si>
  <si>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-2</t>
    </r>
    <r>
      <rPr>
        <sz val="11"/>
        <color rgb="FF000000"/>
        <rFont val="Noto Sans TC"/>
        <family val="2"/>
        <charset val="136"/>
      </rPr>
      <t xml:space="preserve">戶內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</si>
  <si>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-3~4</t>
    </r>
    <r>
      <rPr>
        <sz val="11"/>
        <color rgb="FF000000"/>
        <rFont val="Noto Sans TC"/>
        <family val="2"/>
        <charset val="136"/>
      </rPr>
      <t xml:space="preserve">戶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</si>
  <si>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-5~6</t>
    </r>
    <r>
      <rPr>
        <sz val="11"/>
        <color rgb="FF000000"/>
        <rFont val="Noto Sans TC"/>
        <family val="2"/>
        <charset val="136"/>
      </rPr>
      <t xml:space="preserve">戶</t>
    </r>
  </si>
  <si>
    <r>
      <rPr>
        <sz val="11"/>
        <color rgb="FF000000"/>
        <rFont val="Noto Sans TC"/>
        <family val="2"/>
        <charset val="136"/>
      </rPr>
      <t xml:space="preserve">非自住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TC"/>
        <family val="2"/>
        <charset val="136"/>
      </rPr>
      <t xml:space="preserve">其他住家用</t>
    </r>
    <r>
      <rPr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Noto Sans TC"/>
        <family val="2"/>
        <charset val="136"/>
      </rPr>
      <t xml:space="preserve">戶以上</t>
    </r>
  </si>
  <si>
    <t xml:space="preserve">營業用</t>
  </si>
  <si>
    <r>
      <rPr>
        <sz val="11"/>
        <color rgb="FF000000"/>
        <rFont val="Noto Sans TC"/>
        <family val="2"/>
        <charset val="136"/>
      </rPr>
      <t xml:space="preserve">私人醫院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診所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Noto Sans TC"/>
        <family val="2"/>
        <charset val="136"/>
      </rPr>
      <t xml:space="preserve">事務所用</t>
    </r>
  </si>
  <si>
    <r>
      <rPr>
        <sz val="11"/>
        <color rgb="FF000000"/>
        <rFont val="Noto Sans TC"/>
        <family val="2"/>
        <charset val="136"/>
      </rPr>
      <t xml:space="preserve">非住家非營業用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TC"/>
        <family val="2"/>
        <charset val="136"/>
      </rPr>
      <t xml:space="preserve">人民團體等</t>
    </r>
    <r>
      <rPr>
        <sz val="11"/>
        <color rgb="FF000000"/>
        <rFont val="Calibri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</si>
</sst>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/m/d"/>
    <numFmt numFmtId="166" formatCode="0.00\%"/>
    <numFmt numFmtId="167" formatCode="General"/>
    <numFmt numFmtId="168" formatCode="0.00%"/>
    <numFmt numFmtId="169" formatCode="#,##0"/>
    <numFmt numFmtId="170" formatCode="0.000%"/>
  </numFmts>
  <fonts count="14">
    <font>
      <sz val="11"/>
      <color rgb="FF000000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8"/>
      <name val="微軟正黑體"/>
      <family val="0"/>
      <charset val="1"/>
    </font>
    <font>
      <sz val="11"/>
      <color rgb="FF000000"/>
      <name val="Calibri"/>
      <family val="2"/>
      <charset val="1"/>
    </font>
    <font>
      <sz val="12"/>
      <name val="微軟正黑體"/>
      <family val="0"/>
      <charset val="1"/>
    </font>
    <font>
      <b val="true"/>
      <sz val="12"/>
      <color rgb="FFC00000"/>
      <name val="微軟正黑體"/>
      <family val="0"/>
      <charset val="1"/>
    </font>
    <font>
      <b val="true"/>
      <sz val="12"/>
      <name val="微軟正黑體"/>
      <family val="0"/>
      <charset val="1"/>
    </font>
    <font>
      <b val="true"/>
      <sz val="14"/>
      <name val="微軟正黑體"/>
      <family val="0"/>
      <charset val="1"/>
    </font>
    <font>
      <i val="true"/>
      <sz val="11"/>
      <name val="微軟正黑體"/>
      <family val="0"/>
      <charset val="1"/>
    </font>
    <font>
      <b val="true"/>
      <sz val="12"/>
      <color rgb="FF0000FF"/>
      <name val="微軟正黑體"/>
      <family val="0"/>
      <charset val="1"/>
    </font>
    <font>
      <b val="true"/>
      <sz val="16"/>
      <color rgb="FFC00000"/>
      <name val="微軟正黑體"/>
      <family val="0"/>
      <charset val="1"/>
    </font>
    <font>
      <sz val="10"/>
      <color rgb="FF808080"/>
      <name val="微軟正黑體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7E9D1"/>
        <bgColor rgb="FFE2EFDA"/>
      </patternFill>
    </fill>
    <fill>
      <patternFill patternType="solid">
        <fgColor rgb="FFE7E6E6"/>
        <bgColor rgb="FFDEEBF7"/>
      </patternFill>
    </fill>
    <fill>
      <patternFill patternType="solid">
        <fgColor rgb="FFFFFFE0"/>
        <bgColor rgb="FFFFF2E6"/>
      </patternFill>
    </fill>
    <fill>
      <patternFill patternType="solid">
        <fgColor rgb="FFEAF1FF"/>
        <bgColor rgb="FFDEEBF7"/>
      </patternFill>
    </fill>
    <fill>
      <patternFill patternType="solid">
        <fgColor rgb="FFE2EFDA"/>
        <bgColor rgb="FFD7E9D1"/>
      </patternFill>
    </fill>
    <fill>
      <patternFill patternType="solid">
        <fgColor rgb="FFDEEBF7"/>
        <bgColor rgb="FFE7E6E6"/>
      </patternFill>
    </fill>
    <fill>
      <patternFill patternType="solid">
        <fgColor rgb="FFFFF2E6"/>
        <bgColor rgb="FFFFFFE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E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0"/>
      <rgbColor rgb="FFDEEBF7"/>
      <rgbColor rgb="FF660066"/>
      <rgbColor rgb="FFFF8080"/>
      <rgbColor rgb="FF0066CC"/>
      <rgbColor rgb="FFE7E6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FF"/>
      <rgbColor rgb="FFE2EFDA"/>
      <rgbColor rgb="FFD7E9D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27.3"/>
    <col collapsed="false" customWidth="true" hidden="false" outlineLevel="0" max="3" min="2" style="0" width="18.2"/>
    <col collapsed="false" customWidth="true" hidden="false" outlineLevel="0" max="4" min="4" style="0" width="14.56"/>
    <col collapsed="false" customWidth="true" hidden="false" outlineLevel="0" max="5" min="5" style="0" width="18.2"/>
    <col collapsed="false" customWidth="true" hidden="false" outlineLevel="0" max="6" min="6" style="0" width="50.04"/>
    <col collapsed="false" customWidth="true" hidden="false" outlineLevel="0" max="7" min="7" style="0" width="18.2"/>
    <col collapsed="false" customWidth="true" hidden="true" outlineLevel="0" max="28" min="27" style="0" width="11.83"/>
  </cols>
  <sheetData>
    <row r="1" customFormat="false" ht="49.5" hidden="false" customHeight="true" outlineLevel="0" collapsed="false">
      <c r="A1" s="1" t="s">
        <v>0</v>
      </c>
      <c r="B1" s="1"/>
      <c r="C1" s="1"/>
      <c r="D1" s="1"/>
      <c r="E1" s="1"/>
      <c r="F1" s="1"/>
      <c r="AA1" s="2" t="n">
        <f aca="false">IFERROR(IF(LEN(B2)=7, DATE(VALUE(LEFT(B2,3))+1911, VALUE(MID(B2,4,2)), VALUE(RIGHT(B2,2))), IF(LEN(B2)=6, DATE(VALUE(LEFT(B2,2))+1911, VALUE(MID(B2,3,2)), VALUE(RIGHT(B2,2))), "")), "")</f>
        <v>45931</v>
      </c>
      <c r="AB1" s="0" t="n">
        <f aca="false">IF(B12&lt;&gt;"", B12, IFERROR(ROUND(B5*B6*(AA3/100)*VLOOKUP(B8,稅率表!$D$2:$E$3,2,FALSE()),0),""))</f>
        <v>8913</v>
      </c>
    </row>
    <row r="2" customFormat="false" ht="31.5" hidden="false" customHeight="true" outlineLevel="0" collapsed="false">
      <c r="A2" s="3" t="s">
        <v>1</v>
      </c>
      <c r="B2" s="4" t="n">
        <v>1141001</v>
      </c>
      <c r="C2" s="5" t="str">
        <f aca="false">IF(AA1&lt;&gt;"", TEXT(AA1, "民國 e 年 m 月 d 日"), "請依左側格式輸入日期")</f>
        <v>民國 114 年 10 月 1 日</v>
      </c>
      <c r="D2" s="5"/>
      <c r="E2" s="6" t="str">
        <f aca="false">IF(AA1="","",IF(MOD(YEAR(AA1)-1911,2)=1, "【注意】
民國 " &amp; YEAR(AA1)-1911 &amp; " 年為地價調整年！
前一年稅單僅供參考。", "【資訊】
民國 " &amp; YEAR(AA1)-1911 &amp; " 年非地價調整年。"))</f>
        <v>【資訊】
民國 114 年非地價調整年。</v>
      </c>
      <c r="F2" s="6"/>
      <c r="AA2" s="2" t="n">
        <f aca="false">IFERROR(IF(LEN(B3)=7, DATE(VALUE(LEFT(B3,3))+1911, VALUE(MID(B3,4,2)), VALUE(RIGHT(B3,2))), IF(LEN(B3)=6, DATE(VALUE(LEFT(B3,2))+1911, VALUE(MID(B3,3,2)), VALUE(RIGHT(B3,2))), "")), "")</f>
        <v>45961</v>
      </c>
      <c r="AB2" s="0" t="n">
        <f aca="false">IF(B13&lt;&gt;"", B13, IFERROR(ROUND(AA10*VLOOKUP(B10, 稅率表!$A$2:$B$14, 2, FALSE()),0), ""))</f>
        <v>155939</v>
      </c>
    </row>
    <row r="3" customFormat="false" ht="129.75" hidden="false" customHeight="true" outlineLevel="0" collapsed="false">
      <c r="A3" s="3" t="s">
        <v>2</v>
      </c>
      <c r="B3" s="4" t="n">
        <v>1141031</v>
      </c>
      <c r="C3" s="5" t="str">
        <f aca="false">IF(AA2&lt;&gt;"", TEXT(AA2, "民國 e 年 m 月 d 日"), "請依左側格式輸入日期")</f>
        <v>民國 114 年 10 月 31 日</v>
      </c>
      <c r="D3" s="5"/>
      <c r="E3" s="6"/>
      <c r="F3" s="6"/>
      <c r="AA3" s="7" t="n">
        <f aca="false">IFERROR(IF(C7&lt;&gt;"", (LEFT(C7, FIND("/", C7)-1) / MID(C7, FIND("/", C7)+1, LEN(C7))) * 100, B7), B7)</f>
        <v>1.28</v>
      </c>
      <c r="AB3" s="0" t="n">
        <f aca="false">IF(AA5, 12, IFERROR(DATE(YEAR(AA2),12,31)-DATE(YEAR(AA2),1,1)+1, ""))</f>
        <v>12</v>
      </c>
    </row>
    <row r="4" customFormat="false" ht="31.5" hidden="false" customHeight="true" outlineLevel="0" collapsed="false">
      <c r="A4" s="3" t="s">
        <v>3</v>
      </c>
      <c r="B4" s="4" t="s">
        <v>4</v>
      </c>
      <c r="C4" s="8" t="str">
        <f aca="false">IF(AA5, "【按月分算模式】", "【按日分算模式】") &amp; " 交屋日歸屬：" &amp; IF(B4="是", "買方", "賣方")</f>
        <v>【按月分算模式】 交屋日歸屬：賣方</v>
      </c>
      <c r="D4" s="8"/>
      <c r="E4" s="6"/>
      <c r="F4" s="6"/>
      <c r="AA4" s="0" t="n">
        <f aca="false">IF(B4="是", 1, 0)</f>
        <v>0</v>
      </c>
      <c r="AB4" s="0" t="n">
        <f aca="false">IFERROR(DATE(YEAR(AA2)-IF(MONTH(AA2)&lt;7,1,0),7,1), "")</f>
        <v>45839</v>
      </c>
    </row>
    <row r="5" customFormat="false" ht="31.5" hidden="false" customHeight="true" outlineLevel="0" collapsed="false">
      <c r="A5" s="9" t="s">
        <v>5</v>
      </c>
      <c r="B5" s="4" t="n">
        <v>155091.2</v>
      </c>
      <c r="C5" s="4"/>
      <c r="D5" s="4"/>
      <c r="E5" s="5" t="s">
        <v>6</v>
      </c>
      <c r="F5" s="5"/>
      <c r="AA5" s="10" t="b">
        <f aca="false">IF(AA2="","",AND(DAY(EOMONTH(AA2,0))=DAY(AA2), B4="否"))</f>
        <v>1</v>
      </c>
      <c r="AB5" s="0" t="n">
        <f aca="false">IFERROR(DATE(YEAR(AA2)-IF(MONTH(AA2)&lt;7,1,0)+1,6,30), "")</f>
        <v>46203</v>
      </c>
    </row>
    <row r="6" customFormat="false" ht="31.5" hidden="false" customHeight="true" outlineLevel="0" collapsed="false">
      <c r="A6" s="9"/>
      <c r="B6" s="4" t="n">
        <v>449</v>
      </c>
      <c r="C6" s="4"/>
      <c r="D6" s="4"/>
      <c r="E6" s="5" t="s">
        <v>7</v>
      </c>
      <c r="F6" s="5"/>
      <c r="AA6" s="0" t="n">
        <f aca="false">IFERROR(IF(LEN(B23)=7, DATE(VALUE(LEFT(B23,3))+1911, VALUE(MID(B23,4,2)), VALUE(RIGHT(B23,2))), IF(LEN(B23)=6, DATE(VALUE(LEFT(B23,2))+1911, VALUE(MID(B23,3,2)), VALUE(RIGHT(B23,2))), "")), "")</f>
        <v>45961</v>
      </c>
      <c r="AB6" s="0" t="n">
        <f aca="false">IF(AA5, 12, IFERROR(AB5-AB4+1, ""))</f>
        <v>12</v>
      </c>
    </row>
    <row r="7" customFormat="false" ht="31.5" hidden="false" customHeight="true" outlineLevel="0" collapsed="false">
      <c r="A7" s="9"/>
      <c r="B7" s="11" t="n">
        <v>1.28</v>
      </c>
      <c r="C7" s="12"/>
      <c r="D7" s="12"/>
      <c r="E7" s="5" t="s">
        <v>8</v>
      </c>
      <c r="F7" s="5"/>
      <c r="AA7" s="0" t="n">
        <f aca="false">IFERROR(IF(LEN(B24)=7, DATE(VALUE(LEFT(B24,3))+1911, VALUE(MID(B24,4,2)), VALUE(RIGHT(B24,2))), IF(LEN(B24)=6, DATE(VALUE(LEFT(B24,2))+1911, VALUE(MID(B24,3,2)), VALUE(RIGHT(B24,2))), "")), "")</f>
        <v>45961</v>
      </c>
      <c r="AB7" s="0" t="n">
        <f aca="false">IFERROR(EOMONTH(DATE(YEAR(AB5),2,1),0), "")</f>
        <v>46081</v>
      </c>
    </row>
    <row r="8" customFormat="false" ht="31.5" hidden="false" customHeight="true" outlineLevel="0" collapsed="false">
      <c r="A8" s="9"/>
      <c r="B8" s="4" t="s">
        <v>9</v>
      </c>
      <c r="C8" s="4"/>
      <c r="D8" s="4"/>
      <c r="E8" s="5" t="s">
        <v>10</v>
      </c>
      <c r="F8" s="5"/>
      <c r="AA8" s="0" t="n">
        <f aca="false">IFERROR(IF(ISNUMBER(FIND("-",B9)), VALUE(LEFT(B9, FIND("-",B9)-1)), B9), B9)</f>
        <v>13272200</v>
      </c>
      <c r="AB8" s="0" t="str">
        <f aca="false">IFERROR(IF(AA1&gt;DATE(YEAR(AA2),8,31), "賣方", "買方"), "")</f>
        <v>賣方</v>
      </c>
    </row>
    <row r="9" customFormat="false" ht="31.5" hidden="false" customHeight="true" outlineLevel="0" collapsed="false">
      <c r="A9" s="9"/>
      <c r="B9" s="4" t="s">
        <v>11</v>
      </c>
      <c r="C9" s="4"/>
      <c r="D9" s="4"/>
      <c r="E9" s="5" t="s">
        <v>12</v>
      </c>
      <c r="F9" s="5"/>
      <c r="AA9" s="0" t="n">
        <f aca="false">IFERROR(IF(ISNUMBER(FIND("-",B9)), VALUE(MID(B9, FIND("-",B9)+1, LEN(B9))), 0), 0)</f>
        <v>277300</v>
      </c>
      <c r="AB9" s="0" t="str">
        <f aca="false">IFERROR(IF(AA1&gt;AB7, "賣方", "買方"), "")</f>
        <v>買方</v>
      </c>
    </row>
    <row r="10" customFormat="false" ht="31.5" hidden="false" customHeight="true" outlineLevel="0" collapsed="false">
      <c r="A10" s="9"/>
      <c r="B10" s="4" t="s">
        <v>13</v>
      </c>
      <c r="C10" s="4"/>
      <c r="D10" s="13" t="n">
        <f aca="false">IFERROR(VLOOKUP(B10, 稅率表!$A$2:$B$14, 2, FALSE()), "")</f>
        <v>0.012</v>
      </c>
      <c r="E10" s="5" t="s">
        <v>14</v>
      </c>
      <c r="F10" s="5"/>
      <c r="AA10" s="0" t="n">
        <f aca="false">IF(ISNUMBER(B9), B9, AA8-AA9)</f>
        <v>12994900</v>
      </c>
      <c r="AB10" s="0" t="n">
        <f aca="false">IFERROR(IF(AA5, MONTH(AA2), AA2-DATE(YEAR(AA2),1,1)+1-AA4),"")</f>
        <v>10</v>
      </c>
    </row>
    <row r="11" customFormat="false" ht="31.5" hidden="false" customHeight="true" outlineLevel="0" collapsed="false">
      <c r="AB11" s="0" t="n">
        <f aca="false">IFERROR(IF(AA5, 12-MONTH(AA2), DATE(YEAR(AA2),12,31)-AA2+AA4),"")</f>
        <v>2</v>
      </c>
    </row>
    <row r="12" customFormat="false" ht="31.5" hidden="false" customHeight="true" outlineLevel="0" collapsed="false">
      <c r="A12" s="9" t="s">
        <v>15</v>
      </c>
      <c r="B12" s="14"/>
      <c r="C12" s="14"/>
      <c r="D12" s="14"/>
      <c r="E12" s="5" t="s">
        <v>16</v>
      </c>
      <c r="F12" s="15" t="s">
        <v>17</v>
      </c>
      <c r="AB12" s="0" t="n">
        <f aca="false">IFERROR(IF(AA5, IF(MONTH(AA2)&gt;=7, MONTH(AA2)-6, MONTH(AA2)+6), AA2-AB4+1-AA4),"")</f>
        <v>4</v>
      </c>
    </row>
    <row r="13" customFormat="false" ht="31.5" hidden="false" customHeight="true" outlineLevel="0" collapsed="false">
      <c r="A13" s="9"/>
      <c r="B13" s="14"/>
      <c r="C13" s="14"/>
      <c r="D13" s="14"/>
      <c r="E13" s="5" t="s">
        <v>18</v>
      </c>
      <c r="F13" s="15"/>
      <c r="AB13" s="0" t="n">
        <f aca="false">IFERROR(IF(AA5, 12 - IF(MONTH(AA2)&gt;=7, MONTH(AA2)-6, MONTH(AA2)+6), AB5-AA2+AA4),"")</f>
        <v>8</v>
      </c>
    </row>
    <row r="14" customFormat="false" ht="31.5" hidden="false" customHeight="true" outlineLevel="0" collapsed="false">
      <c r="A14" s="9" t="s">
        <v>19</v>
      </c>
      <c r="B14" s="9"/>
      <c r="C14" s="9"/>
      <c r="D14" s="9"/>
      <c r="E14" s="9"/>
      <c r="F14" s="9"/>
    </row>
    <row r="15" customFormat="false" ht="45" hidden="false" customHeight="true" outlineLevel="0" collapsed="false">
      <c r="A15" s="16" t="s">
        <v>20</v>
      </c>
      <c r="B15" s="16" t="s">
        <v>21</v>
      </c>
      <c r="C15" s="16" t="s">
        <v>22</v>
      </c>
      <c r="D15" s="16" t="s">
        <v>23</v>
      </c>
      <c r="E15" s="16" t="s">
        <v>24</v>
      </c>
      <c r="F15" s="16" t="s">
        <v>25</v>
      </c>
    </row>
    <row r="16" customFormat="false" ht="199.5" hidden="false" customHeight="true" outlineLevel="0" collapsed="false">
      <c r="A16" s="17" t="s">
        <v>26</v>
      </c>
      <c r="B16" s="18" t="str">
        <f aca="false">IF(AB10&lt;&gt;"", AB10 &amp; IF(AA5, " 月", " 天"), "")</f>
        <v>10 月</v>
      </c>
      <c r="C16" s="18" t="str">
        <f aca="false">IF(AB11&lt;&gt;"", AB11 &amp; IF(AA5, " 月", " 天"), "")</f>
        <v>2 月</v>
      </c>
      <c r="D16" s="19" t="n">
        <f aca="false">AB1</f>
        <v>8913</v>
      </c>
      <c r="E16" s="19" t="n">
        <f aca="false">IFERROR(IF(AB8="賣方", ROUND(D16*AB11/AB3,0), ROUND(D16*AB10/AB3,0)),0)</f>
        <v>1486</v>
      </c>
      <c r="F16" s="20" t="str">
        <f aca="false">IF(E16=0, "無需找補", IF(B12&lt;&gt;"", "納稅人為【" &amp; AB8 &amp; "】，" &amp; IF(AB8="賣方", "由【買方】補貼賣方", "由【賣方】補貼買方") &amp; "。" &amp; CHAR(10) &amp; "【找補計算】" &amp; CHAR(10) &amp; "   " &amp; TEXT(D16, "#,##0") &amp; " (年稅額) * (" &amp; IF(AB8="賣方", AB11, AB10) &amp; " / " &amp; AB3 &amp; ") (持有比例) = " &amp; TEXT(E16, "#,##0") &amp; CHAR(10), "納稅人為【" &amp; AB8 &amp; "】，" &amp; IF(AB8="賣方", "由【買方】補貼賣方", "由【賣方】補貼買方") &amp; "。" &amp; CHAR(10) &amp; "【年稅額計算】" &amp; CHAR(10) &amp; "   地價總額 = " &amp; TEXT(B5,"#,##0") &amp; " * " &amp; TEXT(B6,"#,##0") &amp; " * " &amp; TEXT(AA3/100,"0.00%") &amp; " = " &amp; TEXT(ROUND(B5*B6*(AA3/100),0),"#,##0") &amp; CHAR(10) &amp; "   應繳地價稅 = " &amp; TEXT(ROUND(B5*B6*(AA3/100),0),"#,##0") &amp; " * " &amp; TEXT(VLOOKUP(B8,稅率表!$D$2:$E$3,2,FALSE()),"0.0%") &amp; " = " &amp; TEXT(D16,"#,##0") &amp; CHAR(10) &amp; "【找補計算】" &amp; CHAR(10) &amp; "   " &amp; TEXT(D16, "#,##0") &amp; " (年稅額) * (" &amp; IF(AB8="賣方", AB11, AB10) &amp; " / " &amp; AB3 &amp; ") (持有比例) = " &amp; TEXT(E16, "#,##0") &amp; CHAR(10)) &amp; "【款項性質】" &amp; CHAR(10) &amp; " 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>納稅人為【賣方】，由【買方】補貼賣方。
【年稅額計算】
   地價總額 = 155,091 * 449 * 1.28% = 891,340
   應繳地價稅 = 891,340 * 1.0% = 8,913
【找補計算】
   8,913 (年稅額) * (2 / 12) (持有比例) = 1,486
【款項性質】
   此為民國 114 年度地價稅找補，屬【未到期數】款項。
---
【稅務規則】
● 課稅年度： 民國 114 年 (1/1 ~ 12/31)
● 開徵期間： 民國 114 年 11 月 1 日 至 11 月 30 日
● 納稅基準日： 民國 114 年 8 月 31 日
● 本案納稅人： 【賣方】 (以基準日之地政登記所有權人為準)</v>
      </c>
    </row>
    <row r="17" customFormat="false" ht="199.5" hidden="false" customHeight="true" outlineLevel="0" collapsed="false">
      <c r="A17" s="17" t="s">
        <v>27</v>
      </c>
      <c r="B17" s="21" t="str">
        <f aca="false">IF(AB12&lt;&gt;"", AB12 &amp; IF(AA5, " 月", " 天"), "")</f>
        <v>4 月</v>
      </c>
      <c r="C17" s="21" t="str">
        <f aca="false">IF(AB13&lt;&gt;"", AB13 &amp; IF(AA5, " 月", " 天"), "")</f>
        <v>8 月</v>
      </c>
      <c r="D17" s="19" t="n">
        <f aca="false">AB2</f>
        <v>155939</v>
      </c>
      <c r="E17" s="19" t="n">
        <f aca="false">IFERROR(IF(AB9="賣方", ROUND(D17*AB13/AB6,0), ROUND(D17*AB12/AB6,0)),0)</f>
        <v>51980</v>
      </c>
      <c r="F17" s="20" t="str">
        <f aca="false">IF(E17=0, "無需找補", IF(B13&lt;&gt;"", "納稅人為【" &amp; AB9 &amp; "】，" &amp; IF(AB9="賣方", "由【買方】補貼賣方", "由【賣方】補貼買方") &amp; "。" &amp; CHAR(10) &amp; "【找補計算】" &amp; CHAR(10) &amp; "   " &amp; TEXT(D17, "#,##0") &amp; " (年稅額) * (" &amp; IF(AB9="賣方", AB13, AB12) &amp; " / " &amp; AB6 &amp; ") (持有比例) = " &amp; TEXT(E17, "#,##0") &amp; CHAR(10), "納稅人為【" &amp; AB9 &amp; "】，" &amp; IF(AB9="賣方", "由【買方】補貼賣方", "由【賣方】補貼買方") &amp; "。" &amp; CHAR(10) &amp; "【年稅額計算】" &amp; CHAR(10) &amp; "   應繳房屋稅 = " &amp; IF(AA9&gt;0, "(" &amp; TEXT(AA8,"#,##0") &amp; "-" &amp; TEXT(AA9,"#,##0") &amp; ")", TEXT(AA10,"#,##0")) &amp; " * " &amp; TEXT(D10,"0.0%") &amp; " = " &amp; TEXT(D17, "#,##0") &amp; CHAR(10) &amp; "【找補計算】" &amp; CHAR(10) &amp; "   " &amp; TEXT(D17, "#,##0") &amp; " (年稅額) * (" &amp; IF(AB9="賣方", AB13, AB12) &amp; " / " &amp; AB6 &amp; ") (持有比例) = " &amp; TEXT(E17, "#,##0") &amp; CHAR(10)) &amp; "【款項性質】" &amp; CHAR(10) &amp; " 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>納稅人為【買方】，由【賣方】補貼買方。
【年稅額計算】
   應繳房屋稅 = (13,272,200-277,300) * 1.2% = 155,939
【找補計算】
   155,939 (年稅額) * (4 / 12) (持有比例) = 51,980
【款項性質】
   此為民國 115 年度房屋稅找補，屬【已到期數】款項。
---
【稅務規則】
● 課稅期間： 民國 114/7/1 至 115/6/30
● 開徵期間： 民國 115 年 5 月 1 日 至 5 月 31 日
● 納稅基準日： 民國 115 年 2 月 28 日
● 本案納稅人： 【買方】 (以基準日之房屋所有權人為準)</v>
      </c>
    </row>
    <row r="18" customFormat="false" ht="31.5" hidden="false" customHeight="true" outlineLevel="0" collapsed="false">
      <c r="A18" s="12"/>
      <c r="B18" s="12"/>
      <c r="C18" s="12"/>
      <c r="D18" s="12"/>
      <c r="E18" s="12"/>
      <c r="F18" s="12"/>
    </row>
    <row r="19" customFormat="false" ht="31.5" hidden="false" customHeight="true" outlineLevel="0" collapsed="false">
      <c r="A19" s="9" t="s">
        <v>28</v>
      </c>
      <c r="B19" s="9"/>
      <c r="C19" s="9"/>
      <c r="D19" s="9"/>
      <c r="E19" s="9"/>
      <c r="F19" s="9"/>
    </row>
    <row r="20" customFormat="false" ht="31.5" hidden="false" customHeight="true" outlineLevel="0" collapsed="false">
      <c r="A20" s="3" t="s">
        <v>29</v>
      </c>
      <c r="B20" s="4" t="n">
        <v>4430</v>
      </c>
      <c r="C20" s="22" t="s">
        <v>30</v>
      </c>
      <c r="D20" s="22"/>
      <c r="E20" s="22"/>
      <c r="F20" s="22"/>
    </row>
    <row r="21" customFormat="false" ht="31.5" hidden="false" customHeight="true" outlineLevel="0" collapsed="false">
      <c r="A21" s="3" t="s">
        <v>31</v>
      </c>
      <c r="B21" s="4" t="n">
        <v>1200</v>
      </c>
      <c r="C21" s="22"/>
      <c r="D21" s="22"/>
      <c r="E21" s="22"/>
      <c r="F21" s="22"/>
      <c r="AB21" s="0" t="n">
        <f aca="false">IFERROR(IF(AND(B20&gt;0, AA6&gt;=AA2), ROUND(B20 * (AA6-AA2+AA4) / DAY(EOMONTH(AA2,0)), 0), 0), 0)</f>
        <v>0</v>
      </c>
    </row>
    <row r="22" customFormat="false" ht="31.5" hidden="false" customHeight="true" outlineLevel="0" collapsed="false">
      <c r="A22" s="3" t="s">
        <v>32</v>
      </c>
      <c r="B22" s="4" t="n">
        <v>0</v>
      </c>
      <c r="C22" s="12"/>
      <c r="D22" s="12"/>
      <c r="E22" s="23" t="s">
        <v>33</v>
      </c>
      <c r="F22" s="23"/>
      <c r="AB22" s="0" t="n">
        <f aca="false">IFERROR(IF(AND(B21&gt;0, AA7&gt;=AA2), ROUND(B21 * (AA7-AA2+AA4) / DAY(EOMONTH(AA2,0)), 0), 0), 0)</f>
        <v>0</v>
      </c>
    </row>
    <row r="23" customFormat="false" ht="31.5" hidden="false" customHeight="true" outlineLevel="0" collapsed="false">
      <c r="A23" s="3" t="s">
        <v>34</v>
      </c>
      <c r="B23" s="4" t="n">
        <v>1141031</v>
      </c>
      <c r="C23" s="12" t="str">
        <f aca="false">IF(AA6&lt;&gt;"", TEXT(AA6, "民國 e 年 m 月 d 日"), "格式: YYYMMDD")</f>
        <v>民國 114 年 10 月 31 日</v>
      </c>
      <c r="D23" s="12"/>
      <c r="E23" s="12"/>
      <c r="F23" s="12"/>
      <c r="AB23" s="0" t="n">
        <f aca="false">AB21+AB22</f>
        <v>0</v>
      </c>
    </row>
    <row r="24" customFormat="false" ht="31.5" hidden="false" customHeight="true" outlineLevel="0" collapsed="false">
      <c r="A24" s="3" t="s">
        <v>35</v>
      </c>
      <c r="B24" s="4" t="n">
        <v>1141031</v>
      </c>
      <c r="C24" s="12" t="str">
        <f aca="false">IF(AA7&lt;&gt;"", TEXT(AA7, "民國 e 年 m 月 d 日"), "格式: YYYMMDD")</f>
        <v>民國 114 年 10 月 31 日</v>
      </c>
      <c r="D24" s="12"/>
      <c r="E24" s="12"/>
      <c r="F24" s="12"/>
    </row>
    <row r="25" customFormat="false" ht="31.5" hidden="false" customHeight="true" outlineLevel="0" collapsed="false">
      <c r="A25" s="24" t="s">
        <v>36</v>
      </c>
      <c r="B25" s="24"/>
      <c r="C25" s="24"/>
      <c r="D25" s="25" t="n">
        <f aca="false">AB23</f>
        <v>0</v>
      </c>
      <c r="E25" s="25"/>
      <c r="F25" s="25"/>
    </row>
    <row r="26" customFormat="false" ht="31.5" hidden="false" customHeight="true" outlineLevel="0" collapsed="false">
      <c r="A26" s="17" t="str">
        <f aca="false">IF(D25&gt;0, "買方應補貼賣方 NT$ " &amp; TEXT(D25, "#,##0") &amp; " 元", "管理費、車位費無需找補")</f>
        <v>管理費、車位費無需找補</v>
      </c>
      <c r="B26" s="17"/>
      <c r="C26" s="17"/>
      <c r="D26" s="17"/>
      <c r="E26" s="17"/>
      <c r="F26" s="17"/>
    </row>
    <row r="27" customFormat="false" ht="31.5" hidden="false" customHeight="true" outlineLevel="0" collapsed="false"/>
    <row r="28" customFormat="false" ht="31.5" hidden="false" customHeight="true" outlineLevel="0" collapsed="false">
      <c r="A28" s="9" t="s">
        <v>37</v>
      </c>
      <c r="B28" s="9"/>
      <c r="C28" s="9"/>
      <c r="D28" s="9"/>
      <c r="E28" s="9"/>
      <c r="F28" s="9"/>
    </row>
    <row r="29" customFormat="false" ht="31.5" hidden="false" customHeight="true" outlineLevel="0" collapsed="false">
      <c r="A29" s="16" t="s">
        <v>20</v>
      </c>
      <c r="B29" s="16"/>
      <c r="C29" s="16" t="s">
        <v>38</v>
      </c>
      <c r="D29" s="16" t="s">
        <v>39</v>
      </c>
      <c r="E29" s="16" t="s">
        <v>40</v>
      </c>
      <c r="F29" s="16"/>
    </row>
    <row r="30" customFormat="false" ht="31.5" hidden="false" customHeight="true" outlineLevel="0" collapsed="false">
      <c r="A30" s="5" t="s">
        <v>41</v>
      </c>
      <c r="B30" s="5"/>
      <c r="C30" s="26" t="n">
        <f aca="false">IF(AB8="賣方", E16, 0)</f>
        <v>1486</v>
      </c>
      <c r="D30" s="27" t="n">
        <f aca="false">IF(AB8="買方", E16, 0)</f>
        <v>0</v>
      </c>
      <c r="E30" s="22" t="s">
        <v>42</v>
      </c>
      <c r="F30" s="22"/>
    </row>
    <row r="31" customFormat="false" ht="31.5" hidden="false" customHeight="true" outlineLevel="0" collapsed="false">
      <c r="A31" s="5" t="s">
        <v>43</v>
      </c>
      <c r="B31" s="5"/>
      <c r="C31" s="26" t="n">
        <f aca="false">IF(AB9="賣方", E17, 0)</f>
        <v>0</v>
      </c>
      <c r="D31" s="27" t="n">
        <f aca="false">IF(AB9="買方", E17, 0)</f>
        <v>51980</v>
      </c>
      <c r="E31" s="22" t="s">
        <v>42</v>
      </c>
      <c r="F31" s="22"/>
    </row>
    <row r="32" customFormat="false" ht="31.5" hidden="false" customHeight="true" outlineLevel="0" collapsed="false">
      <c r="A32" s="5" t="s">
        <v>44</v>
      </c>
      <c r="B32" s="5"/>
      <c r="C32" s="26" t="n">
        <f aca="false">AB21</f>
        <v>0</v>
      </c>
      <c r="D32" s="27" t="n">
        <v>0</v>
      </c>
      <c r="E32" s="22" t="str">
        <f aca="false">IF(AB21&gt;0, "月費 " &amp; TEXT(B20, "#,##0") &amp; " 元，賣方已預繳至 " &amp; TEXT(AA6, "e/m/d") &amp; "，依交屋後剩餘 " &amp; TEXT(AA6-AA2+AA4, "0") &amp; " 天計算。", "無預繳或無需找補")</f>
        <v>無預繳或無需找補</v>
      </c>
      <c r="F32" s="22"/>
    </row>
    <row r="33" customFormat="false" ht="31.5" hidden="false" customHeight="true" outlineLevel="0" collapsed="false">
      <c r="A33" s="5" t="s">
        <v>45</v>
      </c>
      <c r="B33" s="5"/>
      <c r="C33" s="26" t="n">
        <f aca="false">AB22</f>
        <v>0</v>
      </c>
      <c r="D33" s="27" t="n">
        <v>0</v>
      </c>
      <c r="E33" s="22" t="str">
        <f aca="false">IF(AB22&gt;0, "月費 " &amp; TEXT(B21, "#,##0") &amp; " 元，賣方已預繳至 " &amp; TEXT(AA7, "e/m/d") &amp; "，依交屋後剩餘 " &amp; TEXT(AA7-AA2+AA4, "0") &amp; " 天計算。", "無預繳或無需找補")</f>
        <v>無預繳或無需找補</v>
      </c>
      <c r="F33" s="22"/>
    </row>
    <row r="34" customFormat="false" ht="31.5" hidden="false" customHeight="true" outlineLevel="0" collapsed="false">
      <c r="A34" s="5" t="s">
        <v>46</v>
      </c>
      <c r="B34" s="5"/>
      <c r="C34" s="26" t="n">
        <v>0</v>
      </c>
      <c r="D34" s="27" t="n">
        <f aca="false">IF(B22&lt;&gt;"", B22, 0)</f>
        <v>0</v>
      </c>
      <c r="E34" s="22" t="s">
        <v>47</v>
      </c>
      <c r="F34" s="22"/>
    </row>
    <row r="35" customFormat="false" ht="54.75" hidden="false" customHeight="true" outlineLevel="0" collapsed="false">
      <c r="A35" s="28" t="s">
        <v>48</v>
      </c>
      <c r="B35" s="28"/>
      <c r="C35" s="29" t="n">
        <f aca="false">SUM(C30:C34)</f>
        <v>1486</v>
      </c>
      <c r="D35" s="30" t="n">
        <f aca="false">SUM(D30:D34)</f>
        <v>51980</v>
      </c>
      <c r="E35" s="31"/>
      <c r="F35" s="31"/>
    </row>
    <row r="36" customFormat="false" ht="31.5" hidden="false" customHeight="true" outlineLevel="0" collapsed="false">
      <c r="A36" s="32" t="s">
        <v>49</v>
      </c>
      <c r="B36" s="33" t="str">
        <f aca="false">IF(C35&gt;D35, "【買方】應支付給【賣方】 NT$ " &amp; TEXT(C35-D35, "#,##0"), IF(D35&gt;C35, "【賣方】應支付給【買方】 NT$ " &amp; TEXT(D35-C35, "#,##0"), "雙方無需找補"))</f>
        <v>【賣方】應支付給【買方】 NT$ 50,494</v>
      </c>
      <c r="C36" s="33"/>
      <c r="D36" s="33"/>
      <c r="E36" s="33"/>
      <c r="F36" s="33"/>
    </row>
    <row r="37" customFormat="false" ht="31.5" hidden="false" customHeight="true" outlineLevel="0" collapsed="false">
      <c r="A37" s="32"/>
      <c r="B37" s="32"/>
      <c r="C37" s="33"/>
      <c r="D37" s="33"/>
      <c r="E37" s="33"/>
      <c r="F37" s="33"/>
    </row>
    <row r="38" customFormat="false" ht="31.5" hidden="false" customHeight="true" outlineLevel="0" collapsed="false">
      <c r="A38" s="34"/>
    </row>
    <row r="39" customFormat="false" ht="31.5" hidden="false" customHeight="true" outlineLevel="0" collapsed="false">
      <c r="A39" s="35" t="s">
        <v>50</v>
      </c>
      <c r="B39" s="35"/>
      <c r="C39" s="35"/>
      <c r="D39" s="35"/>
      <c r="E39" s="35"/>
      <c r="F39" s="35"/>
    </row>
    <row r="40" customFormat="false" ht="31.5" hidden="false" customHeight="true" outlineLevel="0" collapsed="false"/>
    <row r="41" customFormat="false" ht="31.5" hidden="false" customHeight="true" outlineLevel="0" collapsed="false"/>
    <row r="42" customFormat="false" ht="31.5" hidden="false" customHeight="true" outlineLevel="0" collapsed="false"/>
    <row r="43" customFormat="false" ht="31.5" hidden="false" customHeight="true" outlineLevel="0" collapsed="false"/>
    <row r="44" customFormat="false" ht="31.5" hidden="false" customHeight="true" outlineLevel="0" collapsed="false"/>
    <row r="45" customFormat="false" ht="31.5" hidden="false" customHeight="true" outlineLevel="0" collapsed="false"/>
    <row r="46" customFormat="false" ht="31.5" hidden="false" customHeight="true" outlineLevel="0" collapsed="false"/>
    <row r="47" customFormat="false" ht="31.5" hidden="false" customHeight="true" outlineLevel="0" collapsed="false"/>
    <row r="48" customFormat="false" ht="31.5" hidden="false" customHeight="true" outlineLevel="0" collapsed="false"/>
    <row r="49" customFormat="false" ht="31.5" hidden="false" customHeight="true" outlineLevel="0" collapsed="false"/>
  </sheetData>
  <mergeCells count="49">
    <mergeCell ref="A1:F1"/>
    <mergeCell ref="C2:D2"/>
    <mergeCell ref="E2:F4"/>
    <mergeCell ref="C3:D3"/>
    <mergeCell ref="C4:D4"/>
    <mergeCell ref="A5:A10"/>
    <mergeCell ref="B5:D5"/>
    <mergeCell ref="E5:F5"/>
    <mergeCell ref="B6:D6"/>
    <mergeCell ref="E6:F6"/>
    <mergeCell ref="C7:D7"/>
    <mergeCell ref="E7:F7"/>
    <mergeCell ref="B8:D8"/>
    <mergeCell ref="E8:F8"/>
    <mergeCell ref="B9:D9"/>
    <mergeCell ref="E9:F9"/>
    <mergeCell ref="B10:C10"/>
    <mergeCell ref="E10:F10"/>
    <mergeCell ref="A12:A13"/>
    <mergeCell ref="B12:D12"/>
    <mergeCell ref="F12:F13"/>
    <mergeCell ref="B13:D13"/>
    <mergeCell ref="A14:F14"/>
    <mergeCell ref="A19:F19"/>
    <mergeCell ref="C20:F21"/>
    <mergeCell ref="E22:F22"/>
    <mergeCell ref="D23:F23"/>
    <mergeCell ref="D24:F24"/>
    <mergeCell ref="A25:C25"/>
    <mergeCell ref="D25:F25"/>
    <mergeCell ref="A26:F26"/>
    <mergeCell ref="A28:F28"/>
    <mergeCell ref="A29:B29"/>
    <mergeCell ref="E29:F29"/>
    <mergeCell ref="A30:B30"/>
    <mergeCell ref="E30:F30"/>
    <mergeCell ref="A31:B31"/>
    <mergeCell ref="E31:F31"/>
    <mergeCell ref="A32:B32"/>
    <mergeCell ref="E32:F32"/>
    <mergeCell ref="A33:B33"/>
    <mergeCell ref="E33:F33"/>
    <mergeCell ref="A34:B34"/>
    <mergeCell ref="E34:F34"/>
    <mergeCell ref="A35:B35"/>
    <mergeCell ref="E35:F35"/>
    <mergeCell ref="A36:A37"/>
    <mergeCell ref="B36:F37"/>
    <mergeCell ref="A39:F39"/>
  </mergeCells>
  <dataValidations count="4">
    <dataValidation allowBlank="false" errorStyle="stop" operator="between" showDropDown="false" showErrorMessage="false" showInputMessage="false" sqref="B4" type="list">
      <formula1>"是,否"</formula1>
      <formula2>0</formula2>
    </dataValidation>
    <dataValidation allowBlank="false" errorStyle="stop" operator="between" showDropDown="false" showErrorMessage="false" showInputMessage="false" sqref="B8" type="list">
      <formula1>稅率表!$D$2:$D$3</formula1>
      <formula2>0</formula2>
    </dataValidation>
    <dataValidation allowBlank="false" errorStyle="stop" operator="between" showDropDown="false" showErrorMessage="false" showInputMessage="false" sqref="B10" type="list">
      <formula1>稅率表!$A$2:$A$14</formula1>
      <formula2>0</formula2>
    </dataValidation>
    <dataValidation allowBlank="false" error="【房屋點交日期】(B3) 必須晚於或等於【權狀登記日期】(B2)。&#10;請重新輸入正確的日期。" errorStyle="stop" errorTitle="日期輸入錯誤" operator="between" showDropDown="false" showErrorMessage="false" showInputMessage="false" sqref="B3" type="custom">
      <formula1>AA2&gt;=AA1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7734375" defaultRowHeight="15" zeroHeight="false" outlineLevelRow="0" outlineLevelCol="0"/>
  <cols>
    <col collapsed="false" customWidth="true" hidden="false" outlineLevel="0" max="1" min="1" style="0" width="40.94"/>
    <col collapsed="false" customWidth="true" hidden="false" outlineLevel="0" max="2" min="2" style="0" width="13.65"/>
    <col collapsed="false" customWidth="true" hidden="false" outlineLevel="0" max="4" min="4" style="0" width="27.3"/>
    <col collapsed="false" customWidth="true" hidden="false" outlineLevel="0" max="5" min="5" style="0" width="13.65"/>
  </cols>
  <sheetData>
    <row r="1" customFormat="false" ht="15" hidden="false" customHeight="false" outlineLevel="0" collapsed="false">
      <c r="A1" s="36" t="s">
        <v>51</v>
      </c>
      <c r="B1" s="36" t="s">
        <v>52</v>
      </c>
      <c r="D1" s="36" t="s">
        <v>53</v>
      </c>
      <c r="E1" s="36" t="s">
        <v>52</v>
      </c>
    </row>
    <row r="2" customFormat="false" ht="15" hidden="false" customHeight="false" outlineLevel="0" collapsed="false">
      <c r="A2" s="0" t="s">
        <v>54</v>
      </c>
      <c r="B2" s="37" t="n">
        <v>0.01</v>
      </c>
      <c r="D2" s="0" t="s">
        <v>55</v>
      </c>
      <c r="E2" s="38" t="n">
        <v>0.002</v>
      </c>
    </row>
    <row r="3" customFormat="false" ht="15" hidden="false" customHeight="false" outlineLevel="0" collapsed="false">
      <c r="A3" s="0" t="s">
        <v>56</v>
      </c>
      <c r="B3" s="37" t="n">
        <v>0.012</v>
      </c>
      <c r="D3" s="0" t="s">
        <v>57</v>
      </c>
      <c r="E3" s="38" t="n">
        <v>0.01</v>
      </c>
    </row>
    <row r="4" customFormat="false" ht="15" hidden="false" customHeight="false" outlineLevel="0" collapsed="false">
      <c r="A4" s="0" t="s">
        <v>58</v>
      </c>
      <c r="B4" s="37" t="n">
        <v>0.012</v>
      </c>
    </row>
    <row r="5" customFormat="false" ht="15" hidden="false" customHeight="false" outlineLevel="0" collapsed="false">
      <c r="A5" s="0" t="s">
        <v>59</v>
      </c>
      <c r="B5" s="37" t="n">
        <v>0.015</v>
      </c>
    </row>
    <row r="6" customFormat="false" ht="15" hidden="false" customHeight="false" outlineLevel="0" collapsed="false">
      <c r="A6" s="0" t="s">
        <v>60</v>
      </c>
      <c r="B6" s="37" t="n">
        <v>0.02</v>
      </c>
    </row>
    <row r="7" customFormat="false" ht="15" hidden="false" customHeight="false" outlineLevel="0" collapsed="false">
      <c r="A7" s="0" t="s">
        <v>61</v>
      </c>
      <c r="B7" s="37" t="n">
        <v>0.024</v>
      </c>
    </row>
    <row r="8" customFormat="false" ht="15" hidden="false" customHeight="false" outlineLevel="0" collapsed="false">
      <c r="A8" s="0" t="s">
        <v>62</v>
      </c>
      <c r="B8" s="37" t="n">
        <v>0.032</v>
      </c>
    </row>
    <row r="9" customFormat="false" ht="15" hidden="false" customHeight="false" outlineLevel="0" collapsed="false">
      <c r="A9" s="0" t="s">
        <v>63</v>
      </c>
      <c r="B9" s="37" t="n">
        <v>0.038</v>
      </c>
    </row>
    <row r="10" customFormat="false" ht="15" hidden="false" customHeight="false" outlineLevel="0" collapsed="false">
      <c r="A10" s="0" t="s">
        <v>64</v>
      </c>
      <c r="B10" s="37" t="n">
        <v>0.042</v>
      </c>
    </row>
    <row r="11" customFormat="false" ht="15" hidden="false" customHeight="false" outlineLevel="0" collapsed="false">
      <c r="A11" s="0" t="s">
        <v>65</v>
      </c>
      <c r="B11" s="37" t="n">
        <v>0.048</v>
      </c>
    </row>
    <row r="12" customFormat="false" ht="15" hidden="false" customHeight="false" outlineLevel="0" collapsed="false">
      <c r="A12" s="0" t="s">
        <v>66</v>
      </c>
      <c r="B12" s="37" t="n">
        <v>0.03</v>
      </c>
    </row>
    <row r="13" customFormat="false" ht="15" hidden="false" customHeight="false" outlineLevel="0" collapsed="false">
      <c r="A13" s="0" t="s">
        <v>67</v>
      </c>
      <c r="B13" s="37" t="n">
        <v>0.03</v>
      </c>
    </row>
    <row r="14" customFormat="false" ht="15" hidden="false" customHeight="false" outlineLevel="0" collapsed="false">
      <c r="A14" s="0" t="s">
        <v>68</v>
      </c>
      <c r="B14" s="37" t="n">
        <v>0.02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2025-10-12T03:45:01Z</dcterms:created>
  <dc:creator>陳定康</dc:creator>
  <dc:description>此工具用於精確計算不動產買賣過程中，買賣雙方應分攤之地價稅、房屋稅及其他相關費用。</dc:description>
  <dc:language>zh-TW</dc:language>
  <cp:lastModifiedBy/>
  <dcterms:modified xsi:type="dcterms:W3CDTF">2025-10-12T03:45:01Z</dcterms:modified>
  <cp:revision>0</cp:revision>
  <dc:subject/>
  <dc:title>不動產買賣稅費分算計算機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