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&quot;%&quot;"/>
    <numFmt numFmtId="165" formatCode="0.000%"/>
  </numFmts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1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3" fontId="3" fillId="0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5" fillId="8" borderId="2" applyAlignment="1" pivotButton="0" quotePrefix="0" xfId="0">
      <alignment horizontal="center" vertical="center" wrapText="1"/>
    </xf>
    <xf numFmtId="0" fontId="8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B2" authorId="0" shapeId="0">
      <text>
        <t>請輸入民國年日期。
格式為 YYYMMDD 或 YYMMDD。
範例：114年10月1日，請輸入 1141001。</t>
      </text>
    </comment>
    <comment ref="B3" authorId="0" shapeId="0">
      <text>
        <t>請輸入民國年日期。
格式為 YYYMMDD 或 YYMMDD。
範例：114年10月31日，請輸入 1141031。</t>
      </text>
    </comment>
    <comment ref="B4" authorId="0" shapeId="0">
      <text>
        <t>此選項將影響交屋當日費用歸屬：\n● 否 (預設)：交屋日歸【賣方】負責。
● 是：交屋日歸【買方】負責。</t>
      </text>
    </comment>
    <comment ref="C7" authorId="0" shapeId="0">
      <text>
        <t>請輸入分數，例如：1/4。
若此欄位與左側百分比欄位皆有數值，將【優先採用此分數】進行計算。</t>
      </text>
    </comment>
    <comment ref="B9" authorId="0" shapeId="0">
      <text>
        <t>請輸入房屋評定現值總額。
【新功能】可使用減法格式輸入：
[總現值]-[免稅現值]</t>
      </text>
    </comment>
    <comment ref="B12" authorId="0" shapeId="0">
      <text>
        <t>若您已知曉年度總稅額，可直接填寫於此。
系統將【優先採用此處稅額】，並忽略上方「模式一」的詳細資料。</t>
      </text>
    </comment>
    <comment ref="B13" authorId="0" shapeId="0">
      <text>
        <t>若您已知曉年度總稅額，可直接填寫於此。
系統將【優先採用此處稅額】，並忽略上方「模式一」的詳細資料。</t>
      </text>
    </comment>
    <comment ref="B23" authorId="0" shapeId="0">
      <text>
        <t>請輸入費用已預繳之「截止日期」。
格式為 YYYMMDD 或 YYMMDD。
範例：預繳至114年10月31日，請輸入 1141031。</t>
      </text>
    </comment>
    <comment ref="B24" authorId="0" shapeId="0">
      <text>
        <t>請輸入費用已預繳之「截止日期」。
格式為 YYYMMDD 或 YYMMDD。
範例：預繳至114年10月31日，請輸入 1141031。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9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  <col width="16" customWidth="1" min="4" max="4"/>
    <col width="20" customWidth="1" min="5" max="5"/>
    <col width="55" customWidth="1" min="6" max="6"/>
    <col width="20" customWidth="1" min="7" max="7"/>
    <col hidden="1" width="13" customWidth="1" min="27" max="27"/>
    <col hidden="1" width="13" customWidth="1" min="28" max="28"/>
  </cols>
  <sheetData>
    <row r="1" ht="50" customHeight="1">
      <c r="A1" s="1" t="inlineStr">
        <is>
          <t>不動產買賣稅費分算計算機</t>
        </is>
      </c>
      <c r="AA1">
        <f>IFERROR(IF(LEN(B2)=7, DATE(VALUE(LEFT(B2,3))+1911, VALUE(MID(B2,4,2)), VALUE(RIGHT(B2,2))), IF(LEN(B2)=6, DATE(VALUE(LEFT(B2,2))+1911, VALUE(MID(B2,3,2)), VALUE(RIGHT(B2,2))), "")), "")</f>
        <v/>
      </c>
      <c r="AB1">
        <f>IF(B12&lt;&gt;"", B12, IFERROR(ROUND(B5*B6*(AA3/100)*VLOOKUP(B8,稅率表!$D$2:$E$3,2,FALSE),0),""))</f>
        <v/>
      </c>
    </row>
    <row r="2" ht="32" customHeight="1">
      <c r="A2" s="2" t="inlineStr">
        <is>
          <t>權狀登記(過戶)日期</t>
        </is>
      </c>
      <c r="B2" s="3" t="n">
        <v>1141001</v>
      </c>
      <c r="C2" s="4">
        <f>IF(AA1&lt;&gt;"", TEXT(AA1, "民國 e 年 m 月 d 日"), "請依左側格式輸入日期")</f>
        <v/>
      </c>
      <c r="D2" s="5" t="n"/>
      <c r="E2" s="6">
        <f>IF(AA1="","",IF(MOD(YEAR(AA1)-1911,2)=1, "【注意】\n民國 " &amp; YEAR(AA1)-1911 &amp; " 年為地價調整年！
前一年稅單僅供參考。", "【資訊】
民國 " &amp; YEAR(AA1)-1911 &amp; " 年非地價調整年。"))</f>
        <v/>
      </c>
      <c r="F2" s="5" t="n"/>
      <c r="AA2">
        <f>IFERROR(IF(LEN(B3)=7, DATE(VALUE(LEFT(B3,3))+1911, VALUE(MID(B3,4,2)), VALUE(RIGHT(B3,2))), IF(LEN(B3)=6, DATE(VALUE(LEFT(B3,2))+1911, VALUE(MID(B3,3,2)), VALUE(RIGHT(B3,2))), "")), "")</f>
        <v/>
      </c>
      <c r="AB2">
        <f>IF(B13&lt;&gt;"", B13, IFERROR(ROUND(AA10*VLOOKUP(B10, 稅率表!$A$2:$B$14, 2, FALSE),0), ""))</f>
        <v/>
      </c>
    </row>
    <row r="3" ht="130" customHeight="1">
      <c r="A3" s="2" t="inlineStr">
        <is>
          <t>房屋點交(交屋)日期</t>
        </is>
      </c>
      <c r="B3" s="3" t="n">
        <v>1141031</v>
      </c>
      <c r="C3" s="4">
        <f>IF(AA2&lt;&gt;"", TEXT(AA2, "民國 e 年 m 月 d 日"), "請依左側格式輸入日期")</f>
        <v/>
      </c>
      <c r="D3" s="5" t="n"/>
      <c r="E3" s="5" t="n"/>
      <c r="F3" s="5" t="n"/>
      <c r="AA3">
        <f>IFERROR(IF(C7&lt;&gt;"", (LEFT(C7, FIND("/", C7)-1) / MID(C7, FIND("/", C7)+1, LEN(C7))) * 100, B7), B7)</f>
        <v/>
      </c>
      <c r="AB3">
        <f>IF(AA5, 12, IFERROR(DATE(YEAR(AA2),12,31)-DATE(YEAR(AA2),1,1)+1, ""))</f>
        <v/>
      </c>
    </row>
    <row r="4" ht="32" customHeight="1">
      <c r="A4" s="2" t="inlineStr">
        <is>
          <t>是否帶租約交屋</t>
        </is>
      </c>
      <c r="B4" s="3" t="inlineStr">
        <is>
          <t>否</t>
        </is>
      </c>
      <c r="C4" s="7">
        <f>IF(AA5, "【按月分算模式】", "【按日分算模式】") &amp; " 交屋日歸屬：" &amp; IF(B4="是", "買方", "賣方")</f>
        <v/>
      </c>
      <c r="D4" s="5" t="n"/>
      <c r="E4" s="5" t="n"/>
      <c r="F4" s="5" t="n"/>
      <c r="AA4">
        <f>IF(B4="是", 1, 0)</f>
        <v/>
      </c>
      <c r="AB4">
        <f>IFERROR(DATE(YEAR(AA2)-IF(MONTH(AA2)&lt;7,1,0),7,1), "")</f>
        <v/>
      </c>
    </row>
    <row r="5" ht="32" customHeight="1">
      <c r="A5" s="8" t="inlineStr">
        <is>
          <t>模式一：詳細資料輸入</t>
        </is>
      </c>
      <c r="B5" s="3" t="n">
        <v>155091.2</v>
      </c>
      <c r="C5" s="5" t="n"/>
      <c r="D5" s="5" t="n"/>
      <c r="E5" s="4" t="inlineStr">
        <is>
          <t>申報地價 (元/m²)</t>
        </is>
      </c>
      <c r="F5" s="5" t="n"/>
      <c r="AA5">
        <f>IF(AA2="","",AND(DAY(EOMONTH(AA2,0))=DAY(AA2), B4="否"))</f>
        <v/>
      </c>
      <c r="AB5">
        <f>IFERROR(DATE(YEAR(AA2)-IF(MONTH(AA2)&lt;7,1,0)+1,6,30), "")</f>
        <v/>
      </c>
    </row>
    <row r="6" ht="32" customHeight="1">
      <c r="A6" s="5" t="n"/>
      <c r="B6" s="3" t="n">
        <v>449</v>
      </c>
      <c r="C6" s="5" t="n"/>
      <c r="D6" s="5" t="n"/>
      <c r="E6" s="4" t="inlineStr">
        <is>
          <t>土地面積 (m²)</t>
        </is>
      </c>
      <c r="F6" s="5" t="n"/>
      <c r="AA6">
        <f>IFERROR(IF(LEN(B23)=7, DATE(VALUE(LEFT(B23,3))+1911, VALUE(MID(B23,4,2)), VALUE(RIGHT(B23,2))), IF(LEN(B23)=6, DATE(VALUE(LEFT(B23,2))+1911, VALUE(MID(B23,3,2)), VALUE(RIGHT(B23,2))), "")), "")</f>
        <v/>
      </c>
      <c r="AB6">
        <f>IF(AA5, 12, IFERROR(AB5-AB4+1, ""))</f>
        <v/>
      </c>
    </row>
    <row r="7" ht="32" customHeight="1">
      <c r="A7" s="5" t="n"/>
      <c r="B7" s="9" t="n">
        <v>1.28</v>
      </c>
      <c r="C7" s="5" t="inlineStr"/>
      <c r="D7" s="5" t="n"/>
      <c r="E7" s="4" t="inlineStr">
        <is>
          <t>權利範圍 (% 或 分數)</t>
        </is>
      </c>
      <c r="F7" s="5" t="n"/>
      <c r="AA7">
        <f>IFERROR(IF(LEN(B24)=7, DATE(VALUE(LEFT(B24,3))+1911, VALUE(MID(B24,4,2)), VALUE(RIGHT(B24,2))), IF(LEN(B24)=6, DATE(VALUE(LEFT(B24,2))+1911, VALUE(MID(B24,3,2)), VALUE(RIGHT(B24,2))), "")), "")</f>
        <v/>
      </c>
      <c r="AB7">
        <f>IFERROR(EOMONTH(DATE(YEAR(AB5),2,1),0), "")</f>
        <v/>
      </c>
    </row>
    <row r="8" ht="32" customHeight="1">
      <c r="A8" s="5" t="n"/>
      <c r="B8" s="3" t="inlineStr">
        <is>
          <t>一般用地 (千分之十)</t>
        </is>
      </c>
      <c r="C8" s="5" t="n"/>
      <c r="D8" s="5" t="n"/>
      <c r="E8" s="4" t="inlineStr">
        <is>
          <t>地價稅率</t>
        </is>
      </c>
      <c r="F8" s="5" t="n"/>
      <c r="AA8">
        <f>IFERROR(IF(ISNUMBER(FIND("-",B9)), VALUE(LEFT(B9, FIND("-",B9)-1)), B9), B9)</f>
        <v/>
      </c>
      <c r="AB8">
        <f>IFERROR(IF(AA1&gt;DATE(YEAR(AA2),8,31), "賣方", "買方"), "")</f>
        <v/>
      </c>
    </row>
    <row r="9" ht="32" customHeight="1">
      <c r="A9" s="5" t="n"/>
      <c r="B9" s="3" t="inlineStr">
        <is>
          <t>13272200-277300</t>
        </is>
      </c>
      <c r="C9" s="5" t="n"/>
      <c r="D9" s="5" t="n"/>
      <c r="E9" s="4" t="inlineStr">
        <is>
          <t>房屋現值 (元)</t>
        </is>
      </c>
      <c r="F9" s="5" t="n"/>
      <c r="AA9">
        <f>IFERROR(IF(ISNUMBER(FIND("-",B9)), VALUE(MID(B9, FIND("-",B9)+1, LEN(B9))), 0), 0)</f>
        <v/>
      </c>
      <c r="AB9">
        <f>IFERROR(IF(AA1&gt;AB7, "賣方", "買方"), "")</f>
        <v/>
      </c>
    </row>
    <row r="10" ht="32" customHeight="1">
      <c r="A10" s="5" t="n"/>
      <c r="B10" s="3" t="inlineStr">
        <is>
          <t>自住用-全國3戶內</t>
        </is>
      </c>
      <c r="C10" s="5" t="n"/>
      <c r="D10" s="10">
        <f>IFERROR(VLOOKUP(B10, 稅率表!$A$2:$B$14, 2, FALSE), "")</f>
        <v/>
      </c>
      <c r="E10" s="4" t="inlineStr">
        <is>
          <t>房屋使用情境</t>
        </is>
      </c>
      <c r="F10" s="5" t="n"/>
      <c r="AA10">
        <f>IF(ISNUMBER(B9), B9, AA8-AA9)</f>
        <v/>
      </c>
      <c r="AB10">
        <f>IFERROR(IF(AA5, MONTH(AA2), AA2-DATE(YEAR(AA2),1,1)+1-AA4),"")</f>
        <v/>
      </c>
    </row>
    <row r="11" ht="32" customHeight="1">
      <c r="AB11">
        <f>IFERROR(IF(AA5, 12-MONTH(AA2), DATE(YEAR(AA2),12,31)-AA2+AA4),"")</f>
        <v/>
      </c>
    </row>
    <row r="12" ht="32" customHeight="1">
      <c r="A12" s="8" t="inlineStr">
        <is>
          <t>模式二：快速稅額輸入</t>
        </is>
      </c>
      <c r="B12" s="11" t="n"/>
      <c r="C12" s="5" t="n"/>
      <c r="D12" s="5" t="n"/>
      <c r="E12" s="4" t="inlineStr">
        <is>
          <t>年度應納地價稅 (快速)</t>
        </is>
      </c>
      <c r="F12" s="12" t="inlineStr">
        <is>
          <t>若填寫此區藍色欄位，將優先採用此處稅額進行計算。</t>
        </is>
      </c>
      <c r="AB12">
        <f>IFERROR(IF(AA5, IF(MONTH(AA2)&gt;=7, MONTH(AA2)-6, MONTH(AA2)+6), AA2-AB4+1-AA4),"")</f>
        <v/>
      </c>
    </row>
    <row r="13" ht="32" customHeight="1">
      <c r="A13" s="5" t="n"/>
      <c r="B13" s="11" t="n"/>
      <c r="C13" s="5" t="n"/>
      <c r="D13" s="5" t="n"/>
      <c r="E13" s="4" t="inlineStr">
        <is>
          <t>年度應納房屋稅 (快速)</t>
        </is>
      </c>
      <c r="F13" s="5" t="n"/>
      <c r="AB13">
        <f>IFERROR(IF(AA5, 12 - IF(MONTH(AA2)&gt;=7, MONTH(AA2)-6, MONTH(AA2)+6), AB5-AA2+AA4),"")</f>
        <v/>
      </c>
    </row>
    <row r="14" ht="32" customHeight="1">
      <c r="A14" s="8" t="inlineStr">
        <is>
          <t>（二）核心稅費計算</t>
        </is>
      </c>
      <c r="B14" s="5" t="n"/>
      <c r="C14" s="5" t="n"/>
      <c r="D14" s="5" t="n"/>
      <c r="E14" s="5" t="n"/>
      <c r="F14" s="5" t="n"/>
    </row>
    <row r="15" ht="45" customHeight="1">
      <c r="A15" s="13" t="inlineStr">
        <is>
          <t>項目</t>
        </is>
      </c>
      <c r="B15" s="13" t="inlineStr">
        <is>
          <t>賣方持有期間</t>
        </is>
      </c>
      <c r="C15" s="13" t="inlineStr">
        <is>
          <t>買方持有期間</t>
        </is>
      </c>
      <c r="D15" s="13" t="inlineStr">
        <is>
          <t>年度總稅額</t>
        </is>
      </c>
      <c r="E15" s="13" t="inlineStr">
        <is>
          <t>找補金額</t>
        </is>
      </c>
      <c r="F15" s="13" t="inlineStr">
        <is>
          <t>備註 (計算過程 &amp; 稅務規則)</t>
        </is>
      </c>
    </row>
    <row r="16" ht="160" customHeight="1">
      <c r="A16" s="14" t="inlineStr">
        <is>
          <t>地價稅</t>
        </is>
      </c>
      <c r="B16" s="15">
        <f>IF(AB10&lt;&gt;"", AB10 &amp; IF(AA5, " 月", " 天"), "")</f>
        <v/>
      </c>
      <c r="C16" s="15">
        <f>IF(AB11&lt;&gt;"", AB11 &amp; IF(AA5, " 月", " 天"), "")</f>
        <v/>
      </c>
      <c r="D16" s="16">
        <f>AB1</f>
        <v/>
      </c>
      <c r="E16" s="16">
        <f>IFERROR(IF(AB8="賣方", ROUND(D16*AB11/AB3,0), ROUND(D16*AB10/AB3,0)),0)</f>
        <v/>
      </c>
      <c r="F16" s="17">
        <f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17" ht="160" customHeight="1">
      <c r="A17" s="14" t="inlineStr">
        <is>
          <t>房屋稅</t>
        </is>
      </c>
      <c r="B17" s="18">
        <f>IF(AB12&lt;&gt;"", AB12 &amp; IF(AA5, " 月", " 天"), "")</f>
        <v/>
      </c>
      <c r="C17" s="18">
        <f>IF(AB13&lt;&gt;"", AB13 &amp; IF(AA5, " 月", " 天"), "")</f>
        <v/>
      </c>
      <c r="D17" s="16">
        <f>AB2</f>
        <v/>
      </c>
      <c r="E17" s="16">
        <f>IFERROR(IF(AB9="賣方", ROUND(D17*AB13/AB6,0), ROUND(D17*AB12/AB6,0)),0)</f>
        <v/>
      </c>
      <c r="F17" s="17">
        <f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"(" &amp; TEXT(AA8,"#,##0") &amp; "-" &amp; TEXT(AA9,"#,##0") &amp; ")", TEXT(AA10,"#,##0")) &amp; " * " &amp; TEXT(D10,"0.0%")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</row>
    <row r="18" ht="32" customHeight="1">
      <c r="A18" s="5" t="n"/>
      <c r="B18" s="5" t="n"/>
      <c r="C18" s="5" t="n"/>
      <c r="D18" s="5" t="n"/>
      <c r="E18" s="5" t="n"/>
      <c r="F18" s="5" t="n"/>
    </row>
    <row r="19" ht="32" customHeight="1">
      <c r="A19" s="8" t="inlineStr">
        <is>
          <t>（三）其他費用分算</t>
        </is>
      </c>
      <c r="B19" s="5" t="n"/>
      <c r="C19" s="5" t="n"/>
      <c r="D19" s="5" t="n"/>
      <c r="E19" s="5" t="n"/>
      <c r="F19" s="5" t="n"/>
    </row>
    <row r="20" ht="32" customHeight="1">
      <c r="A20" s="2" t="inlineStr">
        <is>
          <t>管理費(月)</t>
        </is>
      </c>
      <c r="B20" s="3" t="n">
        <v>4430</v>
      </c>
      <c r="C20" s="19" t="inlineStr">
        <is>
          <t>請填寫月繳金額，若無則填 0。
找補金額將依交屋日與費用預繳截止日，按當月天數比例分算。</t>
        </is>
      </c>
      <c r="D20" s="5" t="n"/>
      <c r="E20" s="5" t="n"/>
      <c r="F20" s="5" t="n"/>
    </row>
    <row r="21" ht="32" customHeight="1">
      <c r="A21" s="2" t="inlineStr">
        <is>
          <t>車位費(月)</t>
        </is>
      </c>
      <c r="B21" s="3" t="n">
        <v>1200</v>
      </c>
      <c r="C21" s="5" t="n"/>
      <c r="D21" s="5" t="n"/>
      <c r="E21" s="5" t="n"/>
      <c r="F21" s="5" t="n"/>
      <c r="AB21">
        <f>IFERROR(IF(AND(B20&gt;0, AA6&gt;=AA2), IF((YEAR(AA6)=YEAR(AA2))*(MONTH(AA6)=MONTH(AA2)), ROUND(B20*(AA6-AA2+AA4)/DAY(EOMONTH(AA2,0)),0), ROUND((B20*(DAY(EOMONTH(AA2,0))-DAY(AA2)+AA4)/DAY(EOMONTH(AA2,0))) + (B20*MAX(0,(YEAR(AA6)-YEAR(AA2))*12+MONTH(AA6)-MONTH(AA2)-1)) + (B20*DAY(AA6)/DAY(EOMONTH(AA6,0))),0)), 0), 0)</f>
        <v/>
      </c>
    </row>
    <row r="22" ht="32" customHeight="1">
      <c r="A22" s="2" t="inlineStr">
        <is>
          <t>押金/保證金</t>
        </is>
      </c>
      <c r="B22" s="3" t="n">
        <v>0</v>
      </c>
      <c r="C22" s="5" t="n"/>
      <c r="D22" s="5" t="n"/>
      <c r="E22" s="20" t="inlineStr">
        <is>
          <t>此金額將作為「賣方應付給買方」的款項</t>
        </is>
      </c>
      <c r="F22" s="5" t="n"/>
      <c r="AB22">
        <f>IFERROR(IF(AND(B21&gt;0, AA7&gt;=AA2), IF((YEAR(AA7)=YEAR(AA2))*(MONTH(AA7)=MONTH(AA2)), ROUND(B21*(AA7-AA2+AA4)/DAY(EOMONTH(AA2,0)),0), ROUND((B21*(DAY(EOMONTH(AA2,0))-DAY(AA2)+AA4)/DAY(EOMONTH(AA2,0))) + (B21*MAX(0,(YEAR(AA7)-YEAR(AA2))*12+MONTH(AA7)-MONTH(AA2)-1)) + (B21*DAY(AA7)/DAY(EOMONTH(AA7,0))),0)), 0), 0)</f>
        <v/>
      </c>
    </row>
    <row r="23" ht="32" customHeight="1">
      <c r="A23" s="2" t="inlineStr">
        <is>
          <t>管理費已預繳至</t>
        </is>
      </c>
      <c r="B23" s="3" t="n">
        <v>1141031</v>
      </c>
      <c r="C23" s="5">
        <f>IF(AA6&lt;&gt;"", TEXT(AA6, "民國 e 年 m 月 d 日"), "格式: YYYMMDD")</f>
        <v/>
      </c>
      <c r="D23" s="5" t="n"/>
      <c r="E23" s="5" t="n"/>
      <c r="F23" s="5" t="n"/>
      <c r="AB23">
        <f>AB21+AB22</f>
        <v/>
      </c>
    </row>
    <row r="24" ht="32" customHeight="1">
      <c r="A24" s="2" t="inlineStr">
        <is>
          <t>車位費已預繳至</t>
        </is>
      </c>
      <c r="B24" s="3" t="n">
        <v>1141031</v>
      </c>
      <c r="C24" s="5">
        <f>IF(AA7&lt;&gt;"", TEXT(AA7, "民國 e 年 m 月 d 日"), "格式: YYYMMDD")</f>
        <v/>
      </c>
      <c r="D24" s="5" t="n"/>
      <c r="E24" s="5" t="n"/>
      <c r="F24" s="5" t="n"/>
      <c r="AB24">
        <f>IFERROR(IF(AND(B20&gt;0, AA6&lt;AA2), ROUND((B20*(DAY(EOMONTH(AA6,0))-DAY(AA6))/DAY(EOMONTH(AA6,0))) + (B20*MAX(0,(YEAR(AA2)-YEAR(AA6))*12+MONTH(AA2)-MONTH(AA6)-1)) + (B20*DAY(AA2)/DAY(EOMONTH(AA2,0))),0), 0), 0)</f>
        <v/>
      </c>
    </row>
    <row r="25" ht="32" customHeight="1">
      <c r="A25" s="21" t="inlineStr">
        <is>
          <t>其他費用找補金額 (管理費、清潔費)</t>
        </is>
      </c>
      <c r="B25" s="5" t="n"/>
      <c r="C25" s="5" t="n"/>
      <c r="D25" s="22">
        <f>AB23</f>
        <v/>
      </c>
      <c r="E25" s="5" t="n"/>
      <c r="F25" s="5" t="n"/>
      <c r="AB25">
        <f>IFERROR(IF(AND(B21&gt;0, AA7&lt;AA2), ROUND((B21*(DAY(EOMONTH(AA7,0))-DAY(AA7))/DAY(EOMONTH(AA7,0))) + (B21*MAX(0,(YEAR(AA2)-YEAR(AA7))*12+MONTH(AA2)-MONTH(AA7)-1)) + (B21*DAY(AA2)/DAY(EOMONTH(AA2,0))),0), 0), 0)</f>
        <v/>
      </c>
    </row>
    <row r="26" ht="32" customHeight="1">
      <c r="A26" s="14">
        <f>IF(D25&gt;0, "買方應補貼賣方 NT$ " &amp; TEXT(D25, "#,##0") &amp; " 元", "管理費、車位費無需找補")</f>
        <v/>
      </c>
      <c r="B26" s="5" t="n"/>
      <c r="C26" s="5" t="n"/>
      <c r="D26" s="5" t="n"/>
      <c r="E26" s="5" t="n"/>
      <c r="F26" s="5" t="n"/>
    </row>
    <row r="27" ht="32" customHeight="1"/>
    <row r="28" ht="32" customHeight="1">
      <c r="A28" s="8" t="inlineStr">
        <is>
          <t>（四）最終結算</t>
        </is>
      </c>
      <c r="B28" s="5" t="n"/>
      <c r="C28" s="5" t="n"/>
      <c r="D28" s="5" t="n"/>
      <c r="E28" s="5" t="n"/>
      <c r="F28" s="5" t="n"/>
    </row>
    <row r="29" ht="32" customHeight="1">
      <c r="A29" s="13" t="inlineStr">
        <is>
          <t>項目</t>
        </is>
      </c>
      <c r="B29" s="13" t="n"/>
      <c r="C29" s="13" t="inlineStr">
        <is>
          <t>買方應付給賣方</t>
        </is>
      </c>
      <c r="D29" s="13" t="inlineStr">
        <is>
          <t>賣方應付給買方</t>
        </is>
      </c>
      <c r="E29" s="13" t="inlineStr">
        <is>
          <t>說明</t>
        </is>
      </c>
      <c r="F29" s="13" t="n"/>
    </row>
    <row r="30" ht="32" customHeight="1">
      <c r="A30" s="4" t="inlineStr">
        <is>
          <t>地價稅找補</t>
        </is>
      </c>
      <c r="B30" s="5" t="n"/>
      <c r="C30" s="23">
        <f>IF(AB8="賣方", E16, 0)</f>
        <v/>
      </c>
      <c r="D30" s="24">
        <f>IF(AB8="買方", E16, 0)</f>
        <v/>
      </c>
      <c r="E30" s="19" t="inlineStr">
        <is>
          <t>依持有天數比例分算</t>
        </is>
      </c>
      <c r="F30" s="5" t="n"/>
    </row>
    <row r="31" ht="32" customHeight="1">
      <c r="A31" s="4" t="inlineStr">
        <is>
          <t>房屋稅找補</t>
        </is>
      </c>
      <c r="B31" s="5" t="n"/>
      <c r="C31" s="23">
        <f>IF(AB9="賣方", E17, 0)</f>
        <v/>
      </c>
      <c r="D31" s="24">
        <f>IF(AB9="買方", E17, 0)</f>
        <v/>
      </c>
      <c r="E31" s="19" t="inlineStr">
        <is>
          <t>依持有天數比例分算</t>
        </is>
      </c>
      <c r="F31" s="5" t="n"/>
    </row>
    <row r="32" ht="32" customHeight="1">
      <c r="A32" s="4" t="inlineStr">
        <is>
          <t>管理費找補</t>
        </is>
      </c>
      <c r="B32" s="5" t="n"/>
      <c r="C32" s="23">
        <f>AB21</f>
        <v/>
      </c>
      <c r="D32" s="24">
        <f>AB24</f>
        <v/>
      </c>
      <c r="E32" s="19">
        <f>IF(C32&gt;0, "月費 " &amp; TEXT(B20, "#,##0") &amp; " 元，賣方已預繳至 " &amp; TEXT(AA6, "e/m/d") &amp; "，依交屋後買方應持有之 " &amp; TEXT(AA6-AA2+AA4, "0") &amp; " 天計算。", IF(D32&gt;0, "月費 " &amp; TEXT(B20, "#,##0") &amp; " 元，賣方僅繳納至 " &amp; TEXT(AA6, "e/m/d") &amp; "，依交屋前賣方應持有之 " &amp; TEXT(AA2-AA6, "0") &amp; " 天計算補繳。", "無需找補"))</f>
        <v/>
      </c>
      <c r="F32" s="5" t="n"/>
    </row>
    <row r="33" ht="32" customHeight="1">
      <c r="A33" s="4" t="inlineStr">
        <is>
          <t>車位費找補</t>
        </is>
      </c>
      <c r="B33" s="5" t="n"/>
      <c r="C33" s="23">
        <f>AB22</f>
        <v/>
      </c>
      <c r="D33" s="24">
        <f>AB25</f>
        <v/>
      </c>
      <c r="E33" s="19">
        <f>IF(C33&gt;0, "月費 " &amp; TEXT(B21, "#,##0") &amp; " 元，賣方已預繳至 " &amp; TEXT(AA7, "e/m/d") &amp; "，依交屋後買方應持有之 " &amp; TEXT(AA7-AA2+AA4, "0") &amp; " 天計算。", IF(D33&gt;0, "月費 " &amp; TEXT(B21, "#,##0") &amp; " 元，賣方僅繳納至 " &amp; TEXT(AA7, "e/m/d") &amp; "，依交屋前賣方應持有之 " &amp; TEXT(AA2-AA7, "0") &amp; " 天計算補繳。", "無需找補"))</f>
        <v/>
      </c>
      <c r="F33" s="5" t="n"/>
    </row>
    <row r="34" ht="32" customHeight="1">
      <c r="A34" s="4" t="inlineStr">
        <is>
          <t>押金/保證金轉交</t>
        </is>
      </c>
      <c r="B34" s="5" t="n"/>
      <c r="C34" s="23" t="n">
        <v>0</v>
      </c>
      <c r="D34" s="24">
        <f>IF(B22&lt;&gt;"", B22, 0)</f>
        <v/>
      </c>
      <c r="E34" s="19" t="inlineStr">
        <is>
          <t>賣方將原持有之押金轉交給新屋主(買方)</t>
        </is>
      </c>
      <c r="F34" s="5" t="n"/>
    </row>
    <row r="35" ht="32" customHeight="1">
      <c r="A35" s="21" t="inlineStr">
        <is>
          <t>款項小計</t>
        </is>
      </c>
      <c r="B35" s="5" t="n"/>
      <c r="C35" s="23">
        <f>SUM(C30:C34)</f>
        <v/>
      </c>
      <c r="D35" s="24">
        <f>SUM(D30:D34)</f>
        <v/>
      </c>
      <c r="E35" s="5" t="n"/>
      <c r="F35" s="5" t="n"/>
    </row>
    <row r="36" ht="55" customHeight="1">
      <c r="A36" s="25" t="inlineStr">
        <is>
          <t>最終結算結果</t>
        </is>
      </c>
      <c r="B36" s="26">
        <f>IF(C35&gt;D35, "【買方】應支付給【賣方】 NT$ " &amp; TEXT(C35-D35, "#,##0"), IF(D35&gt;C35, "【賣方】應支付給【買方】 NT$ " &amp; TEXT(D35-C35, "#,##0"), "雙方無需找補"))</f>
        <v/>
      </c>
      <c r="C36" s="27" t="n"/>
      <c r="D36" s="27" t="n"/>
      <c r="E36" s="27" t="n"/>
      <c r="F36" s="27" t="n"/>
    </row>
    <row r="37" ht="32" customHeight="1">
      <c r="A37" s="27" t="n"/>
      <c r="B37" s="27" t="n"/>
      <c r="C37" s="27" t="n"/>
      <c r="D37" s="27" t="n"/>
      <c r="E37" s="27" t="n"/>
      <c r="F37" s="27" t="n"/>
    </row>
    <row r="38" ht="32" customHeight="1"/>
    <row r="39" ht="32" customHeight="1">
      <c r="A39" s="28" t="inlineStr">
        <is>
          <t>本計算機由 陳定康 設計</t>
        </is>
      </c>
    </row>
    <row r="40" ht="32" customHeight="1"/>
    <row r="41" ht="32" customHeight="1"/>
    <row r="42" ht="32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</sheetData>
  <mergeCells count="49">
    <mergeCell ref="A25:C25"/>
    <mergeCell ref="A31:B31"/>
    <mergeCell ref="A30:B30"/>
    <mergeCell ref="B8:D8"/>
    <mergeCell ref="E33:F33"/>
    <mergeCell ref="F12:F13"/>
    <mergeCell ref="C20:F21"/>
    <mergeCell ref="E5:F5"/>
    <mergeCell ref="B13:D13"/>
    <mergeCell ref="A36:A37"/>
    <mergeCell ref="A26:F26"/>
    <mergeCell ref="E8:F8"/>
    <mergeCell ref="C4:D4"/>
    <mergeCell ref="B36:F37"/>
    <mergeCell ref="E35:F35"/>
    <mergeCell ref="E29:F29"/>
    <mergeCell ref="E10:F10"/>
    <mergeCell ref="A12:A13"/>
    <mergeCell ref="A14:F14"/>
    <mergeCell ref="B9:D9"/>
    <mergeCell ref="D25:F25"/>
    <mergeCell ref="E9:F9"/>
    <mergeCell ref="B6:D6"/>
    <mergeCell ref="E31:F31"/>
    <mergeCell ref="D24:F24"/>
    <mergeCell ref="E34:F34"/>
    <mergeCell ref="E6:F6"/>
    <mergeCell ref="B5:D5"/>
    <mergeCell ref="A28:F28"/>
    <mergeCell ref="C2:D2"/>
    <mergeCell ref="A19:F19"/>
    <mergeCell ref="D23:F23"/>
    <mergeCell ref="E30:F30"/>
    <mergeCell ref="A33:B33"/>
    <mergeCell ref="B10:C10"/>
    <mergeCell ref="E2:F4"/>
    <mergeCell ref="A32:B32"/>
    <mergeCell ref="A39:F39"/>
    <mergeCell ref="A5:A10"/>
    <mergeCell ref="A35:B35"/>
    <mergeCell ref="C7:D7"/>
    <mergeCell ref="A29:B29"/>
    <mergeCell ref="E32:F32"/>
    <mergeCell ref="E7:F7"/>
    <mergeCell ref="A1:F1"/>
    <mergeCell ref="E22:F22"/>
    <mergeCell ref="B12:D12"/>
    <mergeCell ref="C3:D3"/>
    <mergeCell ref="A34:B34"/>
  </mergeCells>
  <dataValidations count="4">
    <dataValidation sqref="B4" showDropDown="0" showInputMessage="0" showErrorMessage="0" allowBlank="0" type="list">
      <formula1>"是,否"</formula1>
    </dataValidation>
    <dataValidation sqref="B8" showDropDown="0" showInputMessage="0" showErrorMessage="0" allowBlank="0" type="list">
      <formula1>=稅率表!$D$2:$D$3</formula1>
    </dataValidation>
    <dataValidation sqref="B10" showDropDown="0" showInputMessage="0" showErrorMessage="0" allowBlank="0" type="list">
      <formula1>=稅率表!$A$2:$A$14</formula1>
    </dataValidation>
    <dataValidation sqref="B3" showDropDown="0" showInputMessage="0" showErrorMessage="0" allowBlank="0" errorTitle="日期輸入錯誤" error="【房屋點交日期】(B3) 必須晚於或等於【權狀登記日期】(B2)。&#10;&#10;請重新輸入正確的日期。" type="custom">
      <formula1>=VALUE(B3)&gt;=VALUE(B2)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30" customWidth="1" min="4" max="4"/>
    <col width="15" customWidth="1" min="5" max="5"/>
  </cols>
  <sheetData>
    <row r="1">
      <c r="A1" s="29" t="inlineStr">
        <is>
          <t>房屋使用情境選項</t>
        </is>
      </c>
      <c r="B1" s="29" t="inlineStr">
        <is>
          <t>對應稅率</t>
        </is>
      </c>
      <c r="D1" s="29" t="inlineStr">
        <is>
          <t>地價稅率選項</t>
        </is>
      </c>
      <c r="E1" s="29" t="inlineStr">
        <is>
          <t>對應稅率</t>
        </is>
      </c>
    </row>
    <row r="2">
      <c r="A2" t="inlineStr">
        <is>
          <t>自住用-全國單一自住(現值一定金額下)</t>
        </is>
      </c>
      <c r="B2" s="30" t="n">
        <v>0.01</v>
      </c>
      <c r="D2" t="inlineStr">
        <is>
          <t>自用住宅 (千分之二)</t>
        </is>
      </c>
      <c r="E2" s="31" t="n">
        <v>0.002</v>
      </c>
    </row>
    <row r="3">
      <c r="A3" t="inlineStr">
        <is>
          <t>自住用-全國3戶內</t>
        </is>
      </c>
      <c r="B3" s="30" t="n">
        <v>0.012</v>
      </c>
      <c r="D3" t="inlineStr">
        <is>
          <t>一般用地 (千分之十)</t>
        </is>
      </c>
      <c r="E3" s="31" t="n">
        <v>0.01</v>
      </c>
    </row>
    <row r="4">
      <c r="A4" t="inlineStr">
        <is>
          <t>公益出租人/社會住宅</t>
        </is>
      </c>
      <c r="B4" s="30" t="n">
        <v>0.012</v>
      </c>
    </row>
    <row r="5">
      <c r="A5" t="inlineStr">
        <is>
          <t>非自住-出租(達租金標準)/繼承共有-4戶內</t>
        </is>
      </c>
      <c r="B5" s="30" t="n">
        <v>0.015</v>
      </c>
    </row>
    <row r="6">
      <c r="A6" t="inlineStr">
        <is>
          <t>非自住-出租(達租金標準)/繼承共有-5~6戶</t>
        </is>
      </c>
      <c r="B6" s="30" t="n">
        <v>0.02</v>
      </c>
    </row>
    <row r="7">
      <c r="A7" t="inlineStr">
        <is>
          <t>非自住-出租(達租金標準)/繼承共有-7戶以上</t>
        </is>
      </c>
      <c r="B7" s="30" t="n">
        <v>0.024</v>
      </c>
    </row>
    <row r="8">
      <c r="A8" t="inlineStr">
        <is>
          <t>非自住-其他住家用-2戶內</t>
        </is>
      </c>
      <c r="B8" s="30" t="n">
        <v>0.032</v>
      </c>
    </row>
    <row r="9">
      <c r="A9" t="inlineStr">
        <is>
          <t>非自住-其他住家用-3~4戶</t>
        </is>
      </c>
      <c r="B9" s="30" t="n">
        <v>0.038</v>
      </c>
    </row>
    <row r="10">
      <c r="A10" t="inlineStr">
        <is>
          <t>非自住-其他住家用-5~6戶</t>
        </is>
      </c>
      <c r="B10" s="30" t="n">
        <v>0.042</v>
      </c>
    </row>
    <row r="11">
      <c r="A11" t="inlineStr">
        <is>
          <t>非自住-其他住家用-7戶以上</t>
        </is>
      </c>
      <c r="B11" s="30" t="n">
        <v>0.048</v>
      </c>
    </row>
    <row r="12">
      <c r="A12" t="inlineStr">
        <is>
          <t>營業用</t>
        </is>
      </c>
      <c r="B12" s="30" t="n">
        <v>0.03</v>
      </c>
    </row>
    <row r="13">
      <c r="A13" t="inlineStr">
        <is>
          <t>私人醫院/診所/事務所用</t>
        </is>
      </c>
      <c r="B13" s="30" t="n">
        <v>0.03</v>
      </c>
    </row>
    <row r="14">
      <c r="A14" t="inlineStr">
        <is>
          <t>非住家非營業用(人民團體等)</t>
        </is>
      </c>
      <c r="B14" s="30" t="n">
        <v>0.02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</dc:description>
  <dcterms:created xmlns:dcterms="http://purl.org/dc/terms/" xmlns:xsi="http://www.w3.org/2001/XMLSchema-instance" xsi:type="dcterms:W3CDTF">2025-10-12T06:49:30Z</dcterms:created>
  <dcterms:modified xmlns:dcterms="http://purl.org/dc/terms/" xmlns:xsi="http://www.w3.org/2001/XMLSchema-instance" xsi:type="dcterms:W3CDTF">2025-10-12T06:49:30Z</dcterms:modified>
</cp:coreProperties>
</file>