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專業稅費分算計算機" sheetId="1" state="visible" r:id="rId1"/>
    <sheet xmlns:r="http://schemas.openxmlformats.org/officeDocument/2006/relationships" name="稅率表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微軟正黑體"/>
      <b val="1"/>
      <sz val="18"/>
    </font>
    <font>
      <name val="微軟正黑體"/>
      <sz val="12"/>
    </font>
    <font>
      <name val="微軟正黑體"/>
      <b val="1"/>
      <sz val="12"/>
    </font>
    <font>
      <name val="微軟正黑體"/>
      <b val="1"/>
      <color rgb="00C00000"/>
      <sz val="12"/>
    </font>
    <font>
      <name val="微軟正黑體"/>
      <b val="1"/>
      <sz val="14"/>
    </font>
    <font>
      <name val="微軟正黑體"/>
      <i val="1"/>
      <sz val="11"/>
    </font>
    <font>
      <name val="微軟正黑體"/>
      <b val="1"/>
      <color rgb="000000FF"/>
      <sz val="12"/>
    </font>
    <font>
      <name val="微軟正黑體"/>
      <b val="1"/>
      <color rgb="00C00000"/>
      <sz val="16"/>
    </font>
    <font>
      <name val="微軟正黑體"/>
      <color rgb="00808080"/>
      <sz val="10"/>
    </font>
  </fonts>
  <fills count="9">
    <fill>
      <patternFill/>
    </fill>
    <fill>
      <patternFill patternType="gray125"/>
    </fill>
    <fill>
      <patternFill patternType="solid">
        <fgColor rgb="00D7E9D1"/>
        <bgColor rgb="00D7E9D1"/>
      </patternFill>
    </fill>
    <fill>
      <patternFill patternType="solid">
        <fgColor rgb="00E7E6E6"/>
        <bgColor rgb="00E7E6E6"/>
      </patternFill>
    </fill>
    <fill>
      <patternFill patternType="solid">
        <fgColor rgb="00FFFFE0"/>
        <bgColor rgb="00FFFFE0"/>
      </patternFill>
    </fill>
    <fill>
      <patternFill patternType="solid">
        <fgColor rgb="00EAF1FF"/>
        <bgColor rgb="00EAF1FF"/>
      </patternFill>
    </fill>
    <fill>
      <patternFill patternType="solid">
        <fgColor rgb="00E2EFDA"/>
        <bgColor rgb="00E2EFDA"/>
      </patternFill>
    </fill>
    <fill>
      <patternFill patternType="solid">
        <fgColor rgb="00DEEBF7"/>
        <bgColor rgb="00DEEBF7"/>
      </patternFill>
    </fill>
    <fill>
      <patternFill patternType="solid">
        <fgColor rgb="00FFF2E6"/>
        <bgColor rgb="00FFF2E6"/>
      </patternFill>
    </fill>
  </fills>
  <borders count="3">
    <border>
      <left/>
      <right/>
      <top/>
      <bottom/>
      <diagonal/>
    </border>
    <border>
      <left style="thin"/>
      <right style="thin"/>
      <top style="thin"/>
      <bottom style="thin"/>
    </border>
    <border>
      <left style="medium"/>
      <right style="medium"/>
      <top style="medium"/>
      <bottom style="medium"/>
    </border>
  </borders>
  <cellStyleXfs count="1">
    <xf numFmtId="0" fontId="0" fillId="0" borderId="0"/>
  </cellStyleXfs>
  <cellXfs count="36">
    <xf numFmtId="0" fontId="0" fillId="0" borderId="0" pivotButton="0" quotePrefix="0" xfId="0"/>
    <xf numFmtId="0" fontId="1" fillId="2" borderId="0" applyAlignment="1" pivotButton="0" quotePrefix="0" xfId="0">
      <alignment horizontal="center" vertical="center" wrapText="1"/>
    </xf>
    <xf numFmtId="0" fontId="2" fillId="3" borderId="1" applyAlignment="1" pivotButton="0" quotePrefix="0" xfId="0">
      <alignment horizontal="right" vertical="center" wrapText="1"/>
    </xf>
    <xf numFmtId="49" fontId="2" fillId="4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4" fillId="0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2" fillId="4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left" vertical="center" wrapText="1"/>
    </xf>
    <xf numFmtId="0" fontId="5" fillId="3" borderId="1" applyAlignment="1" pivotButton="0" quotePrefix="0" xfId="0">
      <alignment horizontal="center" vertical="center" wrapText="1"/>
    </xf>
    <xf numFmtId="0" fontId="3" fillId="3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right" vertical="center" wrapText="1"/>
    </xf>
    <xf numFmtId="0" fontId="0" fillId="4" borderId="1" applyAlignment="1" pivotButton="0" quotePrefix="0" xfId="0">
      <alignment horizontal="center" vertical="center" wrapText="1"/>
    </xf>
    <xf numFmtId="49" fontId="0" fillId="4" borderId="1" applyAlignment="1" pivotButton="0" quotePrefix="0" xfId="0">
      <alignment horizontal="center" vertical="center" wrapText="1"/>
    </xf>
    <xf numFmtId="3" fontId="0" fillId="0" borderId="1" applyAlignment="1" pivotButton="0" quotePrefix="0" xfId="0">
      <alignment horizontal="center" vertical="center" wrapText="1"/>
    </xf>
    <xf numFmtId="3" fontId="0" fillId="4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left" vertical="center" wrapText="1"/>
    </xf>
    <xf numFmtId="10" fontId="0" fillId="0" borderId="1" pivotButton="0" quotePrefix="0" xfId="0"/>
    <xf numFmtId="3" fontId="0" fillId="5" borderId="1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6" borderId="1" applyAlignment="1" pivotButton="0" quotePrefix="0" xfId="0">
      <alignment horizontal="center" vertical="center" wrapText="1"/>
    </xf>
    <xf numFmtId="3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top" wrapText="1"/>
    </xf>
    <xf numFmtId="0" fontId="2" fillId="7" borderId="1" applyAlignment="1" pivotButton="0" quotePrefix="0" xfId="0">
      <alignment horizontal="center" vertical="center" wrapText="1"/>
    </xf>
    <xf numFmtId="0" fontId="2" fillId="4" borderId="1" applyAlignment="1" pivotButton="0" quotePrefix="0" xfId="0">
      <alignment horizontal="right" vertical="center" wrapText="1"/>
    </xf>
    <xf numFmtId="49" fontId="2" fillId="4" borderId="1" applyAlignment="1" pivotButton="0" quotePrefix="0" xfId="0">
      <alignment horizontal="right" vertical="center" wrapText="1"/>
    </xf>
    <xf numFmtId="3" fontId="7" fillId="0" borderId="1" applyAlignment="1" pivotButton="0" quotePrefix="0" xfId="0">
      <alignment horizontal="center" vertical="center" wrapText="1"/>
    </xf>
    <xf numFmtId="3" fontId="4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left" vertical="top" wrapText="1"/>
    </xf>
    <xf numFmtId="0" fontId="5" fillId="8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8" fillId="8" borderId="2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right" vertical="center" wrapText="1"/>
    </xf>
    <xf numFmtId="0" fontId="3" fillId="0" borderId="0" pivotButton="0" quotePrefix="0" xfId="0"/>
    <xf numFmtId="1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omments/comment1.xml><?xml version="1.0" encoding="utf-8"?>
<comments xmlns="http://schemas.openxmlformats.org/spreadsheetml/2006/main">
  <authors>
    <author>陳定康</author>
  </authors>
  <commentList>
    <comment ref="E7" authorId="0" shapeId="0">
      <text>
        <t>請輸入分數 (如 1/2)、百分比 (如 50%)、
或純數字 (如 2，將自動視為 2%)。</t>
      </text>
    </comment>
    <comment ref="C15" authorId="0" shapeId="0">
      <text>
        <t>若有多筆稅額，請使用 Excel 公式計算，
例如： =12345+6789</t>
      </text>
    </comment>
    <comment ref="C16" authorId="0" shapeId="0">
      <text>
        <t>若有多筆稅額，請使用 Excel 公式計算，
例如： =12345+6789</t>
      </text>
    </comment>
    <comment ref="B25" authorId="0" shapeId="0">
      <text>
        <t>請輸入該筆租金的實際收款日期，
系統將依此自動判斷找補方向。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B46"/>
  <sheetViews>
    <sheetView workbookViewId="0">
      <selection activeCell="A1" sqref="A1"/>
    </sheetView>
  </sheetViews>
  <sheetFormatPr baseColWidth="8" defaultRowHeight="15"/>
  <cols>
    <col width="20" customWidth="1" min="1" max="1"/>
    <col width="18" customWidth="1" min="2" max="2"/>
    <col width="18" customWidth="1" min="3" max="3"/>
    <col width="18" customWidth="1" min="4" max="4"/>
    <col width="15" customWidth="1" min="5" max="5"/>
    <col width="20" customWidth="1" min="6" max="6"/>
    <col width="18" customWidth="1" min="7" max="7"/>
    <col width="55" customWidth="1" min="8" max="8"/>
    <col hidden="1" width="13" customWidth="1" min="27" max="27"/>
    <col hidden="1" width="13" customWidth="1" min="28" max="28"/>
  </cols>
  <sheetData>
    <row r="1" ht="50" customHeight="1">
      <c r="A1" s="1" t="inlineStr">
        <is>
          <t>不動產買賣稅費分算計算機 v5.33</t>
        </is>
      </c>
      <c r="AA1">
        <f>IFERROR(IF(LEN(C2)=7, DATE(VALUE(LEFT(C2,3))+1911, VALUE(MID(C2,4,2)), VALUE(RIGHT(C2,2))), IF(LEN(C2)=6, DATE(VALUE(LEFT(C2,2))+1911, VALUE(MID(C2,3,2)), VALUE(RIGHT(C2,2))), "")), "")</f>
        <v/>
      </c>
      <c r="AB1">
        <f>IF(C15&lt;&gt;"", C15, AA15)</f>
        <v/>
      </c>
    </row>
    <row r="2" ht="32" customHeight="1">
      <c r="A2" s="2" t="inlineStr">
        <is>
          <t>權狀登記(過戶)日期</t>
        </is>
      </c>
      <c r="B2" s="2" t="n"/>
      <c r="C2" s="3" t="n">
        <v>1141008</v>
      </c>
      <c r="D2" s="4">
        <f>IF(AA1&lt;&gt;"", TEXT(AA1, "民國 e 年 m 月 d 日"), "請依左側格式輸入日期")</f>
        <v/>
      </c>
      <c r="E2" s="4" t="n"/>
      <c r="F2" s="5">
        <f>IF(AA1="","",IF(MOD(YEAR(AA1)-1911,2)=1, "【注意】
民國 " &amp; YEAR(AA1)-1911 &amp; " 年為地價調整年！
前一年稅單僅供參考。", "【資訊】
民國 " &amp; YEAR(AA1)-1911 &amp; " 年非地價調整年。"))</f>
        <v/>
      </c>
      <c r="G2" s="6" t="n"/>
      <c r="H2" s="6" t="n"/>
      <c r="AA2">
        <f>IFERROR(IF(LEN(C3)=7, DATE(VALUE(LEFT(C3,3))+1911, VALUE(MID(C3,4,2)), VALUE(RIGHT(C3,2))), IF(LEN(C3)=6, DATE(VALUE(LEFT(C3,2))+1911, VALUE(MID(C3,3,2)), VALUE(RIGHT(C3,2))), "")), "")</f>
        <v/>
      </c>
      <c r="AB2">
        <f>IF(C16&lt;&gt;"", C16, IFERROR(ROUND(AA18*VLOOKUP(C13, 稅率表!$A$2:$B$15, 2, FALSE),0), ""))</f>
        <v/>
      </c>
    </row>
    <row r="3" ht="32" customHeight="1">
      <c r="A3" s="2" t="inlineStr">
        <is>
          <t>房屋點交(交屋)日期</t>
        </is>
      </c>
      <c r="B3" s="2" t="n"/>
      <c r="C3" s="3" t="n">
        <v>1141008</v>
      </c>
      <c r="D3" s="4">
        <f>IF(AA2&lt;&gt;"", TEXT(AA2, "民國 e 年 m 月 d 日"), "請依左側格式輸入日期")</f>
        <v/>
      </c>
      <c r="E3" s="4" t="n"/>
      <c r="F3" s="6" t="n"/>
      <c r="G3" s="6" t="n"/>
      <c r="H3" s="6" t="n"/>
      <c r="AB3">
        <f>IF(AA5, 12, IFERROR(DATE(YEAR(AA2),12,31)-DATE(YEAR(AA2),1,1)+1, ""))</f>
        <v/>
      </c>
    </row>
    <row r="4" ht="32" customHeight="1">
      <c r="A4" s="2" t="inlineStr">
        <is>
          <t>是否帶租約交屋</t>
        </is>
      </c>
      <c r="B4" s="2" t="n"/>
      <c r="C4" s="7" t="inlineStr">
        <is>
          <t>否</t>
        </is>
      </c>
      <c r="D4" s="8">
        <f>IF(AA5, "【按月分算模式】", "【按日分算模式】") &amp; " 交屋日歸屬：" &amp; IF(C4="是", "買方", "賣方")</f>
        <v/>
      </c>
      <c r="E4" s="6" t="n"/>
      <c r="F4" s="6" t="n"/>
      <c r="G4" s="6" t="n"/>
      <c r="H4" s="6" t="n"/>
      <c r="AA4">
        <f>IF(C4="是", 1, 0)</f>
        <v/>
      </c>
      <c r="AB4">
        <f>IFERROR(DATE(YEAR(AA2)-IF(MONTH(AA2)&lt;7,1,0),7,1), "")</f>
        <v/>
      </c>
    </row>
    <row r="5" ht="32" customHeight="1">
      <c r="A5" s="9" t="inlineStr">
        <is>
          <t>（一）稅額計算模式</t>
        </is>
      </c>
      <c r="B5" s="6" t="n"/>
      <c r="C5" s="6" t="n"/>
      <c r="D5" s="6" t="n"/>
      <c r="E5" s="6" t="n"/>
      <c r="F5" s="6" t="n"/>
      <c r="G5" s="6" t="n"/>
      <c r="H5" s="6" t="n"/>
      <c r="AA5">
        <f>IF(AA2="","",AND(DAY(EOMONTH(AA2,0))=DAY(AA2), C4="否"))</f>
        <v/>
      </c>
      <c r="AB5">
        <f>IFERROR(DATE(YEAR(AA2)-IF(MONTH(AA2)&lt;7,1,0)+1,6,30), "")</f>
        <v/>
      </c>
    </row>
    <row r="6" ht="32" customHeight="1">
      <c r="A6" s="10" t="inlineStr">
        <is>
          <t>模式一：多筆地價詳算</t>
        </is>
      </c>
      <c r="B6" s="11" t="inlineStr">
        <is>
          <t>地號/說明</t>
        </is>
      </c>
      <c r="C6" s="11" t="inlineStr">
        <is>
          <t>申報地價</t>
        </is>
      </c>
      <c r="D6" s="11" t="inlineStr">
        <is>
          <t>面積(m²)</t>
        </is>
      </c>
      <c r="E6" s="11" t="inlineStr">
        <is>
          <t>權利範圍</t>
        </is>
      </c>
      <c r="F6" s="11" t="inlineStr">
        <is>
          <t>土地類型</t>
        </is>
      </c>
      <c r="G6" s="11" t="inlineStr">
        <is>
          <t>地價總額</t>
        </is>
      </c>
      <c r="H6" s="6" t="n"/>
      <c r="AB6">
        <f>IF(AA5, 12, IFERROR(AB5-AB4+1, ""))</f>
        <v/>
      </c>
    </row>
    <row r="7" ht="32" customHeight="1">
      <c r="A7" s="12" t="inlineStr">
        <is>
          <t>土地 1</t>
        </is>
      </c>
      <c r="B7" s="13" t="inlineStr">
        <is>
          <t>甲地</t>
        </is>
      </c>
      <c r="C7" s="13" t="n">
        <v>10000</v>
      </c>
      <c r="D7" s="13" t="n">
        <v>70</v>
      </c>
      <c r="E7" s="14" t="inlineStr">
        <is>
          <t>100%</t>
        </is>
      </c>
      <c r="F7" s="13" t="inlineStr">
        <is>
          <t>一般用地 (10‰)</t>
        </is>
      </c>
      <c r="G7" s="15">
        <f>IFERROR(C7*D7*AA7, "")</f>
        <v/>
      </c>
      <c r="H7" s="6" t="n"/>
      <c r="AA7">
        <f>IFERROR(IF(ISNUMBER(FIND("/",E7)), LEFT(E7, FIND("/", E7)-1) / MID(E7, FIND("/", E7)+1, LEN(E7)), IF(ISNUMBER(FIND("%",E7)), VALUE(SUBSTITUTE(E7,"%",""))/100, IF(ISNUMBER(E7), E7/100, 1))), 1)</f>
        <v/>
      </c>
      <c r="AB7">
        <f>IFERROR(EOMONTH(DATE(YEAR(AB5),2,1),0), "")</f>
        <v/>
      </c>
    </row>
    <row r="8" ht="32" customHeight="1">
      <c r="A8" s="12" t="inlineStr">
        <is>
          <t>土地 2</t>
        </is>
      </c>
      <c r="B8" s="13" t="inlineStr">
        <is>
          <t>乙地</t>
        </is>
      </c>
      <c r="C8" s="13" t="n">
        <v>8800</v>
      </c>
      <c r="D8" s="13" t="n">
        <v>60</v>
      </c>
      <c r="E8" s="14" t="inlineStr">
        <is>
          <t>1/1</t>
        </is>
      </c>
      <c r="F8" s="13" t="inlineStr">
        <is>
          <t>自用住宅 (2‰)</t>
        </is>
      </c>
      <c r="G8" s="15">
        <f>IFERROR(C8*D8*AA8, "")</f>
        <v/>
      </c>
      <c r="H8" s="6" t="n"/>
      <c r="AA8">
        <f>IFERROR(IF(ISNUMBER(FIND("/",E8)), LEFT(E8, FIND("/", E8)-1) / MID(E8, FIND("/", E8)+1, LEN(E8)), IF(ISNUMBER(FIND("%",E8)), VALUE(SUBSTITUTE(E8,"%",""))/100, IF(ISNUMBER(E8), E8/100, 1))), 1)</f>
        <v/>
      </c>
      <c r="AB8">
        <f>IFERROR(IF(AA1&gt;DATE(YEAR(AA2),8,31), "賣方", "買方"), "")</f>
        <v/>
      </c>
    </row>
    <row r="9" ht="32" customHeight="1">
      <c r="A9" s="12" t="inlineStr">
        <is>
          <t>土地 3</t>
        </is>
      </c>
      <c r="B9" s="13" t="n"/>
      <c r="C9" s="13" t="n"/>
      <c r="D9" s="13" t="n"/>
      <c r="E9" s="14" t="n"/>
      <c r="F9" s="13" t="n"/>
      <c r="G9" s="15">
        <f>IFERROR(C9*D9*AA9, "")</f>
        <v/>
      </c>
      <c r="H9" s="6" t="n"/>
      <c r="AA9">
        <f>IFERROR(IF(ISNUMBER(FIND("/",E9)), LEFT(E9, FIND("/", E9)-1) / MID(E9, FIND("/", E9)+1, LEN(E9)), IF(ISNUMBER(FIND("%",E9)), VALUE(SUBSTITUTE(E9,"%",""))/100, IF(ISNUMBER(E9), E9/100, 1))), 1)</f>
        <v/>
      </c>
      <c r="AB9">
        <f>IFERROR(IF(AA1&gt;AB7, "賣方", "買方"), "")</f>
        <v/>
      </c>
    </row>
    <row r="10" ht="32" customHeight="1">
      <c r="A10" s="6" t="inlineStr">
        <is>
          <t>累進起點地價 (元)</t>
        </is>
      </c>
      <c r="B10" s="6" t="n"/>
      <c r="C10" s="16" t="n">
        <v>1700000</v>
      </c>
      <c r="D10" s="17" t="inlineStr">
        <is>
          <t>請輸入該縣市的累進起點地價。若留空或填 0，則一般用地將全部以基本稅率(10‰)計算。</t>
        </is>
      </c>
      <c r="E10" s="6" t="n"/>
      <c r="F10" s="6" t="n"/>
      <c r="G10" s="6" t="n"/>
      <c r="H10" s="6" t="n"/>
      <c r="AB10">
        <f>IFERROR(IF(AA5, MONTH(AA2), AA2-DATE(YEAR(AA2),1,1)+1-AA4),"")</f>
        <v/>
      </c>
    </row>
    <row r="11" ht="32" customHeight="1">
      <c r="A11" s="6" t="n"/>
      <c r="B11" s="6" t="n"/>
      <c r="C11" s="6" t="n"/>
      <c r="D11" s="6" t="n"/>
      <c r="E11" s="6" t="n"/>
      <c r="F11" s="6" t="n"/>
      <c r="G11" s="6" t="n"/>
      <c r="H11" s="6" t="n"/>
      <c r="AA11">
        <f>ROUND(SUMPRODUCT((F7:F9="自用住宅 (2‰)")*G7:G9*0.002),0)</f>
        <v/>
      </c>
      <c r="AB11">
        <f>IFERROR(IF(AA5, 12-MONTH(AA2), DATE(YEAR(AA2),12,31)-AA2+AA4),"")</f>
        <v/>
      </c>
    </row>
    <row r="12" ht="32" customHeight="1">
      <c r="A12" s="6" t="inlineStr">
        <is>
          <t>房屋現值 (元)</t>
        </is>
      </c>
      <c r="B12" s="6" t="n"/>
      <c r="C12" s="13" t="inlineStr">
        <is>
          <t>1000000</t>
        </is>
      </c>
      <c r="D12" s="6" t="n"/>
      <c r="E12" s="6" t="n"/>
      <c r="F12" s="6" t="n"/>
      <c r="G12" s="6" t="n"/>
      <c r="H12" s="6" t="n"/>
      <c r="AA12">
        <f>SUMPRODUCT((F7:F9&lt;&gt;"自用住宅 (2‰)")*G7:G9)</f>
        <v/>
      </c>
      <c r="AB12">
        <f>IFERROR(IF(AA5, IF(MONTH(AA2)&gt;=7, MONTH(AA2)-6, MONTH(AA2)+6), AA2-AB4+1-AA4),"")</f>
        <v/>
      </c>
    </row>
    <row r="13" ht="32" customHeight="1">
      <c r="A13" s="6" t="inlineStr">
        <is>
          <t>房屋使用情境</t>
        </is>
      </c>
      <c r="B13" s="6" t="n"/>
      <c r="C13" s="13" t="inlineStr">
        <is>
          <t>自住用-全國3戶內 (1.2%)</t>
        </is>
      </c>
      <c r="D13" s="18">
        <f>IFERROR(VLOOKUP(C13, 稅率表!$A$2:$B$15, 2, FALSE), "")</f>
        <v/>
      </c>
      <c r="E13" s="6" t="n"/>
      <c r="F13" s="6" t="n"/>
      <c r="G13" s="6" t="n"/>
      <c r="H13" s="6" t="n"/>
      <c r="AA13">
        <f>IF(C10="",0,C10)</f>
        <v/>
      </c>
      <c r="AB13">
        <f>IFERROR(IF(AA5, 12 - IF(MONTH(AA2)&gt;=7, MONTH(AA2)-6, MONTH(AA2)+6), AB5-AA2+AA4),"")</f>
        <v/>
      </c>
    </row>
    <row r="14" ht="32" customHeight="1">
      <c r="A14" s="10" t="inlineStr">
        <is>
          <t>模式二：快速稅額輸入 (若此區有值，將優先採用)</t>
        </is>
      </c>
      <c r="B14" s="6" t="n"/>
      <c r="C14" s="6" t="n"/>
      <c r="AA14">
        <f>ROUND(IF(AA13=0, AA12*0.01, IF(AA12&lt;=AA13, AA12*0.01, IF(AA12&lt;=AA13*5, AA12*0.015-AA13*0.005, IF(AA12&lt;=AA13*10, AA12*0.025-AA13*0.065, IF(AA12&lt;=AA13*15, AA12*0.035-AA13*0.175, IF(AA12&lt;=AA13*20, AA12*0.045-AA13*0.335, AA12*0.055-AA13*0.545)))))),0)</f>
        <v/>
      </c>
    </row>
    <row r="15" ht="32" customHeight="1">
      <c r="A15" s="6" t="inlineStr">
        <is>
          <t>年度應納地價稅</t>
        </is>
      </c>
      <c r="B15" s="6" t="n"/>
      <c r="C15" s="19" t="n"/>
      <c r="AA15">
        <f>AA11+AA14</f>
        <v/>
      </c>
    </row>
    <row r="16" ht="32" customHeight="1">
      <c r="A16" s="6" t="inlineStr">
        <is>
          <t>年度應納房屋稅</t>
        </is>
      </c>
      <c r="B16" s="6" t="n"/>
      <c r="C16" s="19" t="n"/>
      <c r="AA16">
        <f>IFERROR(IF(ISNUMBER(FIND("-",C12)), VALUE(LEFT(C12, FIND("-",C12)-1)), C12), C12)</f>
        <v/>
      </c>
    </row>
    <row r="17" ht="32" customHeight="1">
      <c r="A17" s="9" t="inlineStr">
        <is>
          <t>（二）核心稅費計算</t>
        </is>
      </c>
      <c r="B17" s="6" t="n"/>
      <c r="C17" s="6" t="n"/>
      <c r="D17" s="6" t="n"/>
      <c r="E17" s="6" t="n"/>
      <c r="F17" s="6" t="n"/>
      <c r="G17" s="6" t="n"/>
      <c r="H17" s="6" t="n"/>
      <c r="AA17">
        <f>IFERROR(IF(ISNUMBER(FIND("-",C12)), VALUE(MID(C12, FIND("-",C12)+1, LEN(C12))), 0), 0)</f>
        <v/>
      </c>
    </row>
    <row r="18" ht="180" customHeight="1">
      <c r="A18" s="10" t="inlineStr">
        <is>
          <t>項目</t>
        </is>
      </c>
      <c r="B18" s="10" t="inlineStr">
        <is>
          <t>賣方持有期間</t>
        </is>
      </c>
      <c r="C18" s="10" t="inlineStr">
        <is>
          <t>買方持有期間</t>
        </is>
      </c>
      <c r="D18" s="10" t="inlineStr">
        <is>
          <t>年度總稅額</t>
        </is>
      </c>
      <c r="E18" s="10" t="inlineStr">
        <is>
          <t>找補金額</t>
        </is>
      </c>
      <c r="F18" s="10" t="n"/>
      <c r="G18" s="10" t="n"/>
      <c r="H18" s="10" t="n"/>
      <c r="AA18">
        <f>IF(ISNUMBER(C12), C12, AA16-AA17)</f>
        <v/>
      </c>
    </row>
    <row r="19" ht="180" customHeight="1">
      <c r="A19" s="20" t="inlineStr">
        <is>
          <t>地價稅</t>
        </is>
      </c>
      <c r="B19" s="21">
        <f>IF(AB10&lt;&gt;"", AB10 &amp; IF(AA5, " 月", " 天"), "")</f>
        <v/>
      </c>
      <c r="C19" s="21">
        <f>IF(AB11&lt;&gt;"", AB11 &amp; IF(AA5, " 月", " 天"), "")</f>
        <v/>
      </c>
      <c r="D19" s="22">
        <f>AB1</f>
        <v/>
      </c>
      <c r="E19" s="22">
        <f>IFERROR(IF(AB8="賣方", ROUND(D19*AB11/AB3,0), ROUND(D19*AB10/AB3,0)),0)</f>
        <v/>
      </c>
      <c r="F19" s="22" t="n"/>
      <c r="G19" s="22" t="n"/>
      <c r="H19" s="23">
        <f>IF(E19=0, "無需找補", "納稅人為【" &amp; AB8 &amp; "】，" &amp; IF(AB8="賣方", "由【買方】補貼賣方", "由【賣方】補貼買方") &amp; "。" &amp; CHAR(10) &amp; "【找補計算】" &amp; CHAR(10) &amp; "  " &amp; TEXT(D19, "#,##0") &amp; " * (" &amp; IF(AB8="賣方", AB11, AB10) &amp; " / " &amp; AB3 &amp; ") = " &amp; TEXT(E19, "#,##0") &amp; CHAR(10) &amp; "【款項性質】" &amp; CHAR(10) &amp; "  " &amp; "此為民國 " &amp; YEAR(AA2)-1911 &amp; " 年度地價稅找補，屬【" &amp; IF(AA2&gt;DATE(YEAR(AA2),8,31), "未到期數", "已到期數") &amp; "】款項。" &amp; CHAR(10) &amp; "---" &amp; CHAR(10) &amp; "【稅務規則】" &amp; CHAR(10) &amp; "● 課稅年度： 民國 " &amp; YEAR(AA2)-1911 &amp; " 年 (1/1 ~ 12/31)" &amp; CHAR(10) &amp; "● 開徵期間： 民國 " &amp; YEAR(AA2)-1911 &amp; " 年 11 月 1 日 至 11 月 30 日" &amp; CHAR(10) &amp; "● 納稅基準日： 民國 " &amp; YEAR(AA2)-1911 &amp; " 年 8 月 31 日" &amp; CHAR(10) &amp; "● 本案納稅人： 【" &amp; AB8 &amp; "】 (以基準日之地政登記所有權人為準)")</f>
        <v/>
      </c>
    </row>
    <row r="20" ht="32" customHeight="1">
      <c r="A20" s="20" t="inlineStr">
        <is>
          <t>房屋稅</t>
        </is>
      </c>
      <c r="B20" s="24">
        <f>IF(AB12&lt;&gt;"", AB12 &amp; IF(AA5, " 月", " 天"), "")</f>
        <v/>
      </c>
      <c r="C20" s="24">
        <f>IF(AB13&lt;&gt;"", AB13 &amp; IF(AA5, " 月", " 天"), "")</f>
        <v/>
      </c>
      <c r="D20" s="22">
        <f>AB2</f>
        <v/>
      </c>
      <c r="E20" s="22">
        <f>IFERROR(IF(AB9="賣方", ROUND(D20*AB13/AB6,0), ROUND(D20*AB12/AB6,0)),0)</f>
        <v/>
      </c>
      <c r="F20" s="22" t="n"/>
      <c r="G20" s="22" t="n"/>
      <c r="H20" s="23">
        <f>IF(E20=0, "無需找補", "納稅人為【" &amp; AB9 &amp; "】，" &amp; IF(AB9="賣方", "由【買方】補貼賣方", "由【賣方】補貼買方") &amp; "。" &amp; CHAR(10) &amp; IF(C16="", "【年稅額計算】" &amp; CHAR(10) &amp; "  " &amp; IF(AA17&gt;0, "(" &amp; TEXT(AA16,"#,##0") &amp; "-" &amp; TEXT(AA17,"#,##0") &amp; ")", TEXT(AA18,"#,##0")) &amp; " * " &amp; TEXT(D13,"0.0%") &amp; " = " &amp; TEXT(D20, "#,##0") &amp; CHAR(10), "") &amp; "【找補計算】" &amp; CHAR(10) &amp; "  " &amp; TEXT(D20, "#,##0") &amp; " * (" &amp; IF(AB9="賣方", AB13, AB12) &amp; " / " &amp; AB6 &amp; ") = " &amp; TEXT(E20, "#,##0") &amp; CHAR(10) &amp; "【款項性質】" &amp; CHAR(10) &amp; "  " &amp; "此為民國 " &amp; YEAR(AB5)-1911 &amp; " 年度房屋稅找補，屬【" &amp; IF(AA2&gt;AB7, "未到期數", "已到期數") &amp; "】款項。" &amp; CHAR(10) &amp; "---" &amp; CHAR(10) &amp; "【稅務規則】" &amp; CHAR(10) &amp; "● 課稅期間： 民國 " &amp; YEAR(AB4)-1911 &amp; "/7/1 至 " &amp; YEAR(AB5)-1911 &amp; "/6/30" &amp; CHAR(10) &amp; "● 開徵期間： 民國 " &amp; YEAR(AB5)-1911 &amp; " 年 5 月 1 日 至 5 月 31 日" &amp; CHAR(10) &amp; "● 納稅基準日： " &amp; TEXT(AB7, "民國 e 年 m 月 d 日") &amp; CHAR(10) &amp; "● 本案納稅人： 【" &amp; AB9 &amp; "】 (以基準日之房屋所有權人為準)")</f>
        <v/>
      </c>
      <c r="AA20">
        <f>IFERROR(IF(LEN(F22)=7, DATE(VALUE(LEFT(F22,3))+1911, VALUE(MID(F22,4,2)), VALUE(RIGHT(F22,2))), IF(LEN(F22)=6, DATE(VALUE(LEFT(F22,2))+1911, VALUE(MID(F22,3,2)), VALUE(RIGHT(F22,2))), "")), "")</f>
        <v/>
      </c>
    </row>
    <row r="21" ht="32" customHeight="1">
      <c r="A21" s="9" t="inlineStr">
        <is>
          <t>（三）其他費用分算 (輸入區)</t>
        </is>
      </c>
      <c r="B21" s="6" t="n"/>
      <c r="C21" s="6" t="n"/>
      <c r="D21" s="6" t="n"/>
      <c r="E21" s="6" t="n"/>
      <c r="F21" s="6" t="n"/>
      <c r="G21" s="6" t="n"/>
      <c r="H21" s="6" t="n"/>
      <c r="AA21">
        <f>IFERROR(IF(LEN(F23)=7, DATE(VALUE(LEFT(F23,3))+1911, VALUE(MID(F23,4,2)), VALUE(RIGHT(F23,2))), IF(LEN(F23)=6, DATE(VALUE(LEFT(F23,2))+1911, VALUE(MID(F23,3,2)), VALUE(RIGHT(F23,2))), "")), "")</f>
        <v/>
      </c>
      <c r="AB21">
        <f>IFERROR(IF(AND(B22&gt;0, AA20&gt;=AA2), IF((YEAR(AA20)=YEAR(AA2))*(MONTH(AA20)=MONTH(AA2)), ROUND(B22*(AA20-AA2+AA4)/DAY(EOMONTH(AA2,0)),0), ROUND((B22*(DAY(EOMONTH(AA2,0))-DAY(AA2)+AA4)/DAY(EOMONTH(AA2,0))) + (B22*MAX(0,(YEAR(AA20)-YEAR(AA2))*12+MONTH(AA20)-MONTH(AA2)-1)) + (B22*DAY(AA20)/DAY(EOMONTH(AA20,0))),0)), 0), 0)</f>
        <v/>
      </c>
    </row>
    <row r="22" ht="32" customHeight="1">
      <c r="A22" s="12" t="inlineStr">
        <is>
          <t>管理費(月)</t>
        </is>
      </c>
      <c r="B22" s="25" t="n"/>
      <c r="C22" s="12" t="n"/>
      <c r="D22" s="12" t="inlineStr">
        <is>
          <t>管理費已預繳至</t>
        </is>
      </c>
      <c r="E22" s="12" t="n"/>
      <c r="F22" s="26" t="n"/>
      <c r="G22" s="4">
        <f>IF(AA20&lt;&gt;"", TEXT(AA20, "民國 e 年 m 月 d 日"), "格式: YYYMMDD")</f>
        <v/>
      </c>
      <c r="H22" s="4" t="n"/>
      <c r="AA22">
        <f>IFERROR(IF(LEN(B25)=7, DATE(VALUE(LEFT(B25,3))+1911, VALUE(MID(B25,4,2)), VALUE(RIGHT(B25,2))), IF(LEN(B25)=6, DATE(VALUE(LEFT(B25,2))+1911, VALUE(MID(B25,3,2)), VALUE(RIGHT(B25,2))), "")), "")</f>
        <v/>
      </c>
      <c r="AB22">
        <f>IFERROR(IF(AND(B23&gt;0, AA21&gt;=AA2), IF((YEAR(AA21)=YEAR(AA2))*(MONTH(AA21)=MONTH(AA2)), ROUND(B23*(AA21-AA2+AA4)/DAY(EOMONTH(AA2,0)),0), ROUND((B23*(DAY(EOMONTH(AA2,0))-DAY(AA2)+AA4)/DAY(EOMONTH(AA2,0))) + (B23*MAX(0,(YEAR(AA21)-YEAR(AA2))*12+MONTH(AA21)-MONTH(AA2)-1)) + (B23*DAY(AA21)/DAY(EOMONTH(AA21,0))),0)), 0), 0)</f>
        <v/>
      </c>
    </row>
    <row r="23" ht="32" customHeight="1">
      <c r="A23" s="12" t="inlineStr">
        <is>
          <t>車位費(月)</t>
        </is>
      </c>
      <c r="B23" s="25" t="n"/>
      <c r="C23" s="12" t="n"/>
      <c r="D23" s="12" t="inlineStr">
        <is>
          <t>車位費已預繳至</t>
        </is>
      </c>
      <c r="E23" s="12" t="n"/>
      <c r="F23" s="26" t="n"/>
      <c r="G23" s="4">
        <f>IF(AA21&lt;&gt;"", TEXT(AA21, "民國 e 年 m 月 d 日"), "格式: YYYMMDD")</f>
        <v/>
      </c>
      <c r="H23" s="4" t="n"/>
      <c r="AA23">
        <f>IFERROR(IF(LEN(B26)=7, DATE(VALUE(LEFT(B26,3))+1911, VALUE(MID(B26,4,2)), VALUE(RIGHT(B26,2))), IF(LEN(B26)=6, DATE(VALUE(LEFT(B26,2))+1911, VALUE(MID(B26,3,2)), VALUE(RIGHT(B26,2))), "")), "")</f>
        <v/>
      </c>
    </row>
    <row r="24" ht="32" customHeight="1">
      <c r="A24" s="12" t="inlineStr">
        <is>
          <t>租金(月)</t>
        </is>
      </c>
      <c r="B24" s="25" t="n"/>
      <c r="C24" s="12" t="n"/>
      <c r="D24" s="12" t="n"/>
      <c r="E24" s="12" t="n"/>
      <c r="F24" s="12" t="n"/>
      <c r="G24" s="12" t="n"/>
      <c r="H24" s="12" t="n"/>
      <c r="AA24">
        <f>IFERROR(IF(LEN(B27)=7, DATE(VALUE(LEFT(B27,3))+1911, VALUE(MID(B27,4,2)), VALUE(RIGHT(B27,2))), IF(LEN(B27)=6, DATE(VALUE(LEFT(B27,2))+1911, VALUE(MID(B27,3,2)), VALUE(RIGHT(B27,2))), "")), "")</f>
        <v/>
      </c>
      <c r="AB24">
        <f>IFERROR(IF(AND(B22&gt;0, AA20&lt;AA2), ROUND((B22*(DAY(EOMONTH(AA20,0))-DAY(AA20))/DAY(EOMONTH(AA20,0))) + (B22*MAX(0,(YEAR(AA2)-YEAR(AA20))*12+MONTH(AA2)-MONTH(AA20)-1)) + (B22*DAY(AA2)/DAY(EOMONTH(AA2,0))),0), 0), 0)</f>
        <v/>
      </c>
    </row>
    <row r="25" ht="32" customHeight="1">
      <c r="A25" s="12" t="inlineStr">
        <is>
          <t>租金收款日</t>
        </is>
      </c>
      <c r="B25" s="26" t="n"/>
      <c r="C25" s="4">
        <f>IF(AA22&lt;&gt;"", TEXT(AA22, "民國 e 年 m 月 d 日"), "格式: YYYMMDD")</f>
        <v/>
      </c>
      <c r="D25" s="4" t="n"/>
      <c r="E25" s="4" t="n"/>
      <c r="F25" s="4" t="n"/>
      <c r="G25" s="4" t="n"/>
      <c r="H25" s="4" t="n"/>
      <c r="AB25">
        <f>IFERROR(IF(AND(B23&gt;0, AA21&lt;AA2), ROUND((B23*(DAY(EOMONTH(AA21,0))-DAY(AA21))/DAY(EOMONTH(AA21,0))) + (B23*MAX(0,(YEAR(AA2)-YEAR(AA21))*12+MONTH(AA2)-MONTH(AA21)-1)) + (B23*DAY(AA2)/DAY(EOMONTH(AA2,0))),0), 0), 0)</f>
        <v/>
      </c>
    </row>
    <row r="26" ht="32" customHeight="1">
      <c r="A26" s="12" t="inlineStr">
        <is>
          <t>租金期間(起)</t>
        </is>
      </c>
      <c r="B26" s="26" t="n"/>
      <c r="C26" s="4">
        <f>IF(AA23&lt;&gt;"", TEXT(AA23, "民國 e 年 m 月 d 日"), "格式: YYYMMDD")</f>
        <v/>
      </c>
      <c r="D26" s="4" t="n"/>
      <c r="E26" s="4" t="n"/>
      <c r="F26" s="4" t="n"/>
      <c r="G26" s="4" t="n"/>
      <c r="H26" s="4" t="n"/>
    </row>
    <row r="27" ht="32" customHeight="1">
      <c r="A27" s="12" t="inlineStr">
        <is>
          <t>租金期間(迄)</t>
        </is>
      </c>
      <c r="B27" s="26" t="n"/>
      <c r="C27" s="4">
        <f>IF(AA24&lt;&gt;"", TEXT(AA24, "民國 e 年 m 月 d 日"), "格式: YYYMMDD")</f>
        <v/>
      </c>
      <c r="D27" s="4" t="n"/>
      <c r="E27" s="4" t="n"/>
      <c r="F27" s="4" t="n"/>
      <c r="G27" s="4" t="n"/>
      <c r="H27" s="4" t="n"/>
    </row>
    <row r="28" ht="32" customHeight="1">
      <c r="A28" s="12" t="inlineStr">
        <is>
          <t>水費溢繳</t>
        </is>
      </c>
      <c r="B28" s="25" t="n"/>
      <c r="C28" s="12" t="n"/>
      <c r="D28" s="12" t="n"/>
      <c r="E28" s="12" t="n"/>
      <c r="F28" s="12" t="n"/>
      <c r="G28" s="12" t="n"/>
      <c r="H28" s="12" t="n"/>
    </row>
    <row r="29" ht="32" customHeight="1">
      <c r="A29" s="12" t="inlineStr">
        <is>
          <t>電費溢繳</t>
        </is>
      </c>
      <c r="B29" s="25" t="n"/>
      <c r="C29" s="12" t="n"/>
      <c r="D29" s="12" t="n"/>
      <c r="E29" s="12" t="n"/>
      <c r="F29" s="12" t="n"/>
      <c r="G29" s="12" t="n"/>
      <c r="H29" s="12" t="n"/>
    </row>
    <row r="30" ht="32" customHeight="1">
      <c r="A30" s="12" t="inlineStr">
        <is>
          <t>瓦斯費溢繳</t>
        </is>
      </c>
      <c r="B30" s="25" t="n"/>
      <c r="C30" s="12" t="n"/>
      <c r="D30" s="12" t="n"/>
      <c r="E30" s="12" t="n"/>
      <c r="F30" s="12" t="n"/>
      <c r="G30" s="12" t="n"/>
      <c r="H30" s="12" t="n"/>
      <c r="AB30">
        <f>IFERROR(IF(AND(C4="是", B24&gt;0, AA24&gt;=AA2, AA23&lt;=AA2, AA22&gt;=AA2), ROUND(B24 * (AA2-AA23+1) / (AA24-AA23+1), 0), 0), 0)</f>
        <v/>
      </c>
    </row>
    <row r="31" ht="32" customHeight="1">
      <c r="A31" s="12" t="inlineStr">
        <is>
          <t>押金/保證金</t>
        </is>
      </c>
      <c r="B31" s="25" t="n"/>
      <c r="C31" s="12" t="n"/>
      <c r="D31" s="12" t="n"/>
      <c r="E31" s="12" t="n"/>
      <c r="F31" s="12" t="n"/>
      <c r="G31" s="12" t="n"/>
      <c r="H31" s="12" t="n"/>
      <c r="AB31">
        <f>IFERROR(IF(AND(C4="是", B24&gt;0, AA24&gt;=AA2, AA23&lt;=AA2, AA22&lt;AA2), ROUND(B24 * (AA24-AA2) / (AA24-AA23+1), 0), 0), 0)</f>
        <v/>
      </c>
    </row>
    <row r="32" ht="32" customHeight="1"/>
    <row r="33" ht="32" customHeight="1">
      <c r="A33" s="9" t="inlineStr">
        <is>
          <t>（四）最終結算</t>
        </is>
      </c>
      <c r="B33" s="6" t="n"/>
      <c r="C33" s="6" t="n"/>
      <c r="D33" s="6" t="n"/>
      <c r="E33" s="6" t="n"/>
      <c r="F33" s="6" t="n"/>
      <c r="G33" s="6" t="n"/>
      <c r="H33" s="6" t="n"/>
    </row>
    <row r="34" ht="32" customHeight="1">
      <c r="A34" s="10" t="inlineStr">
        <is>
          <t>項目</t>
        </is>
      </c>
      <c r="B34" s="10" t="n"/>
      <c r="C34" s="10" t="n"/>
      <c r="D34" s="10" t="inlineStr">
        <is>
          <t>買方應付給賣方</t>
        </is>
      </c>
      <c r="E34" s="10" t="inlineStr">
        <is>
          <t>賣方應付給買方</t>
        </is>
      </c>
      <c r="F34" s="10" t="inlineStr">
        <is>
          <t>說明</t>
        </is>
      </c>
      <c r="G34" s="10" t="n"/>
      <c r="H34" s="10" t="n"/>
    </row>
    <row r="35" ht="32" customHeight="1">
      <c r="A35" s="4" t="inlineStr">
        <is>
          <t>地價稅找補</t>
        </is>
      </c>
      <c r="B35" s="4" t="n"/>
      <c r="C35" s="4" t="n"/>
      <c r="D35" s="27">
        <f>IF(AB8="賣方", E19, 0)</f>
        <v/>
      </c>
      <c r="E35" s="28">
        <f>IF(AB8="買方", E19, 0)</f>
        <v/>
      </c>
      <c r="F35" s="29">
        <f>IF(OR(D35&gt;0,E35&gt;0), "找補 " &amp; IF(D35&gt;0, "買方持有 " &amp; AB11, "賣方持有 " &amp; AB10) &amp; IF(AA5," 個月", " 天") &amp; "稅額。" &amp; CHAR(10) &amp; "【計算】" &amp; TEXT(D19,"#,##0") &amp; " * (" &amp; IF(D35&gt;0, AB11, AB10) &amp; " / " &amp; AB3 &amp; ") = " &amp; TEXT(E19,"#,##0"), "無需找補")</f>
        <v/>
      </c>
      <c r="G35" s="29" t="n"/>
      <c r="H35" s="29" t="n"/>
    </row>
    <row r="36" ht="32" customHeight="1">
      <c r="A36" s="4" t="inlineStr">
        <is>
          <t>房屋稅找補</t>
        </is>
      </c>
      <c r="B36" s="4" t="n"/>
      <c r="C36" s="4" t="n"/>
      <c r="D36" s="27">
        <f>IF(AB9="賣方", E20, 0)</f>
        <v/>
      </c>
      <c r="E36" s="28">
        <f>IF(AB9="買方", E20, 0)</f>
        <v/>
      </c>
      <c r="F36" s="29">
        <f>IF(OR(D36&gt;0,E36&gt;0), "找補 " &amp; IF(D36&gt;0, "買方持有 " &amp; AB13, "賣方持有 " &amp; AB12) &amp; IF(AA5," 個月", " 天") &amp; "稅額。" &amp; CHAR(10) &amp; "【計算】" &amp; TEXT(D20,"#,##0") &amp; " * (" &amp; IF(D36&gt;0, AB13, AB12) &amp; " / " &amp; AB6 &amp; ") = " &amp; TEXT(E20,"#,##0"), "無需找補")</f>
        <v/>
      </c>
      <c r="G36" s="29" t="n"/>
      <c r="H36" s="29" t="n"/>
    </row>
    <row r="37" ht="32" customHeight="1">
      <c r="A37" s="4" t="inlineStr">
        <is>
          <t>管理費找補</t>
        </is>
      </c>
      <c r="B37" s="4" t="n"/>
      <c r="C37" s="4" t="n"/>
      <c r="D37" s="27">
        <f>AB21</f>
        <v/>
      </c>
      <c r="E37" s="28">
        <f>AB24</f>
        <v/>
      </c>
      <c r="F37" s="29">
        <f>IF(D37&gt;0, "買方補貼賣方預繳 ( " &amp; TEXT(AA20-AA2+AA4, "#,##0") &amp; " 天)。" &amp; CHAR(10) &amp; "【計算】" &amp; TEXT(B22, "#,##0") &amp; " * (" &amp; (AA20-AA2+AA4) &amp; " / " &amp; DAY(EOMONTH(AA2,0)) &amp; ") = " &amp; TEXT(D37, "#,##0"), IF(E37&gt;0, "賣方補足費用 (" &amp; TEXT(AA2-AA20, "#,##0") &amp; " 天)。" &amp; CHAR(10) &amp; "【計算】" &amp; TEXT(B22, "#,##0") &amp; " * (" &amp; (AA2-AA20) &amp; " / " &amp; DAY(EOMONTH(AA20,0)) &amp; ") = " &amp; TEXT(E37, "#,##0"), "無需找補"))</f>
        <v/>
      </c>
      <c r="G37" s="29" t="n"/>
      <c r="H37" s="29" t="n"/>
    </row>
    <row r="38" ht="32" customHeight="1">
      <c r="A38" s="4" t="inlineStr">
        <is>
          <t>車位費找補</t>
        </is>
      </c>
      <c r="B38" s="4" t="n"/>
      <c r="C38" s="4" t="n"/>
      <c r="D38" s="27">
        <f>AB22</f>
        <v/>
      </c>
      <c r="E38" s="28">
        <f>AB25</f>
        <v/>
      </c>
      <c r="F38" s="29">
        <f>IF(D38&gt;0, "買方補貼賣方預繳 ( " &amp; TEXT(AA21-AA2+AA4, "#,##0") &amp; " 天)。" &amp; CHAR(10) &amp; "【計算】" &amp; TEXT(B23, "#,##0") &amp; " * (" &amp; (AA21-AA2+AA4) &amp; " / " &amp; DAY(EOMONTH(AA2,0)) &amp; ") = " &amp; TEXT(D38, "#,##0"), IF(E38&gt;0, "賣方補足費用 (" &amp; TEXT(AA2-AA21, "#,##0") &amp; " 天)。" &amp; CHAR(10) &amp; "【計算】" &amp; TEXT(B23, "#,##0") &amp; " * (" &amp; (AA2-AA21) &amp; " / " &amp; DAY(EOMONTH(AA21,0)) &amp; ") = " &amp; TEXT(E38, "#,##0"), "無需找補"))</f>
        <v/>
      </c>
      <c r="G38" s="29" t="n"/>
      <c r="H38" s="29" t="n"/>
    </row>
    <row r="39" ht="32" customHeight="1">
      <c r="A39" s="4" t="inlineStr">
        <is>
          <t>租金找補</t>
        </is>
      </c>
      <c r="B39" s="4" t="n"/>
      <c r="C39" s="4" t="n"/>
      <c r="D39" s="27">
        <f>AB30</f>
        <v/>
      </c>
      <c r="E39" s="28">
        <f>AB31</f>
        <v/>
      </c>
      <c r="F39" s="29">
        <f>IF(D39&gt;0, "買方返還賣方 " &amp; (AA2-AA23+1) &amp; " 天租金。" &amp; CHAR(10) &amp; "【計算】" &amp; TEXT(B24,"#,##0") &amp; " * (" &amp; (AA2-AA23+1) &amp; " / " &amp; (AA24-AA23+1) &amp; ") = " &amp; TEXT(D39,"#,##0"), IF(E39&gt;0, "賣方返還買方 " &amp; (AA24-AA2) &amp; " 天租金。" &amp; CHAR(10) &amp; "【計算】" &amp; TEXT(B24,"#,##0") &amp; " * (" &amp; (AA24-AA2) &amp; " / " &amp; (AA24-AA23+1) &amp; ") = " &amp; TEXT(E39,"#,##0"), "無需找補"))</f>
        <v/>
      </c>
      <c r="G39" s="29" t="n"/>
      <c r="H39" s="29" t="n"/>
    </row>
    <row r="40" ht="32" customHeight="1">
      <c r="A40" s="4" t="inlineStr">
        <is>
          <t>水電瓦斯溢繳</t>
        </is>
      </c>
      <c r="B40" s="4" t="n"/>
      <c r="C40" s="4" t="n"/>
      <c r="D40" s="27">
        <f>SUM(B28:B30)</f>
        <v/>
      </c>
      <c r="E40" s="28">
        <f>0</f>
        <v/>
      </c>
      <c r="F40" s="29" t="inlineStr">
        <is>
          <t>買方補貼賣方已溢繳之費用</t>
        </is>
      </c>
      <c r="G40" s="29" t="n"/>
      <c r="H40" s="29" t="n"/>
    </row>
    <row r="41" ht="55" customHeight="1">
      <c r="A41" s="4" t="inlineStr">
        <is>
          <t>押金/保證金轉交</t>
        </is>
      </c>
      <c r="B41" s="4" t="n"/>
      <c r="C41" s="4" t="n"/>
      <c r="D41" s="27">
        <f>0</f>
        <v/>
      </c>
      <c r="E41" s="28">
        <f>B31</f>
        <v/>
      </c>
      <c r="F41" s="29" t="inlineStr">
        <is>
          <t>賣方將原持有之押金轉交給新屋主(買方)</t>
        </is>
      </c>
      <c r="G41" s="29" t="n"/>
      <c r="H41" s="29" t="n"/>
    </row>
    <row r="42" ht="32" customHeight="1">
      <c r="A42" s="4" t="inlineStr">
        <is>
          <t>款項小計</t>
        </is>
      </c>
      <c r="B42" s="4" t="n"/>
      <c r="C42" s="4" t="n"/>
      <c r="D42" s="27">
        <f>SUM(D35:D41)</f>
        <v/>
      </c>
      <c r="E42" s="28">
        <f>SUM(E35:E41)</f>
        <v/>
      </c>
      <c r="F42" s="6" t="n"/>
      <c r="G42" s="6" t="n"/>
      <c r="H42" s="6" t="n"/>
    </row>
    <row r="43" ht="32" customHeight="1">
      <c r="A43" s="30" t="inlineStr">
        <is>
          <t>最終結算結果</t>
        </is>
      </c>
      <c r="B43" s="31" t="n"/>
      <c r="C43" s="32">
        <f>IF(D42&gt;E42, "【買方】應支付給【賣方】 NT$ " &amp; TEXT(D42-E42, "#,##0"), IF(E42&gt;D42, "【賣方】應支付給【買方】 NT$ " &amp; TEXT(E42-D42, "#,##0"), "雙方無需找補"))</f>
        <v/>
      </c>
      <c r="D43" s="31" t="n"/>
      <c r="E43" s="31" t="n"/>
      <c r="F43" s="31" t="n"/>
      <c r="G43" s="31" t="n"/>
      <c r="H43" s="31" t="n"/>
    </row>
    <row r="44" ht="32" customHeight="1">
      <c r="A44" s="31" t="n"/>
      <c r="B44" s="31" t="n"/>
      <c r="C44" s="31" t="n"/>
      <c r="D44" s="31" t="n"/>
      <c r="E44" s="31" t="n"/>
      <c r="F44" s="31" t="n"/>
      <c r="G44" s="31" t="n"/>
      <c r="H44" s="31" t="n"/>
    </row>
    <row r="45" ht="32" customHeight="1"/>
    <row r="46" ht="32" customHeight="1">
      <c r="A46" s="33" t="inlineStr">
        <is>
          <t>工具開發：陳定康</t>
        </is>
      </c>
    </row>
    <row r="47" ht="32" customHeight="1"/>
    <row r="48" ht="32" customHeight="1"/>
    <row r="49" ht="32" customHeight="1"/>
  </sheetData>
  <mergeCells count="50">
    <mergeCell ref="C25:H25"/>
    <mergeCell ref="C26:H26"/>
    <mergeCell ref="A41:C41"/>
    <mergeCell ref="A15:B15"/>
    <mergeCell ref="E19:G19"/>
    <mergeCell ref="F36:H36"/>
    <mergeCell ref="A37:C37"/>
    <mergeCell ref="D10:H10"/>
    <mergeCell ref="F41:H41"/>
    <mergeCell ref="F35:H35"/>
    <mergeCell ref="D22:E22"/>
    <mergeCell ref="G23:H23"/>
    <mergeCell ref="A1:H1"/>
    <mergeCell ref="F2:H4"/>
    <mergeCell ref="F38:H38"/>
    <mergeCell ref="A42:C42"/>
    <mergeCell ref="A16:B16"/>
    <mergeCell ref="D2:E2"/>
    <mergeCell ref="C27:H27"/>
    <mergeCell ref="D13:E13"/>
    <mergeCell ref="A35:C35"/>
    <mergeCell ref="A46:H46"/>
    <mergeCell ref="A3:B3"/>
    <mergeCell ref="F37:H37"/>
    <mergeCell ref="A38:C38"/>
    <mergeCell ref="F39:H39"/>
    <mergeCell ref="A12:B12"/>
    <mergeCell ref="A43:B44"/>
    <mergeCell ref="A2:B2"/>
    <mergeCell ref="A21:H21"/>
    <mergeCell ref="A40:C40"/>
    <mergeCell ref="E18:G18"/>
    <mergeCell ref="D4:E4"/>
    <mergeCell ref="A14:H14"/>
    <mergeCell ref="A33:H33"/>
    <mergeCell ref="A5:H5"/>
    <mergeCell ref="A34:C34"/>
    <mergeCell ref="A39:C39"/>
    <mergeCell ref="D3:E3"/>
    <mergeCell ref="A17:H17"/>
    <mergeCell ref="A4:B4"/>
    <mergeCell ref="F34:H34"/>
    <mergeCell ref="A36:C36"/>
    <mergeCell ref="A10:B10"/>
    <mergeCell ref="D23:E23"/>
    <mergeCell ref="A13:B13"/>
    <mergeCell ref="F40:H40"/>
    <mergeCell ref="C43:H44"/>
    <mergeCell ref="G22:H22"/>
    <mergeCell ref="E20:G20"/>
  </mergeCells>
  <dataValidations count="4">
    <dataValidation sqref="C4" showDropDown="0" showInputMessage="0" showErrorMessage="0" allowBlank="0" type="list">
      <formula1>"是,否"</formula1>
    </dataValidation>
    <dataValidation sqref="F7:F9" showDropDown="0" showInputMessage="0" showErrorMessage="0" allowBlank="0" type="list">
      <formula1>"自用住宅 (2‰),一般用地 (10‰)"</formula1>
    </dataValidation>
    <dataValidation sqref="C13" showDropDown="0" showInputMessage="0" showErrorMessage="0" allowBlank="0" type="list">
      <formula1>=稅率表!$A$2:$A$15</formula1>
    </dataValidation>
    <dataValidation sqref="C3" showDropDown="0" showInputMessage="0" showErrorMessage="0" allowBlank="0" errorTitle="日期輸入錯誤" error="【房屋點交日期】(C3) 必須晚於或等於【權狀登記日期】(C2)。" type="custom">
      <formula1>=VALUE(C3)&gt;=VALUE(C2)</formula1>
    </dataValidation>
  </dataValidations>
  <pageMargins left="0.75" right="0.75" top="1" bottom="1" header="0.5" footer="0.5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5"/>
  <sheetViews>
    <sheetView workbookViewId="0">
      <selection activeCell="A1" sqref="A1"/>
    </sheetView>
  </sheetViews>
  <sheetFormatPr baseColWidth="8" defaultRowHeight="15"/>
  <cols>
    <col width="50" customWidth="1" min="1" max="1"/>
    <col width="15" customWidth="1" min="2" max="2"/>
  </cols>
  <sheetData>
    <row r="1">
      <c r="A1" s="34" t="inlineStr">
        <is>
          <t>房屋使用情境選項</t>
        </is>
      </c>
      <c r="B1" s="34" t="inlineStr">
        <is>
          <t>對應稅率</t>
        </is>
      </c>
    </row>
    <row r="2">
      <c r="A2" t="inlineStr">
        <is>
          <t>自住用-全國單一自住(現值一定金額下) (1.0%)</t>
        </is>
      </c>
      <c r="B2" s="35" t="n">
        <v>0.01</v>
      </c>
    </row>
    <row r="3">
      <c r="A3" t="inlineStr">
        <is>
          <t>自住用-全國3戶內 (1.2%)</t>
        </is>
      </c>
      <c r="B3" s="35" t="n">
        <v>0.012</v>
      </c>
    </row>
    <row r="4">
      <c r="A4" t="inlineStr">
        <is>
          <t>公益出租人/社會住宅 (1.2%)</t>
        </is>
      </c>
      <c r="B4" s="35" t="n">
        <v>0.012</v>
      </c>
    </row>
    <row r="5">
      <c r="A5" t="inlineStr">
        <is>
          <t>非自住-出租(達租金標準)/繼承共有-4戶內 (1.5%)</t>
        </is>
      </c>
      <c r="B5" s="35" t="n">
        <v>0.015</v>
      </c>
    </row>
    <row r="6">
      <c r="A6" t="inlineStr">
        <is>
          <t>非自住-出租(達租金標準)/繼承共有-5~6戶 (2.0%)</t>
        </is>
      </c>
      <c r="B6" s="35" t="n">
        <v>0.02</v>
      </c>
    </row>
    <row r="7">
      <c r="A7" t="inlineStr">
        <is>
          <t>非自住-出租(達租金標準)/繼承共有-7戶以上 (2.4%)</t>
        </is>
      </c>
      <c r="B7" s="35" t="n">
        <v>0.024</v>
      </c>
    </row>
    <row r="8">
      <c r="A8" t="inlineStr">
        <is>
          <t>非自住-其他住家用-2戶內 (3.2%)</t>
        </is>
      </c>
      <c r="B8" s="35" t="n">
        <v>0.032</v>
      </c>
    </row>
    <row r="9">
      <c r="A9" t="inlineStr">
        <is>
          <t>非自住-其他住家用-3~4戶 (3.8%)</t>
        </is>
      </c>
      <c r="B9" s="35" t="n">
        <v>0.038</v>
      </c>
    </row>
    <row r="10">
      <c r="A10" t="inlineStr">
        <is>
          <t>非自住-其他住家用-5~6戶 (4.2%)</t>
        </is>
      </c>
      <c r="B10" s="35" t="n">
        <v>0.042</v>
      </c>
    </row>
    <row r="11">
      <c r="A11" t="inlineStr">
        <is>
          <t>非自住-其他住家用-7戶以上 (4.8%)</t>
        </is>
      </c>
      <c r="B11" s="35" t="n">
        <v>0.048</v>
      </c>
    </row>
    <row r="12">
      <c r="A12" t="inlineStr">
        <is>
          <t>營業用 (3.0%)</t>
        </is>
      </c>
      <c r="B12" s="35" t="n">
        <v>0.03</v>
      </c>
    </row>
    <row r="13">
      <c r="A13" t="inlineStr">
        <is>
          <t>私人醫院/診所/事務所用 (3.0%)</t>
        </is>
      </c>
      <c r="B13" s="35" t="n">
        <v>0.03</v>
      </c>
    </row>
    <row r="14">
      <c r="A14" t="inlineStr">
        <is>
          <t>非住家非營業用(人民團體等) (2.0%)</t>
        </is>
      </c>
      <c r="B14" s="35" t="n">
        <v>0.02</v>
      </c>
    </row>
    <row r="15">
      <c r="B15" s="35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陳定康</dc:creator>
  <dc:title xmlns:dc="http://purl.org/dc/elements/1.1/">不動產買賣稅費分算計算機</dc:title>
  <dc:description xmlns:dc="http://purl.org/dc/elements/1.1/">此工具用於精確計算不動產買賣過程中，買賣雙方應分攤之地價稅、房屋稅及其他相關費用。</dc:description>
  <dcterms:created xmlns:dcterms="http://purl.org/dc/terms/" xmlns:xsi="http://www.w3.org/2001/XMLSchema-instance" xsi:type="dcterms:W3CDTF">2025-10-15T14:04:01Z</dcterms:created>
  <dcterms:modified xmlns:dcterms="http://purl.org/dc/terms/" xmlns:xsi="http://www.w3.org/2001/XMLSchema-instance" xsi:type="dcterms:W3CDTF">2025-10-15T14:04:01Z</dcterms:modified>
</cp:coreProperties>
</file>