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2995" windowHeight="11445" tabRatio="794" activeTab="3"/>
  </bookViews>
  <sheets>
    <sheet name="Carrier1-500-CO2" sheetId="23" r:id="rId1"/>
    <sheet name="Carrier1-500-Air" sheetId="22" r:id="rId2"/>
    <sheet name="Trace 300" sheetId="19" r:id="rId3"/>
    <sheet name="Trace 50" sheetId="18" r:id="rId4"/>
    <sheet name="Carrier1-50-Air" sheetId="17" r:id="rId5"/>
    <sheet name="Carrier1-50-CO2" sheetId="24" r:id="rId6"/>
    <sheet name="Carrier1-5-Air Check Not used" sheetId="21" r:id="rId7"/>
    <sheet name="Carrier1-5-Air" sheetId="16" r:id="rId8"/>
    <sheet name="Carrier2-50-Air" sheetId="13" r:id="rId9"/>
  </sheets>
  <calcPr calcId="145621"/>
</workbook>
</file>

<file path=xl/calcChain.xml><?xml version="1.0" encoding="utf-8"?>
<calcChain xmlns="http://schemas.openxmlformats.org/spreadsheetml/2006/main">
  <c r="N27" i="18" l="1"/>
  <c r="L10" i="18" l="1"/>
  <c r="Q10" i="18"/>
  <c r="T10" i="18" s="1"/>
  <c r="Q11" i="18"/>
  <c r="T11" i="18" s="1"/>
  <c r="Q12" i="18"/>
  <c r="T12" i="18" s="1"/>
  <c r="N29" i="16"/>
  <c r="N28" i="16"/>
  <c r="Q10" i="16"/>
  <c r="T10" i="16" s="1"/>
  <c r="L10" i="16"/>
  <c r="Q9" i="16"/>
  <c r="T9" i="16" s="1"/>
  <c r="L9" i="16"/>
  <c r="Q8" i="16"/>
  <c r="T8" i="16" s="1"/>
  <c r="L8" i="16"/>
  <c r="J8" i="16"/>
  <c r="Q7" i="16"/>
  <c r="T7" i="16" s="1"/>
  <c r="L7" i="16"/>
  <c r="J7" i="16"/>
  <c r="M11" i="24" l="1"/>
  <c r="N11" i="24" s="1"/>
  <c r="J11" i="24" s="1"/>
  <c r="K11" i="24" s="1"/>
  <c r="L11" i="24" s="1"/>
  <c r="Q11" i="24"/>
  <c r="N24" i="24"/>
  <c r="N23" i="24"/>
  <c r="N22" i="24"/>
  <c r="V16" i="24"/>
  <c r="V15" i="24"/>
  <c r="Q10" i="24"/>
  <c r="M10" i="24"/>
  <c r="N10" i="24" s="1"/>
  <c r="J10" i="24" s="1"/>
  <c r="K10" i="24" s="1"/>
  <c r="L10" i="24" s="1"/>
  <c r="Q9" i="24"/>
  <c r="M9" i="24"/>
  <c r="N9" i="24" s="1"/>
  <c r="J9" i="24" s="1"/>
  <c r="K9" i="24" s="1"/>
  <c r="L9" i="24" s="1"/>
  <c r="Q8" i="24"/>
  <c r="M8" i="24"/>
  <c r="N8" i="24" s="1"/>
  <c r="J8" i="24" s="1"/>
  <c r="K8" i="24" s="1"/>
  <c r="L8" i="24" s="1"/>
  <c r="Q7" i="24"/>
  <c r="M7" i="24"/>
  <c r="N7" i="24" s="1"/>
  <c r="J7" i="24" s="1"/>
  <c r="K7" i="24" s="1"/>
  <c r="L7" i="24" s="1"/>
  <c r="Q6" i="24"/>
  <c r="M6" i="24"/>
  <c r="N6" i="24" s="1"/>
  <c r="Q5" i="24"/>
  <c r="M5" i="24"/>
  <c r="N5" i="24" s="1"/>
  <c r="J5" i="24" s="1"/>
  <c r="K5" i="24" s="1"/>
  <c r="T11" i="24" l="1"/>
  <c r="J6" i="24"/>
  <c r="K6" i="24" s="1"/>
  <c r="T10" i="24"/>
  <c r="L5" i="24"/>
  <c r="T7" i="24"/>
  <c r="T8" i="24"/>
  <c r="T5" i="24"/>
  <c r="T9" i="24"/>
  <c r="N10" i="23"/>
  <c r="N9" i="23"/>
  <c r="N8" i="23"/>
  <c r="N7" i="23"/>
  <c r="N6" i="23"/>
  <c r="N5" i="23"/>
  <c r="V15" i="23"/>
  <c r="V16" i="23"/>
  <c r="M6" i="23"/>
  <c r="M7" i="23"/>
  <c r="M8" i="23"/>
  <c r="M9" i="23"/>
  <c r="M10" i="23"/>
  <c r="M5" i="23"/>
  <c r="N24" i="23"/>
  <c r="N23" i="23"/>
  <c r="N22" i="23"/>
  <c r="Q10" i="23"/>
  <c r="Q9" i="23"/>
  <c r="Q8" i="23"/>
  <c r="Q7" i="23"/>
  <c r="Q6" i="23"/>
  <c r="Q5" i="23"/>
  <c r="N24" i="22"/>
  <c r="N23" i="22"/>
  <c r="N22" i="22"/>
  <c r="Q10" i="22"/>
  <c r="Q9" i="22"/>
  <c r="Q8" i="22"/>
  <c r="L8" i="22"/>
  <c r="Q7" i="22"/>
  <c r="L7" i="22"/>
  <c r="Q6" i="22"/>
  <c r="L6" i="22"/>
  <c r="Q5" i="22"/>
  <c r="L5" i="22"/>
  <c r="L6" i="24" l="1"/>
  <c r="T6" i="24"/>
  <c r="O18" i="24"/>
  <c r="O19" i="24"/>
  <c r="R6" i="24" s="1"/>
  <c r="U6" i="24" s="1"/>
  <c r="J6" i="23"/>
  <c r="K6" i="23" s="1"/>
  <c r="L6" i="23" s="1"/>
  <c r="J5" i="23"/>
  <c r="K5" i="23" s="1"/>
  <c r="T5" i="23" s="1"/>
  <c r="J10" i="23"/>
  <c r="K10" i="23" s="1"/>
  <c r="L10" i="23" s="1"/>
  <c r="J9" i="23"/>
  <c r="K9" i="23" s="1"/>
  <c r="J8" i="23"/>
  <c r="K8" i="23" s="1"/>
  <c r="L8" i="23" s="1"/>
  <c r="J7" i="23"/>
  <c r="K7" i="23" s="1"/>
  <c r="L7" i="23" s="1"/>
  <c r="T7" i="22"/>
  <c r="T5" i="22"/>
  <c r="T8" i="22"/>
  <c r="T6" i="22"/>
  <c r="T9" i="22"/>
  <c r="O18" i="22"/>
  <c r="L9" i="22"/>
  <c r="O19" i="22"/>
  <c r="L10" i="22"/>
  <c r="T10" i="22"/>
  <c r="R5" i="24" l="1"/>
  <c r="U5" i="24" s="1"/>
  <c r="R11" i="24"/>
  <c r="U11" i="24" s="1"/>
  <c r="R7" i="24"/>
  <c r="U7" i="24" s="1"/>
  <c r="R8" i="24"/>
  <c r="U8" i="24" s="1"/>
  <c r="R9" i="24"/>
  <c r="U9" i="24" s="1"/>
  <c r="R10" i="24"/>
  <c r="U10" i="24" s="1"/>
  <c r="T6" i="23"/>
  <c r="T9" i="23"/>
  <c r="L9" i="23"/>
  <c r="T8" i="23"/>
  <c r="T7" i="23"/>
  <c r="T10" i="23"/>
  <c r="L5" i="23"/>
  <c r="O19" i="23"/>
  <c r="O18" i="23"/>
  <c r="R8" i="22"/>
  <c r="U8" i="22" s="1"/>
  <c r="R6" i="22"/>
  <c r="U6" i="22" s="1"/>
  <c r="R10" i="22"/>
  <c r="U10" i="22" s="1"/>
  <c r="R7" i="22"/>
  <c r="U7" i="22" s="1"/>
  <c r="R5" i="22"/>
  <c r="U5" i="22" s="1"/>
  <c r="R9" i="22"/>
  <c r="U9" i="22" s="1"/>
  <c r="N26" i="21"/>
  <c r="N25" i="21"/>
  <c r="N24" i="21"/>
  <c r="Q11" i="21"/>
  <c r="T11" i="21" s="1"/>
  <c r="L11" i="21"/>
  <c r="T10" i="21"/>
  <c r="Q10" i="21"/>
  <c r="L10" i="21"/>
  <c r="Q9" i="21"/>
  <c r="T9" i="21" s="1"/>
  <c r="L9" i="21"/>
  <c r="Q8" i="21"/>
  <c r="L8" i="21"/>
  <c r="Q7" i="21"/>
  <c r="Q6" i="21"/>
  <c r="Q5" i="21"/>
  <c r="R9" i="23" l="1"/>
  <c r="U9" i="23" s="1"/>
  <c r="R6" i="23"/>
  <c r="U6" i="23" s="1"/>
  <c r="R10" i="23"/>
  <c r="U10" i="23" s="1"/>
  <c r="R7" i="23"/>
  <c r="U7" i="23" s="1"/>
  <c r="R8" i="23"/>
  <c r="U8" i="23" s="1"/>
  <c r="R5" i="23"/>
  <c r="U5" i="23" s="1"/>
  <c r="T7" i="21"/>
  <c r="O20" i="21"/>
  <c r="O21" i="21"/>
  <c r="L5" i="21"/>
  <c r="T8" i="21"/>
  <c r="T5" i="21"/>
  <c r="T6" i="21"/>
  <c r="L6" i="21"/>
  <c r="L7" i="21"/>
  <c r="R9" i="21" l="1"/>
  <c r="U9" i="21" s="1"/>
  <c r="R5" i="21"/>
  <c r="U5" i="21" s="1"/>
  <c r="R10" i="21"/>
  <c r="U10" i="21" s="1"/>
  <c r="R6" i="21"/>
  <c r="U6" i="21" s="1"/>
  <c r="R7" i="21"/>
  <c r="U7" i="21" s="1"/>
  <c r="R8" i="21"/>
  <c r="U8" i="21" s="1"/>
  <c r="R11" i="21"/>
  <c r="U11" i="21" s="1"/>
  <c r="N26" i="19" l="1"/>
  <c r="N25" i="19"/>
  <c r="N24" i="19"/>
  <c r="O21" i="19"/>
  <c r="O20" i="19"/>
  <c r="R5" i="19" s="1"/>
  <c r="U5" i="19" s="1"/>
  <c r="Q11" i="19"/>
  <c r="T11" i="19" s="1"/>
  <c r="L11" i="19"/>
  <c r="Q10" i="19"/>
  <c r="T10" i="19" s="1"/>
  <c r="L10" i="19"/>
  <c r="Q9" i="19"/>
  <c r="T9" i="19" s="1"/>
  <c r="L9" i="19"/>
  <c r="Q8" i="19"/>
  <c r="T8" i="19" s="1"/>
  <c r="L8" i="19"/>
  <c r="Q7" i="19"/>
  <c r="T7" i="19" s="1"/>
  <c r="L7" i="19"/>
  <c r="Q6" i="19"/>
  <c r="T6" i="19" s="1"/>
  <c r="L6" i="19"/>
  <c r="Q5" i="19"/>
  <c r="T5" i="19" s="1"/>
  <c r="L5" i="19"/>
  <c r="R11" i="19" l="1"/>
  <c r="U11" i="19" s="1"/>
  <c r="R8" i="19"/>
  <c r="U8" i="19" s="1"/>
  <c r="R7" i="19"/>
  <c r="U7" i="19" s="1"/>
  <c r="R10" i="19"/>
  <c r="U10" i="19" s="1"/>
  <c r="R6" i="19"/>
  <c r="U6" i="19" s="1"/>
  <c r="R9" i="19"/>
  <c r="U9" i="19" s="1"/>
  <c r="N26" i="18"/>
  <c r="N25" i="18"/>
  <c r="L12" i="18"/>
  <c r="L11" i="18"/>
  <c r="Q9" i="18"/>
  <c r="T9" i="18" s="1"/>
  <c r="L9" i="18"/>
  <c r="Q8" i="18"/>
  <c r="Q7" i="18"/>
  <c r="Q6" i="18"/>
  <c r="Q5" i="18"/>
  <c r="L5" i="18"/>
  <c r="T5" i="18" l="1"/>
  <c r="T6" i="18"/>
  <c r="L6" i="18"/>
  <c r="O22" i="18"/>
  <c r="O21" i="18"/>
  <c r="T7" i="18"/>
  <c r="L7" i="18"/>
  <c r="T8" i="18"/>
  <c r="L8" i="18"/>
  <c r="N26" i="17"/>
  <c r="N25" i="17"/>
  <c r="N24" i="17"/>
  <c r="Q11" i="17"/>
  <c r="J11" i="17"/>
  <c r="K11" i="17" s="1"/>
  <c r="L11" i="17" s="1"/>
  <c r="Q10" i="17"/>
  <c r="J10" i="17"/>
  <c r="K10" i="17" s="1"/>
  <c r="L10" i="17" s="1"/>
  <c r="Q9" i="17"/>
  <c r="J9" i="17"/>
  <c r="K9" i="17" s="1"/>
  <c r="Q8" i="17"/>
  <c r="J8" i="17"/>
  <c r="K8" i="17" s="1"/>
  <c r="L8" i="17" s="1"/>
  <c r="Q7" i="17"/>
  <c r="J7" i="17"/>
  <c r="K7" i="17" s="1"/>
  <c r="L7" i="17" s="1"/>
  <c r="Q6" i="17"/>
  <c r="J6" i="17"/>
  <c r="K6" i="17" s="1"/>
  <c r="L6" i="17" s="1"/>
  <c r="Q5" i="17"/>
  <c r="J5" i="17"/>
  <c r="K5" i="17" s="1"/>
  <c r="R11" i="18" l="1"/>
  <c r="U11" i="18" s="1"/>
  <c r="R12" i="18"/>
  <c r="U12" i="18" s="1"/>
  <c r="R10" i="18"/>
  <c r="U10" i="18" s="1"/>
  <c r="R6" i="18"/>
  <c r="U6" i="18" s="1"/>
  <c r="R7" i="18"/>
  <c r="U7" i="18" s="1"/>
  <c r="R8" i="18"/>
  <c r="U8" i="18" s="1"/>
  <c r="R9" i="18"/>
  <c r="U9" i="18" s="1"/>
  <c r="R5" i="18"/>
  <c r="U5" i="18" s="1"/>
  <c r="T10" i="17"/>
  <c r="T7" i="17"/>
  <c r="O21" i="17"/>
  <c r="L5" i="17"/>
  <c r="O20" i="17"/>
  <c r="T5" i="17"/>
  <c r="T8" i="17"/>
  <c r="T11" i="17"/>
  <c r="T9" i="17"/>
  <c r="L9" i="17"/>
  <c r="T6" i="17"/>
  <c r="N30" i="16"/>
  <c r="Q13" i="16"/>
  <c r="Q12" i="16"/>
  <c r="J12" i="16"/>
  <c r="L12" i="16" s="1"/>
  <c r="Q11" i="16"/>
  <c r="J11" i="16"/>
  <c r="L11" i="16" s="1"/>
  <c r="Q6" i="16"/>
  <c r="J6" i="16"/>
  <c r="L6" i="16" s="1"/>
  <c r="Q5" i="16"/>
  <c r="J5" i="16"/>
  <c r="L5" i="16" s="1"/>
  <c r="J5" i="13"/>
  <c r="K5" i="13" s="1"/>
  <c r="L5" i="13" s="1"/>
  <c r="J6" i="13"/>
  <c r="K6" i="13" s="1"/>
  <c r="L6" i="13" s="1"/>
  <c r="J7" i="13"/>
  <c r="K7" i="13" s="1"/>
  <c r="L7" i="13" s="1"/>
  <c r="J8" i="13"/>
  <c r="K8" i="13" s="1"/>
  <c r="L8" i="13" s="1"/>
  <c r="J9" i="13"/>
  <c r="K9" i="13" s="1"/>
  <c r="L9" i="13" s="1"/>
  <c r="J10" i="13"/>
  <c r="K10" i="13" s="1"/>
  <c r="L10" i="13" s="1"/>
  <c r="J11" i="13"/>
  <c r="K11" i="13" s="1"/>
  <c r="L11" i="13" s="1"/>
  <c r="R6" i="17" l="1"/>
  <c r="U6" i="17" s="1"/>
  <c r="R7" i="17"/>
  <c r="U7" i="17" s="1"/>
  <c r="R8" i="17"/>
  <c r="U8" i="17" s="1"/>
  <c r="R10" i="17"/>
  <c r="U10" i="17" s="1"/>
  <c r="R9" i="17"/>
  <c r="U9" i="17" s="1"/>
  <c r="R11" i="17"/>
  <c r="U11" i="17" s="1"/>
  <c r="R5" i="17"/>
  <c r="U5" i="17" s="1"/>
  <c r="T6" i="16"/>
  <c r="T12" i="16"/>
  <c r="T11" i="16"/>
  <c r="T5" i="16"/>
  <c r="O24" i="16"/>
  <c r="O25" i="16"/>
  <c r="L13" i="16"/>
  <c r="T13" i="16"/>
  <c r="O20" i="13"/>
  <c r="N26" i="13"/>
  <c r="N25" i="13"/>
  <c r="N24" i="13"/>
  <c r="Q11" i="13"/>
  <c r="T11" i="13" s="1"/>
  <c r="Q10" i="13"/>
  <c r="T10" i="13" s="1"/>
  <c r="Q9" i="13"/>
  <c r="T9" i="13" s="1"/>
  <c r="Q8" i="13"/>
  <c r="T8" i="13" s="1"/>
  <c r="Q7" i="13"/>
  <c r="T7" i="13" s="1"/>
  <c r="Q6" i="13"/>
  <c r="T6" i="13" s="1"/>
  <c r="Q5" i="13"/>
  <c r="T5" i="13" s="1"/>
  <c r="R10" i="16" l="1"/>
  <c r="U10" i="16" s="1"/>
  <c r="R7" i="16"/>
  <c r="U7" i="16" s="1"/>
  <c r="R8" i="16"/>
  <c r="U8" i="16" s="1"/>
  <c r="R9" i="16"/>
  <c r="U9" i="16" s="1"/>
  <c r="R5" i="16"/>
  <c r="U5" i="16" s="1"/>
  <c r="R11" i="16"/>
  <c r="U11" i="16" s="1"/>
  <c r="R6" i="16"/>
  <c r="U6" i="16" s="1"/>
  <c r="R13" i="16"/>
  <c r="U13" i="16" s="1"/>
  <c r="R12" i="16"/>
  <c r="U12" i="16" s="1"/>
  <c r="O21" i="13"/>
  <c r="R8" i="13" s="1"/>
  <c r="U8" i="13" s="1"/>
  <c r="R9" i="13" l="1"/>
  <c r="U9" i="13" s="1"/>
  <c r="R11" i="13"/>
  <c r="U11" i="13" s="1"/>
  <c r="R5" i="13"/>
  <c r="U5" i="13" s="1"/>
  <c r="R6" i="13"/>
  <c r="U6" i="13" s="1"/>
  <c r="R7" i="13"/>
  <c r="U7" i="13" s="1"/>
  <c r="R10" i="13"/>
  <c r="U10" i="13" s="1"/>
</calcChain>
</file>

<file path=xl/sharedStrings.xml><?xml version="1.0" encoding="utf-8"?>
<sst xmlns="http://schemas.openxmlformats.org/spreadsheetml/2006/main" count="671" uniqueCount="103">
  <si>
    <t>Hi-tec</t>
  </si>
  <si>
    <t>Calibration</t>
  </si>
  <si>
    <t>names</t>
  </si>
  <si>
    <t>A</t>
  </si>
  <si>
    <t>Bx</t>
  </si>
  <si>
    <t>Cx^2</t>
  </si>
  <si>
    <t>Dx^3</t>
  </si>
  <si>
    <t>Calib Temp Deg C</t>
  </si>
  <si>
    <t>Calib Press Mbars</t>
  </si>
  <si>
    <t>Carrier 2</t>
  </si>
  <si>
    <t>Air</t>
  </si>
  <si>
    <t>Date</t>
  </si>
  <si>
    <t>GMU</t>
  </si>
  <si>
    <t>Froude</t>
  </si>
  <si>
    <t>EnFlo_Tunnel</t>
  </si>
  <si>
    <t>Image</t>
  </si>
  <si>
    <t>NPL</t>
  </si>
  <si>
    <t>Therm</t>
  </si>
  <si>
    <t>Source</t>
  </si>
  <si>
    <t>Interval</t>
  </si>
  <si>
    <t>Meas Q</t>
  </si>
  <si>
    <t>Meas Volt</t>
  </si>
  <si>
    <t>Atmos_Press</t>
  </si>
  <si>
    <t>Master_Reference</t>
  </si>
  <si>
    <t>Pressure</t>
  </si>
  <si>
    <t>Seconds</t>
  </si>
  <si>
    <t>Start</t>
  </si>
  <si>
    <t>Gas</t>
  </si>
  <si>
    <t>Reading</t>
  </si>
  <si>
    <t>End</t>
  </si>
  <si>
    <t>Used</t>
  </si>
  <si>
    <t>Flowrate</t>
  </si>
  <si>
    <t>Time</t>
  </si>
  <si>
    <t>of</t>
  </si>
  <si>
    <t>Measurement</t>
  </si>
  <si>
    <t>since</t>
  </si>
  <si>
    <t>Carrier 1</t>
  </si>
  <si>
    <t>Commenced</t>
  </si>
  <si>
    <t>1st Jan</t>
  </si>
  <si>
    <t>% err.</t>
  </si>
  <si>
    <t>cubic</t>
  </si>
  <si>
    <t>linear</t>
  </si>
  <si>
    <t>cubit</t>
  </si>
  <si>
    <t>fit</t>
  </si>
  <si>
    <t>Very Low</t>
  </si>
  <si>
    <t>Low</t>
  </si>
  <si>
    <t>bubble flow 0.02 - 6l/min</t>
  </si>
  <si>
    <t xml:space="preserve">Using domestic gas meter with a 1m long  22mm cooper pipe upstream to avoid jetting into meter </t>
  </si>
  <si>
    <t>Trace</t>
  </si>
  <si>
    <t>bubble flow 1-250cc</t>
  </si>
  <si>
    <t>Propane</t>
  </si>
  <si>
    <t>50 ml/min</t>
  </si>
  <si>
    <t>300 ml/min</t>
  </si>
  <si>
    <t>High</t>
  </si>
  <si>
    <t>Bubble</t>
  </si>
  <si>
    <t>FID</t>
  </si>
  <si>
    <t>Qtrace</t>
  </si>
  <si>
    <t>FF (C)</t>
  </si>
  <si>
    <t>Cppm</t>
  </si>
  <si>
    <t>Hi-Tec/FID</t>
  </si>
  <si>
    <t>Q</t>
  </si>
  <si>
    <t>c'/C</t>
  </si>
  <si>
    <t>C</t>
  </si>
  <si>
    <t>Multi Run</t>
  </si>
  <si>
    <t>File</t>
  </si>
  <si>
    <t>No Of</t>
  </si>
  <si>
    <t>Flow</t>
  </si>
  <si>
    <t>Inst</t>
  </si>
  <si>
    <t>Clean_Air</t>
  </si>
  <si>
    <t>From</t>
  </si>
  <si>
    <t>Mean</t>
  </si>
  <si>
    <t>Variance</t>
  </si>
  <si>
    <t>Hi-Tec</t>
  </si>
  <si>
    <t>%</t>
  </si>
  <si>
    <t>Standard Error</t>
  </si>
  <si>
    <t>Start Time</t>
  </si>
  <si>
    <t>c^2</t>
  </si>
  <si>
    <t>Dem Volt</t>
  </si>
  <si>
    <t>Dem Strength</t>
  </si>
  <si>
    <t>Meas Strength</t>
  </si>
  <si>
    <t>Drift</t>
  </si>
  <si>
    <t>l/min</t>
  </si>
  <si>
    <t>in Mean</t>
  </si>
  <si>
    <t>Error</t>
  </si>
  <si>
    <t>Filename</t>
  </si>
  <si>
    <t>Blocks</t>
  </si>
  <si>
    <t>See correction below</t>
  </si>
  <si>
    <t>Calculated</t>
  </si>
  <si>
    <t>Carrier</t>
  </si>
  <si>
    <t>14:18 on 16-03-2015</t>
  </si>
  <si>
    <t>Carrier_500_FID_Calib_1.xls</t>
  </si>
  <si>
    <t>FF_Ch0_16-03-2015_4.xls</t>
  </si>
  <si>
    <t>Flowrate Using FFID</t>
  </si>
  <si>
    <t>Gas Factor</t>
  </si>
  <si>
    <t>x</t>
  </si>
  <si>
    <t>y</t>
  </si>
  <si>
    <t>CO2</t>
  </si>
  <si>
    <t>Hi-Tec calculator output for F-201AC</t>
  </si>
  <si>
    <t>voltage span fraction</t>
  </si>
  <si>
    <t>(%)</t>
  </si>
  <si>
    <t>Air:CO2 factor</t>
  </si>
  <si>
    <t>from cubic fit to Hi-Tec calcs</t>
  </si>
  <si>
    <t>using gas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</si>
</sst>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'Carrier1-500-CO2'!$E$5:$E$10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'Carrier1-500-CO2'!$K$5:$K$10</c:f>
              <c:numCache>
                <c:formatCode>General</c:formatCode>
                <c:ptCount val="6"/>
                <c:pt idx="0">
                  <c:v>37.237589200829383</c:v>
                </c:pt>
                <c:pt idx="1">
                  <c:v>74.327670164490456</c:v>
                </c:pt>
                <c:pt idx="2">
                  <c:v>147.30845105925653</c:v>
                </c:pt>
                <c:pt idx="3">
                  <c:v>220.07499090419975</c:v>
                </c:pt>
                <c:pt idx="4">
                  <c:v>293.24235297988372</c:v>
                </c:pt>
                <c:pt idx="5">
                  <c:v>365.8417656993966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1536"/>
        <c:axId val="60416000"/>
      </c:scatterChart>
      <c:valAx>
        <c:axId val="6040153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0416000"/>
        <c:crosses val="autoZero"/>
        <c:crossBetween val="midCat"/>
      </c:valAx>
      <c:valAx>
        <c:axId val="604160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04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'Carrier1-5-Air'!$E$5:$E$15</c:f>
              <c:numCache>
                <c:formatCode>General</c:formatCode>
                <c:ptCount val="11"/>
                <c:pt idx="0">
                  <c:v>0.88270000000000004</c:v>
                </c:pt>
                <c:pt idx="1">
                  <c:v>1.2448999999999999</c:v>
                </c:pt>
                <c:pt idx="2">
                  <c:v>1.7965</c:v>
                </c:pt>
                <c:pt idx="3">
                  <c:v>2.7240000000000002</c:v>
                </c:pt>
                <c:pt idx="4">
                  <c:v>3.6337000000000002</c:v>
                </c:pt>
                <c:pt idx="5">
                  <c:v>4.4980000000000002</c:v>
                </c:pt>
                <c:pt idx="6">
                  <c:v>0.8831</c:v>
                </c:pt>
                <c:pt idx="7">
                  <c:v>0.43940000000000001</c:v>
                </c:pt>
                <c:pt idx="8">
                  <c:v>0.18079999999999999</c:v>
                </c:pt>
              </c:numCache>
            </c:numRef>
          </c:xVal>
          <c:yVal>
            <c:numRef>
              <c:f>'Carrier1-5-Air'!$K$5:$K$15</c:f>
              <c:numCache>
                <c:formatCode>General</c:formatCode>
                <c:ptCount val="11"/>
                <c:pt idx="0">
                  <c:v>1.0009999999999999</c:v>
                </c:pt>
                <c:pt idx="1">
                  <c:v>1.403</c:v>
                </c:pt>
                <c:pt idx="2">
                  <c:v>2.0019999999999998</c:v>
                </c:pt>
                <c:pt idx="3">
                  <c:v>2.9940000000000002</c:v>
                </c:pt>
                <c:pt idx="4">
                  <c:v>3.9740000000000002</c:v>
                </c:pt>
                <c:pt idx="5">
                  <c:v>4.9429999999999996</c:v>
                </c:pt>
                <c:pt idx="6">
                  <c:v>1</c:v>
                </c:pt>
                <c:pt idx="7">
                  <c:v>0.4955</c:v>
                </c:pt>
                <c:pt idx="8">
                  <c:v>0.19620000000000001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3376"/>
        <c:axId val="61555840"/>
      </c:scatterChart>
      <c:valAx>
        <c:axId val="5949337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555840"/>
        <c:crosses val="autoZero"/>
        <c:crossBetween val="midCat"/>
      </c:valAx>
      <c:valAx>
        <c:axId val="6155584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94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3.6208442694663168E-2"/>
                  <c:y val="0.4311340769903762"/>
                </c:manualLayout>
              </c:layout>
              <c:numFmt formatCode="#,##0.000000" sourceLinked="0"/>
            </c:trendlineLbl>
          </c:trendline>
          <c:xVal>
            <c:numRef>
              <c:f>'Carrier2-50-Air'!$E$5:$E$11</c:f>
              <c:numCache>
                <c:formatCode>General</c:formatCode>
                <c:ptCount val="7"/>
                <c:pt idx="0">
                  <c:v>4.6456999999999997</c:v>
                </c:pt>
                <c:pt idx="1">
                  <c:v>3.7711999999999999</c:v>
                </c:pt>
                <c:pt idx="2">
                  <c:v>2.8331</c:v>
                </c:pt>
                <c:pt idx="3">
                  <c:v>1.8681000000000001</c:v>
                </c:pt>
                <c:pt idx="4">
                  <c:v>0.92059999999999997</c:v>
                </c:pt>
                <c:pt idx="5">
                  <c:v>0.46400000000000002</c:v>
                </c:pt>
                <c:pt idx="6">
                  <c:v>0.25641999999999998</c:v>
                </c:pt>
              </c:numCache>
            </c:numRef>
          </c:xVal>
          <c:yVal>
            <c:numRef>
              <c:f>'Carrier2-50-Air'!$K$5:$K$11</c:f>
              <c:numCache>
                <c:formatCode>General</c:formatCode>
                <c:ptCount val="7"/>
                <c:pt idx="0">
                  <c:v>49.913723375573689</c:v>
                </c:pt>
                <c:pt idx="1">
                  <c:v>39.949443882708927</c:v>
                </c:pt>
                <c:pt idx="2">
                  <c:v>30.016177957532921</c:v>
                </c:pt>
                <c:pt idx="3">
                  <c:v>20.009436823834132</c:v>
                </c:pt>
                <c:pt idx="4">
                  <c:v>9.9898887765407842</c:v>
                </c:pt>
                <c:pt idx="5">
                  <c:v>5.0556117290192111</c:v>
                </c:pt>
                <c:pt idx="6">
                  <c:v>2.7098078867531203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4352"/>
        <c:axId val="61698816"/>
      </c:scatterChart>
      <c:valAx>
        <c:axId val="6168435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698816"/>
        <c:crosses val="autoZero"/>
        <c:crossBetween val="midCat"/>
      </c:valAx>
      <c:valAx>
        <c:axId val="61698816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68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'Carrier1-500-CO2'!$S$15:$S$19</c:f>
              <c:numCache>
                <c:formatCode>General</c:formatCode>
                <c:ptCount val="5"/>
                <c:pt idx="0">
                  <c:v>1.36</c:v>
                </c:pt>
                <c:pt idx="1">
                  <c:v>1.3620000000000001</c:v>
                </c:pt>
                <c:pt idx="2">
                  <c:v>1.3620000000000001</c:v>
                </c:pt>
                <c:pt idx="3">
                  <c:v>1.357</c:v>
                </c:pt>
                <c:pt idx="4">
                  <c:v>1.3440000000000001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2784"/>
        <c:axId val="60504320"/>
      </c:scatterChart>
      <c:valAx>
        <c:axId val="605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04320"/>
        <c:crosses val="autoZero"/>
        <c:crossBetween val="midCat"/>
      </c:valAx>
      <c:valAx>
        <c:axId val="605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0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'Carrier1-500-Air'!$E$5:$E$10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'Carrier1-500-Air'!$K$5:$K$10</c:f>
              <c:numCache>
                <c:formatCode>General</c:formatCode>
                <c:ptCount val="6"/>
                <c:pt idx="0">
                  <c:v>50.619</c:v>
                </c:pt>
                <c:pt idx="1">
                  <c:v>101.1001</c:v>
                </c:pt>
                <c:pt idx="2">
                  <c:v>200.5779</c:v>
                </c:pt>
                <c:pt idx="3">
                  <c:v>299.8417</c:v>
                </c:pt>
                <c:pt idx="4">
                  <c:v>399.52</c:v>
                </c:pt>
                <c:pt idx="5">
                  <c:v>498.00900000000001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7632"/>
        <c:axId val="60999552"/>
      </c:scatterChart>
      <c:valAx>
        <c:axId val="6099763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0999552"/>
        <c:crosses val="autoZero"/>
        <c:crossBetween val="midCat"/>
      </c:valAx>
      <c:valAx>
        <c:axId val="609995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099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300'!$E$5:$E$11</c:f>
              <c:numCache>
                <c:formatCode>General</c:formatCode>
                <c:ptCount val="7"/>
                <c:pt idx="0">
                  <c:v>4.1576000000000004</c:v>
                </c:pt>
                <c:pt idx="1">
                  <c:v>3.3132000000000001</c:v>
                </c:pt>
                <c:pt idx="2">
                  <c:v>2.4514999999999998</c:v>
                </c:pt>
                <c:pt idx="3">
                  <c:v>1.5898000000000001</c:v>
                </c:pt>
                <c:pt idx="4">
                  <c:v>0.7591</c:v>
                </c:pt>
                <c:pt idx="5">
                  <c:v>0.35659999999999997</c:v>
                </c:pt>
                <c:pt idx="6">
                  <c:v>0.25908999999999999</c:v>
                </c:pt>
              </c:numCache>
            </c:numRef>
          </c:xVal>
          <c:yVal>
            <c:numRef>
              <c:f>'Trace 300'!$K$5:$K$11</c:f>
              <c:numCache>
                <c:formatCode>General</c:formatCode>
                <c:ptCount val="7"/>
                <c:pt idx="0">
                  <c:v>0.25159999999999999</c:v>
                </c:pt>
                <c:pt idx="1">
                  <c:v>0.1996</c:v>
                </c:pt>
                <c:pt idx="2">
                  <c:v>0.14899999999999999</c:v>
                </c:pt>
                <c:pt idx="3">
                  <c:v>9.8169999999999993E-2</c:v>
                </c:pt>
                <c:pt idx="4">
                  <c:v>4.8000000000000001E-2</c:v>
                </c:pt>
                <c:pt idx="5">
                  <c:v>2.2950000000000002E-2</c:v>
                </c:pt>
                <c:pt idx="6">
                  <c:v>1.6789999999999999E-2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3712"/>
        <c:axId val="61302272"/>
      </c:scatterChart>
      <c:valAx>
        <c:axId val="61283712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302272"/>
        <c:crosses val="autoZero"/>
        <c:crossBetween val="midCat"/>
      </c:valAx>
      <c:valAx>
        <c:axId val="613022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28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0.0000E+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50'!$E$5:$E$12</c:f>
              <c:numCache>
                <c:formatCode>General</c:formatCode>
                <c:ptCount val="8"/>
                <c:pt idx="0">
                  <c:v>3.9312</c:v>
                </c:pt>
                <c:pt idx="1">
                  <c:v>4.5644999999999998</c:v>
                </c:pt>
                <c:pt idx="2">
                  <c:v>3.2858000000000001</c:v>
                </c:pt>
                <c:pt idx="3">
                  <c:v>2.6238000000000001</c:v>
                </c:pt>
                <c:pt idx="4">
                  <c:v>1.9575</c:v>
                </c:pt>
                <c:pt idx="5">
                  <c:v>1.2952999999999999</c:v>
                </c:pt>
                <c:pt idx="6">
                  <c:v>0.64529999999999998</c:v>
                </c:pt>
                <c:pt idx="7">
                  <c:v>0.32750000000000001</c:v>
                </c:pt>
              </c:numCache>
            </c:numRef>
          </c:xVal>
          <c:yVal>
            <c:numRef>
              <c:f>'Trace 50'!$K$5:$K$12</c:f>
              <c:numCache>
                <c:formatCode>General</c:formatCode>
                <c:ptCount val="8"/>
                <c:pt idx="0">
                  <c:v>4.351E-2</c:v>
                </c:pt>
                <c:pt idx="1">
                  <c:v>5.1380000000000002E-2</c:v>
                </c:pt>
                <c:pt idx="2">
                  <c:v>3.6909999999999998E-2</c:v>
                </c:pt>
                <c:pt idx="3">
                  <c:v>2.954E-2</c:v>
                </c:pt>
                <c:pt idx="4">
                  <c:v>2.215E-2</c:v>
                </c:pt>
                <c:pt idx="5">
                  <c:v>1.4750000000000001E-2</c:v>
                </c:pt>
                <c:pt idx="6">
                  <c:v>7.3010000000000002E-3</c:v>
                </c:pt>
                <c:pt idx="7">
                  <c:v>3.5960000000000002E-3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9824"/>
        <c:axId val="61396096"/>
      </c:scatterChart>
      <c:valAx>
        <c:axId val="6138982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61396096"/>
        <c:crosses val="autoZero"/>
        <c:crossBetween val="midCat"/>
      </c:valAx>
      <c:valAx>
        <c:axId val="613960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6138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'Carrier1-50-Air'!$E$5:$E$11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'Carrier1-50-Air'!$K$5:$K$11</c:f>
              <c:numCache>
                <c:formatCode>General</c:formatCode>
                <c:ptCount val="7"/>
                <c:pt idx="0">
                  <c:v>49.854427820461332</c:v>
                </c:pt>
                <c:pt idx="1">
                  <c:v>39.865880370682042</c:v>
                </c:pt>
                <c:pt idx="2">
                  <c:v>29.972704296545501</c:v>
                </c:pt>
                <c:pt idx="3">
                  <c:v>19.989890820865877</c:v>
                </c:pt>
                <c:pt idx="4">
                  <c:v>9.9036193300538926</c:v>
                </c:pt>
                <c:pt idx="5">
                  <c:v>4.9398443029016859</c:v>
                </c:pt>
                <c:pt idx="6">
                  <c:v>2.6082561078351723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9104"/>
        <c:axId val="59605376"/>
      </c:scatterChart>
      <c:valAx>
        <c:axId val="5959910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9605376"/>
        <c:crosses val="autoZero"/>
        <c:crossBetween val="midCat"/>
      </c:valAx>
      <c:valAx>
        <c:axId val="59605376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959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'Carrier1-50-CO2'!$E$5:$E$11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'Carrier1-50-CO2'!$K$5:$K$11</c:f>
              <c:numCache>
                <c:formatCode>General</c:formatCode>
                <c:ptCount val="7"/>
                <c:pt idx="0">
                  <c:v>37.037036604433155</c:v>
                </c:pt>
                <c:pt idx="1">
                  <c:v>29.440669098276352</c:v>
                </c:pt>
                <c:pt idx="2">
                  <c:v>22.06322682879091</c:v>
                </c:pt>
                <c:pt idx="3">
                  <c:v>14.703440841072876</c:v>
                </c:pt>
                <c:pt idx="4">
                  <c:v>7.292037667310562</c:v>
                </c:pt>
                <c:pt idx="5">
                  <c:v>3.6405667723806894</c:v>
                </c:pt>
                <c:pt idx="6">
                  <c:v>1.9231676916500595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4368"/>
        <c:axId val="59760640"/>
      </c:scatterChart>
      <c:valAx>
        <c:axId val="5975436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9760640"/>
        <c:crosses val="autoZero"/>
        <c:crossBetween val="midCat"/>
      </c:valAx>
      <c:valAx>
        <c:axId val="5976064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97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'Carrier1-50-CO2'!$S$15:$S$19</c:f>
              <c:numCache>
                <c:formatCode>General</c:formatCode>
                <c:ptCount val="5"/>
                <c:pt idx="0">
                  <c:v>1.357</c:v>
                </c:pt>
                <c:pt idx="1">
                  <c:v>1.359</c:v>
                </c:pt>
                <c:pt idx="2">
                  <c:v>1.359</c:v>
                </c:pt>
                <c:pt idx="3">
                  <c:v>1.3540000000000001</c:v>
                </c:pt>
                <c:pt idx="4">
                  <c:v>1.341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7584"/>
        <c:axId val="61749120"/>
      </c:scatterChart>
      <c:valAx>
        <c:axId val="617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49120"/>
        <c:crosses val="autoZero"/>
        <c:crossBetween val="midCat"/>
      </c:valAx>
      <c:valAx>
        <c:axId val="617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4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 Check Not used'!$E$5:$E$11</c:f>
              <c:numCache>
                <c:formatCode>General</c:formatCode>
                <c:ptCount val="7"/>
                <c:pt idx="0">
                  <c:v>4.5720000000000001</c:v>
                </c:pt>
                <c:pt idx="1">
                  <c:v>3.7218</c:v>
                </c:pt>
                <c:pt idx="2">
                  <c:v>2.7829999999999999</c:v>
                </c:pt>
                <c:pt idx="3">
                  <c:v>1.8374999999999999</c:v>
                </c:pt>
                <c:pt idx="4">
                  <c:v>0.90129999999999999</c:v>
                </c:pt>
                <c:pt idx="5">
                  <c:v>0.44969999999999999</c:v>
                </c:pt>
                <c:pt idx="6">
                  <c:v>0.22700000000000001</c:v>
                </c:pt>
              </c:numCache>
            </c:numRef>
          </c:xVal>
          <c:yVal>
            <c:numRef>
              <c:f>'Carrier1-5-Air Check Not used'!$K$5:$K$11</c:f>
              <c:numCache>
                <c:formatCode>General</c:formatCode>
                <c:ptCount val="7"/>
                <c:pt idx="0">
                  <c:v>4.9649999999999999</c:v>
                </c:pt>
                <c:pt idx="1">
                  <c:v>3.9860000000000002</c:v>
                </c:pt>
                <c:pt idx="2">
                  <c:v>3.0259999999999998</c:v>
                </c:pt>
                <c:pt idx="3">
                  <c:v>2.0059999999999998</c:v>
                </c:pt>
                <c:pt idx="4">
                  <c:v>0.99580000000000002</c:v>
                </c:pt>
                <c:pt idx="5">
                  <c:v>0.49740000000000001</c:v>
                </c:pt>
                <c:pt idx="6">
                  <c:v>0.24779999999999999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8000"/>
        <c:axId val="61814272"/>
      </c:scatterChart>
      <c:valAx>
        <c:axId val="6180800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814272"/>
        <c:crosses val="autoZero"/>
        <c:crossBetween val="midCat"/>
      </c:valAx>
      <c:valAx>
        <c:axId val="618142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618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47788</xdr:colOff>
      <xdr:row>19</xdr:row>
      <xdr:rowOff>28576</xdr:rowOff>
    </xdr:from>
    <xdr:to>
      <xdr:col>23</xdr:col>
      <xdr:colOff>542762</xdr:colOff>
      <xdr:row>42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413" y="3648076"/>
          <a:ext cx="4762174" cy="435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15</xdr:row>
      <xdr:rowOff>52387</xdr:rowOff>
    </xdr:from>
    <xdr:to>
      <xdr:col>10</xdr:col>
      <xdr:colOff>276225</xdr:colOff>
      <xdr:row>29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403411</xdr:colOff>
      <xdr:row>25</xdr:row>
      <xdr:rowOff>78442</xdr:rowOff>
    </xdr:from>
    <xdr:to>
      <xdr:col>27</xdr:col>
      <xdr:colOff>255882</xdr:colOff>
      <xdr:row>84</xdr:row>
      <xdr:rowOff>115133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676" y="4840942"/>
          <a:ext cx="10352382" cy="11276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18</xdr:row>
      <xdr:rowOff>52387</xdr:rowOff>
    </xdr:from>
    <xdr:to>
      <xdr:col>10</xdr:col>
      <xdr:colOff>276225</xdr:colOff>
      <xdr:row>32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18" sqref="Q18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20" width="9.140625" style="1"/>
    <col min="21" max="21" width="9.140625" style="1" customWidth="1"/>
    <col min="22" max="16384" width="9.140625" style="1"/>
  </cols>
  <sheetData>
    <row r="1" spans="1:24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87</v>
      </c>
      <c r="J1" s="1" t="s">
        <v>93</v>
      </c>
      <c r="K1" s="1" t="s">
        <v>87</v>
      </c>
      <c r="M1" s="1" t="s">
        <v>98</v>
      </c>
      <c r="N1" s="1" t="s">
        <v>100</v>
      </c>
    </row>
    <row r="2" spans="1:24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88</v>
      </c>
      <c r="K2" s="1" t="s">
        <v>88</v>
      </c>
      <c r="M2" s="1" t="s">
        <v>99</v>
      </c>
      <c r="N2" s="1" t="s">
        <v>101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4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92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4" x14ac:dyDescent="0.25">
      <c r="I4" s="1" t="s">
        <v>10</v>
      </c>
    </row>
    <row r="5" spans="1:24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I5" s="1">
        <v>50.619</v>
      </c>
      <c r="J5" s="1">
        <f>1/N5</f>
        <v>0.73564450504414125</v>
      </c>
      <c r="K5" s="1">
        <f>I5*J5</f>
        <v>37.237589200829383</v>
      </c>
      <c r="L5" s="1">
        <f t="shared" ref="L5:L10" si="0">K5/D5</f>
        <v>0.74993986802357471</v>
      </c>
      <c r="M5" s="1">
        <f>100*E5/5</f>
        <v>5.5683999999999996</v>
      </c>
      <c r="N5" s="7">
        <f>$U$15+$U$16*M5+$U$17*M5^2+$U$18*M5^3</f>
        <v>1.3593522321491363</v>
      </c>
      <c r="Q5" s="1">
        <f t="shared" ref="Q5:Q10" si="1">N$18+N$19*E5+N$20*E5^2+N$21*E5^3</f>
        <v>37.411260249403959</v>
      </c>
      <c r="R5" s="1">
        <f t="shared" ref="R5:R10" si="2">$O$18+$O$19*E5</f>
        <v>39.673634944228986</v>
      </c>
      <c r="T5" s="1">
        <f>100*(Q5-$K5)/$K5</f>
        <v>0.46638639155165262</v>
      </c>
      <c r="U5" s="1">
        <f>100*(R5-$K5)/$K5</f>
        <v>6.5418997192904902</v>
      </c>
    </row>
    <row r="6" spans="1:24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I6" s="1">
        <v>101.1001</v>
      </c>
      <c r="J6" s="1">
        <f t="shared" ref="J6:J10" si="3">1/N6</f>
        <v>0.73518888868053001</v>
      </c>
      <c r="K6" s="1">
        <f t="shared" ref="K6:K10" si="4">I6*J6</f>
        <v>74.327670164490456</v>
      </c>
      <c r="L6" s="1">
        <f t="shared" si="0"/>
        <v>0.74773996147494859</v>
      </c>
      <c r="M6" s="1">
        <f t="shared" ref="M6:M10" si="5">100*E6/5</f>
        <v>10.994</v>
      </c>
      <c r="N6" s="7">
        <f t="shared" ref="N6:N10" si="6">$U$15+$U$16*M6+$U$17*M6^2+$U$18*M6^3</f>
        <v>1.3601946593544634</v>
      </c>
      <c r="O6" s="6"/>
      <c r="Q6" s="1">
        <f t="shared" si="1"/>
        <v>74.024140431435043</v>
      </c>
      <c r="R6" s="1">
        <f t="shared" si="2"/>
        <v>74.057022912593524</v>
      </c>
      <c r="T6" s="1">
        <f t="shared" ref="T6:U10" si="7">100*(Q6-$K6)/$K6</f>
        <v>-0.40836707565794556</v>
      </c>
      <c r="U6" s="1">
        <f>100*(R6-$K6)/$K6</f>
        <v>-0.36412718345399175</v>
      </c>
    </row>
    <row r="7" spans="1:24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I7" s="1">
        <v>200.5779</v>
      </c>
      <c r="J7" s="1">
        <f t="shared" si="3"/>
        <v>0.73442014827783386</v>
      </c>
      <c r="K7" s="1">
        <f t="shared" si="4"/>
        <v>147.30845105925653</v>
      </c>
      <c r="L7" s="1">
        <f t="shared" si="0"/>
        <v>0.73768012689201357</v>
      </c>
      <c r="M7" s="1">
        <f t="shared" si="5"/>
        <v>22.233999999999998</v>
      </c>
      <c r="N7" s="7">
        <f t="shared" si="6"/>
        <v>1.3616184173935493</v>
      </c>
      <c r="O7" s="6"/>
      <c r="Q7" s="1">
        <f t="shared" si="1"/>
        <v>147.40726826293493</v>
      </c>
      <c r="R7" s="1">
        <f t="shared" si="2"/>
        <v>145.28772196236082</v>
      </c>
      <c r="T7" s="1">
        <f t="shared" si="7"/>
        <v>6.7081829296173567E-2</v>
      </c>
      <c r="U7" s="1">
        <f>100*(R7-$K7)/$K7</f>
        <v>-1.371767255962012</v>
      </c>
    </row>
    <row r="8" spans="1:24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I8" s="1">
        <v>299.8417</v>
      </c>
      <c r="J8" s="1">
        <f t="shared" si="3"/>
        <v>0.73397059483120508</v>
      </c>
      <c r="K8" s="1">
        <f t="shared" si="4"/>
        <v>220.07499090419975</v>
      </c>
      <c r="L8" s="1">
        <f t="shared" si="0"/>
        <v>0.73430757505219235</v>
      </c>
      <c r="M8" s="1">
        <f t="shared" si="5"/>
        <v>33.774000000000001</v>
      </c>
      <c r="N8" s="7">
        <f t="shared" si="6"/>
        <v>1.3624524021019875</v>
      </c>
      <c r="O8" s="6"/>
      <c r="Q8" s="1">
        <f t="shared" si="1"/>
        <v>220.24000752756351</v>
      </c>
      <c r="R8" s="1">
        <f t="shared" si="2"/>
        <v>218.41959625366997</v>
      </c>
      <c r="T8" s="1">
        <f t="shared" si="7"/>
        <v>7.4981997130054559E-2</v>
      </c>
      <c r="U8" s="1">
        <f t="shared" si="7"/>
        <v>-0.75219571461910961</v>
      </c>
    </row>
    <row r="9" spans="1:24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I9" s="1">
        <v>399.52</v>
      </c>
      <c r="J9" s="1">
        <f t="shared" si="3"/>
        <v>0.73398666644944865</v>
      </c>
      <c r="K9" s="1">
        <f t="shared" si="4"/>
        <v>293.24235297988372</v>
      </c>
      <c r="L9" s="1">
        <f t="shared" si="0"/>
        <v>0.73344143190480571</v>
      </c>
      <c r="M9" s="1">
        <f t="shared" si="5"/>
        <v>45.532000000000004</v>
      </c>
      <c r="N9" s="7">
        <f t="shared" si="6"/>
        <v>1.3624225693871952</v>
      </c>
      <c r="O9" s="6"/>
      <c r="Q9" s="1">
        <f t="shared" si="1"/>
        <v>293.04902863066224</v>
      </c>
      <c r="R9" s="1">
        <f t="shared" si="2"/>
        <v>292.9329912204995</v>
      </c>
      <c r="T9" s="1">
        <f t="shared" si="7"/>
        <v>-6.5926475918963237E-2</v>
      </c>
      <c r="U9" s="1">
        <f t="shared" si="7"/>
        <v>-0.10549695712114235</v>
      </c>
    </row>
    <row r="10" spans="1:24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I10" s="1">
        <v>498.00900000000001</v>
      </c>
      <c r="J10" s="1">
        <f t="shared" si="3"/>
        <v>0.73460874341507199</v>
      </c>
      <c r="K10" s="1">
        <f t="shared" si="4"/>
        <v>365.8417656993966</v>
      </c>
      <c r="L10" s="1">
        <f t="shared" si="0"/>
        <v>0.73212866562749468</v>
      </c>
      <c r="M10" s="1">
        <f t="shared" si="5"/>
        <v>57.323999999999998</v>
      </c>
      <c r="N10" s="7">
        <f t="shared" si="6"/>
        <v>1.3612688508867576</v>
      </c>
      <c r="O10" s="6"/>
      <c r="Q10" s="1">
        <f t="shared" si="1"/>
        <v>365.90110095738379</v>
      </c>
      <c r="R10" s="1">
        <f t="shared" si="2"/>
        <v>367.66185271470374</v>
      </c>
      <c r="T10" s="1">
        <f t="shared" si="7"/>
        <v>1.621883107680509E-2</v>
      </c>
      <c r="U10" s="1">
        <f t="shared" si="7"/>
        <v>0.4975066233423604</v>
      </c>
    </row>
    <row r="13" spans="1:24" x14ac:dyDescent="0.25">
      <c r="N13" s="1" t="s">
        <v>40</v>
      </c>
      <c r="O13" s="1" t="s">
        <v>41</v>
      </c>
      <c r="R13" s="1" t="s">
        <v>97</v>
      </c>
      <c r="U13" s="1" t="s">
        <v>40</v>
      </c>
      <c r="V13" s="1" t="s">
        <v>41</v>
      </c>
    </row>
    <row r="14" spans="1:24" x14ac:dyDescent="0.25">
      <c r="R14" s="5" t="s">
        <v>94</v>
      </c>
      <c r="S14" s="5" t="s">
        <v>95</v>
      </c>
    </row>
    <row r="15" spans="1:24" x14ac:dyDescent="0.25">
      <c r="M15" s="1" t="s">
        <v>0</v>
      </c>
      <c r="N15" s="1" t="s">
        <v>36</v>
      </c>
      <c r="R15" s="1">
        <v>10</v>
      </c>
      <c r="S15" s="1">
        <v>1.36</v>
      </c>
      <c r="U15" s="7">
        <v>1.3584149999999999</v>
      </c>
      <c r="V15" s="1">
        <f>INTERCEPT(S15:S19,R15:R19)</f>
        <v>1.3657317073170734</v>
      </c>
      <c r="X15" s="1" t="s">
        <v>3</v>
      </c>
    </row>
    <row r="16" spans="1:24" x14ac:dyDescent="0.25">
      <c r="M16" s="1" t="s">
        <v>1</v>
      </c>
      <c r="N16" s="1" t="s">
        <v>53</v>
      </c>
      <c r="R16" s="1">
        <v>25</v>
      </c>
      <c r="S16" s="1">
        <v>1.3620000000000001</v>
      </c>
      <c r="U16" s="7">
        <v>1.7346080000000001E-4</v>
      </c>
      <c r="V16" s="1">
        <f>SLOPE(S15:S19,R15:R19)</f>
        <v>-1.6791744840525391E-4</v>
      </c>
      <c r="X16" s="1" t="s">
        <v>4</v>
      </c>
    </row>
    <row r="17" spans="1:24" x14ac:dyDescent="0.25">
      <c r="M17" s="1" t="s">
        <v>2</v>
      </c>
      <c r="N17" s="1" t="s">
        <v>96</v>
      </c>
      <c r="R17" s="1">
        <v>50</v>
      </c>
      <c r="S17" s="1">
        <v>1.3620000000000001</v>
      </c>
      <c r="U17" s="7">
        <v>-7.9187479999999995E-7</v>
      </c>
      <c r="X17" s="1" t="s">
        <v>5</v>
      </c>
    </row>
    <row r="18" spans="1:24" x14ac:dyDescent="0.25">
      <c r="M18" s="1" t="s">
        <v>3</v>
      </c>
      <c r="N18" s="1">
        <v>-1.1460729999999999</v>
      </c>
      <c r="O18" s="1">
        <f>INTERCEPT(K5:K10,E5:E10)</f>
        <v>4.3852875608905322</v>
      </c>
      <c r="R18" s="1">
        <v>75</v>
      </c>
      <c r="S18" s="1">
        <v>1.357</v>
      </c>
      <c r="U18" s="7">
        <v>-2.382283E-8</v>
      </c>
      <c r="X18" s="1" t="s">
        <v>6</v>
      </c>
    </row>
    <row r="19" spans="1:24" x14ac:dyDescent="0.25">
      <c r="A19" s="2"/>
      <c r="B19" s="3"/>
      <c r="M19" s="1" t="s">
        <v>4</v>
      </c>
      <c r="N19" s="1">
        <v>140.427718</v>
      </c>
      <c r="O19" s="1">
        <f>SLOPE(K5:K10,E5:E10)</f>
        <v>126.74501610278878</v>
      </c>
      <c r="R19" s="1">
        <v>100</v>
      </c>
      <c r="S19" s="1">
        <v>1.3440000000000001</v>
      </c>
    </row>
    <row r="20" spans="1:24" x14ac:dyDescent="0.25">
      <c r="A20" s="2"/>
      <c r="B20" s="3"/>
      <c r="M20" s="1" t="s">
        <v>5</v>
      </c>
      <c r="N20" s="1">
        <v>-7.2592949999999998</v>
      </c>
    </row>
    <row r="21" spans="1:24" x14ac:dyDescent="0.25">
      <c r="A21" s="2"/>
      <c r="B21" s="3"/>
      <c r="M21" s="1" t="s">
        <v>6</v>
      </c>
      <c r="N21" s="1">
        <v>1.027307</v>
      </c>
    </row>
    <row r="22" spans="1:24" x14ac:dyDescent="0.25">
      <c r="A22" s="2"/>
      <c r="B22" s="3"/>
      <c r="M22" s="1" t="s">
        <v>7</v>
      </c>
      <c r="N22" s="1">
        <f>AVERAGE(G5:G10)</f>
        <v>18.940549999999998</v>
      </c>
    </row>
    <row r="23" spans="1:24" x14ac:dyDescent="0.25">
      <c r="A23" s="2"/>
      <c r="B23" s="3"/>
      <c r="M23" s="1" t="s">
        <v>8</v>
      </c>
      <c r="N23" s="1">
        <f>AVERAGE(F5:F10)</f>
        <v>1014.9450000000001</v>
      </c>
    </row>
    <row r="24" spans="1:24" x14ac:dyDescent="0.25">
      <c r="A24" s="2"/>
      <c r="B24" s="3"/>
      <c r="M24" s="1" t="s">
        <v>11</v>
      </c>
      <c r="N24" s="2">
        <f>AVERAGE(A5:A10)</f>
        <v>42079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C35" sqref="C35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87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K2" s="1" t="s">
        <v>88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K3" s="1" t="s">
        <v>92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K5" s="1">
        <v>50.619</v>
      </c>
      <c r="L5" s="1">
        <f t="shared" ref="L5:L10" si="0">K5/D5</f>
        <v>1.0194324335754752</v>
      </c>
      <c r="Q5" s="1">
        <f t="shared" ref="Q5:Q10" si="1">N$18+N$19*E5+N$20*E5^2+N$21*E5^3</f>
        <v>50.859756834972394</v>
      </c>
      <c r="R5" s="1">
        <f t="shared" ref="R5:R10" si="2">$O$18+$O$19*E5</f>
        <v>53.978423360011568</v>
      </c>
      <c r="T5" s="1">
        <f>100*(Q5-$K5)/$K5</f>
        <v>0.47562542715659045</v>
      </c>
      <c r="U5" s="1">
        <f>100*(R5-$K5)/$K5</f>
        <v>6.6366845651071102</v>
      </c>
    </row>
    <row r="6" spans="1:21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K6" s="1">
        <v>101.1001</v>
      </c>
      <c r="L6" s="1">
        <f t="shared" si="0"/>
        <v>1.0170719021841372</v>
      </c>
      <c r="Q6" s="1">
        <f t="shared" si="1"/>
        <v>100.67980813380446</v>
      </c>
      <c r="R6" s="1">
        <f t="shared" si="2"/>
        <v>100.80895703528427</v>
      </c>
      <c r="T6" s="1">
        <f t="shared" ref="T6:U10" si="3">100*(Q6-$K6)/$K6</f>
        <v>-0.41571854646586981</v>
      </c>
      <c r="U6" s="1">
        <f>100*(R6-$K6)/$K6</f>
        <v>-0.28797495226585529</v>
      </c>
    </row>
    <row r="7" spans="1:21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K7" s="1">
        <v>200.5779</v>
      </c>
      <c r="L7" s="1">
        <f t="shared" si="0"/>
        <v>1.0044388469213763</v>
      </c>
      <c r="Q7" s="1">
        <f t="shared" si="1"/>
        <v>200.71301958541824</v>
      </c>
      <c r="R7" s="1">
        <f t="shared" si="2"/>
        <v>197.825913410628</v>
      </c>
      <c r="T7" s="1">
        <f t="shared" si="3"/>
        <v>6.7365141133812784E-2</v>
      </c>
      <c r="U7" s="1">
        <f>100*(R7-$K7)/$K7</f>
        <v>-1.3720288174180681</v>
      </c>
    </row>
    <row r="8" spans="1:21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K8" s="1">
        <v>299.8417</v>
      </c>
      <c r="L8" s="1">
        <f t="shared" si="0"/>
        <v>1.0004591195115449</v>
      </c>
      <c r="Q8" s="1">
        <f t="shared" si="1"/>
        <v>300.07318695878945</v>
      </c>
      <c r="R8" s="1">
        <f t="shared" si="2"/>
        <v>297.43229032979775</v>
      </c>
      <c r="T8" s="1">
        <f t="shared" si="3"/>
        <v>7.7203057076266027E-2</v>
      </c>
      <c r="U8" s="1">
        <f t="shared" si="3"/>
        <v>-0.80356056886091931</v>
      </c>
    </row>
    <row r="9" spans="1:21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K9" s="1">
        <v>399.52</v>
      </c>
      <c r="L9" s="1">
        <f t="shared" si="0"/>
        <v>0.99925716015076893</v>
      </c>
      <c r="Q9" s="1">
        <f t="shared" si="1"/>
        <v>399.25023098080368</v>
      </c>
      <c r="R9" s="1">
        <f t="shared" si="2"/>
        <v>398.92031284414747</v>
      </c>
      <c r="T9" s="1">
        <f t="shared" si="3"/>
        <v>-6.7523282738361876E-2</v>
      </c>
      <c r="U9" s="1">
        <f t="shared" si="3"/>
        <v>-0.15010191125663477</v>
      </c>
    </row>
    <row r="10" spans="1:21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K10" s="1">
        <v>498.00900000000001</v>
      </c>
      <c r="L10" s="1">
        <f t="shared" si="0"/>
        <v>0.99662394735999482</v>
      </c>
      <c r="Q10" s="1">
        <f t="shared" si="1"/>
        <v>498.09171363869552</v>
      </c>
      <c r="R10" s="1">
        <f t="shared" si="2"/>
        <v>500.70180302013091</v>
      </c>
      <c r="T10" s="1">
        <f t="shared" si="3"/>
        <v>1.6608864236491501E-2</v>
      </c>
      <c r="U10" s="1">
        <f t="shared" si="3"/>
        <v>0.54071372608344337</v>
      </c>
    </row>
    <row r="13" spans="1:21" x14ac:dyDescent="0.25">
      <c r="N13" s="1" t="s">
        <v>40</v>
      </c>
      <c r="O13" s="1" t="s">
        <v>41</v>
      </c>
    </row>
    <row r="15" spans="1:21" x14ac:dyDescent="0.25">
      <c r="M15" s="1" t="s">
        <v>0</v>
      </c>
      <c r="N15" s="1" t="s">
        <v>36</v>
      </c>
    </row>
    <row r="16" spans="1:21" x14ac:dyDescent="0.25">
      <c r="M16" s="1" t="s">
        <v>1</v>
      </c>
      <c r="N16" s="1" t="s">
        <v>53</v>
      </c>
    </row>
    <row r="17" spans="1:34" x14ac:dyDescent="0.25">
      <c r="M17" s="1" t="s">
        <v>2</v>
      </c>
      <c r="N17" s="1" t="s">
        <v>10</v>
      </c>
    </row>
    <row r="18" spans="1:34" x14ac:dyDescent="0.25">
      <c r="M18" s="1" t="s">
        <v>3</v>
      </c>
      <c r="N18" s="1">
        <v>-1.5146139999999999</v>
      </c>
      <c r="O18" s="1">
        <f>INTERCEPT(K5:K10,E5:E10)</f>
        <v>5.9153255058777461</v>
      </c>
    </row>
    <row r="19" spans="1:34" x14ac:dyDescent="0.25">
      <c r="A19" s="2"/>
      <c r="B19" s="3"/>
      <c r="M19" s="1" t="s">
        <v>4</v>
      </c>
      <c r="N19" s="1">
        <v>190.558392</v>
      </c>
      <c r="O19" s="1">
        <f>SLOPE(K5:K10,E5:E10)</f>
        <v>172.62803625506007</v>
      </c>
    </row>
    <row r="20" spans="1:34" x14ac:dyDescent="0.25">
      <c r="A20" s="2"/>
      <c r="B20" s="3"/>
      <c r="M20" s="1" t="s">
        <v>5</v>
      </c>
      <c r="N20" s="1">
        <v>-9.1188660000000006</v>
      </c>
    </row>
    <row r="21" spans="1:34" x14ac:dyDescent="0.25">
      <c r="A21" s="2"/>
      <c r="B21" s="3"/>
      <c r="M21" s="1" t="s">
        <v>6</v>
      </c>
      <c r="N21" s="1">
        <v>1.2036070000000001</v>
      </c>
    </row>
    <row r="22" spans="1:34" x14ac:dyDescent="0.25">
      <c r="A22" s="2"/>
      <c r="B22" s="3"/>
      <c r="M22" s="1" t="s">
        <v>7</v>
      </c>
      <c r="N22" s="1">
        <f>AVERAGE(G5:G10)</f>
        <v>18.940549999999998</v>
      </c>
    </row>
    <row r="23" spans="1:34" x14ac:dyDescent="0.25">
      <c r="A23" s="2"/>
      <c r="B23" s="3"/>
      <c r="M23" s="1" t="s">
        <v>8</v>
      </c>
      <c r="N23" s="1">
        <f>AVERAGE(F5:F10)</f>
        <v>1014.9450000000001</v>
      </c>
    </row>
    <row r="24" spans="1:34" x14ac:dyDescent="0.25">
      <c r="A24" s="2"/>
      <c r="B24" s="3"/>
      <c r="M24" s="1" t="s">
        <v>11</v>
      </c>
      <c r="N24" s="2">
        <f>AVERAGE(A5:A10)</f>
        <v>42079</v>
      </c>
    </row>
    <row r="25" spans="1:34" x14ac:dyDescent="0.25">
      <c r="A25" s="2"/>
      <c r="B25" s="3"/>
    </row>
    <row r="30" spans="1:34" x14ac:dyDescent="0.25">
      <c r="A30" s="1" t="s">
        <v>11</v>
      </c>
      <c r="B30" s="1" t="s">
        <v>32</v>
      </c>
      <c r="C30" s="1" t="s">
        <v>25</v>
      </c>
      <c r="D30" s="1" t="s">
        <v>12</v>
      </c>
      <c r="E30" s="1" t="s">
        <v>12</v>
      </c>
      <c r="F30" s="1" t="s">
        <v>13</v>
      </c>
      <c r="G30" s="1" t="s">
        <v>14</v>
      </c>
      <c r="H30" s="1" t="s">
        <v>12</v>
      </c>
      <c r="I30" s="1" t="s">
        <v>56</v>
      </c>
      <c r="J30" s="1" t="s">
        <v>57</v>
      </c>
      <c r="K30" s="1" t="s">
        <v>57</v>
      </c>
      <c r="L30" s="1" t="s">
        <v>12</v>
      </c>
      <c r="M30" s="1" t="s">
        <v>12</v>
      </c>
      <c r="N30" s="1" t="s">
        <v>87</v>
      </c>
      <c r="O30" s="1" t="s">
        <v>12</v>
      </c>
      <c r="P30" s="1" t="s">
        <v>12</v>
      </c>
      <c r="Q30" s="1" t="s">
        <v>57</v>
      </c>
      <c r="R30" s="1" t="s">
        <v>58</v>
      </c>
      <c r="S30" s="1" t="s">
        <v>59</v>
      </c>
      <c r="T30" s="1" t="s">
        <v>60</v>
      </c>
      <c r="U30" s="1" t="s">
        <v>61</v>
      </c>
      <c r="V30" s="1" t="s">
        <v>57</v>
      </c>
      <c r="W30" s="1" t="s">
        <v>62</v>
      </c>
      <c r="X30" s="1" t="s">
        <v>63</v>
      </c>
      <c r="Y30" s="1" t="s">
        <v>64</v>
      </c>
      <c r="Z30" s="1" t="s">
        <v>12</v>
      </c>
      <c r="AA30" s="1" t="s">
        <v>12</v>
      </c>
      <c r="AB30" s="1" t="s">
        <v>57</v>
      </c>
      <c r="AC30" s="1" t="s">
        <v>65</v>
      </c>
      <c r="AD30" s="1" t="s">
        <v>66</v>
      </c>
      <c r="AE30" s="1" t="s">
        <v>67</v>
      </c>
      <c r="AF30" s="1" t="s">
        <v>12</v>
      </c>
      <c r="AG30" s="1" t="s">
        <v>68</v>
      </c>
      <c r="AH30" s="1" t="s">
        <v>87</v>
      </c>
    </row>
    <row r="31" spans="1:34" x14ac:dyDescent="0.25">
      <c r="A31" s="1" t="s">
        <v>33</v>
      </c>
      <c r="B31" s="1" t="s">
        <v>34</v>
      </c>
      <c r="C31" s="1" t="s">
        <v>35</v>
      </c>
      <c r="D31" s="1" t="s">
        <v>48</v>
      </c>
      <c r="E31" s="1" t="s">
        <v>48</v>
      </c>
      <c r="F31" s="1" t="s">
        <v>16</v>
      </c>
      <c r="G31" s="1" t="s">
        <v>17</v>
      </c>
      <c r="H31" s="1" t="s">
        <v>18</v>
      </c>
      <c r="I31" s="1" t="s">
        <v>69</v>
      </c>
      <c r="J31" s="1" t="s">
        <v>70</v>
      </c>
      <c r="K31" s="1" t="s">
        <v>71</v>
      </c>
      <c r="L31" s="1" t="s">
        <v>48</v>
      </c>
      <c r="M31" s="1" t="s">
        <v>36</v>
      </c>
      <c r="N31" s="1" t="s">
        <v>88</v>
      </c>
      <c r="O31" s="1" t="s">
        <v>18</v>
      </c>
      <c r="P31" s="1" t="s">
        <v>18</v>
      </c>
      <c r="Q31" s="1" t="s">
        <v>1</v>
      </c>
      <c r="R31" s="1" t="s">
        <v>72</v>
      </c>
      <c r="S31" s="1" t="s">
        <v>73</v>
      </c>
      <c r="T31" s="1" t="s">
        <v>18</v>
      </c>
      <c r="V31" s="1" t="s">
        <v>74</v>
      </c>
      <c r="W31" s="1" t="s">
        <v>73</v>
      </c>
      <c r="X31" s="1" t="s">
        <v>75</v>
      </c>
      <c r="Z31" s="1" t="s">
        <v>36</v>
      </c>
      <c r="AA31" s="1" t="s">
        <v>9</v>
      </c>
      <c r="AB31" s="1" t="s">
        <v>1</v>
      </c>
      <c r="AC31" s="1" t="s">
        <v>34</v>
      </c>
      <c r="AD31" s="1" t="s">
        <v>34</v>
      </c>
      <c r="AF31" s="1" t="s">
        <v>18</v>
      </c>
      <c r="AG31" s="1" t="s">
        <v>72</v>
      </c>
      <c r="AH31" s="1" t="s">
        <v>88</v>
      </c>
    </row>
    <row r="32" spans="1:34" x14ac:dyDescent="0.25">
      <c r="A32" s="1" t="s">
        <v>34</v>
      </c>
      <c r="B32" s="1" t="s">
        <v>37</v>
      </c>
      <c r="C32" s="1" t="s">
        <v>38</v>
      </c>
      <c r="D32" s="1" t="s">
        <v>20</v>
      </c>
      <c r="E32" s="1" t="s">
        <v>21</v>
      </c>
      <c r="F32" s="1" t="s">
        <v>22</v>
      </c>
      <c r="G32" s="1" t="s">
        <v>23</v>
      </c>
      <c r="H32" s="1" t="s">
        <v>24</v>
      </c>
      <c r="I32" s="1" t="s">
        <v>55</v>
      </c>
      <c r="J32" s="1" t="s">
        <v>62</v>
      </c>
      <c r="K32" s="1" t="s">
        <v>76</v>
      </c>
      <c r="L32" s="1" t="s">
        <v>77</v>
      </c>
      <c r="M32" s="1" t="s">
        <v>20</v>
      </c>
      <c r="N32" s="1" t="s">
        <v>31</v>
      </c>
      <c r="O32" s="1" t="s">
        <v>78</v>
      </c>
      <c r="P32" s="1" t="s">
        <v>79</v>
      </c>
      <c r="Q32" s="1" t="s">
        <v>80</v>
      </c>
      <c r="T32" s="1" t="s">
        <v>81</v>
      </c>
      <c r="V32" s="1" t="s">
        <v>82</v>
      </c>
      <c r="W32" s="1" t="s">
        <v>83</v>
      </c>
      <c r="Z32" s="1" t="s">
        <v>21</v>
      </c>
      <c r="AA32" s="1" t="s">
        <v>21</v>
      </c>
      <c r="AB32" s="1" t="s">
        <v>84</v>
      </c>
      <c r="AC32" s="1" t="s">
        <v>85</v>
      </c>
      <c r="AD32" s="1" t="s">
        <v>32</v>
      </c>
      <c r="AF32" s="1" t="s">
        <v>20</v>
      </c>
      <c r="AG32" s="1" t="s">
        <v>21</v>
      </c>
      <c r="AH32" s="1" t="s">
        <v>31</v>
      </c>
    </row>
    <row r="34" spans="1:34" x14ac:dyDescent="0.25">
      <c r="A34" s="2">
        <v>42079</v>
      </c>
      <c r="B34" s="3">
        <v>0.60138888888888886</v>
      </c>
      <c r="C34" s="1">
        <v>3509360797</v>
      </c>
      <c r="D34" s="1">
        <v>2.4992E-2</v>
      </c>
      <c r="E34" s="1">
        <v>2.2565</v>
      </c>
      <c r="F34" s="1">
        <v>1014.9450000000001</v>
      </c>
      <c r="G34" s="1">
        <v>18.9162</v>
      </c>
      <c r="H34" s="1">
        <v>470.81</v>
      </c>
      <c r="I34" s="1">
        <v>2.4516E-2</v>
      </c>
      <c r="J34" s="1">
        <v>493.72800000000001</v>
      </c>
      <c r="K34" s="1">
        <v>36.988599999999998</v>
      </c>
      <c r="L34" s="1">
        <v>2.2572999999999999</v>
      </c>
      <c r="M34" s="1">
        <v>49.6541</v>
      </c>
      <c r="N34" s="1">
        <v>50.619</v>
      </c>
      <c r="O34" s="1">
        <v>0.05</v>
      </c>
      <c r="P34" s="1">
        <v>5.0310000000000001E-2</v>
      </c>
      <c r="Q34" s="1">
        <v>0.12</v>
      </c>
      <c r="R34" s="1">
        <v>503.1</v>
      </c>
      <c r="S34" s="1">
        <v>1.8982000000000001</v>
      </c>
      <c r="T34" s="1">
        <v>49.679099999999998</v>
      </c>
      <c r="U34" s="1">
        <v>1.2318000000000001E-2</v>
      </c>
      <c r="V34" s="1">
        <v>1.5112000000000001</v>
      </c>
      <c r="W34" s="1">
        <v>0.30608000000000002</v>
      </c>
      <c r="X34" s="1" t="s">
        <v>89</v>
      </c>
      <c r="Y34" s="1" t="s">
        <v>90</v>
      </c>
      <c r="Z34" s="1">
        <v>0.27842</v>
      </c>
      <c r="AA34" s="1">
        <v>1.1009E-2</v>
      </c>
      <c r="AB34" s="1" t="s">
        <v>91</v>
      </c>
      <c r="AC34" s="1">
        <v>1</v>
      </c>
      <c r="AD34" s="1">
        <v>0.5</v>
      </c>
      <c r="AF34" s="1">
        <v>49.679099999999998</v>
      </c>
      <c r="AG34" s="1">
        <v>1.9965999999999999</v>
      </c>
      <c r="AH34" s="1">
        <v>50.619</v>
      </c>
    </row>
    <row r="35" spans="1:34" x14ac:dyDescent="0.25">
      <c r="A35" s="2">
        <v>42079</v>
      </c>
      <c r="B35" s="3">
        <v>0.60277777777777775</v>
      </c>
      <c r="C35" s="1">
        <v>3509360893</v>
      </c>
      <c r="D35" s="1">
        <v>5.0029999999999998E-2</v>
      </c>
      <c r="E35" s="1">
        <v>4.5060000000000002</v>
      </c>
      <c r="F35" s="1">
        <v>1014.9450000000001</v>
      </c>
      <c r="G35" s="1">
        <v>18.918700000000001</v>
      </c>
      <c r="H35" s="1">
        <v>1451.547</v>
      </c>
      <c r="I35" s="1">
        <v>4.9189999999999998E-2</v>
      </c>
      <c r="J35" s="1">
        <v>494.85599999999999</v>
      </c>
      <c r="K35" s="1">
        <v>33.834600000000002</v>
      </c>
      <c r="L35" s="1">
        <v>4.5034000000000001</v>
      </c>
      <c r="M35" s="1">
        <v>99.403099999999995</v>
      </c>
      <c r="N35" s="1">
        <v>101.1001</v>
      </c>
      <c r="O35" s="1">
        <v>0.05</v>
      </c>
      <c r="P35" s="1">
        <v>5.0310000000000001E-2</v>
      </c>
      <c r="Q35" s="1">
        <v>0.12</v>
      </c>
      <c r="R35" s="1">
        <v>503.1</v>
      </c>
      <c r="S35" s="1">
        <v>1.6658999999999999</v>
      </c>
      <c r="T35" s="1">
        <v>99.453100000000006</v>
      </c>
      <c r="U35" s="1">
        <v>1.1754000000000001E-2</v>
      </c>
      <c r="V35" s="1">
        <v>1.6775</v>
      </c>
      <c r="W35" s="1">
        <v>0.33900000000000002</v>
      </c>
      <c r="X35" s="1" t="s">
        <v>89</v>
      </c>
      <c r="Y35" s="1" t="s">
        <v>90</v>
      </c>
      <c r="Z35" s="1">
        <v>0.54969999999999997</v>
      </c>
      <c r="AA35" s="1">
        <v>7.0000000000000001E-3</v>
      </c>
      <c r="AB35" s="1" t="s">
        <v>91</v>
      </c>
      <c r="AC35" s="1">
        <v>1</v>
      </c>
      <c r="AD35" s="1">
        <v>0.5</v>
      </c>
      <c r="AF35" s="1">
        <v>99.453100000000006</v>
      </c>
      <c r="AG35" s="1">
        <v>1.9978</v>
      </c>
      <c r="AH35" s="1">
        <v>101.1001</v>
      </c>
    </row>
    <row r="36" spans="1:34" x14ac:dyDescent="0.25">
      <c r="A36" s="2">
        <v>42079</v>
      </c>
      <c r="B36" s="3">
        <v>0.60347222222222219</v>
      </c>
      <c r="C36" s="1">
        <v>3509360984</v>
      </c>
      <c r="D36" s="1">
        <v>5.0029999999999998E-2</v>
      </c>
      <c r="E36" s="1">
        <v>4.5061</v>
      </c>
      <c r="F36" s="1">
        <v>1014.9450000000001</v>
      </c>
      <c r="G36" s="1">
        <v>18.921199999999999</v>
      </c>
      <c r="H36" s="1">
        <v>653.6</v>
      </c>
      <c r="I36" s="1">
        <v>4.981E-2</v>
      </c>
      <c r="J36" s="1">
        <v>249.42930000000001</v>
      </c>
      <c r="K36" s="1">
        <v>16.3581</v>
      </c>
      <c r="L36" s="1">
        <v>4.5034000000000001</v>
      </c>
      <c r="M36" s="1">
        <v>199.69149999999999</v>
      </c>
      <c r="N36" s="1">
        <v>200.5779</v>
      </c>
      <c r="O36" s="1">
        <v>2.5000000000000001E-2</v>
      </c>
      <c r="P36" s="1">
        <v>2.5048000000000001E-2</v>
      </c>
      <c r="Q36" s="1">
        <v>0.12</v>
      </c>
      <c r="R36" s="1">
        <v>250.48</v>
      </c>
      <c r="S36" s="1">
        <v>0.42120000000000002</v>
      </c>
      <c r="T36" s="1">
        <v>199.7415</v>
      </c>
      <c r="U36" s="1">
        <v>1.6215E-2</v>
      </c>
      <c r="V36" s="1">
        <v>0.83699999999999997</v>
      </c>
      <c r="W36" s="1">
        <v>0.33560000000000001</v>
      </c>
      <c r="X36" s="1" t="s">
        <v>89</v>
      </c>
      <c r="Y36" s="1" t="s">
        <v>90</v>
      </c>
      <c r="Z36" s="1">
        <v>1.1116999999999999</v>
      </c>
      <c r="AA36" s="1">
        <v>5.4739999999999997E-3</v>
      </c>
      <c r="AB36" s="1" t="s">
        <v>91</v>
      </c>
      <c r="AC36" s="1">
        <v>1</v>
      </c>
      <c r="AD36" s="1">
        <v>0.5</v>
      </c>
      <c r="AF36" s="1">
        <v>199.7415</v>
      </c>
      <c r="AG36" s="1">
        <v>1.9982</v>
      </c>
      <c r="AH36" s="1">
        <v>200.5779</v>
      </c>
    </row>
    <row r="37" spans="1:34" x14ac:dyDescent="0.25">
      <c r="A37" s="2">
        <v>42079</v>
      </c>
      <c r="B37" s="3">
        <v>0.60486111111111118</v>
      </c>
      <c r="C37" s="1">
        <v>3509361070</v>
      </c>
      <c r="D37" s="1">
        <v>4.5019999999999998E-2</v>
      </c>
      <c r="E37" s="1">
        <v>4.0709999999999997</v>
      </c>
      <c r="F37" s="1">
        <v>1014.9450000000001</v>
      </c>
      <c r="G37" s="1">
        <v>18.951499999999999</v>
      </c>
      <c r="H37" s="1">
        <v>1199.538</v>
      </c>
      <c r="I37" s="1">
        <v>4.4999999999999998E-2</v>
      </c>
      <c r="J37" s="1">
        <v>150.14590000000001</v>
      </c>
      <c r="K37" s="1">
        <v>2.5672000000000001</v>
      </c>
      <c r="L37" s="1">
        <v>4.0697000000000001</v>
      </c>
      <c r="M37" s="1">
        <v>299.70409999999998</v>
      </c>
      <c r="N37" s="1">
        <v>299.8417</v>
      </c>
      <c r="O37" s="1">
        <v>1.4999999999999999E-2</v>
      </c>
      <c r="P37" s="1">
        <v>1.5018E-2</v>
      </c>
      <c r="Q37" s="1">
        <v>0.12</v>
      </c>
      <c r="R37" s="1">
        <v>150.18</v>
      </c>
      <c r="S37" s="1">
        <v>2.2710999999999999E-2</v>
      </c>
      <c r="T37" s="1">
        <v>299.7491</v>
      </c>
      <c r="U37" s="1">
        <v>1.0671E-2</v>
      </c>
      <c r="V37" s="1">
        <v>0.33889999999999998</v>
      </c>
      <c r="W37" s="1">
        <v>0.22570999999999999</v>
      </c>
      <c r="X37" s="1" t="s">
        <v>89</v>
      </c>
      <c r="Y37" s="1" t="s">
        <v>90</v>
      </c>
      <c r="Z37" s="1">
        <v>1.6887000000000001</v>
      </c>
      <c r="AA37" s="1">
        <v>4.7210000000000004E-3</v>
      </c>
      <c r="AB37" s="1" t="s">
        <v>91</v>
      </c>
      <c r="AC37" s="1">
        <v>1</v>
      </c>
      <c r="AD37" s="1">
        <v>0.5</v>
      </c>
      <c r="AF37" s="1">
        <v>299.7491</v>
      </c>
      <c r="AG37" s="1">
        <v>1.998</v>
      </c>
      <c r="AH37" s="1">
        <v>299.8417</v>
      </c>
    </row>
    <row r="38" spans="1:34" x14ac:dyDescent="0.25">
      <c r="A38" s="2">
        <v>42079</v>
      </c>
      <c r="B38" s="3">
        <v>0.60625000000000007</v>
      </c>
      <c r="C38" s="1">
        <v>3509361193</v>
      </c>
      <c r="D38" s="1">
        <v>5.2019999999999997E-2</v>
      </c>
      <c r="E38" s="1">
        <v>4.6749999999999998</v>
      </c>
      <c r="F38" s="1">
        <v>1014.9450000000001</v>
      </c>
      <c r="G38" s="1">
        <v>18.9771</v>
      </c>
      <c r="H38" s="1">
        <v>1272.1590000000001</v>
      </c>
      <c r="I38" s="1">
        <v>5.2060000000000002E-2</v>
      </c>
      <c r="J38" s="1">
        <v>130.2062</v>
      </c>
      <c r="K38" s="1">
        <v>3.7282999999999999</v>
      </c>
      <c r="L38" s="1">
        <v>4.6736000000000004</v>
      </c>
      <c r="M38" s="1">
        <v>399.81700000000001</v>
      </c>
      <c r="N38" s="1">
        <v>399.52</v>
      </c>
      <c r="O38" s="1">
        <v>1.2999999999999999E-2</v>
      </c>
      <c r="P38" s="1">
        <v>1.3009E-2</v>
      </c>
      <c r="Q38" s="1">
        <v>0.12</v>
      </c>
      <c r="R38" s="1">
        <v>130.09</v>
      </c>
      <c r="S38" s="1">
        <v>-8.924E-2</v>
      </c>
      <c r="T38" s="1">
        <v>399.86900000000003</v>
      </c>
      <c r="U38" s="1">
        <v>1.4829E-2</v>
      </c>
      <c r="V38" s="1">
        <v>0.37140000000000001</v>
      </c>
      <c r="W38" s="1">
        <v>0.28523999999999999</v>
      </c>
      <c r="X38" s="1" t="s">
        <v>89</v>
      </c>
      <c r="Y38" s="1" t="s">
        <v>90</v>
      </c>
      <c r="Z38" s="1">
        <v>2.2766000000000002</v>
      </c>
      <c r="AA38" s="1">
        <v>4.0000000000000001E-3</v>
      </c>
      <c r="AB38" s="1" t="s">
        <v>91</v>
      </c>
      <c r="AC38" s="1">
        <v>1</v>
      </c>
      <c r="AD38" s="1">
        <v>0.5</v>
      </c>
      <c r="AF38" s="1">
        <v>399.86900000000003</v>
      </c>
      <c r="AG38" s="1">
        <v>1.9978</v>
      </c>
      <c r="AH38" s="1">
        <v>399.52</v>
      </c>
    </row>
    <row r="39" spans="1:34" x14ac:dyDescent="0.25">
      <c r="A39" s="2">
        <v>42079</v>
      </c>
      <c r="B39" s="3">
        <v>0.6069444444444444</v>
      </c>
      <c r="C39" s="1">
        <v>3509361261</v>
      </c>
      <c r="D39" s="1">
        <v>5.0040000000000001E-2</v>
      </c>
      <c r="E39" s="1">
        <v>4.5061</v>
      </c>
      <c r="F39" s="1">
        <v>1014.9450000000001</v>
      </c>
      <c r="G39" s="1">
        <v>18.958600000000001</v>
      </c>
      <c r="H39" s="1">
        <v>1748.383</v>
      </c>
      <c r="I39" s="1">
        <v>5.0209999999999998E-2</v>
      </c>
      <c r="J39" s="1">
        <v>100.48009999999999</v>
      </c>
      <c r="K39" s="1">
        <v>2.3572000000000002</v>
      </c>
      <c r="L39" s="1">
        <v>4.5031999999999996</v>
      </c>
      <c r="M39" s="1">
        <v>499.69600000000003</v>
      </c>
      <c r="N39" s="1">
        <v>498.00900000000001</v>
      </c>
      <c r="O39" s="1">
        <v>0.01</v>
      </c>
      <c r="P39" s="1">
        <v>1.0012E-2</v>
      </c>
      <c r="Q39" s="1">
        <v>0.12</v>
      </c>
      <c r="R39" s="1">
        <v>100.12</v>
      </c>
      <c r="S39" s="1">
        <v>-0.3584</v>
      </c>
      <c r="T39" s="1">
        <v>499.74599999999998</v>
      </c>
      <c r="U39" s="1">
        <v>1.528E-2</v>
      </c>
      <c r="V39" s="1">
        <v>0.3256</v>
      </c>
      <c r="W39" s="1">
        <v>0.32400000000000001</v>
      </c>
      <c r="X39" s="1" t="s">
        <v>89</v>
      </c>
      <c r="Y39" s="1" t="s">
        <v>90</v>
      </c>
      <c r="Z39" s="1">
        <v>2.8662000000000001</v>
      </c>
      <c r="AA39" s="1">
        <v>3.8400000000000001E-3</v>
      </c>
      <c r="AB39" s="1" t="s">
        <v>91</v>
      </c>
      <c r="AC39" s="1">
        <v>1</v>
      </c>
      <c r="AD39" s="1">
        <v>0.5</v>
      </c>
      <c r="AF39" s="1">
        <v>499.74599999999998</v>
      </c>
      <c r="AG39" s="1">
        <v>1.9976</v>
      </c>
      <c r="AH39" s="1">
        <v>498.00900000000001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S29" sqref="S29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42030</v>
      </c>
      <c r="B5" s="3">
        <v>0.52986111111111112</v>
      </c>
      <c r="C5" s="1">
        <v>3505120982</v>
      </c>
      <c r="D5" s="1">
        <v>0.25002999999999997</v>
      </c>
      <c r="E5" s="1">
        <v>4.1576000000000004</v>
      </c>
      <c r="F5" s="1">
        <v>1015.8390000000001</v>
      </c>
      <c r="G5" s="1">
        <v>17.835000000000001</v>
      </c>
      <c r="H5" s="1">
        <v>344.34100000000001</v>
      </c>
      <c r="K5" s="1">
        <v>0.25159999999999999</v>
      </c>
      <c r="L5" s="1">
        <f>K5/D5</f>
        <v>1.0062792464904211</v>
      </c>
      <c r="M5" s="1" t="s">
        <v>49</v>
      </c>
      <c r="Q5" s="1">
        <f>N$20+N$21*E5+N$22*E5^2+N$23*E5^3</f>
        <v>0.25155037586727069</v>
      </c>
      <c r="R5" s="1">
        <f>$O$20+$O$21*E5</f>
        <v>0.25124703420295375</v>
      </c>
      <c r="T5" s="1">
        <f>100*(Q5-$K5)/$K5</f>
        <v>-1.9723423183345742E-2</v>
      </c>
      <c r="U5" s="1">
        <f>100*(R5-$K5)/$K5</f>
        <v>-0.14028847259389715</v>
      </c>
    </row>
    <row r="6" spans="1:21" x14ac:dyDescent="0.25">
      <c r="A6" s="2">
        <v>42030</v>
      </c>
      <c r="B6" s="3">
        <v>0.53125</v>
      </c>
      <c r="C6" s="1">
        <v>3505121147</v>
      </c>
      <c r="D6" s="1">
        <v>0.19988</v>
      </c>
      <c r="E6" s="1">
        <v>3.3132000000000001</v>
      </c>
      <c r="F6" s="1">
        <v>1015.8390000000001</v>
      </c>
      <c r="G6" s="1">
        <v>17.743400000000001</v>
      </c>
      <c r="H6" s="1">
        <v>344.24299999999999</v>
      </c>
      <c r="K6" s="1">
        <v>0.1996</v>
      </c>
      <c r="L6" s="1">
        <f t="shared" ref="L6:L11" si="0">K6/D6</f>
        <v>0.99859915949569744</v>
      </c>
      <c r="M6" s="1" t="s">
        <v>49</v>
      </c>
      <c r="Q6" s="1">
        <f t="shared" ref="Q6:Q11" si="1">N$20+N$21*E6+N$22*E6^2+N$23*E6^3</f>
        <v>0.19975736612714226</v>
      </c>
      <c r="R6" s="1">
        <f t="shared" ref="R6:R11" si="2">$O$20+$O$21*E6</f>
        <v>0.20060174647924722</v>
      </c>
      <c r="T6" s="1">
        <f t="shared" ref="T6:U11" si="3">100*(Q6-$K6)/$K6</f>
        <v>7.8840745061253034E-2</v>
      </c>
      <c r="U6" s="1">
        <f>100*(R6-$K6)/$K6</f>
        <v>0.50187699361083316</v>
      </c>
    </row>
    <row r="7" spans="1:21" x14ac:dyDescent="0.25">
      <c r="A7" s="2">
        <v>42030</v>
      </c>
      <c r="B7" s="3">
        <v>0.53333333333333333</v>
      </c>
      <c r="C7" s="1">
        <v>3505121309</v>
      </c>
      <c r="D7" s="1">
        <v>0.15010000000000001</v>
      </c>
      <c r="E7" s="1">
        <v>2.4514999999999998</v>
      </c>
      <c r="F7" s="1">
        <v>1015.8390000000001</v>
      </c>
      <c r="G7" s="1">
        <v>17.848400000000002</v>
      </c>
      <c r="H7" s="1">
        <v>344.17500000000001</v>
      </c>
      <c r="K7" s="1">
        <v>0.14899999999999999</v>
      </c>
      <c r="L7" s="1">
        <f t="shared" si="0"/>
        <v>0.9926715522984676</v>
      </c>
      <c r="M7" s="1" t="s">
        <v>49</v>
      </c>
      <c r="Q7" s="1">
        <f t="shared" si="1"/>
        <v>0.14882398817036713</v>
      </c>
      <c r="R7" s="1">
        <f t="shared" si="2"/>
        <v>0.14891884213116824</v>
      </c>
      <c r="T7" s="1">
        <f t="shared" si="3"/>
        <v>-0.11812874472004437</v>
      </c>
      <c r="U7" s="1">
        <f>100*(R7-$K7)/$K7</f>
        <v>-5.4468368343459674E-2</v>
      </c>
    </row>
    <row r="8" spans="1:21" x14ac:dyDescent="0.25">
      <c r="A8" s="2">
        <v>42030</v>
      </c>
      <c r="B8" s="3">
        <v>0.53472222222222221</v>
      </c>
      <c r="C8" s="1">
        <v>3505121430</v>
      </c>
      <c r="D8" s="1">
        <v>9.9949999999999997E-2</v>
      </c>
      <c r="E8" s="1">
        <v>1.5898000000000001</v>
      </c>
      <c r="F8" s="1">
        <v>1015.996</v>
      </c>
      <c r="G8" s="1">
        <v>17.731999999999999</v>
      </c>
      <c r="H8" s="1">
        <v>344.13900000000001</v>
      </c>
      <c r="K8" s="1">
        <v>9.8169999999999993E-2</v>
      </c>
      <c r="L8" s="1">
        <f t="shared" si="0"/>
        <v>0.98219109554777384</v>
      </c>
      <c r="M8" s="1" t="s">
        <v>49</v>
      </c>
      <c r="Q8" s="1">
        <f t="shared" si="1"/>
        <v>9.8187308365771386E-2</v>
      </c>
      <c r="R8" s="1">
        <f t="shared" si="2"/>
        <v>9.7235937783089268E-2</v>
      </c>
      <c r="T8" s="1">
        <f t="shared" si="3"/>
        <v>1.7631013315058515E-2</v>
      </c>
      <c r="U8" s="1">
        <f t="shared" si="3"/>
        <v>-0.95147419467324534</v>
      </c>
    </row>
    <row r="9" spans="1:21" x14ac:dyDescent="0.25">
      <c r="A9" s="2">
        <v>42030</v>
      </c>
      <c r="B9" s="3">
        <v>0.53611111111111109</v>
      </c>
      <c r="C9" s="1">
        <v>3505121545</v>
      </c>
      <c r="D9" s="1">
        <v>5.008E-2</v>
      </c>
      <c r="E9" s="1">
        <v>0.7591</v>
      </c>
      <c r="F9" s="1">
        <v>1016.1369999999999</v>
      </c>
      <c r="G9" s="1">
        <v>17.8065</v>
      </c>
      <c r="H9" s="1">
        <v>344.21800000000002</v>
      </c>
      <c r="K9" s="1">
        <v>4.8000000000000001E-2</v>
      </c>
      <c r="L9" s="1">
        <f t="shared" si="0"/>
        <v>0.95846645367412142</v>
      </c>
      <c r="M9" s="1" t="s">
        <v>49</v>
      </c>
      <c r="Q9" s="1">
        <f t="shared" si="1"/>
        <v>4.8105569552836604E-2</v>
      </c>
      <c r="R9" s="1">
        <f t="shared" si="2"/>
        <v>4.7412346461342472E-2</v>
      </c>
      <c r="T9" s="1">
        <f t="shared" si="3"/>
        <v>0.21993656840958892</v>
      </c>
      <c r="U9" s="1">
        <f t="shared" si="3"/>
        <v>-1.2242782055365182</v>
      </c>
    </row>
    <row r="10" spans="1:21" x14ac:dyDescent="0.25">
      <c r="A10" s="2">
        <v>42030</v>
      </c>
      <c r="B10" s="3">
        <v>0.53749999999999998</v>
      </c>
      <c r="C10" s="1">
        <v>3505121690</v>
      </c>
      <c r="D10" s="1">
        <v>2.4986999999999999E-2</v>
      </c>
      <c r="E10" s="1">
        <v>0.35659999999999997</v>
      </c>
      <c r="F10" s="1">
        <v>1016.1369999999999</v>
      </c>
      <c r="G10" s="1">
        <v>17.8</v>
      </c>
      <c r="H10" s="1">
        <v>344.238</v>
      </c>
      <c r="K10" s="1">
        <v>2.2950000000000002E-2</v>
      </c>
      <c r="L10" s="1">
        <f t="shared" si="0"/>
        <v>0.9184776083563454</v>
      </c>
      <c r="M10" s="1" t="s">
        <v>49</v>
      </c>
      <c r="Q10" s="1">
        <f t="shared" si="1"/>
        <v>2.2944004779288776E-2</v>
      </c>
      <c r="R10" s="1">
        <f t="shared" si="2"/>
        <v>2.3271266038803546E-2</v>
      </c>
      <c r="T10" s="1">
        <f t="shared" si="3"/>
        <v>-2.612296606198386E-2</v>
      </c>
      <c r="U10" s="1">
        <f t="shared" si="3"/>
        <v>1.3998520209304763</v>
      </c>
    </row>
    <row r="11" spans="1:21" x14ac:dyDescent="0.25">
      <c r="A11" s="2">
        <v>42030</v>
      </c>
      <c r="B11" s="3">
        <v>0.5395833333333333</v>
      </c>
      <c r="C11" s="1">
        <v>3505121867</v>
      </c>
      <c r="D11" s="1">
        <v>1.8716E-2</v>
      </c>
      <c r="E11" s="1">
        <v>0.25908999999999999</v>
      </c>
      <c r="F11" s="1">
        <v>1016.1369999999999</v>
      </c>
      <c r="G11" s="1">
        <v>17.875599999999999</v>
      </c>
      <c r="H11" s="1">
        <v>344.18599999999998</v>
      </c>
      <c r="K11" s="1">
        <v>1.6789999999999999E-2</v>
      </c>
      <c r="L11" s="1">
        <f t="shared" si="0"/>
        <v>0.89709339602479155</v>
      </c>
      <c r="M11" s="1" t="s">
        <v>49</v>
      </c>
      <c r="Q11" s="1">
        <f t="shared" si="1"/>
        <v>1.6732426568420868E-2</v>
      </c>
      <c r="R11" s="1">
        <f t="shared" si="2"/>
        <v>1.7422826903395423E-2</v>
      </c>
      <c r="T11" s="1">
        <f t="shared" si="3"/>
        <v>-0.34290310648678862</v>
      </c>
      <c r="U11" s="1">
        <f t="shared" si="3"/>
        <v>3.7690703001514234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48</v>
      </c>
    </row>
    <row r="18" spans="1:15" x14ac:dyDescent="0.25">
      <c r="M18" s="1" t="s">
        <v>1</v>
      </c>
      <c r="N18" s="1" t="s">
        <v>52</v>
      </c>
    </row>
    <row r="19" spans="1:15" x14ac:dyDescent="0.25">
      <c r="M19" s="1" t="s">
        <v>2</v>
      </c>
      <c r="N19" s="1" t="s">
        <v>50</v>
      </c>
    </row>
    <row r="20" spans="1:15" x14ac:dyDescent="0.25">
      <c r="M20" s="1" t="s">
        <v>3</v>
      </c>
      <c r="N20" s="1">
        <v>-2.1999999999999999E-5</v>
      </c>
      <c r="O20" s="1">
        <f>INTERCEPT(K5:K11,E5:E11)</f>
        <v>1.8831684520274478E-3</v>
      </c>
    </row>
    <row r="21" spans="1:15" x14ac:dyDescent="0.25">
      <c r="A21" s="2"/>
      <c r="B21" s="3"/>
      <c r="M21" s="1" t="s">
        <v>4</v>
      </c>
      <c r="N21" s="1">
        <v>6.5407000000000007E-2</v>
      </c>
      <c r="O21" s="1">
        <f>SLOPE(K5:K11,E5:E11)</f>
        <v>5.9977839559102915E-2</v>
      </c>
    </row>
    <row r="22" spans="1:15" x14ac:dyDescent="0.25">
      <c r="A22" s="2"/>
      <c r="B22" s="3"/>
      <c r="M22" s="1" t="s">
        <v>5</v>
      </c>
      <c r="N22" s="1">
        <v>-2.97E-3</v>
      </c>
    </row>
    <row r="23" spans="1:15" x14ac:dyDescent="0.25">
      <c r="A23" s="2"/>
      <c r="B23" s="3"/>
      <c r="M23" s="1" t="s">
        <v>6</v>
      </c>
      <c r="N23" s="1">
        <v>4.3100000000000001E-4</v>
      </c>
    </row>
    <row r="24" spans="1:15" x14ac:dyDescent="0.25">
      <c r="A24" s="2"/>
      <c r="B24" s="3"/>
      <c r="M24" s="1" t="s">
        <v>7</v>
      </c>
      <c r="N24" s="1">
        <f>AVERAGE(G5:G11)</f>
        <v>17.805842857142856</v>
      </c>
    </row>
    <row r="25" spans="1:15" x14ac:dyDescent="0.25">
      <c r="A25" s="2"/>
      <c r="B25" s="3"/>
      <c r="M25" s="1" t="s">
        <v>8</v>
      </c>
      <c r="N25" s="1">
        <f>AVERAGE(F5:F11)</f>
        <v>1015.9891428571428</v>
      </c>
    </row>
    <row r="26" spans="1:15" x14ac:dyDescent="0.25">
      <c r="A26" s="2"/>
      <c r="B26" s="3"/>
      <c r="M26" s="1" t="s">
        <v>11</v>
      </c>
      <c r="N26" s="2">
        <f>AVERAGE(A5:A11)</f>
        <v>42030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topLeftCell="E1" workbookViewId="0">
      <selection activeCell="M15" sqref="M15"/>
    </sheetView>
  </sheetViews>
  <sheetFormatPr defaultRowHeight="15" x14ac:dyDescent="0.25"/>
  <cols>
    <col min="1" max="1" width="11.42578125" style="1" customWidth="1"/>
    <col min="2" max="8" width="9.140625" style="1"/>
    <col min="9" max="9" width="10.7109375" style="1" bestFit="1" customWidth="1"/>
    <col min="10" max="12" width="9.140625" style="1"/>
    <col min="13" max="13" width="22.5703125" style="1" customWidth="1"/>
    <col min="14" max="14" width="13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54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1" x14ac:dyDescent="0.25">
      <c r="I4" s="4"/>
    </row>
    <row r="5" spans="1:21" x14ac:dyDescent="0.25">
      <c r="A5" s="2">
        <v>42536</v>
      </c>
      <c r="B5" s="3"/>
      <c r="D5" s="6">
        <v>4.4999999999999998E-2</v>
      </c>
      <c r="E5" s="9">
        <v>3.9312</v>
      </c>
      <c r="F5" s="1">
        <v>990</v>
      </c>
      <c r="G5" s="1">
        <v>21.6</v>
      </c>
      <c r="H5" s="1">
        <v>1</v>
      </c>
      <c r="K5" s="6">
        <v>4.351E-2</v>
      </c>
      <c r="L5" s="1">
        <f>K5/D5</f>
        <v>0.96688888888888891</v>
      </c>
      <c r="M5" s="1" t="s">
        <v>49</v>
      </c>
      <c r="Q5" s="1">
        <f>N$21+N$22*E5+N$23*E5^2+N$24*E5^3</f>
        <v>4.3882513191966829E-2</v>
      </c>
      <c r="R5" s="1">
        <f>$O$21+$O$22*E5</f>
        <v>4.4047662846767685E-2</v>
      </c>
      <c r="T5" s="1">
        <f>100*(Q5-$K5)/$K5</f>
        <v>0.85615534811957994</v>
      </c>
      <c r="U5" s="1">
        <f>100*(R5-$K5)/$K5</f>
        <v>1.235722470162457</v>
      </c>
    </row>
    <row r="6" spans="1:21" x14ac:dyDescent="0.25">
      <c r="A6" s="2">
        <v>42536</v>
      </c>
      <c r="B6" s="3"/>
      <c r="D6" s="6">
        <v>5.2499999999999998E-2</v>
      </c>
      <c r="E6" s="9">
        <v>4.5644999999999998</v>
      </c>
      <c r="F6" s="6">
        <v>990</v>
      </c>
      <c r="G6" s="6">
        <v>21.6</v>
      </c>
      <c r="H6" s="6">
        <v>1</v>
      </c>
      <c r="K6" s="6">
        <v>5.1380000000000002E-2</v>
      </c>
      <c r="L6" s="1">
        <f t="shared" ref="L6:L12" si="0">K6/D6</f>
        <v>0.9786666666666668</v>
      </c>
      <c r="M6" s="1" t="s">
        <v>49</v>
      </c>
      <c r="Q6" s="1">
        <f t="shared" ref="Q6:Q9" si="1">N$21+N$22*E6+N$23*E6^2+N$24*E6^3</f>
        <v>5.1239817597679031E-2</v>
      </c>
      <c r="R6" s="1">
        <f t="shared" ref="R6:R9" si="2">$O$21+$O$22*E6</f>
        <v>5.1124559641829881E-2</v>
      </c>
      <c r="T6" s="1">
        <f t="shared" ref="T6:U9" si="3">100*(Q6-$K6)/$K6</f>
        <v>-0.27283457049624521</v>
      </c>
      <c r="U6" s="1">
        <f>100*(R6-$K6)/$K6</f>
        <v>-0.49715912450393374</v>
      </c>
    </row>
    <row r="7" spans="1:21" x14ac:dyDescent="0.25">
      <c r="A7" s="2">
        <v>42536</v>
      </c>
      <c r="B7" s="3"/>
      <c r="D7" s="6">
        <v>3.7499999999999999E-2</v>
      </c>
      <c r="E7" s="9">
        <v>3.2858000000000001</v>
      </c>
      <c r="F7" s="6">
        <v>990</v>
      </c>
      <c r="G7" s="6">
        <v>21.6</v>
      </c>
      <c r="H7" s="6">
        <v>1</v>
      </c>
      <c r="K7" s="6">
        <v>3.6909999999999998E-2</v>
      </c>
      <c r="L7" s="1">
        <f t="shared" si="0"/>
        <v>0.98426666666666662</v>
      </c>
      <c r="M7" s="1" t="s">
        <v>49</v>
      </c>
      <c r="Q7" s="1">
        <f t="shared" si="1"/>
        <v>3.667574154059889E-2</v>
      </c>
      <c r="R7" s="1">
        <f t="shared" si="2"/>
        <v>3.6835552959616033E-2</v>
      </c>
      <c r="T7" s="1">
        <f t="shared" si="3"/>
        <v>-0.6346747748607654</v>
      </c>
      <c r="U7" s="1">
        <f>100*(R7-$K7)/$K7</f>
        <v>-0.20169883604433847</v>
      </c>
    </row>
    <row r="8" spans="1:21" x14ac:dyDescent="0.25">
      <c r="A8" s="2">
        <v>42536</v>
      </c>
      <c r="B8" s="3"/>
      <c r="D8" s="6">
        <v>0.03</v>
      </c>
      <c r="E8" s="9">
        <v>2.6238000000000001</v>
      </c>
      <c r="F8" s="6">
        <v>990</v>
      </c>
      <c r="G8" s="6">
        <v>21.6</v>
      </c>
      <c r="H8" s="6">
        <v>1</v>
      </c>
      <c r="K8" s="6">
        <v>2.954E-2</v>
      </c>
      <c r="L8" s="1">
        <f t="shared" si="0"/>
        <v>0.98466666666666669</v>
      </c>
      <c r="M8" s="1" t="s">
        <v>49</v>
      </c>
      <c r="Q8" s="1">
        <f t="shared" si="1"/>
        <v>2.94450551573321E-2</v>
      </c>
      <c r="R8" s="1">
        <f t="shared" si="2"/>
        <v>2.9437944119680495E-2</v>
      </c>
      <c r="T8" s="1">
        <f t="shared" si="3"/>
        <v>-0.32141111261983857</v>
      </c>
      <c r="U8" s="1">
        <f t="shared" si="3"/>
        <v>-0.34548368422310421</v>
      </c>
    </row>
    <row r="9" spans="1:21" x14ac:dyDescent="0.25">
      <c r="A9" s="2">
        <v>42536</v>
      </c>
      <c r="B9" s="3"/>
      <c r="D9" s="6">
        <v>2.2499999999999999E-2</v>
      </c>
      <c r="E9" s="9">
        <v>1.9575</v>
      </c>
      <c r="F9" s="6">
        <v>990</v>
      </c>
      <c r="G9" s="6">
        <v>21.6</v>
      </c>
      <c r="H9" s="6">
        <v>1</v>
      </c>
      <c r="K9" s="6">
        <v>2.215E-2</v>
      </c>
      <c r="L9" s="1">
        <f t="shared" si="0"/>
        <v>0.98444444444444446</v>
      </c>
      <c r="M9" s="1" t="s">
        <v>49</v>
      </c>
      <c r="Q9" s="1">
        <f t="shared" si="1"/>
        <v>2.2182899751156143E-2</v>
      </c>
      <c r="R9" s="1">
        <f t="shared" si="2"/>
        <v>2.199228434619251E-2</v>
      </c>
      <c r="T9" s="1">
        <f t="shared" si="3"/>
        <v>0.1485316079284138</v>
      </c>
      <c r="U9" s="1">
        <f t="shared" si="3"/>
        <v>-0.71203455443562091</v>
      </c>
    </row>
    <row r="10" spans="1:21" s="6" customFormat="1" x14ac:dyDescent="0.25">
      <c r="A10" s="2">
        <v>42536</v>
      </c>
      <c r="B10" s="3"/>
      <c r="D10" s="6">
        <v>1.4999999999999999E-2</v>
      </c>
      <c r="E10" s="9">
        <v>1.2952999999999999</v>
      </c>
      <c r="F10" s="6">
        <v>990</v>
      </c>
      <c r="G10" s="6">
        <v>21.6</v>
      </c>
      <c r="H10" s="6">
        <v>1</v>
      </c>
      <c r="K10" s="6">
        <v>1.4750000000000001E-2</v>
      </c>
      <c r="L10" s="6">
        <f t="shared" si="0"/>
        <v>0.98333333333333339</v>
      </c>
      <c r="M10" s="6" t="s">
        <v>49</v>
      </c>
      <c r="Q10" s="6">
        <f t="shared" ref="Q10:Q12" si="4">N$21+N$22*E10+N$23*E10^2+N$24*E10^3</f>
        <v>1.4830872672763389E-2</v>
      </c>
      <c r="R10" s="6">
        <f t="shared" ref="R10:R12" si="5">$O$21+$O$22*E10</f>
        <v>1.4592440579114999E-2</v>
      </c>
      <c r="T10" s="6">
        <f t="shared" ref="T10:T12" si="6">100*(Q10-$K10)/$K10</f>
        <v>0.54828930687042432</v>
      </c>
      <c r="U10" s="6">
        <f t="shared" ref="U10:U12" si="7">100*(R10-$K10)/$K10</f>
        <v>-1.0681994636271324</v>
      </c>
    </row>
    <row r="11" spans="1:21" x14ac:dyDescent="0.25">
      <c r="A11" s="2">
        <v>42536</v>
      </c>
      <c r="B11" s="3"/>
      <c r="D11" s="6">
        <v>7.4999999999999997E-3</v>
      </c>
      <c r="E11" s="9">
        <v>0.64529999999999998</v>
      </c>
      <c r="F11" s="6">
        <v>990</v>
      </c>
      <c r="G11" s="6">
        <v>21.6</v>
      </c>
      <c r="H11" s="6">
        <v>1</v>
      </c>
      <c r="K11" s="6">
        <v>7.3010000000000002E-3</v>
      </c>
      <c r="L11" s="1">
        <f t="shared" si="0"/>
        <v>0.9734666666666667</v>
      </c>
      <c r="M11" s="1" t="s">
        <v>49</v>
      </c>
      <c r="Q11" s="6">
        <f t="shared" si="4"/>
        <v>7.339318575793897E-3</v>
      </c>
      <c r="R11" s="6">
        <f t="shared" si="5"/>
        <v>7.3289273676979327E-3</v>
      </c>
      <c r="T11" s="6">
        <f t="shared" si="6"/>
        <v>0.52484010127238456</v>
      </c>
      <c r="U11" s="6">
        <f t="shared" si="7"/>
        <v>0.38251428157694156</v>
      </c>
    </row>
    <row r="12" spans="1:21" x14ac:dyDescent="0.25">
      <c r="A12" s="2">
        <v>42536</v>
      </c>
      <c r="B12" s="3"/>
      <c r="D12" s="6">
        <v>3.7000000000000002E-3</v>
      </c>
      <c r="E12" s="9">
        <v>0.32750000000000001</v>
      </c>
      <c r="F12" s="6">
        <v>990</v>
      </c>
      <c r="G12" s="6">
        <v>21.6</v>
      </c>
      <c r="H12" s="6">
        <v>1</v>
      </c>
      <c r="K12" s="6">
        <v>3.5960000000000002E-3</v>
      </c>
      <c r="L12" s="1">
        <f t="shared" si="0"/>
        <v>0.97189189189189196</v>
      </c>
      <c r="M12" s="1" t="s">
        <v>49</v>
      </c>
      <c r="Q12" s="6">
        <f t="shared" si="4"/>
        <v>3.5344344952679537E-3</v>
      </c>
      <c r="R12" s="6">
        <f t="shared" si="5"/>
        <v>3.7776281391004815E-3</v>
      </c>
      <c r="T12" s="6">
        <f t="shared" si="6"/>
        <v>-1.712055192771037</v>
      </c>
      <c r="U12" s="6">
        <f t="shared" si="7"/>
        <v>5.0508381284894659</v>
      </c>
    </row>
    <row r="16" spans="1:21" x14ac:dyDescent="0.25">
      <c r="N16" s="1" t="s">
        <v>40</v>
      </c>
      <c r="O16" s="1" t="s">
        <v>41</v>
      </c>
    </row>
    <row r="18" spans="1:16" x14ac:dyDescent="0.25">
      <c r="M18" s="1" t="s">
        <v>0</v>
      </c>
      <c r="N18" s="1" t="s">
        <v>48</v>
      </c>
    </row>
    <row r="19" spans="1:16" x14ac:dyDescent="0.25">
      <c r="M19" s="1" t="s">
        <v>1</v>
      </c>
      <c r="N19" s="1" t="s">
        <v>51</v>
      </c>
    </row>
    <row r="20" spans="1:16" x14ac:dyDescent="0.25">
      <c r="M20" s="1" t="s">
        <v>2</v>
      </c>
      <c r="N20" s="1" t="s">
        <v>50</v>
      </c>
    </row>
    <row r="21" spans="1:16" x14ac:dyDescent="0.25">
      <c r="M21" s="1" t="s">
        <v>3</v>
      </c>
      <c r="N21" s="8">
        <v>-5.0765999999999995E-4</v>
      </c>
      <c r="O21" s="1">
        <f>INTERCEPT(K5:K12,E5:E12)</f>
        <v>1.179349441172671E-4</v>
      </c>
    </row>
    <row r="22" spans="1:16" x14ac:dyDescent="0.25">
      <c r="A22" s="2"/>
      <c r="B22" s="3"/>
      <c r="M22" s="1" t="s">
        <v>4</v>
      </c>
      <c r="N22" s="8">
        <v>1.2548E-2</v>
      </c>
      <c r="O22" s="1">
        <f>SLOPE(K5:K12,E5:E12)</f>
        <v>1.117463570987241E-2</v>
      </c>
    </row>
    <row r="23" spans="1:16" x14ac:dyDescent="0.25">
      <c r="A23" s="2"/>
      <c r="B23" s="3"/>
      <c r="M23" s="1" t="s">
        <v>5</v>
      </c>
      <c r="N23" s="8">
        <v>-6.5622E-4</v>
      </c>
    </row>
    <row r="24" spans="1:16" x14ac:dyDescent="0.25">
      <c r="A24" s="2"/>
      <c r="B24" s="3"/>
      <c r="M24" s="1" t="s">
        <v>6</v>
      </c>
      <c r="N24" s="8">
        <v>8.5638999999999998E-5</v>
      </c>
    </row>
    <row r="25" spans="1:16" x14ac:dyDescent="0.25">
      <c r="A25" s="2"/>
      <c r="B25" s="3"/>
      <c r="M25" s="1" t="s">
        <v>7</v>
      </c>
      <c r="N25" s="1">
        <f>AVERAGE(G5:G12)</f>
        <v>21.599999999999998</v>
      </c>
    </row>
    <row r="26" spans="1:16" x14ac:dyDescent="0.25">
      <c r="A26" s="2"/>
      <c r="B26" s="3"/>
      <c r="M26" s="1" t="s">
        <v>8</v>
      </c>
      <c r="N26" s="1">
        <f>AVERAGE(F5:F12)</f>
        <v>990</v>
      </c>
    </row>
    <row r="27" spans="1:16" x14ac:dyDescent="0.25">
      <c r="A27" s="2"/>
      <c r="B27" s="3"/>
      <c r="M27" s="1" t="s">
        <v>11</v>
      </c>
      <c r="N27" s="2">
        <f>AVERAGE(A5:A12)</f>
        <v>42536</v>
      </c>
      <c r="P27" s="1" t="s">
        <v>86</v>
      </c>
    </row>
    <row r="28" spans="1:16" x14ac:dyDescent="0.25">
      <c r="A28" s="2"/>
      <c r="B28" s="3"/>
    </row>
    <row r="32" spans="1:16" x14ac:dyDescent="0.25">
      <c r="M32" s="1">
        <v>1E-3</v>
      </c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5" sqref="K5:K11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0.375</v>
      </c>
      <c r="C5" s="1">
        <v>3505712459</v>
      </c>
      <c r="D5" s="1">
        <v>49.985300000000002</v>
      </c>
      <c r="E5" s="1">
        <v>4.6044</v>
      </c>
      <c r="F5" s="1">
        <v>999.35500000000002</v>
      </c>
      <c r="G5" s="1">
        <v>16.875800000000002</v>
      </c>
      <c r="H5" s="1">
        <v>353.13799999999998</v>
      </c>
      <c r="I5" s="1">
        <v>296.76</v>
      </c>
      <c r="J5" s="1">
        <f>O5-N5</f>
        <v>246.58000000000175</v>
      </c>
      <c r="K5" s="1">
        <f>60*J5/I5</f>
        <v>49.854427820461332</v>
      </c>
      <c r="L5" s="1">
        <f>K5/D5</f>
        <v>0.99738178665450306</v>
      </c>
      <c r="N5" s="1">
        <v>62518.35</v>
      </c>
      <c r="O5" s="1">
        <v>62764.93</v>
      </c>
      <c r="Q5" s="1">
        <f>N$20+N$21*E5+N$22*E5^2+N$23*E5^3</f>
        <v>49.840148777641232</v>
      </c>
      <c r="R5" s="1">
        <f>$O$20+$O$21*E5</f>
        <v>49.622532652075193</v>
      </c>
      <c r="T5" s="1">
        <f>100*(Q5-$K5)/$K5</f>
        <v>-2.8641473675161091E-2</v>
      </c>
      <c r="U5" s="1">
        <f>100*(R5-$K5)/$K5</f>
        <v>-0.46514457897551836</v>
      </c>
    </row>
    <row r="6" spans="1:21" x14ac:dyDescent="0.25">
      <c r="A6" s="2">
        <v>42037</v>
      </c>
      <c r="B6" s="3">
        <v>0.37916666666666665</v>
      </c>
      <c r="C6" s="1">
        <v>3505712798</v>
      </c>
      <c r="D6" s="1">
        <v>40.036900000000003</v>
      </c>
      <c r="E6" s="1">
        <v>3.7225000000000001</v>
      </c>
      <c r="F6" s="1">
        <v>999.35500000000002</v>
      </c>
      <c r="G6" s="1">
        <v>16.942499999999999</v>
      </c>
      <c r="H6" s="1">
        <v>336.70600000000002</v>
      </c>
      <c r="I6" s="1">
        <v>296.75</v>
      </c>
      <c r="J6" s="1">
        <f t="shared" ref="J6:J11" si="0">O6-N6</f>
        <v>197.16999999999825</v>
      </c>
      <c r="K6" s="1">
        <f t="shared" ref="K6:K11" si="1">60*J6/I6</f>
        <v>39.865880370682042</v>
      </c>
      <c r="L6" s="1">
        <f t="shared" ref="L6:L11" si="2">K6/D6</f>
        <v>0.99572844977213615</v>
      </c>
      <c r="N6" s="1">
        <v>62782.3</v>
      </c>
      <c r="O6" s="1">
        <v>62979.47</v>
      </c>
      <c r="Q6" s="1">
        <f t="shared" ref="Q6:Q11" si="3">N$20+N$21*E6+N$22*E6^2+N$23*E6^3</f>
        <v>39.909071138364638</v>
      </c>
      <c r="R6" s="1">
        <f t="shared" ref="R6:R11" si="4">$O$20+$O$21*E6</f>
        <v>40.137759221452015</v>
      </c>
      <c r="T6" s="1">
        <f t="shared" ref="T6:U11" si="5">100*(Q6-$K6)/$K6</f>
        <v>0.10834018283554302</v>
      </c>
      <c r="U6" s="1">
        <f>100*(R6-$K6)/$K6</f>
        <v>0.68198381232768779</v>
      </c>
    </row>
    <row r="7" spans="1:21" x14ac:dyDescent="0.25">
      <c r="A7" s="2">
        <v>42037</v>
      </c>
      <c r="B7" s="3">
        <v>0.38263888888888892</v>
      </c>
      <c r="C7" s="1">
        <v>3505713119</v>
      </c>
      <c r="D7" s="1">
        <v>30.0245</v>
      </c>
      <c r="E7" s="1">
        <v>2.7892999999999999</v>
      </c>
      <c r="F7" s="1">
        <v>999.35500000000002</v>
      </c>
      <c r="G7" s="1">
        <v>16.994900000000001</v>
      </c>
      <c r="H7" s="1">
        <v>324.56200000000001</v>
      </c>
      <c r="I7" s="1">
        <v>296.75</v>
      </c>
      <c r="J7" s="1">
        <f t="shared" si="0"/>
        <v>148.23999999999796</v>
      </c>
      <c r="K7" s="1">
        <f t="shared" si="1"/>
        <v>29.972704296545501</v>
      </c>
      <c r="L7" s="1">
        <f t="shared" si="2"/>
        <v>0.99827488539511067</v>
      </c>
      <c r="N7" s="1">
        <v>62991.79</v>
      </c>
      <c r="O7" s="1">
        <v>63140.03</v>
      </c>
      <c r="Q7" s="1">
        <f t="shared" si="3"/>
        <v>29.93744163317405</v>
      </c>
      <c r="R7" s="1">
        <f t="shared" si="4"/>
        <v>30.101257843225966</v>
      </c>
      <c r="T7" s="1">
        <f t="shared" si="5"/>
        <v>-0.11764925521090082</v>
      </c>
      <c r="U7" s="1">
        <f>100*(R7-$K7)/$K7</f>
        <v>0.42890206171780437</v>
      </c>
    </row>
    <row r="8" spans="1:21" x14ac:dyDescent="0.25">
      <c r="A8" s="2">
        <v>42037</v>
      </c>
      <c r="B8" s="3">
        <v>0.38680555555555557</v>
      </c>
      <c r="C8" s="1">
        <v>3505713440</v>
      </c>
      <c r="D8" s="1">
        <v>20.0243</v>
      </c>
      <c r="E8" s="1">
        <v>1.8388</v>
      </c>
      <c r="F8" s="1">
        <v>999.35500000000002</v>
      </c>
      <c r="G8" s="1">
        <v>17.047499999999999</v>
      </c>
      <c r="H8" s="1">
        <v>315.0693</v>
      </c>
      <c r="I8" s="1">
        <v>296.76</v>
      </c>
      <c r="J8" s="1">
        <f t="shared" si="0"/>
        <v>98.870000000002619</v>
      </c>
      <c r="K8" s="1">
        <f t="shared" si="1"/>
        <v>19.989890820865877</v>
      </c>
      <c r="L8" s="1">
        <f t="shared" si="2"/>
        <v>0.99828162886422378</v>
      </c>
      <c r="N8" s="1">
        <v>63148.6</v>
      </c>
      <c r="O8" s="1">
        <v>63247.47</v>
      </c>
      <c r="Q8" s="1">
        <f t="shared" si="3"/>
        <v>19.974017533231258</v>
      </c>
      <c r="R8" s="1">
        <f t="shared" si="4"/>
        <v>19.8786961629818</v>
      </c>
      <c r="T8" s="1">
        <f t="shared" si="5"/>
        <v>-7.9406574937619878E-2</v>
      </c>
      <c r="U8" s="1">
        <f t="shared" si="5"/>
        <v>-0.55625445321597189</v>
      </c>
    </row>
    <row r="9" spans="1:21" x14ac:dyDescent="0.25">
      <c r="A9" s="2">
        <v>42037</v>
      </c>
      <c r="B9" s="3">
        <v>0.39027777777777778</v>
      </c>
      <c r="C9" s="1">
        <v>3505713762</v>
      </c>
      <c r="D9" s="1">
        <v>9.9910999999999994</v>
      </c>
      <c r="E9" s="1">
        <v>0.89990000000000003</v>
      </c>
      <c r="F9" s="1">
        <v>999.35500000000002</v>
      </c>
      <c r="G9" s="1">
        <v>17.124400000000001</v>
      </c>
      <c r="H9" s="1">
        <v>307.68369999999999</v>
      </c>
      <c r="I9" s="1">
        <v>296.74</v>
      </c>
      <c r="J9" s="1">
        <f t="shared" si="0"/>
        <v>48.980000000003201</v>
      </c>
      <c r="K9" s="1">
        <f t="shared" si="1"/>
        <v>9.9036193300538926</v>
      </c>
      <c r="L9" s="1">
        <f t="shared" si="2"/>
        <v>0.99124414029024766</v>
      </c>
      <c r="N9" s="1">
        <v>63252.32</v>
      </c>
      <c r="O9" s="1">
        <v>63301.3</v>
      </c>
      <c r="Q9" s="1">
        <f t="shared" si="3"/>
        <v>9.9445642926432374</v>
      </c>
      <c r="R9" s="1">
        <f t="shared" si="4"/>
        <v>9.7808916794665457</v>
      </c>
      <c r="T9" s="1">
        <f t="shared" si="5"/>
        <v>0.41343433369951588</v>
      </c>
      <c r="U9" s="1">
        <f t="shared" si="5"/>
        <v>-1.2392201931157936</v>
      </c>
    </row>
    <row r="10" spans="1:21" x14ac:dyDescent="0.25">
      <c r="A10" s="2">
        <v>42037</v>
      </c>
      <c r="B10" s="3">
        <v>0.39444444444444443</v>
      </c>
      <c r="C10" s="1">
        <v>3505714090</v>
      </c>
      <c r="D10" s="1">
        <v>5.0046999999999997</v>
      </c>
      <c r="E10" s="1">
        <v>0.4481</v>
      </c>
      <c r="F10" s="1">
        <v>999.35500000000002</v>
      </c>
      <c r="G10" s="1">
        <v>17.198899999999998</v>
      </c>
      <c r="H10" s="1">
        <v>303.74700000000001</v>
      </c>
      <c r="I10" s="1">
        <v>296.73</v>
      </c>
      <c r="J10" s="1">
        <f t="shared" si="0"/>
        <v>24.430000000000291</v>
      </c>
      <c r="K10" s="1">
        <f t="shared" si="1"/>
        <v>4.9398443029016859</v>
      </c>
      <c r="L10" s="1">
        <f t="shared" si="2"/>
        <v>0.98704104200085641</v>
      </c>
      <c r="N10" s="1">
        <v>63304.3</v>
      </c>
      <c r="O10" s="1">
        <v>63328.73</v>
      </c>
      <c r="Q10" s="1">
        <f t="shared" si="3"/>
        <v>4.9406064010476136</v>
      </c>
      <c r="R10" s="1">
        <f t="shared" si="4"/>
        <v>4.9218139654904123</v>
      </c>
      <c r="T10" s="1">
        <f t="shared" si="5"/>
        <v>1.5427574214841124E-2</v>
      </c>
      <c r="U10" s="1">
        <f t="shared" si="5"/>
        <v>-0.36499809114798376</v>
      </c>
    </row>
    <row r="11" spans="1:21" x14ac:dyDescent="0.25">
      <c r="A11" s="2">
        <v>42037</v>
      </c>
      <c r="B11" s="3">
        <v>0.3979166666666667</v>
      </c>
      <c r="C11" s="1">
        <v>3505714423</v>
      </c>
      <c r="D11" s="1">
        <v>2.6657000000000002</v>
      </c>
      <c r="E11" s="1">
        <v>0.24074000000000001</v>
      </c>
      <c r="F11" s="1">
        <v>999.35500000000002</v>
      </c>
      <c r="G11" s="1">
        <v>17.283899999999999</v>
      </c>
      <c r="H11" s="1">
        <v>300.75170000000003</v>
      </c>
      <c r="I11" s="1">
        <v>296.75</v>
      </c>
      <c r="J11" s="1">
        <f t="shared" si="0"/>
        <v>12.900000000001455</v>
      </c>
      <c r="K11" s="1">
        <f t="shared" si="1"/>
        <v>2.6082561078351723</v>
      </c>
      <c r="L11" s="1">
        <f t="shared" si="2"/>
        <v>0.97845072882738948</v>
      </c>
      <c r="N11" s="1">
        <v>63330.5</v>
      </c>
      <c r="O11" s="1">
        <v>63343.4</v>
      </c>
      <c r="Q11" s="1">
        <f t="shared" si="3"/>
        <v>2.5887680138795726</v>
      </c>
      <c r="R11" s="1">
        <f t="shared" si="4"/>
        <v>2.6916715246535574</v>
      </c>
      <c r="T11" s="1">
        <f t="shared" si="5"/>
        <v>-0.74716949371105379</v>
      </c>
      <c r="U11" s="1">
        <f t="shared" si="5"/>
        <v>3.1981298373195091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-0.19257299999999999</v>
      </c>
      <c r="O20" s="1">
        <f>INTERCEPT(K5:K11,E5:E11)</f>
        <v>0.10252949529850142</v>
      </c>
    </row>
    <row r="21" spans="1:15" x14ac:dyDescent="0.25">
      <c r="A21" s="2"/>
      <c r="B21" s="3"/>
      <c r="M21" s="1" t="s">
        <v>4</v>
      </c>
      <c r="N21" s="1">
        <v>11.675081</v>
      </c>
      <c r="O21" s="1">
        <f>SLOPE(K5:K11,E5:E11)</f>
        <v>10.754930752492548</v>
      </c>
    </row>
    <row r="22" spans="1:15" x14ac:dyDescent="0.25">
      <c r="A22" s="2"/>
      <c r="B22" s="3"/>
      <c r="M22" s="1" t="s">
        <v>5</v>
      </c>
      <c r="N22" s="1">
        <v>-0.52408600000000005</v>
      </c>
    </row>
    <row r="23" spans="1:15" x14ac:dyDescent="0.25">
      <c r="A23" s="2"/>
      <c r="B23" s="3"/>
      <c r="M23" s="1" t="s">
        <v>6</v>
      </c>
      <c r="N23" s="1">
        <v>7.5673000000000004E-2</v>
      </c>
    </row>
    <row r="24" spans="1:15" x14ac:dyDescent="0.25">
      <c r="A24" s="2"/>
      <c r="B24" s="3"/>
      <c r="M24" s="1" t="s">
        <v>7</v>
      </c>
      <c r="N24" s="1">
        <f>AVERAGE(G5:G11)</f>
        <v>17.066842857142859</v>
      </c>
    </row>
    <row r="25" spans="1:15" x14ac:dyDescent="0.25">
      <c r="A25" s="2"/>
      <c r="B25" s="3"/>
      <c r="M25" s="1" t="s">
        <v>8</v>
      </c>
      <c r="N25" s="1">
        <f>AVERAGE(F5:F11)</f>
        <v>999.35499999999979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C4" zoomScale="85" zoomScaleNormal="85" workbookViewId="0">
      <selection activeCell="Q22" sqref="Q22"/>
    </sheetView>
  </sheetViews>
  <sheetFormatPr defaultRowHeight="15" x14ac:dyDescent="0.25"/>
  <cols>
    <col min="1" max="1" width="11.42578125" style="6" customWidth="1"/>
    <col min="2" max="8" width="9.140625" style="6"/>
    <col min="9" max="9" width="11.5703125" style="6" customWidth="1"/>
    <col min="10" max="12" width="9.140625" style="6"/>
    <col min="13" max="13" width="19" style="6" customWidth="1"/>
    <col min="14" max="14" width="11.42578125" style="6" customWidth="1"/>
    <col min="15" max="20" width="9.140625" style="6"/>
    <col min="21" max="21" width="9.140625" style="6" customWidth="1"/>
    <col min="22" max="16384" width="9.140625" style="6"/>
  </cols>
  <sheetData>
    <row r="1" spans="1:24" x14ac:dyDescent="0.25">
      <c r="A1" s="6" t="s">
        <v>11</v>
      </c>
      <c r="B1" s="6" t="s">
        <v>32</v>
      </c>
      <c r="C1" s="6" t="s">
        <v>25</v>
      </c>
      <c r="D1" s="6" t="s">
        <v>12</v>
      </c>
      <c r="E1" s="6" t="s">
        <v>12</v>
      </c>
      <c r="F1" s="6" t="s">
        <v>13</v>
      </c>
      <c r="G1" s="6" t="s">
        <v>14</v>
      </c>
      <c r="H1" s="6" t="s">
        <v>12</v>
      </c>
      <c r="I1" s="6" t="s">
        <v>87</v>
      </c>
      <c r="J1" s="6" t="s">
        <v>93</v>
      </c>
      <c r="K1" s="6" t="s">
        <v>87</v>
      </c>
      <c r="M1" s="6" t="s">
        <v>98</v>
      </c>
      <c r="N1" s="6" t="s">
        <v>100</v>
      </c>
    </row>
    <row r="2" spans="1:24" x14ac:dyDescent="0.25">
      <c r="A2" s="6" t="s">
        <v>33</v>
      </c>
      <c r="B2" s="6" t="s">
        <v>34</v>
      </c>
      <c r="C2" s="6" t="s">
        <v>35</v>
      </c>
      <c r="D2" s="6" t="s">
        <v>36</v>
      </c>
      <c r="E2" s="6" t="s">
        <v>36</v>
      </c>
      <c r="F2" s="6" t="s">
        <v>16</v>
      </c>
      <c r="G2" s="6" t="s">
        <v>17</v>
      </c>
      <c r="H2" s="6" t="s">
        <v>18</v>
      </c>
      <c r="I2" s="6" t="s">
        <v>88</v>
      </c>
      <c r="K2" s="6" t="s">
        <v>88</v>
      </c>
      <c r="M2" s="6" t="s">
        <v>99</v>
      </c>
      <c r="N2" s="6" t="s">
        <v>101</v>
      </c>
      <c r="Q2" s="6" t="s">
        <v>42</v>
      </c>
      <c r="R2" s="6" t="s">
        <v>41</v>
      </c>
      <c r="T2" s="6" t="s">
        <v>39</v>
      </c>
      <c r="U2" s="6" t="s">
        <v>39</v>
      </c>
    </row>
    <row r="3" spans="1:24" x14ac:dyDescent="0.25">
      <c r="A3" s="6" t="s">
        <v>34</v>
      </c>
      <c r="B3" s="6" t="s">
        <v>37</v>
      </c>
      <c r="C3" s="6" t="s">
        <v>38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102</v>
      </c>
      <c r="K3" s="6" t="s">
        <v>31</v>
      </c>
      <c r="Q3" s="6" t="s">
        <v>43</v>
      </c>
      <c r="R3" s="6" t="s">
        <v>43</v>
      </c>
      <c r="T3" s="6" t="s">
        <v>40</v>
      </c>
      <c r="U3" s="6" t="s">
        <v>41</v>
      </c>
    </row>
    <row r="4" spans="1:24" x14ac:dyDescent="0.25">
      <c r="I4" s="6" t="s">
        <v>10</v>
      </c>
    </row>
    <row r="5" spans="1:24" x14ac:dyDescent="0.25">
      <c r="A5" s="2">
        <v>42037</v>
      </c>
      <c r="B5" s="3">
        <v>0.375</v>
      </c>
      <c r="C5" s="6">
        <v>3505712459</v>
      </c>
      <c r="D5" s="6">
        <v>49.985300000000002</v>
      </c>
      <c r="E5" s="6">
        <v>4.6044</v>
      </c>
      <c r="F5" s="6">
        <v>999.35500000000002</v>
      </c>
      <c r="G5" s="6">
        <v>16.875800000000002</v>
      </c>
      <c r="H5" s="6">
        <v>353.13799999999998</v>
      </c>
      <c r="I5" s="6">
        <v>49.854427820461332</v>
      </c>
      <c r="J5" s="6">
        <f>1/N5</f>
        <v>0.74290365417116178</v>
      </c>
      <c r="K5" s="6">
        <f>I5*J5</f>
        <v>37.037036604433155</v>
      </c>
      <c r="L5" s="6">
        <f t="shared" ref="L5:L10" si="0">K5/D5</f>
        <v>0.74095857390939246</v>
      </c>
      <c r="M5" s="6">
        <f>100*E5/5</f>
        <v>92.087999999999994</v>
      </c>
      <c r="N5" s="7">
        <f>$U$15+$U$16*M5+$U$17*M5^2+$U$18*M5^3</f>
        <v>1.3460695668749589</v>
      </c>
      <c r="Q5" s="6">
        <f t="shared" ref="Q5:Q10" si="1">N$18+N$19*E5+N$20*E5^2+N$21*E5^3</f>
        <v>37.025128043829795</v>
      </c>
      <c r="R5" s="6">
        <f t="shared" ref="R5:R10" si="2">$O$18+$O$19*E5</f>
        <v>36.734882877988653</v>
      </c>
      <c r="T5" s="6">
        <f>100*(Q5-$K5)/$K5</f>
        <v>-3.2153114004628336E-2</v>
      </c>
      <c r="U5" s="6">
        <f>100*(R5-$K5)/$K5</f>
        <v>-0.81581507092912287</v>
      </c>
    </row>
    <row r="6" spans="1:24" x14ac:dyDescent="0.25">
      <c r="A6" s="2">
        <v>42037</v>
      </c>
      <c r="B6" s="3">
        <v>0.37916666666666665</v>
      </c>
      <c r="C6" s="6">
        <v>3505712798</v>
      </c>
      <c r="D6" s="6">
        <v>40.036900000000003</v>
      </c>
      <c r="E6" s="6">
        <v>3.7225000000000001</v>
      </c>
      <c r="F6" s="6">
        <v>999.35500000000002</v>
      </c>
      <c r="G6" s="6">
        <v>16.942499999999999</v>
      </c>
      <c r="H6" s="6">
        <v>336.70600000000002</v>
      </c>
      <c r="I6" s="6">
        <v>39.865880370682042</v>
      </c>
      <c r="J6" s="6">
        <f>1/N6</f>
        <v>0.73849288726425455</v>
      </c>
      <c r="K6" s="6">
        <f t="shared" ref="K6:K10" si="3">I6*J6</f>
        <v>29.440669098276352</v>
      </c>
      <c r="L6" s="6">
        <f t="shared" si="0"/>
        <v>0.73533837780338518</v>
      </c>
      <c r="M6" s="6">
        <f t="shared" ref="M6:M10" si="4">100*E6/5</f>
        <v>74.45</v>
      </c>
      <c r="N6" s="7">
        <f t="shared" ref="N6:N10" si="5">$U$15+$U$16*M6+$U$17*M6^2+$U$18*M6^3</f>
        <v>1.354109182695717</v>
      </c>
      <c r="Q6" s="6">
        <f t="shared" si="1"/>
        <v>29.476536456006233</v>
      </c>
      <c r="R6" s="6">
        <f t="shared" si="2"/>
        <v>29.70317306458119</v>
      </c>
      <c r="T6" s="6">
        <f t="shared" ref="T6:U10" si="6">100*(Q6-$K6)/$K6</f>
        <v>0.1218292886284328</v>
      </c>
      <c r="U6" s="6">
        <f>100*(R6-$K6)/$K6</f>
        <v>0.89163722953635693</v>
      </c>
    </row>
    <row r="7" spans="1:24" x14ac:dyDescent="0.25">
      <c r="A7" s="2">
        <v>42037</v>
      </c>
      <c r="B7" s="3">
        <v>0.38263888888888892</v>
      </c>
      <c r="C7" s="6">
        <v>3505713119</v>
      </c>
      <c r="D7" s="6">
        <v>30.0245</v>
      </c>
      <c r="E7" s="6">
        <v>2.7892999999999999</v>
      </c>
      <c r="F7" s="6">
        <v>999.35500000000002</v>
      </c>
      <c r="G7" s="6">
        <v>16.994900000000001</v>
      </c>
      <c r="H7" s="6">
        <v>324.56200000000001</v>
      </c>
      <c r="I7" s="6">
        <v>29.972704296545501</v>
      </c>
      <c r="J7" s="6">
        <f t="shared" ref="J7:J10" si="7">1/N7</f>
        <v>0.73611064955969963</v>
      </c>
      <c r="K7" s="6">
        <f t="shared" si="3"/>
        <v>22.06322682879091</v>
      </c>
      <c r="L7" s="6">
        <f t="shared" si="0"/>
        <v>0.73484077432732964</v>
      </c>
      <c r="M7" s="6">
        <f t="shared" si="4"/>
        <v>55.786000000000001</v>
      </c>
      <c r="N7" s="7">
        <f t="shared" si="5"/>
        <v>1.3584914178298388</v>
      </c>
      <c r="Q7" s="6">
        <f t="shared" si="1"/>
        <v>22.034096054075111</v>
      </c>
      <c r="R7" s="6">
        <f t="shared" si="2"/>
        <v>22.262429672051592</v>
      </c>
      <c r="T7" s="6">
        <f t="shared" si="6"/>
        <v>-0.13203315608297986</v>
      </c>
      <c r="U7" s="6">
        <f>100*(R7-$K7)/$K7</f>
        <v>0.90287266140389322</v>
      </c>
    </row>
    <row r="8" spans="1:24" x14ac:dyDescent="0.25">
      <c r="A8" s="2">
        <v>42037</v>
      </c>
      <c r="B8" s="3">
        <v>0.38680555555555557</v>
      </c>
      <c r="C8" s="6">
        <v>3505713440</v>
      </c>
      <c r="D8" s="6">
        <v>20.0243</v>
      </c>
      <c r="E8" s="6">
        <v>1.8388</v>
      </c>
      <c r="F8" s="6">
        <v>999.35500000000002</v>
      </c>
      <c r="G8" s="6">
        <v>17.047499999999999</v>
      </c>
      <c r="H8" s="6">
        <v>315.0693</v>
      </c>
      <c r="I8" s="6">
        <v>19.989890820865877</v>
      </c>
      <c r="J8" s="6">
        <f t="shared" si="7"/>
        <v>0.73554382927019835</v>
      </c>
      <c r="K8" s="6">
        <f t="shared" si="3"/>
        <v>14.703440841072876</v>
      </c>
      <c r="L8" s="6">
        <f t="shared" si="0"/>
        <v>0.73427989198488219</v>
      </c>
      <c r="M8" s="6">
        <f t="shared" si="4"/>
        <v>36.775999999999996</v>
      </c>
      <c r="N8" s="7">
        <f t="shared" si="5"/>
        <v>1.3595382901821</v>
      </c>
      <c r="Q8" s="6">
        <f t="shared" si="1"/>
        <v>14.689996744239622</v>
      </c>
      <c r="R8" s="6">
        <f t="shared" si="2"/>
        <v>14.683747080324869</v>
      </c>
      <c r="T8" s="6">
        <f t="shared" si="6"/>
        <v>-9.1435038767926302E-2</v>
      </c>
      <c r="U8" s="6">
        <f t="shared" si="6"/>
        <v>-0.1339398101497036</v>
      </c>
    </row>
    <row r="9" spans="1:24" x14ac:dyDescent="0.25">
      <c r="A9" s="2">
        <v>42037</v>
      </c>
      <c r="B9" s="3">
        <v>0.39027777777777778</v>
      </c>
      <c r="C9" s="6">
        <v>3505713762</v>
      </c>
      <c r="D9" s="6">
        <v>9.9910999999999994</v>
      </c>
      <c r="E9" s="6">
        <v>0.89990000000000003</v>
      </c>
      <c r="F9" s="6">
        <v>999.35500000000002</v>
      </c>
      <c r="G9" s="6">
        <v>17.124400000000001</v>
      </c>
      <c r="H9" s="6">
        <v>307.68369999999999</v>
      </c>
      <c r="I9" s="6">
        <v>9.9036193300538926</v>
      </c>
      <c r="J9" s="6">
        <f t="shared" si="7"/>
        <v>0.73630027813991927</v>
      </c>
      <c r="K9" s="6">
        <f t="shared" si="3"/>
        <v>7.292037667310562</v>
      </c>
      <c r="L9" s="6">
        <f t="shared" si="0"/>
        <v>0.72985333620027448</v>
      </c>
      <c r="M9" s="6">
        <f t="shared" si="4"/>
        <v>17.998000000000001</v>
      </c>
      <c r="N9" s="7">
        <f t="shared" si="5"/>
        <v>1.3581415486168944</v>
      </c>
      <c r="Q9" s="6">
        <f t="shared" si="1"/>
        <v>7.3258121310864484</v>
      </c>
      <c r="R9" s="6">
        <f t="shared" si="2"/>
        <v>7.1975555123372601</v>
      </c>
      <c r="T9" s="6">
        <f t="shared" si="6"/>
        <v>0.46316907998560813</v>
      </c>
      <c r="U9" s="6">
        <f t="shared" si="6"/>
        <v>-1.2956893434170738</v>
      </c>
    </row>
    <row r="10" spans="1:24" x14ac:dyDescent="0.25">
      <c r="A10" s="2">
        <v>42037</v>
      </c>
      <c r="B10" s="3">
        <v>0.39444444444444443</v>
      </c>
      <c r="C10" s="6">
        <v>3505714090</v>
      </c>
      <c r="D10" s="6">
        <v>5.0046999999999997</v>
      </c>
      <c r="E10" s="6">
        <v>0.4481</v>
      </c>
      <c r="F10" s="6">
        <v>999.35500000000002</v>
      </c>
      <c r="G10" s="6">
        <v>17.198899999999998</v>
      </c>
      <c r="H10" s="6">
        <v>303.74700000000001</v>
      </c>
      <c r="I10" s="6">
        <v>4.9398443029016859</v>
      </c>
      <c r="J10" s="6">
        <f t="shared" si="7"/>
        <v>0.73698006438020824</v>
      </c>
      <c r="K10" s="6">
        <f t="shared" si="3"/>
        <v>3.6405667723806894</v>
      </c>
      <c r="L10" s="6">
        <f t="shared" si="0"/>
        <v>0.72742957067969904</v>
      </c>
      <c r="M10" s="6">
        <f t="shared" si="4"/>
        <v>8.9619999999999997</v>
      </c>
      <c r="N10" s="7">
        <f t="shared" si="5"/>
        <v>1.3568888065391409</v>
      </c>
      <c r="Q10" s="6">
        <f t="shared" si="1"/>
        <v>3.6422803975997544</v>
      </c>
      <c r="R10" s="6">
        <f t="shared" si="2"/>
        <v>3.5951896049809897</v>
      </c>
      <c r="T10" s="6">
        <f t="shared" si="6"/>
        <v>4.7070286749456951E-2</v>
      </c>
      <c r="U10" s="6">
        <f t="shared" si="6"/>
        <v>-1.2464314002961137</v>
      </c>
    </row>
    <row r="11" spans="1:24" x14ac:dyDescent="0.25">
      <c r="A11" s="2">
        <v>42037</v>
      </c>
      <c r="B11" s="3">
        <v>0.3979166666666667</v>
      </c>
      <c r="C11" s="6">
        <v>3505714423</v>
      </c>
      <c r="D11" s="6">
        <v>2.6657000000000002</v>
      </c>
      <c r="E11" s="6">
        <v>0.24074000000000001</v>
      </c>
      <c r="F11" s="6">
        <v>999.35500000000002</v>
      </c>
      <c r="G11" s="6">
        <v>17.283899999999999</v>
      </c>
      <c r="H11" s="6">
        <v>300.75170000000003</v>
      </c>
      <c r="I11" s="6">
        <v>2.6082561078351723</v>
      </c>
      <c r="J11" s="6">
        <f t="shared" ref="J11" si="8">1/N11</f>
        <v>0.73733851743810175</v>
      </c>
      <c r="K11" s="6">
        <f t="shared" ref="K11" si="9">I11*J11</f>
        <v>1.9231676916500595</v>
      </c>
      <c r="L11" s="6">
        <f t="shared" ref="L11" si="10">K11/D11</f>
        <v>0.72144940977981742</v>
      </c>
      <c r="M11" s="6">
        <f t="shared" ref="M11" si="11">100*E11/5</f>
        <v>4.8148</v>
      </c>
      <c r="N11" s="7">
        <f t="shared" ref="N11" si="12">$U$15+$U$16*M11+$U$17*M11^2+$U$18*M11^3</f>
        <v>1.356229162521607</v>
      </c>
      <c r="Q11" s="6">
        <f t="shared" ref="Q11" si="13">N$18+N$19*E11+N$20*E11^2+N$21*E11^3</f>
        <v>1.9062433599094959</v>
      </c>
      <c r="R11" s="6">
        <f t="shared" ref="R11" si="14">$O$18+$O$19*E11</f>
        <v>1.941832822003132</v>
      </c>
      <c r="T11" s="6">
        <f t="shared" ref="T11" si="15">100*(Q11-$K11)/$K11</f>
        <v>-0.88002371369096322</v>
      </c>
      <c r="U11" s="6">
        <f t="shared" ref="U11" si="16">100*(R11-$K11)/$K11</f>
        <v>0.97054096915792021</v>
      </c>
    </row>
    <row r="13" spans="1:24" x14ac:dyDescent="0.25">
      <c r="N13" s="6" t="s">
        <v>40</v>
      </c>
      <c r="O13" s="6" t="s">
        <v>41</v>
      </c>
      <c r="R13" s="6" t="s">
        <v>97</v>
      </c>
      <c r="U13" s="6" t="s">
        <v>40</v>
      </c>
      <c r="V13" s="6" t="s">
        <v>41</v>
      </c>
    </row>
    <row r="14" spans="1:24" x14ac:dyDescent="0.25">
      <c r="R14" s="5" t="s">
        <v>94</v>
      </c>
      <c r="S14" s="5" t="s">
        <v>95</v>
      </c>
    </row>
    <row r="15" spans="1:24" x14ac:dyDescent="0.25">
      <c r="M15" s="6" t="s">
        <v>0</v>
      </c>
      <c r="N15" s="6" t="s">
        <v>36</v>
      </c>
      <c r="R15" s="6">
        <v>10</v>
      </c>
      <c r="S15" s="6">
        <v>1.357</v>
      </c>
      <c r="U15" s="7">
        <v>1.355415</v>
      </c>
      <c r="V15" s="6">
        <f>INTERCEPT(S15:S19,R15:R19)</f>
        <v>1.3627317073170733</v>
      </c>
      <c r="X15" s="6" t="s">
        <v>3</v>
      </c>
    </row>
    <row r="16" spans="1:24" x14ac:dyDescent="0.25">
      <c r="M16" s="6" t="s">
        <v>1</v>
      </c>
      <c r="N16" s="6" t="s">
        <v>45</v>
      </c>
      <c r="R16" s="6">
        <v>25</v>
      </c>
      <c r="S16" s="6">
        <v>1.359</v>
      </c>
      <c r="U16" s="8">
        <v>1.7346080000000001E-4</v>
      </c>
      <c r="V16" s="6">
        <f>SLOPE(S15:S19,R15:R19)</f>
        <v>-1.6791744840525296E-4</v>
      </c>
      <c r="X16" s="6" t="s">
        <v>4</v>
      </c>
    </row>
    <row r="17" spans="1:24" x14ac:dyDescent="0.25">
      <c r="M17" s="6" t="s">
        <v>2</v>
      </c>
      <c r="N17" s="6" t="s">
        <v>96</v>
      </c>
      <c r="R17" s="6">
        <v>50</v>
      </c>
      <c r="S17" s="6">
        <v>1.359</v>
      </c>
      <c r="U17" s="8">
        <v>-7.9187479999999995E-7</v>
      </c>
      <c r="X17" s="6" t="s">
        <v>5</v>
      </c>
    </row>
    <row r="18" spans="1:24" x14ac:dyDescent="0.25">
      <c r="M18" s="6" t="s">
        <v>3</v>
      </c>
      <c r="N18" s="6">
        <v>-0.15177399999999999</v>
      </c>
      <c r="O18" s="6">
        <f>INTERCEPT(K5:K10,E5:E10)</f>
        <v>2.2325144851851775E-2</v>
      </c>
      <c r="R18" s="6">
        <v>75</v>
      </c>
      <c r="S18" s="6">
        <v>1.3540000000000001</v>
      </c>
      <c r="U18" s="8">
        <v>-2.382283E-8</v>
      </c>
      <c r="X18" s="6" t="s">
        <v>6</v>
      </c>
    </row>
    <row r="19" spans="1:24" x14ac:dyDescent="0.25">
      <c r="A19" s="2"/>
      <c r="B19" s="3"/>
      <c r="M19" s="6" t="s">
        <v>4</v>
      </c>
      <c r="N19" s="6">
        <v>8.6510110000000005</v>
      </c>
      <c r="O19" s="6">
        <f>SLOPE(K5:K10,E5:E10)</f>
        <v>7.9733641154410577</v>
      </c>
      <c r="R19" s="6">
        <v>100</v>
      </c>
      <c r="S19" s="6">
        <v>1.341</v>
      </c>
    </row>
    <row r="20" spans="1:24" x14ac:dyDescent="0.25">
      <c r="A20" s="2"/>
      <c r="B20" s="3"/>
      <c r="M20" s="6" t="s">
        <v>5</v>
      </c>
      <c r="N20" s="6">
        <v>-0.44146000000000002</v>
      </c>
    </row>
    <row r="21" spans="1:24" x14ac:dyDescent="0.25">
      <c r="A21" s="2"/>
      <c r="B21" s="3"/>
      <c r="M21" s="6" t="s">
        <v>6</v>
      </c>
      <c r="N21" s="6">
        <v>6.8670999999999996E-2</v>
      </c>
    </row>
    <row r="22" spans="1:24" x14ac:dyDescent="0.25">
      <c r="A22" s="2"/>
      <c r="B22" s="3"/>
      <c r="M22" s="6" t="s">
        <v>7</v>
      </c>
      <c r="N22" s="6">
        <f>AVERAGE(G5:G10)</f>
        <v>17.030666666666669</v>
      </c>
    </row>
    <row r="23" spans="1:24" x14ac:dyDescent="0.25">
      <c r="A23" s="2"/>
      <c r="B23" s="3"/>
      <c r="M23" s="6" t="s">
        <v>8</v>
      </c>
      <c r="N23" s="6">
        <f>AVERAGE(F5:F10)</f>
        <v>999.3549999999999</v>
      </c>
    </row>
    <row r="24" spans="1:24" x14ac:dyDescent="0.25">
      <c r="A24" s="2"/>
      <c r="B24" s="3"/>
      <c r="M24" s="6" t="s">
        <v>11</v>
      </c>
      <c r="N24" s="2">
        <f>AVERAGE(A5:A10)</f>
        <v>42037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J38" sqref="J38"/>
    </sheetView>
  </sheetViews>
  <sheetFormatPr defaultRowHeight="15" x14ac:dyDescent="0.25"/>
  <cols>
    <col min="1" max="1" width="11.42578125" style="1" customWidth="1"/>
    <col min="2" max="12" width="9.140625" style="1"/>
    <col min="13" max="13" width="25.285156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0.61736111111111114</v>
      </c>
      <c r="C5" s="1">
        <v>3505733395</v>
      </c>
      <c r="D5" s="1">
        <v>4.9725999999999999</v>
      </c>
      <c r="E5" s="1">
        <v>4.5720000000000001</v>
      </c>
      <c r="F5" s="1">
        <v>998.46100000000001</v>
      </c>
      <c r="G5" s="1">
        <v>16.825800000000001</v>
      </c>
      <c r="H5" s="1">
        <v>306.81540000000001</v>
      </c>
      <c r="K5" s="1">
        <v>4.9649999999999999</v>
      </c>
      <c r="L5" s="1">
        <f>K5/D5</f>
        <v>0.99847162450227245</v>
      </c>
      <c r="M5" s="1" t="s">
        <v>46</v>
      </c>
      <c r="Q5" s="1">
        <f>N$20+N$21*E5+N$22*E5^2+N$23*E5^3</f>
        <v>4.9645300015558398</v>
      </c>
      <c r="R5" s="1">
        <f>$O$20+$O$21*E5</f>
        <v>4.9439857679703518</v>
      </c>
      <c r="T5" s="1">
        <f>100*(Q5-$K5)/$K5</f>
        <v>-9.4662325107768199E-3</v>
      </c>
      <c r="U5" s="1">
        <f>100*(R5-$K5)/$K5</f>
        <v>-0.42324737219834901</v>
      </c>
    </row>
    <row r="6" spans="1:21" x14ac:dyDescent="0.25">
      <c r="A6" s="2">
        <v>42037</v>
      </c>
      <c r="B6" s="3">
        <v>0.61944444444444446</v>
      </c>
      <c r="C6" s="1">
        <v>3505733571</v>
      </c>
      <c r="D6" s="1">
        <v>4.0019</v>
      </c>
      <c r="E6" s="1">
        <v>3.7218</v>
      </c>
      <c r="F6" s="1">
        <v>998.46100000000001</v>
      </c>
      <c r="G6" s="1">
        <v>16.567399999999999</v>
      </c>
      <c r="H6" s="1">
        <v>305.49639999999999</v>
      </c>
      <c r="K6" s="1">
        <v>3.9860000000000002</v>
      </c>
      <c r="L6" s="1">
        <f t="shared" ref="L6:L11" si="0">K6/D6</f>
        <v>0.99602688722856647</v>
      </c>
      <c r="M6" s="1" t="s">
        <v>46</v>
      </c>
      <c r="Q6" s="1">
        <f t="shared" ref="Q6:Q11" si="1">N$20+N$21*E6+N$22*E6^2+N$23*E6^3</f>
        <v>3.999061613504701</v>
      </c>
      <c r="R6" s="1">
        <f t="shared" ref="R6:R11" si="2">$O$20+$O$21*E6</f>
        <v>4.0271648939547653</v>
      </c>
      <c r="T6" s="1">
        <f t="shared" ref="T6:U11" si="3">100*(Q6-$K6)/$K6</f>
        <v>0.32768724296790785</v>
      </c>
      <c r="U6" s="1">
        <f>100*(R6-$K6)/$K6</f>
        <v>1.0327369281175383</v>
      </c>
    </row>
    <row r="7" spans="1:21" x14ac:dyDescent="0.25">
      <c r="A7" s="2">
        <v>42037</v>
      </c>
      <c r="B7" s="3">
        <v>0.6958333333333333</v>
      </c>
      <c r="C7" s="1">
        <v>3505740128</v>
      </c>
      <c r="D7" s="1">
        <v>2.9994999999999998</v>
      </c>
      <c r="E7" s="1">
        <v>2.7829999999999999</v>
      </c>
      <c r="F7" s="1">
        <v>998.26300000000003</v>
      </c>
      <c r="G7" s="1">
        <v>17.373000000000001</v>
      </c>
      <c r="H7" s="1">
        <v>304.87310000000002</v>
      </c>
      <c r="K7" s="1">
        <v>3.0259999999999998</v>
      </c>
      <c r="L7" s="1">
        <f t="shared" si="0"/>
        <v>1.0088348058009668</v>
      </c>
      <c r="M7" s="1" t="s">
        <v>46</v>
      </c>
      <c r="Q7" s="1">
        <f t="shared" si="1"/>
        <v>2.9884636420337101</v>
      </c>
      <c r="R7" s="1">
        <f t="shared" si="2"/>
        <v>3.0148014070977514</v>
      </c>
      <c r="T7" s="1">
        <f t="shared" si="3"/>
        <v>-1.2404612678879623</v>
      </c>
      <c r="U7" s="1">
        <f>100*(R7-$K7)/$K7</f>
        <v>-0.37007907806505125</v>
      </c>
    </row>
    <row r="8" spans="1:21" x14ac:dyDescent="0.25">
      <c r="A8" s="2">
        <v>42037</v>
      </c>
      <c r="B8" s="3">
        <v>0.6972222222222223</v>
      </c>
      <c r="C8" s="1">
        <v>3505740273</v>
      </c>
      <c r="D8" s="1">
        <v>2.0005999999999999</v>
      </c>
      <c r="E8" s="1">
        <v>1.8374999999999999</v>
      </c>
      <c r="F8" s="1">
        <v>998.26300000000003</v>
      </c>
      <c r="G8" s="1">
        <v>17.293500000000002</v>
      </c>
      <c r="H8" s="1">
        <v>302.87819999999999</v>
      </c>
      <c r="K8" s="1">
        <v>2.0059999999999998</v>
      </c>
      <c r="L8" s="1">
        <f t="shared" si="0"/>
        <v>1.002699190242927</v>
      </c>
      <c r="M8" s="1" t="s">
        <v>46</v>
      </c>
      <c r="Q8" s="1">
        <f t="shared" si="1"/>
        <v>1.9937982090429682</v>
      </c>
      <c r="R8" s="1">
        <f t="shared" si="2"/>
        <v>1.9952129145292532</v>
      </c>
      <c r="T8" s="1">
        <f t="shared" si="3"/>
        <v>-0.60826475359080545</v>
      </c>
      <c r="U8" s="1">
        <f t="shared" si="3"/>
        <v>-0.5377410503861707</v>
      </c>
    </row>
    <row r="9" spans="1:21" x14ac:dyDescent="0.25">
      <c r="A9" s="2">
        <v>42037</v>
      </c>
      <c r="B9" s="3">
        <v>0.69930555555555562</v>
      </c>
      <c r="C9" s="1">
        <v>3505740436</v>
      </c>
      <c r="D9" s="1">
        <v>0.99880000000000002</v>
      </c>
      <c r="E9" s="1">
        <v>0.90129999999999999</v>
      </c>
      <c r="F9" s="1">
        <v>998.26300000000003</v>
      </c>
      <c r="G9" s="1">
        <v>17.2943</v>
      </c>
      <c r="H9" s="1">
        <v>300.29629999999997</v>
      </c>
      <c r="K9" s="1">
        <v>0.99580000000000002</v>
      </c>
      <c r="L9" s="1">
        <f t="shared" si="0"/>
        <v>0.9969963956748098</v>
      </c>
      <c r="M9" s="1" t="s">
        <v>46</v>
      </c>
      <c r="Q9" s="1">
        <f t="shared" si="1"/>
        <v>0.99538126952587402</v>
      </c>
      <c r="R9" s="1">
        <f t="shared" si="2"/>
        <v>0.9856531612319207</v>
      </c>
      <c r="T9" s="1">
        <f t="shared" si="3"/>
        <v>-4.2049655967663635E-2</v>
      </c>
      <c r="U9" s="1">
        <f t="shared" si="3"/>
        <v>-1.0189635236070811</v>
      </c>
    </row>
    <row r="10" spans="1:21" x14ac:dyDescent="0.25">
      <c r="A10" s="2">
        <v>42037</v>
      </c>
      <c r="B10" s="3">
        <v>0.7006944444444444</v>
      </c>
      <c r="C10" s="1">
        <v>3505740596</v>
      </c>
      <c r="D10" s="1">
        <v>0.5</v>
      </c>
      <c r="E10" s="1">
        <v>0.44969999999999999</v>
      </c>
      <c r="F10" s="1">
        <v>998.26300000000003</v>
      </c>
      <c r="G10" s="1">
        <v>17.392499999999998</v>
      </c>
      <c r="H10" s="1">
        <v>298.64940000000001</v>
      </c>
      <c r="K10" s="1">
        <v>0.49740000000000001</v>
      </c>
      <c r="L10" s="1">
        <f t="shared" si="0"/>
        <v>0.99480000000000002</v>
      </c>
      <c r="M10" s="1" t="s">
        <v>46</v>
      </c>
      <c r="Q10" s="1">
        <f t="shared" si="1"/>
        <v>0.49823501187367703</v>
      </c>
      <c r="R10" s="1">
        <f t="shared" si="2"/>
        <v>0.49866620909661269</v>
      </c>
      <c r="T10" s="1">
        <f t="shared" si="3"/>
        <v>0.16787532643285408</v>
      </c>
      <c r="U10" s="1">
        <f t="shared" si="3"/>
        <v>0.25456556023576205</v>
      </c>
    </row>
    <row r="11" spans="1:21" x14ac:dyDescent="0.25">
      <c r="A11" s="2">
        <v>42037</v>
      </c>
      <c r="B11" s="3">
        <v>0.70277777777777783</v>
      </c>
      <c r="C11" s="1">
        <v>3505740779</v>
      </c>
      <c r="D11" s="1">
        <v>0.24851999999999999</v>
      </c>
      <c r="E11" s="1">
        <v>0.22700000000000001</v>
      </c>
      <c r="F11" s="1">
        <v>998.26300000000003</v>
      </c>
      <c r="G11" s="1">
        <v>17.4483</v>
      </c>
      <c r="H11" s="1">
        <v>297.34280000000001</v>
      </c>
      <c r="K11" s="1">
        <v>0.24779999999999999</v>
      </c>
      <c r="L11" s="1">
        <f t="shared" si="0"/>
        <v>0.99710284886528244</v>
      </c>
      <c r="M11" s="1" t="s">
        <v>46</v>
      </c>
      <c r="Q11" s="1">
        <f t="shared" si="1"/>
        <v>0.24757974903638999</v>
      </c>
      <c r="R11" s="1">
        <f t="shared" si="2"/>
        <v>0.25851564611934719</v>
      </c>
      <c r="T11" s="1">
        <f t="shared" si="3"/>
        <v>-8.8882551900727413E-2</v>
      </c>
      <c r="U11" s="1">
        <f t="shared" si="3"/>
        <v>4.3243123968309902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44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-1.2324999999999999E-2</v>
      </c>
      <c r="O20" s="1">
        <f>INTERCEPT(K5:K11,E5:E11)</f>
        <v>1.3728139177994425E-2</v>
      </c>
    </row>
    <row r="21" spans="1:15" x14ac:dyDescent="0.25">
      <c r="A21" s="2"/>
      <c r="B21" s="3"/>
      <c r="M21" s="1" t="s">
        <v>4</v>
      </c>
      <c r="N21" s="1">
        <v>1.1555089999999999</v>
      </c>
      <c r="O21" s="1">
        <f>SLOPE(K5:K11,E5:E11)</f>
        <v>1.0783590614156511</v>
      </c>
    </row>
    <row r="22" spans="1:15" x14ac:dyDescent="0.25">
      <c r="A22" s="2"/>
      <c r="B22" s="3"/>
      <c r="M22" s="1" t="s">
        <v>5</v>
      </c>
      <c r="N22" s="1">
        <v>-4.8157999999999999E-2</v>
      </c>
    </row>
    <row r="23" spans="1:15" x14ac:dyDescent="0.25">
      <c r="A23" s="2"/>
      <c r="B23" s="3"/>
      <c r="M23" s="1" t="s">
        <v>6</v>
      </c>
      <c r="N23" s="1">
        <v>7.3299999999999997E-3</v>
      </c>
    </row>
    <row r="24" spans="1:15" x14ac:dyDescent="0.25">
      <c r="A24" s="2"/>
      <c r="B24" s="3"/>
      <c r="M24" s="1" t="s">
        <v>7</v>
      </c>
      <c r="N24" s="1">
        <f>AVERAGE(G5:G11)</f>
        <v>17.170685714285714</v>
      </c>
    </row>
    <row r="25" spans="1:15" x14ac:dyDescent="0.25">
      <c r="A25" s="2"/>
      <c r="B25" s="3"/>
      <c r="M25" s="1" t="s">
        <v>8</v>
      </c>
      <c r="N25" s="1">
        <f>AVERAGE(F5:F11)</f>
        <v>998.31957142857141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1" workbookViewId="0">
      <selection activeCell="T5" sqref="T5:T13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K1" s="1" t="s">
        <v>54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42536</v>
      </c>
      <c r="B5" s="3"/>
      <c r="D5" s="9">
        <v>1.0002</v>
      </c>
      <c r="E5" s="9">
        <v>0.88270000000000004</v>
      </c>
      <c r="F5" s="1">
        <v>990.19</v>
      </c>
      <c r="G5" s="1">
        <v>21.3</v>
      </c>
      <c r="H5" s="1">
        <v>1</v>
      </c>
      <c r="J5" s="1">
        <f>O5-N5</f>
        <v>0</v>
      </c>
      <c r="K5" s="9">
        <v>1.0009999999999999</v>
      </c>
      <c r="L5" s="1">
        <f>K5/D5</f>
        <v>1.0007998400319935</v>
      </c>
      <c r="M5" s="6" t="s">
        <v>46</v>
      </c>
      <c r="Q5" s="1">
        <f>N$24+N$25*E5+N$26*E5^2+N$27*E5^3</f>
        <v>1.0005719844658645</v>
      </c>
      <c r="R5" s="1">
        <f>$O$24+$O$25*E5</f>
        <v>0.98916230398837035</v>
      </c>
      <c r="T5" s="1">
        <f>100*(Q5-$K5)/$K5</f>
        <v>-4.2758794618921722E-2</v>
      </c>
      <c r="U5" s="1">
        <f>100*(R5-$K5)/$K5</f>
        <v>-1.1825870141488053</v>
      </c>
    </row>
    <row r="6" spans="1:21" x14ac:dyDescent="0.25">
      <c r="A6" s="2">
        <v>42536</v>
      </c>
      <c r="B6" s="3"/>
      <c r="D6" s="9">
        <v>1.4001999999999999</v>
      </c>
      <c r="E6" s="9">
        <v>1.2448999999999999</v>
      </c>
      <c r="F6" s="6">
        <v>990.19</v>
      </c>
      <c r="G6" s="6">
        <v>21.3</v>
      </c>
      <c r="H6" s="6">
        <v>1</v>
      </c>
      <c r="J6" s="1">
        <f t="shared" ref="J6:J12" si="0">O6-N6</f>
        <v>0</v>
      </c>
      <c r="K6" s="9">
        <v>1.403</v>
      </c>
      <c r="L6" s="1">
        <f t="shared" ref="L6:L13" si="1">K6/D6</f>
        <v>1.0019997143265249</v>
      </c>
      <c r="M6" s="6" t="s">
        <v>46</v>
      </c>
      <c r="Q6" s="1">
        <f t="shared" ref="Q6:Q13" si="2">N$24+N$25*E6+N$26*E6^2+N$27*E6^3</f>
        <v>1.4023494624025938</v>
      </c>
      <c r="R6" s="1">
        <f t="shared" ref="R6:R13" si="3">$O$24+$O$25*E6</f>
        <v>1.3846964169852891</v>
      </c>
      <c r="T6" s="1">
        <f t="shared" ref="T6:U13" si="4">100*(Q6-$K6)/$K6</f>
        <v>-4.6367612074567827E-2</v>
      </c>
      <c r="U6" s="1">
        <f>100*(R6-$K6)/$K6</f>
        <v>-1.3046032084612196</v>
      </c>
    </row>
    <row r="7" spans="1:21" s="6" customFormat="1" x14ac:dyDescent="0.25">
      <c r="A7" s="2">
        <v>42536</v>
      </c>
      <c r="B7" s="3"/>
      <c r="D7" s="9">
        <v>2.0003000000000002</v>
      </c>
      <c r="E7" s="9">
        <v>1.7965</v>
      </c>
      <c r="F7" s="6">
        <v>990.19</v>
      </c>
      <c r="G7" s="6">
        <v>21.3</v>
      </c>
      <c r="H7" s="6">
        <v>1</v>
      </c>
      <c r="J7" s="6">
        <f t="shared" ref="J7:J8" si="5">O7-N7</f>
        <v>0</v>
      </c>
      <c r="K7" s="9">
        <v>2.0019999999999998</v>
      </c>
      <c r="L7" s="6">
        <f t="shared" ref="L7:L10" si="6">K7/D7</f>
        <v>1.0008498725191219</v>
      </c>
      <c r="M7" s="6" t="s">
        <v>46</v>
      </c>
      <c r="Q7" s="6">
        <f t="shared" ref="Q7:Q10" si="7">N$24+N$25*E7+N$26*E7^2+N$27*E7^3</f>
        <v>2.0018268740844829</v>
      </c>
      <c r="R7" s="6">
        <f t="shared" ref="R7:R10" si="8">$O$24+$O$25*E7</f>
        <v>1.9870614548900396</v>
      </c>
      <c r="T7" s="6">
        <f t="shared" ref="T7:T10" si="9">100*(Q7-$K7)/$K7</f>
        <v>-8.647648127716321E-3</v>
      </c>
      <c r="U7" s="6">
        <f>100*(R7-$K7)/$K7</f>
        <v>-0.74618107442358539</v>
      </c>
    </row>
    <row r="8" spans="1:21" s="6" customFormat="1" x14ac:dyDescent="0.25">
      <c r="A8" s="2">
        <v>42536</v>
      </c>
      <c r="B8" s="3"/>
      <c r="D8" s="9">
        <v>3.0001000000000002</v>
      </c>
      <c r="E8" s="9">
        <v>2.7240000000000002</v>
      </c>
      <c r="F8" s="6">
        <v>990.19</v>
      </c>
      <c r="G8" s="6">
        <v>21.3</v>
      </c>
      <c r="H8" s="6">
        <v>1</v>
      </c>
      <c r="J8" s="6">
        <f t="shared" si="5"/>
        <v>0</v>
      </c>
      <c r="K8" s="9">
        <v>2.9940000000000002</v>
      </c>
      <c r="L8" s="6">
        <f t="shared" si="6"/>
        <v>0.99796673444218531</v>
      </c>
      <c r="M8" s="6" t="s">
        <v>46</v>
      </c>
      <c r="Q8" s="6">
        <f t="shared" si="7"/>
        <v>2.9936727786316162</v>
      </c>
      <c r="R8" s="6">
        <f t="shared" si="8"/>
        <v>2.9999214488288648</v>
      </c>
      <c r="T8" s="6">
        <f t="shared" si="9"/>
        <v>-1.0929237420976423E-2</v>
      </c>
      <c r="U8" s="6">
        <f t="shared" ref="U8:U10" si="10">100*(R8-$K8)/$K8</f>
        <v>0.19777718199280506</v>
      </c>
    </row>
    <row r="9" spans="1:21" s="6" customFormat="1" x14ac:dyDescent="0.25">
      <c r="A9" s="2">
        <v>42536</v>
      </c>
      <c r="B9" s="3"/>
      <c r="D9" s="9">
        <v>4.0006000000000004</v>
      </c>
      <c r="E9" s="9">
        <v>3.6337000000000002</v>
      </c>
      <c r="F9" s="6">
        <v>990.19</v>
      </c>
      <c r="G9" s="6">
        <v>21.3</v>
      </c>
      <c r="H9" s="6">
        <v>1</v>
      </c>
      <c r="K9" s="9">
        <v>3.9740000000000002</v>
      </c>
      <c r="L9" s="6">
        <f t="shared" si="6"/>
        <v>0.99335099735039745</v>
      </c>
      <c r="M9" s="6" t="s">
        <v>46</v>
      </c>
      <c r="Q9" s="6">
        <f t="shared" si="7"/>
        <v>3.9745813794135558</v>
      </c>
      <c r="R9" s="6">
        <f t="shared" si="8"/>
        <v>3.9933432671427722</v>
      </c>
      <c r="T9" s="6">
        <f t="shared" si="9"/>
        <v>1.4629577593246783E-2</v>
      </c>
      <c r="U9" s="6">
        <f t="shared" si="10"/>
        <v>0.48674552447840996</v>
      </c>
    </row>
    <row r="10" spans="1:21" s="6" customFormat="1" x14ac:dyDescent="0.25">
      <c r="A10" s="2">
        <v>42536</v>
      </c>
      <c r="B10" s="3"/>
      <c r="D10" s="9">
        <v>5.0010000000000003</v>
      </c>
      <c r="E10" s="9">
        <v>4.4980000000000002</v>
      </c>
      <c r="F10" s="6">
        <v>990.19</v>
      </c>
      <c r="G10" s="6">
        <v>21.3</v>
      </c>
      <c r="H10" s="6">
        <v>1</v>
      </c>
      <c r="K10" s="9">
        <v>4.9429999999999996</v>
      </c>
      <c r="L10" s="6">
        <f t="shared" si="6"/>
        <v>0.98840231953609259</v>
      </c>
      <c r="M10" s="6" t="s">
        <v>46</v>
      </c>
      <c r="Q10" s="6">
        <f t="shared" si="7"/>
        <v>4.9427900486303278</v>
      </c>
      <c r="R10" s="6">
        <f t="shared" si="8"/>
        <v>4.9371868172897546</v>
      </c>
      <c r="T10" s="6">
        <f t="shared" si="9"/>
        <v>-4.2474483041034742E-3</v>
      </c>
      <c r="U10" s="6">
        <f t="shared" si="10"/>
        <v>-0.11760434372334619</v>
      </c>
    </row>
    <row r="11" spans="1:21" x14ac:dyDescent="0.25">
      <c r="A11" s="2">
        <v>42536</v>
      </c>
      <c r="B11" s="3"/>
      <c r="D11" s="9">
        <v>1.0003</v>
      </c>
      <c r="E11" s="9">
        <v>0.8831</v>
      </c>
      <c r="F11" s="6">
        <v>990.19</v>
      </c>
      <c r="G11" s="6">
        <v>21.3</v>
      </c>
      <c r="H11" s="6">
        <v>1</v>
      </c>
      <c r="J11" s="1">
        <f t="shared" si="0"/>
        <v>0</v>
      </c>
      <c r="K11" s="9">
        <v>1</v>
      </c>
      <c r="L11" s="1">
        <f t="shared" si="1"/>
        <v>0.99970008997300808</v>
      </c>
      <c r="M11" s="6" t="s">
        <v>46</v>
      </c>
      <c r="Q11" s="1">
        <f t="shared" si="2"/>
        <v>1.0010201712102089</v>
      </c>
      <c r="R11" s="1">
        <f t="shared" si="3"/>
        <v>0.98959911692376168</v>
      </c>
      <c r="T11" s="1">
        <f t="shared" si="4"/>
        <v>0.102017121020892</v>
      </c>
      <c r="U11" s="1">
        <f>100*(R11-$K11)/$K11</f>
        <v>-1.0400883076238321</v>
      </c>
    </row>
    <row r="12" spans="1:21" x14ac:dyDescent="0.25">
      <c r="A12" s="2">
        <v>42536</v>
      </c>
      <c r="B12" s="3"/>
      <c r="D12" s="9">
        <v>0.49990000000000001</v>
      </c>
      <c r="E12" s="9">
        <v>0.43940000000000001</v>
      </c>
      <c r="F12" s="6">
        <v>990.19</v>
      </c>
      <c r="G12" s="6">
        <v>21.3</v>
      </c>
      <c r="H12" s="6">
        <v>1</v>
      </c>
      <c r="J12" s="1">
        <f t="shared" si="0"/>
        <v>0</v>
      </c>
      <c r="K12" s="9">
        <v>0.4955</v>
      </c>
      <c r="L12" s="1">
        <f t="shared" si="1"/>
        <v>0.99119823964792952</v>
      </c>
      <c r="M12" s="6" t="s">
        <v>46</v>
      </c>
      <c r="Q12" s="1">
        <f t="shared" si="2"/>
        <v>0.49667913540509367</v>
      </c>
      <c r="R12" s="1">
        <f t="shared" si="3"/>
        <v>0.50506436834084345</v>
      </c>
      <c r="T12" s="1">
        <f t="shared" si="4"/>
        <v>0.23796880022072223</v>
      </c>
      <c r="U12" s="1">
        <f t="shared" si="4"/>
        <v>1.9302458810985781</v>
      </c>
    </row>
    <row r="13" spans="1:21" x14ac:dyDescent="0.25">
      <c r="A13" s="2">
        <v>42536</v>
      </c>
      <c r="B13" s="3"/>
      <c r="D13" s="9">
        <v>0.2001</v>
      </c>
      <c r="E13" s="9">
        <v>0.18079999999999999</v>
      </c>
      <c r="F13" s="6">
        <v>990.19</v>
      </c>
      <c r="G13" s="6">
        <v>21.3</v>
      </c>
      <c r="H13" s="6">
        <v>1</v>
      </c>
      <c r="K13" s="9">
        <v>0.19620000000000001</v>
      </c>
      <c r="L13" s="1">
        <f t="shared" si="1"/>
        <v>0.98050974512743638</v>
      </c>
      <c r="M13" s="1" t="s">
        <v>46</v>
      </c>
      <c r="Q13" s="1">
        <f t="shared" si="2"/>
        <v>0.19521009841243336</v>
      </c>
      <c r="R13" s="1">
        <f t="shared" si="3"/>
        <v>0.2226648056102988</v>
      </c>
      <c r="T13" s="1">
        <f t="shared" si="4"/>
        <v>-0.50453699672102414</v>
      </c>
      <c r="U13" s="1">
        <f t="shared" si="4"/>
        <v>13.488687874770024</v>
      </c>
    </row>
    <row r="14" spans="1:21" x14ac:dyDescent="0.25">
      <c r="A14" s="2"/>
      <c r="B14" s="3"/>
      <c r="D14" s="9"/>
      <c r="E14" s="9"/>
      <c r="F14" s="6"/>
      <c r="G14" s="6"/>
      <c r="H14" s="6"/>
      <c r="K14" s="9"/>
    </row>
    <row r="15" spans="1:21" x14ac:dyDescent="0.25">
      <c r="A15" s="2"/>
      <c r="B15" s="3"/>
      <c r="D15" s="9"/>
      <c r="E15" s="9"/>
      <c r="F15" s="6"/>
      <c r="G15" s="6"/>
      <c r="H15" s="6"/>
      <c r="K15" s="9"/>
    </row>
    <row r="19" spans="1:15" x14ac:dyDescent="0.25">
      <c r="N19" s="1" t="s">
        <v>40</v>
      </c>
      <c r="O19" s="1" t="s">
        <v>41</v>
      </c>
    </row>
    <row r="21" spans="1:15" x14ac:dyDescent="0.25">
      <c r="M21" s="1" t="s">
        <v>0</v>
      </c>
      <c r="N21" s="1" t="s">
        <v>36</v>
      </c>
    </row>
    <row r="22" spans="1:15" x14ac:dyDescent="0.25">
      <c r="M22" s="1" t="s">
        <v>1</v>
      </c>
      <c r="N22" s="1" t="s">
        <v>44</v>
      </c>
    </row>
    <row r="23" spans="1:15" x14ac:dyDescent="0.25">
      <c r="M23" s="1" t="s">
        <v>2</v>
      </c>
      <c r="N23" s="1" t="s">
        <v>10</v>
      </c>
    </row>
    <row r="24" spans="1:15" x14ac:dyDescent="0.25">
      <c r="M24" s="1" t="s">
        <v>3</v>
      </c>
      <c r="N24" s="1">
        <v>-1.9342000000000002E-2</v>
      </c>
      <c r="O24" s="1">
        <f>INTERCEPT(K5:K15,E5:E15)</f>
        <v>2.5225358813382837E-2</v>
      </c>
    </row>
    <row r="25" spans="1:15" x14ac:dyDescent="0.25">
      <c r="A25" s="2"/>
      <c r="B25" s="3"/>
      <c r="M25" s="1" t="s">
        <v>4</v>
      </c>
      <c r="N25" s="1">
        <v>1.195838</v>
      </c>
      <c r="O25" s="1">
        <f>SLOPE(K5:K15,E5:E15)</f>
        <v>1.0920323384785176</v>
      </c>
    </row>
    <row r="26" spans="1:15" x14ac:dyDescent="0.25">
      <c r="A26" s="2"/>
      <c r="B26" s="3"/>
      <c r="M26" s="1" t="s">
        <v>5</v>
      </c>
      <c r="N26" s="1">
        <v>-5.1900000000000002E-2</v>
      </c>
    </row>
    <row r="27" spans="1:15" x14ac:dyDescent="0.25">
      <c r="A27" s="2"/>
      <c r="B27" s="3"/>
      <c r="M27" s="1" t="s">
        <v>6</v>
      </c>
      <c r="N27" s="1">
        <v>6.9589999999999999E-3</v>
      </c>
    </row>
    <row r="28" spans="1:15" x14ac:dyDescent="0.25">
      <c r="A28" s="2"/>
      <c r="B28" s="3"/>
      <c r="M28" s="1" t="s">
        <v>7</v>
      </c>
      <c r="N28" s="1">
        <f>AVERAGE(G5:G15)</f>
        <v>21.3</v>
      </c>
    </row>
    <row r="29" spans="1:15" x14ac:dyDescent="0.25">
      <c r="A29" s="2"/>
      <c r="B29" s="3"/>
      <c r="M29" s="1" t="s">
        <v>8</v>
      </c>
      <c r="N29" s="1">
        <f>AVERAGE(F5:F15)</f>
        <v>990.19000000000028</v>
      </c>
    </row>
    <row r="30" spans="1:15" x14ac:dyDescent="0.25">
      <c r="A30" s="2"/>
      <c r="B30" s="3"/>
      <c r="M30" s="1" t="s">
        <v>11</v>
      </c>
      <c r="N30" s="2">
        <f>AVERAGE(A5:A15)</f>
        <v>42536</v>
      </c>
    </row>
    <row r="31" spans="1:15" x14ac:dyDescent="0.25">
      <c r="A31" s="2"/>
      <c r="B31" s="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N17" sqref="N17:N26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9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0.46666666666666662</v>
      </c>
      <c r="C5" s="1">
        <v>3505720324</v>
      </c>
      <c r="D5" s="1">
        <v>49.974299999999999</v>
      </c>
      <c r="E5" s="1">
        <v>4.6456999999999997</v>
      </c>
      <c r="F5" s="1">
        <v>999.45500000000004</v>
      </c>
      <c r="G5" s="1">
        <v>17.324100000000001</v>
      </c>
      <c r="H5" s="1">
        <v>355.44900000000001</v>
      </c>
      <c r="I5" s="1">
        <v>296.72000000000003</v>
      </c>
      <c r="J5" s="1">
        <f>O5-N5</f>
        <v>246.84000000000378</v>
      </c>
      <c r="K5" s="1">
        <f>60*J5/I5</f>
        <v>49.913723375573689</v>
      </c>
      <c r="L5" s="1">
        <f>K5/D5</f>
        <v>0.99878784446352809</v>
      </c>
      <c r="N5" s="1">
        <v>64196.2</v>
      </c>
      <c r="O5" s="1">
        <v>64443.040000000001</v>
      </c>
      <c r="Q5" s="1">
        <f>N$20+N$21*E5+N$22*E5^2+N$23*E5^3</f>
        <v>49.903992488262702</v>
      </c>
      <c r="R5" s="1">
        <f>$O$20+$O$21*E5</f>
        <v>49.578024392586258</v>
      </c>
      <c r="T5" s="1">
        <f>100*(Q5-$K5)/$K5</f>
        <v>-1.9495414593231314E-2</v>
      </c>
      <c r="U5" s="1">
        <f>100*(R5-$K5)/$K5</f>
        <v>-0.6725584874954692</v>
      </c>
    </row>
    <row r="6" spans="1:21" x14ac:dyDescent="0.25">
      <c r="A6" s="2">
        <v>42037</v>
      </c>
      <c r="B6" s="3">
        <v>0.47013888888888888</v>
      </c>
      <c r="C6" s="1">
        <v>3505720645</v>
      </c>
      <c r="D6" s="1">
        <v>40.027000000000001</v>
      </c>
      <c r="E6" s="1">
        <v>3.7711999999999999</v>
      </c>
      <c r="F6" s="1">
        <v>999.45399999999995</v>
      </c>
      <c r="G6" s="1">
        <v>17.353899999999999</v>
      </c>
      <c r="H6" s="1">
        <v>338.11700000000002</v>
      </c>
      <c r="I6" s="1">
        <v>296.7</v>
      </c>
      <c r="J6" s="1">
        <f t="shared" ref="J6:J11" si="0">O6-N6</f>
        <v>197.54999999999563</v>
      </c>
      <c r="K6" s="1">
        <f t="shared" ref="K6:K11" si="1">60*J6/I6</f>
        <v>39.949443882708927</v>
      </c>
      <c r="L6" s="1">
        <f t="shared" ref="L6:L11" si="2">K6/D6</f>
        <v>0.99806240494438569</v>
      </c>
      <c r="N6" s="1">
        <v>64459.3</v>
      </c>
      <c r="O6" s="1">
        <v>64656.85</v>
      </c>
      <c r="Q6" s="1">
        <f t="shared" ref="Q6:Q11" si="3">N$20+N$21*E6+N$22*E6^2+N$23*E6^3</f>
        <v>39.979031802550331</v>
      </c>
      <c r="R6" s="1">
        <f t="shared" ref="R6:R11" si="4">$O$20+$O$21*E6</f>
        <v>40.252301128379095</v>
      </c>
      <c r="T6" s="1">
        <f t="shared" ref="T6:U11" si="5">100*(Q6-$K6)/$K6</f>
        <v>7.4063408562767372E-2</v>
      </c>
      <c r="U6" s="1">
        <f>100*(R6-$K6)/$K6</f>
        <v>0.75810128060694226</v>
      </c>
    </row>
    <row r="7" spans="1:21" x14ac:dyDescent="0.25">
      <c r="A7" s="2">
        <v>42037</v>
      </c>
      <c r="B7" s="3">
        <v>0.47361111111111115</v>
      </c>
      <c r="C7" s="1">
        <v>3505720964</v>
      </c>
      <c r="D7" s="1">
        <v>30.014099999999999</v>
      </c>
      <c r="E7" s="1">
        <v>2.8331</v>
      </c>
      <c r="F7" s="1">
        <v>999.45500000000004</v>
      </c>
      <c r="G7" s="1">
        <v>17.365500000000001</v>
      </c>
      <c r="H7" s="1">
        <v>325.75200000000001</v>
      </c>
      <c r="I7" s="1">
        <v>296.7</v>
      </c>
      <c r="J7" s="1">
        <f t="shared" si="0"/>
        <v>148.43000000000029</v>
      </c>
      <c r="K7" s="1">
        <f t="shared" si="1"/>
        <v>30.016177957532921</v>
      </c>
      <c r="L7" s="1">
        <f t="shared" si="2"/>
        <v>1.0000692327117229</v>
      </c>
      <c r="N7" s="1">
        <v>64668.62</v>
      </c>
      <c r="O7" s="1">
        <v>64817.05</v>
      </c>
      <c r="Q7" s="1">
        <f t="shared" si="3"/>
        <v>29.991569338605103</v>
      </c>
      <c r="R7" s="1">
        <f t="shared" si="4"/>
        <v>30.248343444956863</v>
      </c>
      <c r="T7" s="1">
        <f t="shared" si="5"/>
        <v>-8.1984518357515412E-2</v>
      </c>
      <c r="U7" s="1">
        <f>100*(R7-$K7)/$K7</f>
        <v>0.77346785374343996</v>
      </c>
    </row>
    <row r="8" spans="1:21" x14ac:dyDescent="0.25">
      <c r="A8" s="2">
        <v>42037</v>
      </c>
      <c r="B8" s="3">
        <v>0.4777777777777778</v>
      </c>
      <c r="C8" s="1">
        <v>3505721285</v>
      </c>
      <c r="D8" s="1">
        <v>19.999300000000002</v>
      </c>
      <c r="E8" s="1">
        <v>1.8681000000000001</v>
      </c>
      <c r="F8" s="1">
        <v>999.45399999999995</v>
      </c>
      <c r="G8" s="1">
        <v>17.4009</v>
      </c>
      <c r="H8" s="1">
        <v>316.02600000000001</v>
      </c>
      <c r="I8" s="1">
        <v>296.70999999999998</v>
      </c>
      <c r="J8" s="1">
        <f t="shared" si="0"/>
        <v>98.94999999999709</v>
      </c>
      <c r="K8" s="1">
        <f t="shared" si="1"/>
        <v>20.009436823834132</v>
      </c>
      <c r="L8" s="1">
        <f t="shared" si="2"/>
        <v>1.0005068589317692</v>
      </c>
      <c r="N8" s="1">
        <v>64825.55</v>
      </c>
      <c r="O8" s="1">
        <v>64924.5</v>
      </c>
      <c r="Q8" s="1">
        <f t="shared" si="3"/>
        <v>19.998388094532018</v>
      </c>
      <c r="R8" s="1">
        <f t="shared" si="4"/>
        <v>19.957522461583604</v>
      </c>
      <c r="T8" s="1">
        <f t="shared" si="5"/>
        <v>-5.5217592575887944E-2</v>
      </c>
      <c r="U8" s="1">
        <f t="shared" si="5"/>
        <v>-0.25944939234217101</v>
      </c>
    </row>
    <row r="9" spans="1:21" x14ac:dyDescent="0.25">
      <c r="A9" s="2">
        <v>42037</v>
      </c>
      <c r="B9" s="3">
        <v>0.48125000000000001</v>
      </c>
      <c r="C9" s="1">
        <v>3505721607</v>
      </c>
      <c r="D9" s="1">
        <v>10.013400000000001</v>
      </c>
      <c r="E9" s="1">
        <v>0.92059999999999997</v>
      </c>
      <c r="F9" s="1">
        <v>999.45399999999995</v>
      </c>
      <c r="G9" s="1">
        <v>17.464600000000001</v>
      </c>
      <c r="H9" s="1">
        <v>308.46820000000002</v>
      </c>
      <c r="I9" s="1">
        <v>296.7</v>
      </c>
      <c r="J9" s="1">
        <f t="shared" si="0"/>
        <v>49.399999999994179</v>
      </c>
      <c r="K9" s="1">
        <f t="shared" si="1"/>
        <v>9.9898887765407842</v>
      </c>
      <c r="L9" s="1">
        <f t="shared" si="2"/>
        <v>0.99765202394199604</v>
      </c>
      <c r="N9" s="1">
        <v>64929.3</v>
      </c>
      <c r="O9" s="1">
        <v>64978.7</v>
      </c>
      <c r="Q9" s="1">
        <f t="shared" si="3"/>
        <v>10.026506713172802</v>
      </c>
      <c r="R9" s="1">
        <f t="shared" si="4"/>
        <v>9.8533225841264418</v>
      </c>
      <c r="T9" s="1">
        <f t="shared" si="5"/>
        <v>0.36654999320920967</v>
      </c>
      <c r="U9" s="1">
        <f t="shared" si="5"/>
        <v>-1.3670441730546616</v>
      </c>
    </row>
    <row r="10" spans="1:21" x14ac:dyDescent="0.25">
      <c r="A10" s="2">
        <v>42037</v>
      </c>
      <c r="B10" s="3">
        <v>0.48472222222222222</v>
      </c>
      <c r="C10" s="1">
        <v>3505721938</v>
      </c>
      <c r="D10" s="1">
        <v>5.0179999999999998</v>
      </c>
      <c r="E10" s="1">
        <v>0.46400000000000002</v>
      </c>
      <c r="F10" s="1">
        <v>999.45500000000004</v>
      </c>
      <c r="G10" s="1">
        <v>17.533100000000001</v>
      </c>
      <c r="H10" s="1">
        <v>304.56020000000001</v>
      </c>
      <c r="I10" s="1">
        <v>296.7</v>
      </c>
      <c r="J10" s="1">
        <f t="shared" si="0"/>
        <v>25</v>
      </c>
      <c r="K10" s="1">
        <f t="shared" si="1"/>
        <v>5.0556117290192111</v>
      </c>
      <c r="L10" s="1">
        <f t="shared" si="2"/>
        <v>1.0074953624988463</v>
      </c>
      <c r="N10" s="1">
        <v>64981.9</v>
      </c>
      <c r="O10" s="1">
        <v>65006.9</v>
      </c>
      <c r="Q10" s="1">
        <f t="shared" si="3"/>
        <v>5.0360248910981129</v>
      </c>
      <c r="R10" s="1">
        <f t="shared" si="4"/>
        <v>4.9841113291956338</v>
      </c>
      <c r="T10" s="1">
        <f t="shared" si="5"/>
        <v>-0.38742765407932173</v>
      </c>
      <c r="U10" s="1">
        <f t="shared" si="5"/>
        <v>-1.4142779085103581</v>
      </c>
    </row>
    <row r="11" spans="1:21" x14ac:dyDescent="0.25">
      <c r="A11" s="2">
        <v>42037</v>
      </c>
      <c r="B11" s="3">
        <v>0.48888888888888887</v>
      </c>
      <c r="C11" s="1">
        <v>3505722270</v>
      </c>
      <c r="D11" s="1">
        <v>2.6882999999999999</v>
      </c>
      <c r="E11" s="1">
        <v>0.25641999999999998</v>
      </c>
      <c r="F11" s="1">
        <v>999.45500000000004</v>
      </c>
      <c r="G11" s="1">
        <v>17.600899999999999</v>
      </c>
      <c r="H11" s="1">
        <v>301.60309999999998</v>
      </c>
      <c r="I11" s="1">
        <v>296.7</v>
      </c>
      <c r="J11" s="1">
        <f t="shared" si="0"/>
        <v>13.399999999994179</v>
      </c>
      <c r="K11" s="1">
        <f t="shared" si="1"/>
        <v>2.7098078867531203</v>
      </c>
      <c r="L11" s="1">
        <f t="shared" si="2"/>
        <v>1.0080005530458358</v>
      </c>
      <c r="N11" s="1">
        <v>65008.62</v>
      </c>
      <c r="O11" s="1">
        <v>65022.02</v>
      </c>
      <c r="Q11" s="1">
        <f t="shared" si="3"/>
        <v>2.7086625645065205</v>
      </c>
      <c r="R11" s="1">
        <f t="shared" si="4"/>
        <v>2.7704650911348865</v>
      </c>
      <c r="T11" s="1">
        <f t="shared" si="5"/>
        <v>-4.2265809771928897E-2</v>
      </c>
      <c r="U11" s="1">
        <f t="shared" si="5"/>
        <v>2.2384319079698791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9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-0.226108</v>
      </c>
      <c r="O20" s="1">
        <f>INTERCEPT(K5:K11,E5:E11)</f>
        <v>3.5986006620305488E-2</v>
      </c>
    </row>
    <row r="21" spans="1:15" x14ac:dyDescent="0.25">
      <c r="A21" s="2"/>
      <c r="B21" s="3"/>
      <c r="M21" s="1" t="s">
        <v>4</v>
      </c>
      <c r="N21" s="1">
        <v>11.584155000000001</v>
      </c>
      <c r="O21" s="1">
        <f>SLOPE(K5:K11,E5:E11)</f>
        <v>10.664063195205449</v>
      </c>
    </row>
    <row r="22" spans="1:15" x14ac:dyDescent="0.25">
      <c r="A22" s="2"/>
      <c r="B22" s="3"/>
      <c r="M22" s="1" t="s">
        <v>5</v>
      </c>
      <c r="N22" s="1">
        <v>-0.56370600000000004</v>
      </c>
    </row>
    <row r="23" spans="1:15" x14ac:dyDescent="0.25">
      <c r="A23" s="2"/>
      <c r="B23" s="3"/>
      <c r="M23" s="1" t="s">
        <v>6</v>
      </c>
      <c r="N23" s="1">
        <v>8.4572999999999995E-2</v>
      </c>
    </row>
    <row r="24" spans="1:15" x14ac:dyDescent="0.25">
      <c r="A24" s="2"/>
      <c r="B24" s="3"/>
      <c r="M24" s="1" t="s">
        <v>7</v>
      </c>
      <c r="N24" s="1">
        <f>AVERAGE(G5:G11)</f>
        <v>17.434714285714286</v>
      </c>
    </row>
    <row r="25" spans="1:15" x14ac:dyDescent="0.25">
      <c r="A25" s="2"/>
      <c r="B25" s="3"/>
      <c r="M25" s="1" t="s">
        <v>8</v>
      </c>
      <c r="N25" s="1">
        <f>AVERAGE(F5:F11)</f>
        <v>999.4545714285714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Carrier1-500-CO2</vt:lpstr>
      <vt:lpstr>Carrier1-500-Air</vt:lpstr>
      <vt:lpstr>Trace 300</vt:lpstr>
      <vt:lpstr>Trace 50</vt:lpstr>
      <vt:lpstr>Carrier1-50-Air</vt:lpstr>
      <vt:lpstr>Carrier1-50-CO2</vt:lpstr>
      <vt:lpstr>Carrier1-5-Air Check Not used</vt:lpstr>
      <vt:lpstr>Carrier1-5-Air</vt:lpstr>
      <vt:lpstr>Carrier2-50-Air</vt:lpstr>
    </vt:vector>
  </TitlesOfParts>
  <Company>University of Surrey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Undergraduate</cp:lastModifiedBy>
  <dcterms:created xsi:type="dcterms:W3CDTF">2014-12-22T09:54:54Z</dcterms:created>
  <dcterms:modified xsi:type="dcterms:W3CDTF">2016-06-15T15:23:35Z</dcterms:modified>
</cp:coreProperties>
</file>