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filterPrivacy="1"/>
  <xr:revisionPtr revIDLastSave="0" documentId="13_ncr:1_{22EBF980-02DA-284C-82A8-A6F568099D73}" xr6:coauthVersionLast="45" xr6:coauthVersionMax="45" xr10:uidLastSave="{00000000-0000-0000-0000-000000000000}"/>
  <bookViews>
    <workbookView xWindow="32800" yWindow="5600" windowWidth="28800" windowHeight="16520" xr2:uid="{00000000-000D-0000-FFFF-FFFF00000000}"/>
  </bookViews>
  <sheets>
    <sheet name="cable ff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5" i="1" l="1"/>
  <c r="C324" i="1"/>
  <c r="C323" i="1"/>
  <c r="C311" i="1"/>
  <c r="C310" i="1"/>
  <c r="C309" i="1"/>
  <c r="C297" i="1"/>
  <c r="C296" i="1"/>
  <c r="C295" i="1"/>
  <c r="C283" i="1"/>
  <c r="C282" i="1"/>
  <c r="C281" i="1"/>
  <c r="C269" i="1"/>
  <c r="C268" i="1"/>
  <c r="C267" i="1"/>
  <c r="C255" i="1"/>
  <c r="C254" i="1"/>
  <c r="C253" i="1"/>
  <c r="C241" i="1"/>
  <c r="C240" i="1"/>
  <c r="C239" i="1"/>
  <c r="C227" i="1"/>
  <c r="C226" i="1"/>
  <c r="C225" i="1"/>
  <c r="C213" i="1"/>
  <c r="C212" i="1"/>
  <c r="C211" i="1"/>
  <c r="C199" i="1"/>
  <c r="C198" i="1"/>
  <c r="C197" i="1"/>
  <c r="C183" i="1"/>
  <c r="C76" i="1" s="1"/>
  <c r="C80" i="1" s="1"/>
  <c r="C173" i="1"/>
  <c r="C163" i="1"/>
  <c r="C75" i="1"/>
  <c r="C70" i="1"/>
  <c r="C65" i="1"/>
  <c r="C57" i="1"/>
  <c r="C60" i="1" s="1"/>
  <c r="C51" i="1"/>
  <c r="C43" i="1"/>
  <c r="C46" i="1" s="1"/>
  <c r="C37" i="1"/>
  <c r="C31" i="1"/>
  <c r="C25" i="1"/>
  <c r="C29" i="1" s="1"/>
  <c r="C22" i="1"/>
  <c r="C156" i="1" s="1"/>
  <c r="C162" i="1" s="1"/>
  <c r="C16" i="1"/>
  <c r="C20" i="1" s="1"/>
  <c r="C243" i="1" l="1"/>
  <c r="C299" i="1"/>
  <c r="C40" i="1"/>
  <c r="C147" i="1"/>
  <c r="C153" i="1" s="1"/>
  <c r="C215" i="1"/>
  <c r="C271" i="1"/>
  <c r="C327" i="1"/>
  <c r="C229" i="1"/>
  <c r="C285" i="1"/>
  <c r="C201" i="1"/>
  <c r="C257" i="1"/>
  <c r="C313" i="1"/>
  <c r="C185" i="1"/>
  <c r="C184" i="1"/>
  <c r="C10" i="1"/>
  <c r="C328" i="1" s="1"/>
  <c r="C30" i="1"/>
  <c r="C329" i="1"/>
  <c r="C332" i="1" s="1"/>
  <c r="C187" i="1" l="1"/>
  <c r="C330" i="1" s="1"/>
  <c r="C333" i="1" s="1"/>
  <c r="C81" i="1" l="1"/>
</calcChain>
</file>

<file path=xl/sharedStrings.xml><?xml version="1.0" encoding="utf-8"?>
<sst xmlns="http://schemas.openxmlformats.org/spreadsheetml/2006/main" count="464" uniqueCount="215">
  <si>
    <t>Project Name</t>
  </si>
  <si>
    <t>test cleansheetCost</t>
  </si>
  <si>
    <t>Stage</t>
  </si>
  <si>
    <t>Product Type</t>
  </si>
  <si>
    <t>DT</t>
  </si>
  <si>
    <t>Part Name</t>
  </si>
  <si>
    <t>cable ffc</t>
  </si>
  <si>
    <t>Part Number</t>
  </si>
  <si>
    <t>Currency</t>
  </si>
  <si>
    <t>USD</t>
  </si>
  <si>
    <t>SKU</t>
  </si>
  <si>
    <t>SKU1</t>
  </si>
  <si>
    <t>Part Category I</t>
  </si>
  <si>
    <t>Cable</t>
  </si>
  <si>
    <t>Part Category II</t>
  </si>
  <si>
    <t>FFC</t>
  </si>
  <si>
    <t>A.材料費</t>
  </si>
  <si>
    <t xml:space="preserve">銅線 </t>
  </si>
  <si>
    <t>Material</t>
  </si>
  <si>
    <t>銅線0.05*0.5T</t>
  </si>
  <si>
    <t>銅線Pin</t>
  </si>
  <si>
    <t>銅線Pitch</t>
  </si>
  <si>
    <t>銅線/皮膜L(mm)</t>
  </si>
  <si>
    <t>銅線長度邊料尺寸(mm)</t>
  </si>
  <si>
    <t>邊料(mm)</t>
  </si>
  <si>
    <t>Material Price (USD/M)</t>
  </si>
  <si>
    <t>Loss Rate(%)</t>
  </si>
  <si>
    <t>公式</t>
  </si>
  <si>
    <t>(L+邊料)*銅線Pin*(Material Price/1000)*(1+Loss Rate)</t>
  </si>
  <si>
    <t>Price</t>
  </si>
  <si>
    <t xml:space="preserve">皮膜 </t>
  </si>
  <si>
    <t>皮膜RoHS 2.0</t>
  </si>
  <si>
    <t>W (mm)</t>
  </si>
  <si>
    <t>分條數</t>
  </si>
  <si>
    <t>皮膜長度邊料尺寸(mm)</t>
  </si>
  <si>
    <t>0.1049</t>
  </si>
  <si>
    <t>(Material Price/1000)*(L+邊料)/分條數*(1+Loss Rate)*2</t>
  </si>
  <si>
    <t>B.二次加工費</t>
  </si>
  <si>
    <t xml:space="preserve">貼合分條及導通裁切 </t>
  </si>
  <si>
    <t>秒數</t>
  </si>
  <si>
    <t>拉絲及壓延秒數(sec)</t>
  </si>
  <si>
    <t>貼合分條速率(mm/sec)</t>
  </si>
  <si>
    <t>導通測試秒數(sec)</t>
  </si>
  <si>
    <t>裁切及量測秒數(sec)</t>
  </si>
  <si>
    <t>組裝費率(USD/min)</t>
  </si>
  <si>
    <t>U/P(USD/sec)</t>
  </si>
  <si>
    <t>數量 * U/P * (1 + Loss Rate)</t>
  </si>
  <si>
    <t xml:space="preserve">停止線 </t>
  </si>
  <si>
    <t>數量(條)</t>
  </si>
  <si>
    <t>2</t>
  </si>
  <si>
    <t>畫線費率(USD/min)</t>
  </si>
  <si>
    <t>U/P(USD)</t>
  </si>
  <si>
    <t xml:space="preserve">印刷 </t>
  </si>
  <si>
    <t>數量(面)</t>
  </si>
  <si>
    <t>1</t>
  </si>
  <si>
    <t xml:space="preserve">金手指掛鍍 </t>
  </si>
  <si>
    <t>數量(um)</t>
  </si>
  <si>
    <t>鍍金基本費(USD)</t>
  </si>
  <si>
    <t>0.0115</t>
  </si>
  <si>
    <t>每Pin基本鍍金費率(USD/um)</t>
  </si>
  <si>
    <t>0.0010</t>
  </si>
  <si>
    <t>鍍金長度係數(mm)</t>
  </si>
  <si>
    <t>鍍金費(USD)</t>
  </si>
  <si>
    <t>加工費用</t>
  </si>
  <si>
    <t>加工費用 * (1 + Loss Rate)</t>
  </si>
  <si>
    <t xml:space="preserve">沖型 </t>
  </si>
  <si>
    <t>數量(次)</t>
  </si>
  <si>
    <t xml:space="preserve">折彎 </t>
  </si>
  <si>
    <t xml:space="preserve">噴碼 </t>
  </si>
  <si>
    <t xml:space="preserve">組裝 </t>
  </si>
  <si>
    <t>數量(秒)</t>
  </si>
  <si>
    <t>C.零件費</t>
  </si>
  <si>
    <t xml:space="preserve">system parameter </t>
  </si>
  <si>
    <t>長度下料增加尺寸</t>
  </si>
  <si>
    <t>寬度下料增加尺寸</t>
  </si>
  <si>
    <t>M1沖模有效長度</t>
  </si>
  <si>
    <t>M1沖模有效寬度</t>
  </si>
  <si>
    <t>M1沖工費(材料面積&lt;=25)</t>
  </si>
  <si>
    <t>M2沖模有效長度(mm)</t>
  </si>
  <si>
    <t>M2沖模有效寬度(mm)</t>
  </si>
  <si>
    <t>M2沖工費(材料面積&lt;=2500)</t>
  </si>
  <si>
    <t>M3沖工費(材料面積&lt;=5000)</t>
  </si>
  <si>
    <t>M3沖模有效長度(mm)</t>
  </si>
  <si>
    <t>M3沖模有效寬度(mm)</t>
  </si>
  <si>
    <t>沖切利潤(%)</t>
  </si>
  <si>
    <t>人工貼合秒數(sec)</t>
  </si>
  <si>
    <t>人工貼合利潤(%)</t>
  </si>
  <si>
    <t>平貼組裝秒數(0 &lt; 長度 &lt;= 平貼長度係數1)</t>
  </si>
  <si>
    <t>平貼組裝秒數(平貼長度係數1 &lt; 長度 &lt;= 平貼長度係數2)</t>
  </si>
  <si>
    <t>平貼組裝秒數(平貼長度係數2 &lt; 長度 &lt;= 平貼長度係數3)</t>
  </si>
  <si>
    <t>平貼組裝秒數(平貼長度係數3 &lt; 長度 &lt;= 平貼長度係數4)</t>
  </si>
  <si>
    <t>平貼組裝秒數(平貼長度係數4 &lt; 長度 &lt;= 平貼長度係數5)</t>
  </si>
  <si>
    <t>平貼組裝秒數(平貼長度係數5 &lt; 長度 &lt;= 平貼長度係數6)</t>
  </si>
  <si>
    <t>平貼組裝秒數(平貼長度係數6 &lt; 長度 &lt;= 平貼長度係數7)</t>
  </si>
  <si>
    <t>平貼組裝秒數(平貼長度係數7 &lt; 長度 &lt;= 平貼長度係數8)</t>
  </si>
  <si>
    <t>平貼組裝秒數(平貼長度係數8 &lt; 長度 &lt;= 平貼長度係數9)</t>
  </si>
  <si>
    <t>平貼組裝秒數(平貼長度係數9 &lt; 長度 &lt;= 平貼長度係數10)</t>
  </si>
  <si>
    <t>平貼組裝秒數(長度 &gt; 平貼長度係數10)</t>
  </si>
  <si>
    <t>環包組裝秒數(寬度 &lt;= 15)</t>
  </si>
  <si>
    <t>環包組裝秒數(0 &lt; 長度 &lt;= 環包長度係數1)</t>
  </si>
  <si>
    <t>環包組裝秒數(環包長度係數1 &lt; 長度 &lt;= 環包長度係數2)</t>
  </si>
  <si>
    <t>環包組裝秒數(環包長度係數2 &lt; 長度 &lt;= 環包長度係數3)</t>
  </si>
  <si>
    <t>環包組裝秒數(環包長度係數3 &lt; 長度 &lt;= 環包長度係數4)</t>
  </si>
  <si>
    <t>環包組裝秒數(環包長度係數4 &lt; 長度 &lt;= 環包長度係數5)</t>
  </si>
  <si>
    <t>環包組裝秒數(環包長度係數5 &lt; 長度 &lt;= 環包長度係數6)</t>
  </si>
  <si>
    <t>環包組裝秒數(環包長度係數6 &lt; 長度 &lt;= 環包長度係數7)</t>
  </si>
  <si>
    <t>環包組裝秒數(環包長度係數7 &lt; 長度 &lt;= 環包長度係數8)</t>
  </si>
  <si>
    <t>環包組裝秒數(環包長度係數8 &lt; 長度 &lt;= 環包長度係數9)</t>
  </si>
  <si>
    <t>環包組裝秒數(環包長度係數9 &lt; 長度 &lt;= 環包長度係數10)</t>
  </si>
  <si>
    <t>環包組裝秒數(長度 &gt; 環包長度係數10)</t>
  </si>
  <si>
    <t>纏繞組裝秒數(0 &lt; 長度 &lt;= 100)</t>
  </si>
  <si>
    <t>纏繞組裝秒數(長度&gt;100時，長度超過100的部分，每100的區間增加的秒數)</t>
  </si>
  <si>
    <t>平貼長度係數1</t>
  </si>
  <si>
    <t>平貼長度係數2</t>
  </si>
  <si>
    <t>平貼長度係數3</t>
  </si>
  <si>
    <t>平貼長度係數4</t>
  </si>
  <si>
    <t>平貼長度係數5</t>
  </si>
  <si>
    <t>平貼長度係數6</t>
  </si>
  <si>
    <t>平貼長度係數7</t>
  </si>
  <si>
    <t>平貼長度係數8</t>
  </si>
  <si>
    <t>平貼長度係數9</t>
  </si>
  <si>
    <t>平貼長度係數10</t>
  </si>
  <si>
    <t>環包寬度係數</t>
  </si>
  <si>
    <t>環包長度係數1</t>
  </si>
  <si>
    <t>環包長度係數2</t>
  </si>
  <si>
    <t>環包長度係數3</t>
  </si>
  <si>
    <t>環包長度係數4</t>
  </si>
  <si>
    <t>環包長度係數5</t>
  </si>
  <si>
    <t>環包長度係數6</t>
  </si>
  <si>
    <t>環包長度係數7</t>
  </si>
  <si>
    <t>環包長度係數8</t>
  </si>
  <si>
    <t>環包長度係數9</t>
  </si>
  <si>
    <t>環包長度係數10</t>
  </si>
  <si>
    <t>纏繞長度區間係數</t>
  </si>
  <si>
    <t>纏繞長度係數</t>
  </si>
  <si>
    <t xml:space="preserve">補強板 - 1 </t>
  </si>
  <si>
    <t>L (mm)</t>
  </si>
  <si>
    <t>補強板寬度寬放(mm)</t>
  </si>
  <si>
    <t>數量</t>
  </si>
  <si>
    <t>U/P (USD)</t>
  </si>
  <si>
    <t>8.1136</t>
  </si>
  <si>
    <t>L*W*數量*(U/P/1000000)*(1+LossRate)</t>
  </si>
  <si>
    <t xml:space="preserve">補強板 - 2 </t>
  </si>
  <si>
    <t xml:space="preserve">Connector </t>
  </si>
  <si>
    <t>Assy Time (Sec)</t>
  </si>
  <si>
    <t>組裝方式</t>
  </si>
  <si>
    <t>壓接/刺破式</t>
  </si>
  <si>
    <t>Pin</t>
  </si>
  <si>
    <t>Connector組裝秒數</t>
  </si>
  <si>
    <t>0.0380</t>
  </si>
  <si>
    <t>數量 * U/P * (1 + Loss Rate(%))</t>
  </si>
  <si>
    <t>輔料 1</t>
  </si>
  <si>
    <t>規格</t>
  </si>
  <si>
    <t>標籤</t>
  </si>
  <si>
    <t>主料/次料</t>
  </si>
  <si>
    <t>主料</t>
  </si>
  <si>
    <t>平貼</t>
  </si>
  <si>
    <t>Material cost(USD)</t>
  </si>
  <si>
    <t>3.0000</t>
  </si>
  <si>
    <t>LOSS(%)</t>
  </si>
  <si>
    <t>Assy time (sec)</t>
  </si>
  <si>
    <t>是否計算沖切費(1為是0為否)</t>
  </si>
  <si>
    <t>是否計算貼合費(1為是0為否)</t>
  </si>
  <si>
    <t>IFERROR( IF( 數量 = 0, 0, ( Material cost / 1000000 * ( ( L(mm) + 長度下料增加尺寸 ) * ( W(mm) + 寬度下料增加尺寸 ) * ( 1 + LOSS(%) ) * 數量 ) + IF( AND( MAX( L(mm):W(mm) ) + 長度下料增加尺寸 &lt; M1沖模有效長度, MIN( L(mm):W(mm) ) + 寬度下料增加尺寸 &lt; M1沖模有效寬度 ), M1沖工費(材料面積&lt;=25), IF( AND( MAX( L(mm):W(mm) ) + 長度下料增加尺寸 &lt; M2沖模有效長度(mm), MIN( L(mm):W(mm) ) + 寬度下料增加尺寸 &lt; M2沖模有效寬度(mm) ), M2沖工費(材料面積&lt;=2500), M3沖工費(材料面積&lt;=5000) ) ) / IF( AND( MAX( L(mm):W(mm) ) + 長度下料增加尺寸 &lt; M1沖模有效長度, MIN( L(mm):W(mm) ) + 寬度下料增加尺寸 &lt; M1沖模有效寬度 ), MAX( INT( M1沖模有效長度 / ( L(mm) + 長度下料增加尺寸 ) ) * INT( M1沖模有效寬度 / ( W(mm) + 寬度下料增加尺寸 ) ), INT( M1沖模有效長度 / ( W(mm) + 寬度下料增加尺寸 ) ) * INT( M1沖模有效寬度 / ( L(mm) + 長度下料增加尺寸 ) ) ), IF( AND( MAX( L(mm):W(mm) ) &lt; M2沖模有效長度(mm), MIN( L(mm):W(mm) ) &lt; M2沖模有效寬度(mm) ), MAX( INT( M2沖模有效長度(mm) / ( L(mm) + 長度下料增加尺寸 ) ) * INT( M2沖模有效寬度(mm) / ( W(mm) + 寬度下料增加尺寸 ) ), INT( M2沖模有效長度(mm) / ( W(mm) + 寬度下料增加尺寸 ) ) * INT( M2沖模有效寬度(mm) / ( L(mm) + 長度下料增加尺寸 ) ) ), MAX( INT( M3沖模有效長度(mm) / ( L(mm) + 長度下料增加尺寸 ) ) * INT( M3沖模有效寬度(mm) / ( W(mm) + 寬度下料增加尺寸 ) ), INT( M3沖模有效長度(mm) / ( W(mm) + 寬度下料增加尺寸 ) ) * INT( M3沖模有效寬度(mm) / ( L(mm) + 長度下料增加尺寸 ) ) ) ) ) * ( 1 + 沖切利潤(%) ) * 是否計算沖切費 + 是否計算貼合費 * 人工貼合秒數(sec) * 組裝費率(USD/min) / 60 * ( 1 + 人工貼合利潤(%) ) ) ), 0 )</t>
  </si>
  <si>
    <t>輔料 2</t>
  </si>
  <si>
    <t>G9000</t>
  </si>
  <si>
    <t>4.4194</t>
  </si>
  <si>
    <t>輔料 3</t>
  </si>
  <si>
    <t>醋酸布0.12T</t>
  </si>
  <si>
    <t>2.7890</t>
  </si>
  <si>
    <t>輔料 4</t>
  </si>
  <si>
    <t>3.8878</t>
  </si>
  <si>
    <t>輔料 5</t>
  </si>
  <si>
    <t>2.5355</t>
  </si>
  <si>
    <t>輔料 6</t>
  </si>
  <si>
    <t>2.2819</t>
  </si>
  <si>
    <t>輔料 7</t>
  </si>
  <si>
    <t>2.0918</t>
  </si>
  <si>
    <t>輔料 8</t>
  </si>
  <si>
    <t>2.2249</t>
  </si>
  <si>
    <t>輔料 9</t>
  </si>
  <si>
    <t>離型紙</t>
  </si>
  <si>
    <t>0.4437</t>
  </si>
  <si>
    <t>輔料 10</t>
  </si>
  <si>
    <t>3.2961</t>
  </si>
  <si>
    <t>輔料 11</t>
  </si>
  <si>
    <t>管銷利潤比重</t>
  </si>
  <si>
    <t>D.管銷&amp;利潤</t>
  </si>
  <si>
    <t>E. 成品總價</t>
  </si>
  <si>
    <t>測試項目</t>
    <phoneticPr fontId="6" type="noConversion"/>
  </si>
  <si>
    <t>完整填寫partlist內容</t>
    <phoneticPr fontId="6" type="noConversion"/>
  </si>
  <si>
    <t>pitch</t>
    <phoneticPr fontId="6" type="noConversion"/>
  </si>
  <si>
    <t>row</t>
    <phoneticPr fontId="6" type="noConversion"/>
  </si>
  <si>
    <t>spec</t>
    <phoneticPr fontId="6" type="noConversion"/>
  </si>
  <si>
    <t>補強板HF</t>
    <phoneticPr fontId="6" type="noConversion"/>
  </si>
  <si>
    <t>part</t>
    <phoneticPr fontId="6" type="noConversion"/>
  </si>
  <si>
    <t>雙面膠</t>
    <phoneticPr fontId="6" type="noConversion"/>
  </si>
  <si>
    <t>醋酸布</t>
    <phoneticPr fontId="6" type="noConversion"/>
  </si>
  <si>
    <r>
      <rPr>
        <sz val="12"/>
        <color rgb="FF000000"/>
        <rFont val="PMingLiU"/>
        <family val="1"/>
        <charset val="136"/>
      </rPr>
      <t>鋁箔麥拉複合</t>
    </r>
    <r>
      <rPr>
        <sz val="12"/>
        <color rgb="FF000000"/>
        <rFont val="Arial"/>
        <family val="2"/>
      </rPr>
      <t>0.24T</t>
    </r>
    <phoneticPr fontId="6" type="noConversion"/>
  </si>
  <si>
    <t>鋁箔麥拉複合</t>
    <phoneticPr fontId="6" type="noConversion"/>
  </si>
  <si>
    <r>
      <rPr>
        <sz val="12"/>
        <color rgb="FF000000"/>
        <rFont val="PMingLiU"/>
        <family val="1"/>
        <charset val="136"/>
      </rPr>
      <t>導電布膠帶</t>
    </r>
    <r>
      <rPr>
        <sz val="12"/>
        <color rgb="FF000000"/>
        <rFont val="Arial"/>
        <family val="2"/>
      </rPr>
      <t>0.12T</t>
    </r>
    <phoneticPr fontId="6" type="noConversion"/>
  </si>
  <si>
    <t>導電布</t>
    <phoneticPr fontId="6" type="noConversion"/>
  </si>
  <si>
    <r>
      <rPr>
        <sz val="12"/>
        <color rgb="FF000000"/>
        <rFont val="PMingLiU"/>
        <family val="1"/>
        <charset val="136"/>
      </rPr>
      <t>雙導鋁箔</t>
    </r>
    <r>
      <rPr>
        <sz val="12"/>
        <color rgb="FF000000"/>
        <rFont val="Arial"/>
        <family val="2"/>
      </rPr>
      <t>0.1T</t>
    </r>
    <phoneticPr fontId="6" type="noConversion"/>
  </si>
  <si>
    <t>雙導鋁箔</t>
    <phoneticPr fontId="6" type="noConversion"/>
  </si>
  <si>
    <r>
      <rPr>
        <sz val="12"/>
        <color rgb="FF000000"/>
        <rFont val="PMingLiU"/>
        <family val="1"/>
        <charset val="136"/>
      </rPr>
      <t>單導鋁箔</t>
    </r>
    <r>
      <rPr>
        <sz val="12"/>
        <color rgb="FF000000"/>
        <rFont val="Arial"/>
        <family val="2"/>
      </rPr>
      <t>0.09T</t>
    </r>
    <phoneticPr fontId="6" type="noConversion"/>
  </si>
  <si>
    <t>單導鋁箔</t>
    <phoneticPr fontId="6" type="noConversion"/>
  </si>
  <si>
    <r>
      <rPr>
        <sz val="12"/>
        <color rgb="FF000000"/>
        <rFont val="PMingLiU"/>
        <family val="1"/>
        <charset val="136"/>
      </rPr>
      <t>麥拉含膠</t>
    </r>
    <r>
      <rPr>
        <sz val="12"/>
        <color rgb="FF000000"/>
        <rFont val="Arial"/>
        <family val="2"/>
      </rPr>
      <t>0.05T</t>
    </r>
    <phoneticPr fontId="6" type="noConversion"/>
  </si>
  <si>
    <t>麥拉</t>
    <phoneticPr fontId="6" type="noConversion"/>
  </si>
  <si>
    <r>
      <rPr>
        <sz val="12"/>
        <color rgb="FF000000"/>
        <rFont val="PMingLiU"/>
        <family val="1"/>
        <charset val="136"/>
      </rPr>
      <t>黑色吸波材</t>
    </r>
    <r>
      <rPr>
        <sz val="12"/>
        <color rgb="FF000000"/>
        <rFont val="Arial"/>
        <family val="2"/>
      </rPr>
      <t>0.205T</t>
    </r>
    <phoneticPr fontId="6" type="noConversion"/>
  </si>
  <si>
    <t>吸波材</t>
    <phoneticPr fontId="6" type="noConversion"/>
  </si>
  <si>
    <t>Others</t>
    <phoneticPr fontId="6" type="noConversion"/>
  </si>
  <si>
    <t>ffc connector vendor</t>
    <phoneticPr fontId="6" type="noConversion"/>
  </si>
  <si>
    <t>ffc connector vendor pn</t>
    <phoneticPr fontId="6" type="noConversion"/>
  </si>
  <si>
    <t>QY</t>
    <phoneticPr fontId="6" type="noConversion"/>
  </si>
  <si>
    <t>FFC-30XZHL-A-03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</si>
</sst>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.00000"/>
    <numFmt numFmtId="177" formatCode="#,##0.0"/>
    <numFmt numFmtId="178" formatCode="0.0%"/>
    <numFmt numFmtId="179" formatCode="#,##0.0000"/>
    <numFmt numFmtId="183" formatCode="#,##0.000000000"/>
    <numFmt numFmtId="184" formatCode="#,##0.0000000000"/>
    <numFmt numFmtId="185" formatCode="#,##0.00000000000"/>
    <numFmt numFmtId="187" formatCode="0.000000"/>
  </numFmts>
  <fonts count="11">
    <font>
      <sz val="11"/>
      <color theme="1"/>
      <name val="新細明體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0000FF"/>
      <name val="Arial"/>
      <family val="2"/>
    </font>
    <font>
      <sz val="12"/>
      <color rgb="FF0000FF"/>
      <name val="Arial"/>
      <family val="2"/>
    </font>
    <font>
      <sz val="12"/>
      <color rgb="FF000000"/>
      <name val="Arial"/>
      <family val="2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5" xfId="0" applyNumberFormat="1" applyFont="1" applyBorder="1" applyAlignment="1">
      <alignment horizontal="left" vertical="center" wrapText="1"/>
    </xf>
    <xf numFmtId="176" fontId="2" fillId="0" borderId="6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3" fontId="5" fillId="0" borderId="8" xfId="0" applyNumberFormat="1" applyFont="1" applyBorder="1" applyAlignment="1">
      <alignment horizontal="left" vertical="center" wrapText="1"/>
    </xf>
    <xf numFmtId="177" fontId="5" fillId="0" borderId="8" xfId="0" applyNumberFormat="1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left" vertical="center"/>
    </xf>
    <xf numFmtId="178" fontId="5" fillId="0" borderId="8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/>
    </xf>
    <xf numFmtId="3" fontId="5" fillId="0" borderId="8" xfId="0" applyNumberFormat="1" applyFont="1" applyBorder="1" applyAlignment="1">
      <alignment horizontal="left" vertical="center"/>
    </xf>
    <xf numFmtId="179" fontId="5" fillId="0" borderId="8" xfId="0" applyNumberFormat="1" applyFont="1" applyBorder="1" applyAlignment="1">
      <alignment horizontal="left" vertical="center" wrapText="1"/>
    </xf>
    <xf numFmtId="179" fontId="5" fillId="0" borderId="8" xfId="0" applyNumberFormat="1" applyFont="1" applyBorder="1" applyAlignment="1">
      <alignment horizontal="left" vertical="center"/>
    </xf>
    <xf numFmtId="178" fontId="2" fillId="0" borderId="6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76" fontId="8" fillId="0" borderId="8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187" fontId="5" fillId="0" borderId="8" xfId="0" applyNumberFormat="1" applyFont="1" applyBorder="1" applyAlignment="1">
      <alignment horizontal="left" vertical="center" wrapText="1"/>
    </xf>
    <xf numFmtId="183" fontId="5" fillId="0" borderId="8" xfId="0" applyNumberFormat="1" applyFont="1" applyBorder="1" applyAlignment="1">
      <alignment horizontal="left" vertical="center"/>
    </xf>
    <xf numFmtId="184" fontId="5" fillId="0" borderId="8" xfId="0" applyNumberFormat="1" applyFont="1" applyBorder="1" applyAlignment="1">
      <alignment horizontal="left" vertical="center"/>
    </xf>
    <xf numFmtId="185" fontId="5" fillId="0" borderId="8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topLeftCell="A157" zoomScale="158" workbookViewId="0">
      <pane xSplit="2" topLeftCell="C1" activePane="topRight" state="frozen"/>
      <selection pane="topRight" activeCell="C172" sqref="C172"/>
    </sheetView>
  </sheetViews>
  <sheetFormatPr baseColWidth="10" defaultColWidth="9" defaultRowHeight="14"/>
  <cols>
    <col min="1" max="1" width="25.59765625" style="1" bestFit="1" customWidth="1"/>
    <col min="2" max="2" width="32.3984375" style="1" customWidth="1"/>
    <col min="3" max="3" width="160" style="1" customWidth="1"/>
  </cols>
  <sheetData>
    <row r="1" spans="1:3" ht="17">
      <c r="A1" s="2" t="s">
        <v>0</v>
      </c>
      <c r="B1" s="3" t="s">
        <v>1</v>
      </c>
      <c r="C1" s="2" t="s">
        <v>2</v>
      </c>
    </row>
    <row r="2" spans="1:3" ht="18" thickBot="1">
      <c r="A2" s="4" t="s">
        <v>3</v>
      </c>
      <c r="B2" s="5"/>
      <c r="C2" s="5" t="s">
        <v>4</v>
      </c>
    </row>
    <row r="3" spans="1:3" ht="17" thickTop="1" thickBot="1">
      <c r="A3" s="1" t="s">
        <v>189</v>
      </c>
      <c r="C3" s="1" t="s">
        <v>190</v>
      </c>
    </row>
    <row r="4" spans="1:3" ht="18" thickTop="1">
      <c r="A4" s="28" t="s">
        <v>5</v>
      </c>
      <c r="B4" s="28"/>
      <c r="C4" s="6" t="s">
        <v>6</v>
      </c>
    </row>
    <row r="5" spans="1:3" ht="16">
      <c r="A5" s="29" t="s">
        <v>7</v>
      </c>
      <c r="B5" s="29"/>
      <c r="C5" s="7"/>
    </row>
    <row r="6" spans="1:3" ht="17">
      <c r="A6" s="29" t="s">
        <v>8</v>
      </c>
      <c r="B6" s="29"/>
      <c r="C6" s="7" t="s">
        <v>9</v>
      </c>
    </row>
    <row r="7" spans="1:3" ht="17">
      <c r="A7" s="29" t="s">
        <v>10</v>
      </c>
      <c r="B7" s="29"/>
      <c r="C7" s="7" t="s">
        <v>11</v>
      </c>
    </row>
    <row r="8" spans="1:3" ht="17">
      <c r="A8" s="29" t="s">
        <v>12</v>
      </c>
      <c r="B8" s="29"/>
      <c r="C8" s="7" t="s">
        <v>13</v>
      </c>
    </row>
    <row r="9" spans="1:3" ht="18" thickBot="1">
      <c r="A9" s="27" t="s">
        <v>14</v>
      </c>
      <c r="B9" s="27"/>
      <c r="C9" s="8" t="s">
        <v>15</v>
      </c>
    </row>
    <row r="10" spans="1:3" ht="18" thickTop="1" thickBot="1">
      <c r="A10" s="24" t="s">
        <v>16</v>
      </c>
      <c r="B10" s="24"/>
      <c r="C10" s="9">
        <f>C20+C29</f>
        <v>8.6297614853333329E-2</v>
      </c>
    </row>
    <row r="11" spans="1:3" ht="18" thickTop="1">
      <c r="A11" s="26" t="s">
        <v>17</v>
      </c>
      <c r="B11" s="10" t="s">
        <v>18</v>
      </c>
      <c r="C11" s="11" t="s">
        <v>19</v>
      </c>
    </row>
    <row r="12" spans="1:3" ht="17">
      <c r="A12" s="26"/>
      <c r="B12" s="12" t="s">
        <v>20</v>
      </c>
      <c r="C12" s="13">
        <v>30</v>
      </c>
    </row>
    <row r="13" spans="1:3" ht="17">
      <c r="A13" s="26"/>
      <c r="B13" s="12" t="s">
        <v>21</v>
      </c>
      <c r="C13" s="14">
        <v>1</v>
      </c>
    </row>
    <row r="14" spans="1:3" ht="17">
      <c r="A14" s="26"/>
      <c r="B14" s="12" t="s">
        <v>22</v>
      </c>
      <c r="C14" s="15">
        <v>407</v>
      </c>
    </row>
    <row r="15" spans="1:3" ht="17">
      <c r="A15" s="26"/>
      <c r="B15" s="12" t="s">
        <v>23</v>
      </c>
      <c r="C15" s="15">
        <v>2</v>
      </c>
    </row>
    <row r="16" spans="1:3" ht="17">
      <c r="A16" s="26"/>
      <c r="B16" s="12" t="s">
        <v>24</v>
      </c>
      <c r="C16" s="16">
        <f>IF(C61&gt;0,C15,0)</f>
        <v>2</v>
      </c>
    </row>
    <row r="17" spans="1:3" ht="17">
      <c r="A17" s="26"/>
      <c r="B17" s="12" t="s">
        <v>25</v>
      </c>
      <c r="C17" s="33">
        <v>4.7000000000000002E-3</v>
      </c>
    </row>
    <row r="18" spans="1:3" ht="17">
      <c r="A18" s="26"/>
      <c r="B18" s="12" t="s">
        <v>26</v>
      </c>
      <c r="C18" s="32">
        <v>2.9999999999999997E-4</v>
      </c>
    </row>
    <row r="19" spans="1:3" ht="17">
      <c r="A19" s="26"/>
      <c r="B19" s="12" t="s">
        <v>27</v>
      </c>
      <c r="C19" s="11" t="s">
        <v>28</v>
      </c>
    </row>
    <row r="20" spans="1:3" ht="17">
      <c r="A20" s="26"/>
      <c r="B20" s="10" t="s">
        <v>29</v>
      </c>
      <c r="C20" s="35">
        <f>IF(C14=0,0,(C14+C16)*C12*(C17/1000)*(1+C18))</f>
        <v>5.7686300699999998E-2</v>
      </c>
    </row>
    <row r="21" spans="1:3" ht="17">
      <c r="A21" s="26" t="s">
        <v>30</v>
      </c>
      <c r="B21" s="10" t="s">
        <v>18</v>
      </c>
      <c r="C21" s="11" t="s">
        <v>31</v>
      </c>
    </row>
    <row r="22" spans="1:3" ht="17">
      <c r="A22" s="26"/>
      <c r="B22" s="12" t="s">
        <v>32</v>
      </c>
      <c r="C22" s="16">
        <f>(C12+1)*C13</f>
        <v>31</v>
      </c>
    </row>
    <row r="23" spans="1:3" ht="17">
      <c r="A23" s="26"/>
      <c r="B23" s="12" t="s">
        <v>33</v>
      </c>
      <c r="C23" s="13">
        <v>3</v>
      </c>
    </row>
    <row r="24" spans="1:3" ht="17">
      <c r="A24" s="26"/>
      <c r="B24" s="12" t="s">
        <v>34</v>
      </c>
      <c r="C24" s="15">
        <v>2</v>
      </c>
    </row>
    <row r="25" spans="1:3" ht="17">
      <c r="A25" s="26"/>
      <c r="B25" s="12" t="s">
        <v>24</v>
      </c>
      <c r="C25" s="16">
        <f>IF(C61&gt;0,C24,0)</f>
        <v>2</v>
      </c>
    </row>
    <row r="26" spans="1:3" ht="17">
      <c r="A26" s="26"/>
      <c r="B26" s="12" t="s">
        <v>25</v>
      </c>
      <c r="C26" s="11" t="s">
        <v>35</v>
      </c>
    </row>
    <row r="27" spans="1:3" ht="17">
      <c r="A27" s="26"/>
      <c r="B27" s="12" t="s">
        <v>26</v>
      </c>
      <c r="C27" s="32">
        <v>2.9999999999999997E-4</v>
      </c>
    </row>
    <row r="28" spans="1:3" ht="17">
      <c r="A28" s="26"/>
      <c r="B28" s="12" t="s">
        <v>27</v>
      </c>
      <c r="C28" s="11" t="s">
        <v>36</v>
      </c>
    </row>
    <row r="29" spans="1:3" ht="18" thickBot="1">
      <c r="A29" s="26"/>
      <c r="B29" s="10" t="s">
        <v>29</v>
      </c>
      <c r="C29" s="34">
        <f>IF(C14=0,0,(C26/1000)*(C14+C25)/C23*(1+C27)*2)</f>
        <v>2.8611314153333327E-2</v>
      </c>
    </row>
    <row r="30" spans="1:3" ht="18" thickTop="1" thickBot="1">
      <c r="A30" s="24" t="s">
        <v>37</v>
      </c>
      <c r="B30" s="24"/>
      <c r="C30" s="9">
        <f>SUM(C40,C46,C51,C60,C65,C70,C75,C80)</f>
        <v>0.25462666666666667</v>
      </c>
    </row>
    <row r="31" spans="1:3" ht="18" thickTop="1">
      <c r="A31" s="26" t="s">
        <v>38</v>
      </c>
      <c r="B31" s="10" t="s">
        <v>39</v>
      </c>
      <c r="C31" s="19">
        <f>C32+C14/C33/C23+C34+C35</f>
        <v>29.426666666666666</v>
      </c>
    </row>
    <row r="32" spans="1:3" ht="17">
      <c r="A32" s="26"/>
      <c r="B32" s="12" t="s">
        <v>40</v>
      </c>
      <c r="C32" s="14">
        <v>4</v>
      </c>
    </row>
    <row r="33" spans="1:3" ht="17">
      <c r="A33" s="26"/>
      <c r="B33" s="12" t="s">
        <v>41</v>
      </c>
      <c r="C33" s="14">
        <v>25</v>
      </c>
    </row>
    <row r="34" spans="1:3" ht="17">
      <c r="A34" s="26"/>
      <c r="B34" s="12" t="s">
        <v>42</v>
      </c>
      <c r="C34" s="14">
        <v>10</v>
      </c>
    </row>
    <row r="35" spans="1:3" ht="17">
      <c r="A35" s="26"/>
      <c r="B35" s="12" t="s">
        <v>43</v>
      </c>
      <c r="C35" s="13">
        <v>10</v>
      </c>
    </row>
    <row r="36" spans="1:3" ht="17">
      <c r="A36" s="26"/>
      <c r="B36" s="12" t="s">
        <v>44</v>
      </c>
      <c r="C36" s="20">
        <v>0.06</v>
      </c>
    </row>
    <row r="37" spans="1:3" ht="17">
      <c r="A37" s="26"/>
      <c r="B37" s="12" t="s">
        <v>45</v>
      </c>
      <c r="C37" s="21">
        <f>C36/60</f>
        <v>1E-3</v>
      </c>
    </row>
    <row r="38" spans="1:3" ht="17">
      <c r="A38" s="26"/>
      <c r="B38" s="12" t="s">
        <v>26</v>
      </c>
      <c r="C38" s="17">
        <v>0</v>
      </c>
    </row>
    <row r="39" spans="1:3" ht="17">
      <c r="A39" s="26"/>
      <c r="B39" s="12" t="s">
        <v>27</v>
      </c>
      <c r="C39" s="11" t="s">
        <v>46</v>
      </c>
    </row>
    <row r="40" spans="1:3" ht="17">
      <c r="A40" s="26"/>
      <c r="B40" s="10" t="s">
        <v>29</v>
      </c>
      <c r="C40" s="21">
        <f>C31*C37*(1+C38)</f>
        <v>2.9426666666666667E-2</v>
      </c>
    </row>
    <row r="41" spans="1:3" ht="17">
      <c r="A41" s="26" t="s">
        <v>47</v>
      </c>
      <c r="B41" s="10" t="s">
        <v>48</v>
      </c>
      <c r="C41" s="13" t="s">
        <v>49</v>
      </c>
    </row>
    <row r="42" spans="1:3" ht="17">
      <c r="A42" s="26"/>
      <c r="B42" s="12" t="s">
        <v>50</v>
      </c>
      <c r="C42" s="20">
        <v>0.06</v>
      </c>
    </row>
    <row r="43" spans="1:3" ht="17">
      <c r="A43" s="26"/>
      <c r="B43" s="12" t="s">
        <v>51</v>
      </c>
      <c r="C43" s="21">
        <f>C42/60</f>
        <v>1E-3</v>
      </c>
    </row>
    <row r="44" spans="1:3" ht="17">
      <c r="A44" s="26"/>
      <c r="B44" s="12" t="s">
        <v>26</v>
      </c>
      <c r="C44" s="17">
        <v>0</v>
      </c>
    </row>
    <row r="45" spans="1:3" ht="17">
      <c r="A45" s="26"/>
      <c r="B45" s="12" t="s">
        <v>27</v>
      </c>
      <c r="C45" s="11" t="s">
        <v>46</v>
      </c>
    </row>
    <row r="46" spans="1:3" ht="17">
      <c r="A46" s="26"/>
      <c r="B46" s="10" t="s">
        <v>29</v>
      </c>
      <c r="C46" s="21">
        <f>C41*C43*(1+C44)</f>
        <v>2E-3</v>
      </c>
    </row>
    <row r="47" spans="1:3" ht="17">
      <c r="A47" s="26" t="s">
        <v>52</v>
      </c>
      <c r="B47" s="10" t="s">
        <v>53</v>
      </c>
      <c r="C47" s="13" t="s">
        <v>54</v>
      </c>
    </row>
    <row r="48" spans="1:3" ht="17">
      <c r="A48" s="26"/>
      <c r="B48" s="12" t="s">
        <v>51</v>
      </c>
      <c r="C48" s="20">
        <v>1E-4</v>
      </c>
    </row>
    <row r="49" spans="1:3" ht="17">
      <c r="A49" s="26"/>
      <c r="B49" s="12" t="s">
        <v>26</v>
      </c>
      <c r="C49" s="17">
        <v>0</v>
      </c>
    </row>
    <row r="50" spans="1:3" ht="17">
      <c r="A50" s="26"/>
      <c r="B50" s="12" t="s">
        <v>27</v>
      </c>
      <c r="C50" s="11" t="s">
        <v>46</v>
      </c>
    </row>
    <row r="51" spans="1:3" ht="17">
      <c r="A51" s="26"/>
      <c r="B51" s="10" t="s">
        <v>29</v>
      </c>
      <c r="C51" s="21">
        <f>C47*C48*(1+C49)</f>
        <v>1E-4</v>
      </c>
    </row>
    <row r="52" spans="1:3" ht="17">
      <c r="A52" s="26" t="s">
        <v>55</v>
      </c>
      <c r="B52" s="10" t="s">
        <v>56</v>
      </c>
      <c r="C52" s="13">
        <v>3</v>
      </c>
    </row>
    <row r="53" spans="1:3" ht="17">
      <c r="A53" s="26"/>
      <c r="B53" s="12" t="s">
        <v>57</v>
      </c>
      <c r="C53" s="20" t="s">
        <v>58</v>
      </c>
    </row>
    <row r="54" spans="1:3" ht="17">
      <c r="A54" s="26"/>
      <c r="B54" s="12" t="s">
        <v>59</v>
      </c>
      <c r="C54" s="11" t="s">
        <v>60</v>
      </c>
    </row>
    <row r="55" spans="1:3" ht="17">
      <c r="A55" s="26"/>
      <c r="B55" s="12" t="s">
        <v>61</v>
      </c>
      <c r="C55" s="15">
        <v>100</v>
      </c>
    </row>
    <row r="56" spans="1:3" ht="17">
      <c r="A56" s="26"/>
      <c r="B56" s="12" t="s">
        <v>62</v>
      </c>
      <c r="C56" s="20">
        <v>4.4000000000000003E-3</v>
      </c>
    </row>
    <row r="57" spans="1:3" ht="17">
      <c r="A57" s="26"/>
      <c r="B57" s="12" t="s">
        <v>63</v>
      </c>
      <c r="C57" s="21">
        <f>IF(C52&lt;=0,0,(C53+C54*C52*C12)+INT(C14/C55)*C56)</f>
        <v>0.1191</v>
      </c>
    </row>
    <row r="58" spans="1:3" ht="17">
      <c r="A58" s="26"/>
      <c r="B58" s="12" t="s">
        <v>26</v>
      </c>
      <c r="C58" s="17">
        <v>0</v>
      </c>
    </row>
    <row r="59" spans="1:3" ht="17">
      <c r="A59" s="26"/>
      <c r="B59" s="12" t="s">
        <v>27</v>
      </c>
      <c r="C59" s="11" t="s">
        <v>64</v>
      </c>
    </row>
    <row r="60" spans="1:3" ht="17">
      <c r="A60" s="26"/>
      <c r="B60" s="10" t="s">
        <v>29</v>
      </c>
      <c r="C60" s="21">
        <f>C57*(1+C58)</f>
        <v>0.1191</v>
      </c>
    </row>
    <row r="61" spans="1:3" ht="17">
      <c r="A61" s="26" t="s">
        <v>65</v>
      </c>
      <c r="B61" s="10" t="s">
        <v>66</v>
      </c>
      <c r="C61" s="13" t="s">
        <v>49</v>
      </c>
    </row>
    <row r="62" spans="1:3" ht="17">
      <c r="A62" s="26"/>
      <c r="B62" s="12" t="s">
        <v>51</v>
      </c>
      <c r="C62" s="20">
        <v>6.0000000000000001E-3</v>
      </c>
    </row>
    <row r="63" spans="1:3" ht="17">
      <c r="A63" s="26"/>
      <c r="B63" s="12" t="s">
        <v>26</v>
      </c>
      <c r="C63" s="17">
        <v>0</v>
      </c>
    </row>
    <row r="64" spans="1:3" ht="17">
      <c r="A64" s="26"/>
      <c r="B64" s="12" t="s">
        <v>27</v>
      </c>
      <c r="C64" s="11" t="s">
        <v>46</v>
      </c>
    </row>
    <row r="65" spans="1:3" ht="17">
      <c r="A65" s="26"/>
      <c r="B65" s="10" t="s">
        <v>29</v>
      </c>
      <c r="C65" s="21">
        <f>C61*C62*(1+C63)</f>
        <v>1.2E-2</v>
      </c>
    </row>
    <row r="66" spans="1:3" ht="17">
      <c r="A66" s="26" t="s">
        <v>67</v>
      </c>
      <c r="B66" s="10" t="s">
        <v>66</v>
      </c>
      <c r="C66" s="13" t="s">
        <v>54</v>
      </c>
    </row>
    <row r="67" spans="1:3" ht="17">
      <c r="A67" s="26"/>
      <c r="B67" s="12" t="s">
        <v>51</v>
      </c>
      <c r="C67" s="20">
        <v>5.0000000000000001E-3</v>
      </c>
    </row>
    <row r="68" spans="1:3" ht="17">
      <c r="A68" s="26"/>
      <c r="B68" s="12" t="s">
        <v>26</v>
      </c>
      <c r="C68" s="17">
        <v>0</v>
      </c>
    </row>
    <row r="69" spans="1:3" ht="17">
      <c r="A69" s="26"/>
      <c r="B69" s="12" t="s">
        <v>27</v>
      </c>
      <c r="C69" s="11" t="s">
        <v>46</v>
      </c>
    </row>
    <row r="70" spans="1:3" ht="17">
      <c r="A70" s="26"/>
      <c r="B70" s="10" t="s">
        <v>29</v>
      </c>
      <c r="C70" s="21">
        <f>C66*C67*(1+C68)</f>
        <v>5.0000000000000001E-3</v>
      </c>
    </row>
    <row r="71" spans="1:3" ht="17">
      <c r="A71" s="26" t="s">
        <v>68</v>
      </c>
      <c r="B71" s="10" t="s">
        <v>66</v>
      </c>
      <c r="C71" s="13" t="s">
        <v>54</v>
      </c>
    </row>
    <row r="72" spans="1:3" ht="17">
      <c r="A72" s="26"/>
      <c r="B72" s="12" t="s">
        <v>51</v>
      </c>
      <c r="C72" s="20">
        <v>6.0000000000000001E-3</v>
      </c>
    </row>
    <row r="73" spans="1:3" ht="17">
      <c r="A73" s="26"/>
      <c r="B73" s="12" t="s">
        <v>26</v>
      </c>
      <c r="C73" s="17">
        <v>0</v>
      </c>
    </row>
    <row r="74" spans="1:3" ht="17">
      <c r="A74" s="26"/>
      <c r="B74" s="12" t="s">
        <v>27</v>
      </c>
      <c r="C74" s="11" t="s">
        <v>46</v>
      </c>
    </row>
    <row r="75" spans="1:3" ht="17">
      <c r="A75" s="26"/>
      <c r="B75" s="10" t="s">
        <v>29</v>
      </c>
      <c r="C75" s="21">
        <f>C71*C72*(1+C73)</f>
        <v>6.0000000000000001E-3</v>
      </c>
    </row>
    <row r="76" spans="1:3" ht="17">
      <c r="A76" s="26" t="s">
        <v>69</v>
      </c>
      <c r="B76" s="10" t="s">
        <v>70</v>
      </c>
      <c r="C76" s="19">
        <f>IFERROR(C168+C183+C197+C211+C225+C239+C253+C267+C281+C295+C309+C323, "")</f>
        <v>81</v>
      </c>
    </row>
    <row r="77" spans="1:3" ht="17">
      <c r="A77" s="26"/>
      <c r="B77" s="12" t="s">
        <v>51</v>
      </c>
      <c r="C77" s="20">
        <v>1E-3</v>
      </c>
    </row>
    <row r="78" spans="1:3" ht="17">
      <c r="A78" s="26"/>
      <c r="B78" s="12" t="s">
        <v>26</v>
      </c>
      <c r="C78" s="17">
        <v>0</v>
      </c>
    </row>
    <row r="79" spans="1:3" ht="17">
      <c r="A79" s="26"/>
      <c r="B79" s="12" t="s">
        <v>27</v>
      </c>
      <c r="C79" s="11" t="s">
        <v>46</v>
      </c>
    </row>
    <row r="80" spans="1:3" ht="18" thickBot="1">
      <c r="A80" s="26"/>
      <c r="B80" s="10" t="s">
        <v>29</v>
      </c>
      <c r="C80" s="21">
        <f>C76*C77*(1+C78)</f>
        <v>8.1000000000000003E-2</v>
      </c>
    </row>
    <row r="81" spans="1:3" ht="18" thickTop="1" thickBot="1">
      <c r="A81" s="24" t="s">
        <v>71</v>
      </c>
      <c r="B81" s="24"/>
      <c r="C81" s="9">
        <f ca="1">IFERROR(C173+C187+C201+C215+C229+C243+C257+C271+C285+C299+C313+C327+$C$162+$C$153, "")</f>
        <v>0.12507782587301586</v>
      </c>
    </row>
    <row r="82" spans="1:3" ht="18" hidden="1" thickTop="1">
      <c r="A82" s="26" t="s">
        <v>72</v>
      </c>
      <c r="B82" s="10" t="s">
        <v>73</v>
      </c>
      <c r="C82" s="13">
        <v>6</v>
      </c>
    </row>
    <row r="83" spans="1:3" ht="18" hidden="1" thickTop="1">
      <c r="A83" s="26"/>
      <c r="B83" s="12" t="s">
        <v>74</v>
      </c>
      <c r="C83" s="13">
        <v>6</v>
      </c>
    </row>
    <row r="84" spans="1:3" ht="18" hidden="1" thickTop="1">
      <c r="A84" s="26"/>
      <c r="B84" s="12" t="s">
        <v>75</v>
      </c>
      <c r="C84" s="13">
        <v>300</v>
      </c>
    </row>
    <row r="85" spans="1:3" ht="18" hidden="1" thickTop="1">
      <c r="A85" s="26"/>
      <c r="B85" s="12" t="s">
        <v>76</v>
      </c>
      <c r="C85" s="13">
        <v>200</v>
      </c>
    </row>
    <row r="86" spans="1:3" ht="18" hidden="1" thickTop="1">
      <c r="A86" s="26"/>
      <c r="B86" s="12" t="s">
        <v>77</v>
      </c>
      <c r="C86" s="20">
        <v>1.2E-2</v>
      </c>
    </row>
    <row r="87" spans="1:3" ht="18" hidden="1" thickTop="1">
      <c r="A87" s="26"/>
      <c r="B87" s="12" t="s">
        <v>78</v>
      </c>
      <c r="C87" s="13">
        <v>600</v>
      </c>
    </row>
    <row r="88" spans="1:3" ht="18" hidden="1" thickTop="1">
      <c r="A88" s="26"/>
      <c r="B88" s="12" t="s">
        <v>79</v>
      </c>
      <c r="C88" s="13">
        <v>400</v>
      </c>
    </row>
    <row r="89" spans="1:3" ht="18" hidden="1" thickTop="1">
      <c r="A89" s="26"/>
      <c r="B89" s="12" t="s">
        <v>80</v>
      </c>
      <c r="C89" s="20">
        <v>1.2E-2</v>
      </c>
    </row>
    <row r="90" spans="1:3" ht="18" hidden="1" thickTop="1">
      <c r="A90" s="26"/>
      <c r="B90" s="12" t="s">
        <v>81</v>
      </c>
      <c r="C90" s="20">
        <v>1.2999999999999999E-2</v>
      </c>
    </row>
    <row r="91" spans="1:3" ht="18" hidden="1" thickTop="1">
      <c r="A91" s="26"/>
      <c r="B91" s="12" t="s">
        <v>82</v>
      </c>
      <c r="C91" s="13">
        <v>900</v>
      </c>
    </row>
    <row r="92" spans="1:3" ht="18" hidden="1" thickTop="1">
      <c r="A92" s="26"/>
      <c r="B92" s="12" t="s">
        <v>83</v>
      </c>
      <c r="C92" s="13">
        <v>500</v>
      </c>
    </row>
    <row r="93" spans="1:3" ht="18" hidden="1" thickTop="1">
      <c r="A93" s="26"/>
      <c r="B93" s="12" t="s">
        <v>84</v>
      </c>
      <c r="C93" s="17">
        <v>0.1</v>
      </c>
    </row>
    <row r="94" spans="1:3" ht="18" hidden="1" thickTop="1">
      <c r="A94" s="26"/>
      <c r="B94" s="12" t="s">
        <v>85</v>
      </c>
      <c r="C94" s="13">
        <v>8</v>
      </c>
    </row>
    <row r="95" spans="1:3" ht="18" hidden="1" thickTop="1">
      <c r="A95" s="26"/>
      <c r="B95" s="12" t="s">
        <v>44</v>
      </c>
      <c r="C95" s="20">
        <v>0.06</v>
      </c>
    </row>
    <row r="96" spans="1:3" ht="18" hidden="1" thickTop="1">
      <c r="A96" s="26"/>
      <c r="B96" s="12" t="s">
        <v>86</v>
      </c>
      <c r="C96" s="17">
        <v>0.1</v>
      </c>
    </row>
    <row r="97" spans="1:3" ht="35" hidden="1" thickTop="1">
      <c r="A97" s="26"/>
      <c r="B97" s="12" t="s">
        <v>87</v>
      </c>
      <c r="C97" s="13">
        <v>6</v>
      </c>
    </row>
    <row r="98" spans="1:3" ht="35" hidden="1" thickTop="1">
      <c r="A98" s="26"/>
      <c r="B98" s="12" t="s">
        <v>88</v>
      </c>
      <c r="C98" s="13">
        <v>6</v>
      </c>
    </row>
    <row r="99" spans="1:3" ht="35" hidden="1" thickTop="1">
      <c r="A99" s="26"/>
      <c r="B99" s="12" t="s">
        <v>89</v>
      </c>
      <c r="C99" s="13">
        <v>6</v>
      </c>
    </row>
    <row r="100" spans="1:3" ht="35" hidden="1" thickTop="1">
      <c r="A100" s="26"/>
      <c r="B100" s="12" t="s">
        <v>90</v>
      </c>
      <c r="C100" s="13">
        <v>6</v>
      </c>
    </row>
    <row r="101" spans="1:3" ht="35" hidden="1" thickTop="1">
      <c r="A101" s="26"/>
      <c r="B101" s="12" t="s">
        <v>91</v>
      </c>
      <c r="C101" s="13">
        <v>6</v>
      </c>
    </row>
    <row r="102" spans="1:3" ht="35" hidden="1" thickTop="1">
      <c r="A102" s="26"/>
      <c r="B102" s="12" t="s">
        <v>92</v>
      </c>
      <c r="C102" s="13">
        <v>6</v>
      </c>
    </row>
    <row r="103" spans="1:3" ht="35" hidden="1" thickTop="1">
      <c r="A103" s="26"/>
      <c r="B103" s="12" t="s">
        <v>93</v>
      </c>
      <c r="C103" s="13">
        <v>6</v>
      </c>
    </row>
    <row r="104" spans="1:3" ht="35" hidden="1" thickTop="1">
      <c r="A104" s="26"/>
      <c r="B104" s="12" t="s">
        <v>94</v>
      </c>
      <c r="C104" s="13">
        <v>9</v>
      </c>
    </row>
    <row r="105" spans="1:3" ht="35" hidden="1" thickTop="1">
      <c r="A105" s="26"/>
      <c r="B105" s="12" t="s">
        <v>95</v>
      </c>
      <c r="C105" s="13">
        <v>9</v>
      </c>
    </row>
    <row r="106" spans="1:3" ht="35" hidden="1" thickTop="1">
      <c r="A106" s="26"/>
      <c r="B106" s="12" t="s">
        <v>96</v>
      </c>
      <c r="C106" s="13">
        <v>9</v>
      </c>
    </row>
    <row r="107" spans="1:3" ht="35" hidden="1" thickTop="1">
      <c r="A107" s="26"/>
      <c r="B107" s="12" t="s">
        <v>97</v>
      </c>
      <c r="C107" s="13">
        <v>12</v>
      </c>
    </row>
    <row r="108" spans="1:3" ht="18" hidden="1" thickTop="1">
      <c r="A108" s="26"/>
      <c r="B108" s="12" t="s">
        <v>98</v>
      </c>
      <c r="C108" s="13">
        <v>6</v>
      </c>
    </row>
    <row r="109" spans="1:3" ht="35" hidden="1" thickTop="1">
      <c r="A109" s="26"/>
      <c r="B109" s="12" t="s">
        <v>99</v>
      </c>
      <c r="C109" s="13">
        <v>6</v>
      </c>
    </row>
    <row r="110" spans="1:3" ht="35" hidden="1" thickTop="1">
      <c r="A110" s="26"/>
      <c r="B110" s="12" t="s">
        <v>100</v>
      </c>
      <c r="C110" s="13">
        <v>6</v>
      </c>
    </row>
    <row r="111" spans="1:3" ht="35" hidden="1" thickTop="1">
      <c r="A111" s="26"/>
      <c r="B111" s="12" t="s">
        <v>101</v>
      </c>
      <c r="C111" s="13">
        <v>9</v>
      </c>
    </row>
    <row r="112" spans="1:3" ht="35" hidden="1" thickTop="1">
      <c r="A112" s="26"/>
      <c r="B112" s="12" t="s">
        <v>102</v>
      </c>
      <c r="C112" s="13">
        <v>9</v>
      </c>
    </row>
    <row r="113" spans="1:3" ht="35" hidden="1" thickTop="1">
      <c r="A113" s="26"/>
      <c r="B113" s="12" t="s">
        <v>103</v>
      </c>
      <c r="C113" s="13">
        <v>9</v>
      </c>
    </row>
    <row r="114" spans="1:3" ht="35" hidden="1" thickTop="1">
      <c r="A114" s="26"/>
      <c r="B114" s="12" t="s">
        <v>104</v>
      </c>
      <c r="C114" s="13">
        <v>9</v>
      </c>
    </row>
    <row r="115" spans="1:3" ht="35" hidden="1" thickTop="1">
      <c r="A115" s="26"/>
      <c r="B115" s="12" t="s">
        <v>105</v>
      </c>
      <c r="C115" s="13">
        <v>9</v>
      </c>
    </row>
    <row r="116" spans="1:3" ht="35" hidden="1" thickTop="1">
      <c r="A116" s="26"/>
      <c r="B116" s="12" t="s">
        <v>106</v>
      </c>
      <c r="C116" s="13">
        <v>12</v>
      </c>
    </row>
    <row r="117" spans="1:3" ht="35" hidden="1" thickTop="1">
      <c r="A117" s="26"/>
      <c r="B117" s="12" t="s">
        <v>107</v>
      </c>
      <c r="C117" s="13">
        <v>12</v>
      </c>
    </row>
    <row r="118" spans="1:3" ht="35" hidden="1" thickTop="1">
      <c r="A118" s="26"/>
      <c r="B118" s="12" t="s">
        <v>108</v>
      </c>
      <c r="C118" s="11">
        <v>12</v>
      </c>
    </row>
    <row r="119" spans="1:3" ht="35" hidden="1" thickTop="1">
      <c r="A119" s="26"/>
      <c r="B119" s="12" t="s">
        <v>109</v>
      </c>
      <c r="C119" s="13">
        <v>18</v>
      </c>
    </row>
    <row r="120" spans="1:3" ht="35" hidden="1" thickTop="1">
      <c r="A120" s="26"/>
      <c r="B120" s="12" t="s">
        <v>110</v>
      </c>
      <c r="C120" s="13">
        <v>14</v>
      </c>
    </row>
    <row r="121" spans="1:3" ht="52" hidden="1" thickTop="1">
      <c r="A121" s="26"/>
      <c r="B121" s="12" t="s">
        <v>111</v>
      </c>
      <c r="C121" s="13">
        <v>7</v>
      </c>
    </row>
    <row r="122" spans="1:3" ht="18" hidden="1" thickTop="1">
      <c r="A122" s="26"/>
      <c r="B122" s="12" t="s">
        <v>112</v>
      </c>
      <c r="C122" s="13">
        <v>50</v>
      </c>
    </row>
    <row r="123" spans="1:3" ht="18" hidden="1" thickTop="1">
      <c r="A123" s="26"/>
      <c r="B123" s="12" t="s">
        <v>113</v>
      </c>
      <c r="C123" s="13">
        <v>100</v>
      </c>
    </row>
    <row r="124" spans="1:3" ht="18" hidden="1" thickTop="1">
      <c r="A124" s="26"/>
      <c r="B124" s="12" t="s">
        <v>114</v>
      </c>
      <c r="C124" s="13">
        <v>150</v>
      </c>
    </row>
    <row r="125" spans="1:3" ht="18" hidden="1" thickTop="1">
      <c r="A125" s="26"/>
      <c r="B125" s="12" t="s">
        <v>115</v>
      </c>
      <c r="C125" s="13">
        <v>200</v>
      </c>
    </row>
    <row r="126" spans="1:3" ht="18" hidden="1" thickTop="1">
      <c r="A126" s="26"/>
      <c r="B126" s="12" t="s">
        <v>116</v>
      </c>
      <c r="C126" s="13">
        <v>250</v>
      </c>
    </row>
    <row r="127" spans="1:3" ht="18" hidden="1" thickTop="1">
      <c r="A127" s="26"/>
      <c r="B127" s="12" t="s">
        <v>117</v>
      </c>
      <c r="C127" s="13">
        <v>300</v>
      </c>
    </row>
    <row r="128" spans="1:3" ht="18" hidden="1" thickTop="1">
      <c r="A128" s="26"/>
      <c r="B128" s="12" t="s">
        <v>118</v>
      </c>
      <c r="C128" s="13">
        <v>350</v>
      </c>
    </row>
    <row r="129" spans="1:3" ht="18" hidden="1" thickTop="1">
      <c r="A129" s="26"/>
      <c r="B129" s="12" t="s">
        <v>119</v>
      </c>
      <c r="C129" s="13">
        <v>400</v>
      </c>
    </row>
    <row r="130" spans="1:3" ht="18" hidden="1" thickTop="1">
      <c r="A130" s="26"/>
      <c r="B130" s="12" t="s">
        <v>120</v>
      </c>
      <c r="C130" s="13">
        <v>450</v>
      </c>
    </row>
    <row r="131" spans="1:3" ht="18" hidden="1" thickTop="1">
      <c r="A131" s="26"/>
      <c r="B131" s="12" t="s">
        <v>121</v>
      </c>
      <c r="C131" s="13">
        <v>500</v>
      </c>
    </row>
    <row r="132" spans="1:3" ht="18" hidden="1" thickTop="1">
      <c r="A132" s="26"/>
      <c r="B132" s="12" t="s">
        <v>122</v>
      </c>
      <c r="C132" s="13">
        <v>15</v>
      </c>
    </row>
    <row r="133" spans="1:3" ht="18" hidden="1" thickTop="1">
      <c r="A133" s="26"/>
      <c r="B133" s="12" t="s">
        <v>123</v>
      </c>
      <c r="C133" s="13">
        <v>50</v>
      </c>
    </row>
    <row r="134" spans="1:3" ht="18" hidden="1" thickTop="1">
      <c r="A134" s="26"/>
      <c r="B134" s="12" t="s">
        <v>124</v>
      </c>
      <c r="C134" s="13">
        <v>100</v>
      </c>
    </row>
    <row r="135" spans="1:3" ht="18" hidden="1" thickTop="1">
      <c r="A135" s="26"/>
      <c r="B135" s="12" t="s">
        <v>125</v>
      </c>
      <c r="C135" s="13">
        <v>150</v>
      </c>
    </row>
    <row r="136" spans="1:3" ht="18" hidden="1" thickTop="1">
      <c r="A136" s="26"/>
      <c r="B136" s="12" t="s">
        <v>126</v>
      </c>
      <c r="C136" s="13">
        <v>200</v>
      </c>
    </row>
    <row r="137" spans="1:3" ht="18" hidden="1" thickTop="1">
      <c r="A137" s="26"/>
      <c r="B137" s="12" t="s">
        <v>127</v>
      </c>
      <c r="C137" s="13">
        <v>250</v>
      </c>
    </row>
    <row r="138" spans="1:3" ht="18" hidden="1" thickTop="1">
      <c r="A138" s="26"/>
      <c r="B138" s="12" t="s">
        <v>128</v>
      </c>
      <c r="C138" s="13">
        <v>300</v>
      </c>
    </row>
    <row r="139" spans="1:3" ht="18" hidden="1" thickTop="1">
      <c r="A139" s="26"/>
      <c r="B139" s="12" t="s">
        <v>129</v>
      </c>
      <c r="C139" s="13">
        <v>350</v>
      </c>
    </row>
    <row r="140" spans="1:3" ht="18" hidden="1" thickTop="1">
      <c r="A140" s="26"/>
      <c r="B140" s="12" t="s">
        <v>130</v>
      </c>
      <c r="C140" s="13">
        <v>400</v>
      </c>
    </row>
    <row r="141" spans="1:3" ht="18" hidden="1" thickTop="1">
      <c r="A141" s="26"/>
      <c r="B141" s="12" t="s">
        <v>131</v>
      </c>
      <c r="C141" s="13">
        <v>450</v>
      </c>
    </row>
    <row r="142" spans="1:3" ht="18" hidden="1" thickTop="1">
      <c r="A142" s="26"/>
      <c r="B142" s="12" t="s">
        <v>132</v>
      </c>
      <c r="C142" s="13">
        <v>500</v>
      </c>
    </row>
    <row r="143" spans="1:3" ht="18" hidden="1" thickTop="1">
      <c r="A143" s="26"/>
      <c r="B143" s="12" t="s">
        <v>133</v>
      </c>
      <c r="C143" s="11">
        <v>100</v>
      </c>
    </row>
    <row r="144" spans="1:3" ht="18" hidden="1" thickTop="1">
      <c r="A144" s="26"/>
      <c r="B144" s="10" t="s">
        <v>134</v>
      </c>
      <c r="C144" s="13">
        <v>100</v>
      </c>
    </row>
    <row r="145" spans="1:3" ht="18" thickTop="1">
      <c r="A145" s="23"/>
      <c r="B145" s="10" t="s">
        <v>193</v>
      </c>
      <c r="C145" s="13" t="s">
        <v>194</v>
      </c>
    </row>
    <row r="146" spans="1:3" ht="17">
      <c r="A146" s="26" t="s">
        <v>135</v>
      </c>
      <c r="B146" s="10" t="s">
        <v>136</v>
      </c>
      <c r="C146" s="15">
        <v>6.5</v>
      </c>
    </row>
    <row r="147" spans="1:3" ht="17">
      <c r="A147" s="26"/>
      <c r="B147" s="12" t="s">
        <v>32</v>
      </c>
      <c r="C147" s="16">
        <f>$C$22+C148</f>
        <v>37</v>
      </c>
    </row>
    <row r="148" spans="1:3" ht="17">
      <c r="A148" s="26"/>
      <c r="B148" s="12" t="s">
        <v>137</v>
      </c>
      <c r="C148" s="11">
        <v>6</v>
      </c>
    </row>
    <row r="149" spans="1:3" ht="17">
      <c r="A149" s="26"/>
      <c r="B149" s="12" t="s">
        <v>138</v>
      </c>
      <c r="C149" s="13" t="s">
        <v>54</v>
      </c>
    </row>
    <row r="150" spans="1:3" ht="17">
      <c r="A150" s="26"/>
      <c r="B150" s="12" t="s">
        <v>139</v>
      </c>
      <c r="C150" s="20" t="s">
        <v>140</v>
      </c>
    </row>
    <row r="151" spans="1:3" ht="17">
      <c r="A151" s="26"/>
      <c r="B151" s="12" t="s">
        <v>26</v>
      </c>
      <c r="C151" s="17">
        <v>0.03</v>
      </c>
    </row>
    <row r="152" spans="1:3" ht="17">
      <c r="A152" s="26"/>
      <c r="B152" s="12" t="s">
        <v>27</v>
      </c>
      <c r="C152" s="11" t="s">
        <v>141</v>
      </c>
    </row>
    <row r="153" spans="1:3" ht="17">
      <c r="A153" s="26"/>
      <c r="B153" s="10" t="s">
        <v>29</v>
      </c>
      <c r="C153" s="21">
        <f>C146*C147*C149*(C150/1000000)*(1+C151)</f>
        <v>2.0098604240000001E-3</v>
      </c>
    </row>
    <row r="154" spans="1:3" ht="17">
      <c r="A154" s="23"/>
      <c r="B154" s="10" t="s">
        <v>193</v>
      </c>
      <c r="C154" s="13" t="s">
        <v>194</v>
      </c>
    </row>
    <row r="155" spans="1:3" ht="17">
      <c r="A155" s="26" t="s">
        <v>142</v>
      </c>
      <c r="B155" s="10" t="s">
        <v>136</v>
      </c>
      <c r="C155" s="15">
        <v>9.5</v>
      </c>
    </row>
    <row r="156" spans="1:3" ht="17">
      <c r="A156" s="26"/>
      <c r="B156" s="12" t="s">
        <v>32</v>
      </c>
      <c r="C156" s="16">
        <f>$C$22+C157</f>
        <v>37</v>
      </c>
    </row>
    <row r="157" spans="1:3" ht="17">
      <c r="A157" s="26"/>
      <c r="B157" s="12" t="s">
        <v>137</v>
      </c>
      <c r="C157" s="11">
        <v>6</v>
      </c>
    </row>
    <row r="158" spans="1:3" ht="17">
      <c r="A158" s="26"/>
      <c r="B158" s="12" t="s">
        <v>138</v>
      </c>
      <c r="C158" s="13" t="s">
        <v>54</v>
      </c>
    </row>
    <row r="159" spans="1:3" ht="17">
      <c r="A159" s="26"/>
      <c r="B159" s="12" t="s">
        <v>139</v>
      </c>
      <c r="C159" s="20" t="s">
        <v>140</v>
      </c>
    </row>
    <row r="160" spans="1:3" ht="17">
      <c r="A160" s="26"/>
      <c r="B160" s="12" t="s">
        <v>26</v>
      </c>
      <c r="C160" s="17">
        <v>0.03</v>
      </c>
    </row>
    <row r="161" spans="1:3" ht="17">
      <c r="A161" s="26"/>
      <c r="B161" s="12" t="s">
        <v>27</v>
      </c>
      <c r="C161" s="11" t="s">
        <v>141</v>
      </c>
    </row>
    <row r="162" spans="1:3" ht="17">
      <c r="A162" s="26"/>
      <c r="B162" s="10" t="s">
        <v>29</v>
      </c>
      <c r="C162" s="21">
        <f>C155*C156*C158*(C159/1000000)*(1+C160)</f>
        <v>2.9374883120000003E-3</v>
      </c>
    </row>
    <row r="163" spans="1:3" ht="17">
      <c r="A163" s="26" t="s">
        <v>143</v>
      </c>
      <c r="B163" s="10" t="s">
        <v>144</v>
      </c>
      <c r="C163" s="19">
        <f>IF(C164="壓接/刺破式",C168*C169,IF(C164="焊接式",C168*C167*C169,0))</f>
        <v>15</v>
      </c>
    </row>
    <row r="164" spans="1:3" ht="17">
      <c r="A164" s="26"/>
      <c r="B164" s="12" t="s">
        <v>145</v>
      </c>
      <c r="C164" s="11" t="s">
        <v>146</v>
      </c>
    </row>
    <row r="165" spans="1:3" ht="17">
      <c r="A165" s="26"/>
      <c r="B165" s="30" t="s">
        <v>191</v>
      </c>
      <c r="C165" s="11">
        <v>1</v>
      </c>
    </row>
    <row r="166" spans="1:3" ht="17">
      <c r="A166" s="26"/>
      <c r="B166" s="30" t="s">
        <v>192</v>
      </c>
      <c r="C166" s="11">
        <v>1</v>
      </c>
    </row>
    <row r="167" spans="1:3" ht="17">
      <c r="A167" s="26"/>
      <c r="B167" s="12" t="s">
        <v>147</v>
      </c>
      <c r="C167" s="32">
        <v>30</v>
      </c>
    </row>
    <row r="168" spans="1:3" ht="17">
      <c r="A168" s="26"/>
      <c r="B168" s="12" t="s">
        <v>148</v>
      </c>
      <c r="C168" s="13">
        <v>15</v>
      </c>
    </row>
    <row r="169" spans="1:3" ht="17">
      <c r="A169" s="26"/>
      <c r="B169" s="12" t="s">
        <v>138</v>
      </c>
      <c r="C169" s="13">
        <v>1</v>
      </c>
    </row>
    <row r="170" spans="1:3" ht="17">
      <c r="A170" s="26"/>
      <c r="B170" s="12" t="s">
        <v>139</v>
      </c>
      <c r="C170" s="20" t="s">
        <v>149</v>
      </c>
    </row>
    <row r="171" spans="1:3" ht="17">
      <c r="A171" s="26"/>
      <c r="B171" s="12" t="s">
        <v>26</v>
      </c>
      <c r="C171" s="32">
        <v>2.9999999999999997E-4</v>
      </c>
    </row>
    <row r="172" spans="1:3" ht="17">
      <c r="A172" s="26"/>
      <c r="B172" s="12" t="s">
        <v>27</v>
      </c>
      <c r="C172" s="11" t="s">
        <v>150</v>
      </c>
    </row>
    <row r="173" spans="1:3" ht="17">
      <c r="A173" s="26"/>
      <c r="B173" s="10" t="s">
        <v>29</v>
      </c>
      <c r="C173" s="36">
        <f>C169*C170*(1+C171)</f>
        <v>3.8011400000000001E-2</v>
      </c>
    </row>
    <row r="174" spans="1:3" ht="17">
      <c r="A174" s="26" t="s">
        <v>151</v>
      </c>
      <c r="B174" s="10" t="s">
        <v>152</v>
      </c>
      <c r="C174" s="11" t="s">
        <v>153</v>
      </c>
    </row>
    <row r="175" spans="1:3" ht="17">
      <c r="A175" s="26"/>
      <c r="B175" s="10" t="s">
        <v>193</v>
      </c>
      <c r="C175" s="11" t="s">
        <v>153</v>
      </c>
    </row>
    <row r="176" spans="1:3" ht="17">
      <c r="A176" s="26"/>
      <c r="B176" s="12" t="s">
        <v>154</v>
      </c>
      <c r="C176" s="11" t="s">
        <v>155</v>
      </c>
    </row>
    <row r="177" spans="1:3" ht="17">
      <c r="A177" s="26"/>
      <c r="B177" s="12" t="s">
        <v>145</v>
      </c>
      <c r="C177" s="11" t="s">
        <v>156</v>
      </c>
    </row>
    <row r="178" spans="1:3" ht="17">
      <c r="A178" s="26"/>
      <c r="B178" s="12" t="s">
        <v>136</v>
      </c>
      <c r="C178" s="15">
        <v>25</v>
      </c>
    </row>
    <row r="179" spans="1:3" ht="17">
      <c r="A179" s="26"/>
      <c r="B179" s="12" t="s">
        <v>32</v>
      </c>
      <c r="C179" s="15">
        <v>10</v>
      </c>
    </row>
    <row r="180" spans="1:3" ht="17">
      <c r="A180" s="26"/>
      <c r="B180" s="12" t="s">
        <v>138</v>
      </c>
      <c r="C180" s="13">
        <v>1</v>
      </c>
    </row>
    <row r="181" spans="1:3" ht="17">
      <c r="A181" s="26"/>
      <c r="B181" s="12" t="s">
        <v>157</v>
      </c>
      <c r="C181" s="20" t="s">
        <v>158</v>
      </c>
    </row>
    <row r="182" spans="1:3" ht="17">
      <c r="A182" s="26"/>
      <c r="B182" s="12" t="s">
        <v>159</v>
      </c>
      <c r="C182" s="17">
        <v>0.03</v>
      </c>
    </row>
    <row r="183" spans="1:3" ht="17">
      <c r="A183" s="26"/>
      <c r="B183" s="12" t="s">
        <v>160</v>
      </c>
      <c r="C183" s="19">
        <f>IFERROR(IF(C180=0,0,IF(C176="次料",0,IF(C177="平貼",IF(C178&gt;$C$131,C180*$C$107,IF(C178&gt;$C$130,C180*$C$106,IF(C178&gt;$C$129,C180*$C$105,IF(C178&gt;$C$128,C180*$C$104,IF(C178&gt;$C$127,C180*$C$103,IF(C178&gt;$C$126,C180*$C$102,IF(C178&gt;$C$125,C180*$C$101,IF(C178&gt;$C$124,C180*$C$100,IF(C178&gt;$C$123,C180*$C$99,IF(C178&gt;$C$122,C180*$C$98,C180*$C$97)))))))))),IF(C177="環包",IF(C179&lt;=$C$132,$C$108*C180,IF(C178&gt;$C$142,$C$119*C180,IF(C178&gt;$C$141,$C$118*C180,IF(C178&gt;$C$140,$C$117*C180,IF(C178&gt;$C$139,$C$116*C180,IF(C178&gt;$C$138,$C$115*C180,IF(C178&gt;$C$137,$C$114*C180,IF(C178&gt;$C$136,$C$113*C180,IF(C178&gt;$C$135,$C$112*C180,IF(C178&gt;$C$134,$C$111*C180,IF(C178&gt;$C$133,$C$110*C180,$C$109*C180))))))))))),IF(C178&lt;=$C$144,($C$120*C180),((INT(C178/$C$143)*$C$121)+$C$120*C180)))))),0)</f>
        <v>6</v>
      </c>
    </row>
    <row r="184" spans="1:3" ht="17">
      <c r="A184" s="26"/>
      <c r="B184" s="12" t="s">
        <v>161</v>
      </c>
      <c r="C184" s="19">
        <f ca="1">IF(OR(OFFSET(C174,0,-2)="輔料1",OFFSET(C174,0,-2)="輔料",OFFSET(C174,0,-2)="輔料",C176="主料",NOT(AND(C178=OFFSET(C178,-13,0),IFERROR(C179=OFFSET(C179,-13,0),FALSE)))),1,0)</f>
        <v>1</v>
      </c>
    </row>
    <row r="185" spans="1:3" ht="17">
      <c r="A185" s="26"/>
      <c r="B185" s="12" t="s">
        <v>162</v>
      </c>
      <c r="C185" s="19">
        <f ca="1">IF(OR(OFFSET(C174,0,-2)="輔料1",OFFSET(C174,0,-2)="輔料",C176="主料",AND(C178=OFFSET(C178,-13,0),IFERROR(C179=OFFSET(C179,-13,0),FALSE))),0,1)</f>
        <v>0</v>
      </c>
    </row>
    <row r="186" spans="1:3" ht="30" customHeight="1">
      <c r="A186" s="26"/>
      <c r="B186" s="12" t="s">
        <v>27</v>
      </c>
      <c r="C186" s="11" t="s">
        <v>163</v>
      </c>
    </row>
    <row r="187" spans="1:3" ht="17">
      <c r="A187" s="26"/>
      <c r="B187" s="10" t="s">
        <v>29</v>
      </c>
      <c r="C187" s="18">
        <f ca="1">IFERROR(IF(C180=0,0,(C181/1000000*((C178+$C$82)*(C179+$C$83)*(1+C182)*C180)+IF(AND(MAX(C178:C179)+$C$82&lt;$C$84,MIN(C178:C179)+$C$83&lt;$C$85),$C$86,IF(AND(MAX(C178:C179)+$C$82&lt;$C$87,MIN(C178:C179)+$C$83&lt;$C$88),$C$89,$C$90))/IF(AND(MAX(C178:C179)+$C$82&lt;$C$84,MIN(C178:C179)+$C$83&lt;$C$85),MAX(INT($C$84/(C178+$C$82))*INT($C$85/(C179+$C$83)),INT($C$84/(C179+$C$83))*INT($C$85/(C178+$C$82))),IF(AND(MAX(C178:C179)&lt;$C$87,MIN(C178:C179)&lt;$C$88),MAX(INT($C$87/(C178+$C$82))*INT($C$88/(C179+$C$83)),INT($C$87/(C179+$C$83))*INT($C$88/(C178+$C$82))),MAX(INT($C$91/(C178+$C$82))*INT($C$92/(C179+$C$83)),INT($C$91/(C179+$C$83))*INT($C$92/(C178+$C$82)))))*(1+$C$93)*C184+C185*$C$94*$C$95/60*(1+$C$96))),0)</f>
        <v>1.6548622222222224E-3</v>
      </c>
    </row>
    <row r="188" spans="1:3" ht="17">
      <c r="A188" s="23"/>
      <c r="B188" s="10" t="s">
        <v>195</v>
      </c>
      <c r="C188" s="18" t="s">
        <v>196</v>
      </c>
    </row>
    <row r="189" spans="1:3" ht="17">
      <c r="A189" s="26" t="s">
        <v>164</v>
      </c>
      <c r="B189" s="12" t="s">
        <v>152</v>
      </c>
      <c r="C189" s="11" t="s">
        <v>165</v>
      </c>
    </row>
    <row r="190" spans="1:3" ht="17">
      <c r="A190" s="26"/>
      <c r="B190" s="12" t="s">
        <v>154</v>
      </c>
      <c r="C190" s="11" t="s">
        <v>155</v>
      </c>
    </row>
    <row r="191" spans="1:3" ht="17">
      <c r="A191" s="26"/>
      <c r="B191" s="12" t="s">
        <v>145</v>
      </c>
      <c r="C191" s="11" t="s">
        <v>156</v>
      </c>
    </row>
    <row r="192" spans="1:3" ht="17">
      <c r="A192" s="26"/>
      <c r="B192" s="12" t="s">
        <v>136</v>
      </c>
      <c r="C192" s="15">
        <v>60</v>
      </c>
    </row>
    <row r="193" spans="1:3" ht="17">
      <c r="A193" s="26"/>
      <c r="B193" s="12" t="s">
        <v>32</v>
      </c>
      <c r="C193" s="15">
        <v>25</v>
      </c>
    </row>
    <row r="194" spans="1:3" ht="17">
      <c r="A194" s="26"/>
      <c r="B194" s="12" t="s">
        <v>138</v>
      </c>
      <c r="C194" s="13">
        <v>1</v>
      </c>
    </row>
    <row r="195" spans="1:3" ht="17">
      <c r="A195" s="26"/>
      <c r="B195" s="12" t="s">
        <v>157</v>
      </c>
      <c r="C195" s="20" t="s">
        <v>166</v>
      </c>
    </row>
    <row r="196" spans="1:3" ht="17">
      <c r="A196" s="26"/>
      <c r="B196" s="12" t="s">
        <v>159</v>
      </c>
      <c r="C196" s="17">
        <v>0.03</v>
      </c>
    </row>
    <row r="197" spans="1:3" ht="17">
      <c r="A197" s="26"/>
      <c r="B197" s="12" t="s">
        <v>160</v>
      </c>
      <c r="C197" s="19">
        <f>IFERROR(IF(C194=0,0,IF(C190="次料",0,IF(C191="平貼",IF(C192&gt;$C$131,C194*$C$107,IF(C192&gt;$C$130,C194*$C$106,IF(C192&gt;$C$129,C194*$C$105,IF(C192&gt;$C$128,C194*$C$104,IF(C192&gt;$C$127,C194*$C$103,IF(C192&gt;$C$126,C194*$C$102,IF(C192&gt;$C$125,C194*$C$101,IF(C192&gt;$C$124,C194*$C$100,IF(C192&gt;$C$123,C194*$C$99,IF(C192&gt;$C$122,C194*$C$98,C194*$C$97)))))))))),IF(C191="環包",IF(C193&lt;=$C$132,$C$108*C194,IF(C192&gt;$C$142,$C$119*C194,IF(C192&gt;$C$141,$C$118*C194,IF(C192&gt;$C$140,$C$117*C194,IF(C192&gt;$C$139,$C$116*C194,IF(C192&gt;$C$138,$C$115*C194,IF(C192&gt;$C$137,$C$114*C194,IF(C192&gt;$C$136,$C$113*C194,IF(C192&gt;$C$135,$C$112*C194,IF(C192&gt;$C$134,$C$111*C194,IF(C192&gt;$C$133,$C$110*C194,$C$109*C194))))))))))),IF(C192&lt;=$C$144,($C$120*C194),((INT(C192/$C$143)*$C$121)+$C$120*C194)))))),0)</f>
        <v>6</v>
      </c>
    </row>
    <row r="198" spans="1:3" ht="17">
      <c r="A198" s="26"/>
      <c r="B198" s="12" t="s">
        <v>161</v>
      </c>
      <c r="C198" s="19">
        <f ca="1">IF(OR(OFFSET(C189,0,-2)="輔料1",OFFSET(C189,0,-2)="輔料",OFFSET(C189,0,-2)="輔料",C190="主料",NOT(AND(C192=OFFSET(C192,-13,0),IFERROR(C193=OFFSET(C193,-13,0),FALSE)))),1,0)</f>
        <v>1</v>
      </c>
    </row>
    <row r="199" spans="1:3" ht="17">
      <c r="A199" s="26"/>
      <c r="B199" s="12" t="s">
        <v>162</v>
      </c>
      <c r="C199" s="19">
        <f ca="1">IF(OR(OFFSET(C189,0,-2)="輔料1",OFFSET(C189,0,-2)="輔料",C190="主料",AND(C192=OFFSET(C192,-13,0),IFERROR(C193=OFFSET(C193,-13,0),FALSE))),0,1)</f>
        <v>0</v>
      </c>
    </row>
    <row r="200" spans="1:3" ht="30" customHeight="1">
      <c r="A200" s="26"/>
      <c r="B200" s="12" t="s">
        <v>27</v>
      </c>
      <c r="C200" s="11" t="s">
        <v>163</v>
      </c>
    </row>
    <row r="201" spans="1:3" ht="17">
      <c r="A201" s="26"/>
      <c r="B201" s="10" t="s">
        <v>29</v>
      </c>
      <c r="C201" s="18">
        <f ca="1">IFERROR(IF(C194=0,0,(C195/1000000*((C192+$C$82)*(C193+$C$83)*(1+C196)*C194)+IF(AND(MAX(C192:C193)+$C$82&lt;$C$84,MIN(C192:C193)+$C$83&lt;$C$85),$C$86,IF(AND(MAX(C192:C193)+$C$82&lt;$C$87,MIN(C192:C193)+$C$83&lt;$C$88),$C$89,$C$90))/IF(AND(MAX(C192:C193)+$C$82&lt;$C$84,MIN(C192:C193)+$C$83&lt;$C$85),MAX(INT($C$84/(C192+$C$82))*INT($C$85/(C193+$C$83)),INT($C$84/(C193+$C$83))*INT($C$85/(C192+$C$82))),IF(AND(MAX(C192:C193)&lt;$C$87,MIN(C192:C193)&lt;$C$88),MAX(INT($C$87/(C192+$C$82))*INT($C$88/(C193+$C$83)),INT($C$87/(C193+$C$83))*INT($C$88/(C192+$C$82))),MAX(INT($C$91/(C192+$C$82))*INT($C$92/(C193+$C$83)),INT($C$91/(C193+$C$83))*INT($C$92/(C192+$C$82)))))*(1+$C$93)*C198+C199*$C$94*$C$95/60*(1+$C$96))),0)</f>
        <v>9.802244060888891E-3</v>
      </c>
    </row>
    <row r="202" spans="1:3" ht="17">
      <c r="A202" s="23"/>
      <c r="B202" s="10" t="s">
        <v>195</v>
      </c>
      <c r="C202" s="18" t="s">
        <v>197</v>
      </c>
    </row>
    <row r="203" spans="1:3" ht="17">
      <c r="A203" s="26" t="s">
        <v>167</v>
      </c>
      <c r="B203" s="12" t="s">
        <v>152</v>
      </c>
      <c r="C203" s="11" t="s">
        <v>168</v>
      </c>
    </row>
    <row r="204" spans="1:3" ht="17">
      <c r="A204" s="26"/>
      <c r="B204" s="12" t="s">
        <v>154</v>
      </c>
      <c r="C204" s="11" t="s">
        <v>155</v>
      </c>
    </row>
    <row r="205" spans="1:3" ht="17">
      <c r="A205" s="26"/>
      <c r="B205" s="12" t="s">
        <v>145</v>
      </c>
      <c r="C205" s="11" t="s">
        <v>156</v>
      </c>
    </row>
    <row r="206" spans="1:3" ht="17">
      <c r="A206" s="26"/>
      <c r="B206" s="12" t="s">
        <v>136</v>
      </c>
      <c r="C206" s="15">
        <v>60</v>
      </c>
    </row>
    <row r="207" spans="1:3" ht="17">
      <c r="A207" s="26"/>
      <c r="B207" s="12" t="s">
        <v>32</v>
      </c>
      <c r="C207" s="15">
        <v>20</v>
      </c>
    </row>
    <row r="208" spans="1:3" ht="17">
      <c r="A208" s="26"/>
      <c r="B208" s="12" t="s">
        <v>138</v>
      </c>
      <c r="C208" s="13">
        <v>1</v>
      </c>
    </row>
    <row r="209" spans="1:3" ht="17">
      <c r="A209" s="26"/>
      <c r="B209" s="12" t="s">
        <v>157</v>
      </c>
      <c r="C209" s="20" t="s">
        <v>169</v>
      </c>
    </row>
    <row r="210" spans="1:3" ht="17">
      <c r="A210" s="26"/>
      <c r="B210" s="12" t="s">
        <v>159</v>
      </c>
      <c r="C210" s="17">
        <v>0.03</v>
      </c>
    </row>
    <row r="211" spans="1:3" ht="17">
      <c r="A211" s="26"/>
      <c r="B211" s="12" t="s">
        <v>160</v>
      </c>
      <c r="C211" s="19">
        <f>IFERROR(IF(C208=0,0,IF(C204="次料",0,IF(C205="平貼",IF(C206&gt;$C$131,C208*$C$107,IF(C206&gt;$C$130,C208*$C$106,IF(C206&gt;$C$129,C208*$C$105,IF(C206&gt;$C$128,C208*$C$104,IF(C206&gt;$C$127,C208*$C$103,IF(C206&gt;$C$126,C208*$C$102,IF(C206&gt;$C$125,C208*$C$101,IF(C206&gt;$C$124,C208*$C$100,IF(C206&gt;$C$123,C208*$C$99,IF(C206&gt;$C$122,C208*$C$98,C208*$C$97)))))))))),IF(C205="環包",IF(C207&lt;=$C$132,$C$108*C208,IF(C206&gt;$C$142,$C$119*C208,IF(C206&gt;$C$141,$C$118*C208,IF(C206&gt;$C$140,$C$117*C208,IF(C206&gt;$C$139,$C$116*C208,IF(C206&gt;$C$138,$C$115*C208,IF(C206&gt;$C$137,$C$114*C208,IF(C206&gt;$C$136,$C$113*C208,IF(C206&gt;$C$135,$C$112*C208,IF(C206&gt;$C$134,$C$111*C208,IF(C206&gt;$C$133,$C$110*C208,$C$109*C208))))))))))),IF(C206&lt;=$C$144,($C$120*C208),((INT(C206/$C$143)*$C$121)+$C$120*C208)))))),0)</f>
        <v>6</v>
      </c>
    </row>
    <row r="212" spans="1:3" ht="17">
      <c r="A212" s="26"/>
      <c r="B212" s="12" t="s">
        <v>161</v>
      </c>
      <c r="C212" s="19">
        <f ca="1">IF(OR(OFFSET(C203,0,-2)="輔料1",OFFSET(C203,0,-2)="輔料",OFFSET(C203,0,-2)="輔料",C204="主料",NOT(AND(C206=OFFSET(C206,-13,0),IFERROR(C207=OFFSET(C207,-13,0),FALSE)))),1,0)</f>
        <v>1</v>
      </c>
    </row>
    <row r="213" spans="1:3" ht="17">
      <c r="A213" s="26"/>
      <c r="B213" s="12" t="s">
        <v>162</v>
      </c>
      <c r="C213" s="19">
        <f ca="1">IF(OR(OFFSET(C203,0,-2)="輔料1",OFFSET(C203,0,-2)="輔料",C204="主料",AND(C206=OFFSET(C206,-13,0),IFERROR(C207=OFFSET(C207,-13,0),FALSE))),0,1)</f>
        <v>0</v>
      </c>
    </row>
    <row r="214" spans="1:3" ht="30" customHeight="1">
      <c r="A214" s="26"/>
      <c r="B214" s="12" t="s">
        <v>27</v>
      </c>
      <c r="C214" s="11" t="s">
        <v>163</v>
      </c>
    </row>
    <row r="215" spans="1:3" ht="17">
      <c r="A215" s="26"/>
      <c r="B215" s="10" t="s">
        <v>29</v>
      </c>
      <c r="C215" s="18">
        <f ca="1">IFERROR(IF(C208=0,0,(C209/1000000*((C206+$C$82)*(C207+$C$83)*(1+C210)*C208)+IF(AND(MAX(C206:C207)+$C$82&lt;$C$84,MIN(C206:C207)+$C$83&lt;$C$85),$C$86,IF(AND(MAX(C206:C207)+$C$82&lt;$C$87,MIN(C206:C207)+$C$83&lt;$C$88),$C$89,$C$90))/IF(AND(MAX(C206:C207)+$C$82&lt;$C$84,MIN(C206:C207)+$C$83&lt;$C$85),MAX(INT($C$84/(C206+$C$82))*INT($C$85/(C207+$C$83)),INT($C$84/(C207+$C$83))*INT($C$85/(C206+$C$82))),IF(AND(MAX(C206:C207)&lt;$C$87,MIN(C206:C207)&lt;$C$88),MAX(INT($C$87/(C206+$C$82))*INT($C$88/(C207+$C$83)),INT($C$87/(C207+$C$83))*INT($C$88/(C206+$C$82))),MAX(INT($C$91/(C206+$C$82))*INT($C$92/(C207+$C$83)),INT($C$91/(C207+$C$83))*INT($C$92/(C206+$C$82)))))*(1+$C$93)*C212+C213*$C$94*$C$95/60*(1+$C$96))),0)</f>
        <v>5.329501720000001E-3</v>
      </c>
    </row>
    <row r="216" spans="1:3" ht="17">
      <c r="A216" s="23"/>
      <c r="B216" s="10" t="s">
        <v>195</v>
      </c>
      <c r="C216" s="18" t="s">
        <v>199</v>
      </c>
    </row>
    <row r="217" spans="1:3" ht="17">
      <c r="A217" s="26" t="s">
        <v>170</v>
      </c>
      <c r="B217" s="12" t="s">
        <v>152</v>
      </c>
      <c r="C217" s="31" t="s">
        <v>198</v>
      </c>
    </row>
    <row r="218" spans="1:3" ht="17">
      <c r="A218" s="26"/>
      <c r="B218" s="12" t="s">
        <v>154</v>
      </c>
      <c r="C218" s="11" t="s">
        <v>155</v>
      </c>
    </row>
    <row r="219" spans="1:3" ht="17">
      <c r="A219" s="26"/>
      <c r="B219" s="12" t="s">
        <v>145</v>
      </c>
      <c r="C219" s="11" t="s">
        <v>156</v>
      </c>
    </row>
    <row r="220" spans="1:3" ht="17">
      <c r="A220" s="26"/>
      <c r="B220" s="12" t="s">
        <v>136</v>
      </c>
      <c r="C220" s="15">
        <v>294</v>
      </c>
    </row>
    <row r="221" spans="1:3" ht="17">
      <c r="A221" s="26"/>
      <c r="B221" s="12" t="s">
        <v>32</v>
      </c>
      <c r="C221" s="15">
        <v>30</v>
      </c>
    </row>
    <row r="222" spans="1:3" ht="17">
      <c r="A222" s="26"/>
      <c r="B222" s="12" t="s">
        <v>138</v>
      </c>
      <c r="C222" s="13">
        <v>1</v>
      </c>
    </row>
    <row r="223" spans="1:3" ht="17">
      <c r="A223" s="26"/>
      <c r="B223" s="12" t="s">
        <v>157</v>
      </c>
      <c r="C223" s="20" t="s">
        <v>171</v>
      </c>
    </row>
    <row r="224" spans="1:3" ht="17">
      <c r="A224" s="26"/>
      <c r="B224" s="12" t="s">
        <v>159</v>
      </c>
      <c r="C224" s="17">
        <v>0.03</v>
      </c>
    </row>
    <row r="225" spans="1:3" ht="17">
      <c r="A225" s="26"/>
      <c r="B225" s="12" t="s">
        <v>160</v>
      </c>
      <c r="C225" s="19">
        <f>IFERROR(IF(C222=0,0,IF(C218="次料",0,IF(C219="平貼",IF(C220&gt;$C$131,C222*$C$107,IF(C220&gt;$C$130,C222*$C$106,IF(C220&gt;$C$129,C222*$C$105,IF(C220&gt;$C$128,C222*$C$104,IF(C220&gt;$C$127,C222*$C$103,IF(C220&gt;$C$126,C222*$C$102,IF(C220&gt;$C$125,C222*$C$101,IF(C220&gt;$C$124,C222*$C$100,IF(C220&gt;$C$123,C222*$C$99,IF(C220&gt;$C$122,C222*$C$98,C222*$C$97)))))))))),IF(C219="環包",IF(C221&lt;=$C$132,$C$108*C222,IF(C220&gt;$C$142,$C$119*C222,IF(C220&gt;$C$141,$C$118*C222,IF(C220&gt;$C$140,$C$117*C222,IF(C220&gt;$C$139,$C$116*C222,IF(C220&gt;$C$138,$C$115*C222,IF(C220&gt;$C$137,$C$114*C222,IF(C220&gt;$C$136,$C$113*C222,IF(C220&gt;$C$135,$C$112*C222,IF(C220&gt;$C$134,$C$111*C222,IF(C220&gt;$C$133,$C$110*C222,$C$109*C222))))))))))),IF(C220&lt;=$C$144,($C$120*C222),((INT(C220/$C$143)*$C$121)+$C$120*C222)))))),0)</f>
        <v>6</v>
      </c>
    </row>
    <row r="226" spans="1:3" ht="17">
      <c r="A226" s="26"/>
      <c r="B226" s="12" t="s">
        <v>161</v>
      </c>
      <c r="C226" s="19">
        <f ca="1">IF(OR(OFFSET(C217,0,-2)="輔料1",OFFSET(C217,0,-2)="輔料",OFFSET(C217,0,-2)="輔料",C218="主料",NOT(AND(C220=OFFSET(C220,-13,0),IFERROR(C221=OFFSET(C221,-13,0),FALSE)))),1,0)</f>
        <v>1</v>
      </c>
    </row>
    <row r="227" spans="1:3" ht="17">
      <c r="A227" s="26"/>
      <c r="B227" s="12" t="s">
        <v>162</v>
      </c>
      <c r="C227" s="19">
        <f ca="1">IF(OR(OFFSET(C217,0,-2)="輔料1",OFFSET(C217,0,-2)="輔料",C218="主料",AND(C220=OFFSET(C220,-13,0),IFERROR(C221=OFFSET(C221,-13,0),FALSE))),0,1)</f>
        <v>0</v>
      </c>
    </row>
    <row r="228" spans="1:3" ht="30" customHeight="1">
      <c r="A228" s="26"/>
      <c r="B228" s="12" t="s">
        <v>27</v>
      </c>
      <c r="C228" s="11" t="s">
        <v>163</v>
      </c>
    </row>
    <row r="229" spans="1:3" ht="17">
      <c r="A229" s="26"/>
      <c r="B229" s="10" t="s">
        <v>29</v>
      </c>
      <c r="C229" s="18">
        <f ca="1">IFERROR(IF(C222=0,0,(C223/1000000*((C220+$C$82)*(C221+$C$83)*(1+C224)*C222)+IF(AND(MAX(C220:C221)+$C$82&lt;$C$84,MIN(C220:C221)+$C$83&lt;$C$85),$C$86,IF(AND(MAX(C220:C221)+$C$82&lt;$C$87,MIN(C220:C221)+$C$83&lt;$C$88),$C$89,$C$90))/IF(AND(MAX(C220:C221)+$C$82&lt;$C$84,MIN(C220:C221)+$C$83&lt;$C$85),MAX(INT($C$84/(C220+$C$82))*INT($C$85/(C221+$C$83)),INT($C$84/(C221+$C$83))*INT($C$85/(C220+$C$82))),IF(AND(MAX(C220:C221)&lt;$C$87,MIN(C220:C221)&lt;$C$88),MAX(INT($C$87/(C220+$C$82))*INT($C$88/(C221+$C$83)),INT($C$87/(C221+$C$83))*INT($C$88/(C220+$C$82))),MAX(INT($C$91/(C220+$C$82))*INT($C$92/(C221+$C$83)),INT($C$91/(C221+$C$83))*INT($C$92/(C220+$C$82)))))*(1+$C$93)*C226+C227*$C$94*$C$95/60*(1+$C$96))),0)</f>
        <v>4.3847887200000005E-2</v>
      </c>
    </row>
    <row r="230" spans="1:3" ht="17">
      <c r="A230" s="23"/>
      <c r="B230" s="10" t="s">
        <v>195</v>
      </c>
      <c r="C230" s="18" t="s">
        <v>201</v>
      </c>
    </row>
    <row r="231" spans="1:3" ht="17">
      <c r="A231" s="26" t="s">
        <v>172</v>
      </c>
      <c r="B231" s="12" t="s">
        <v>152</v>
      </c>
      <c r="C231" s="31" t="s">
        <v>200</v>
      </c>
    </row>
    <row r="232" spans="1:3" ht="17">
      <c r="A232" s="26"/>
      <c r="B232" s="12" t="s">
        <v>154</v>
      </c>
      <c r="C232" s="11" t="s">
        <v>155</v>
      </c>
    </row>
    <row r="233" spans="1:3" ht="17">
      <c r="A233" s="26"/>
      <c r="B233" s="12" t="s">
        <v>145</v>
      </c>
      <c r="C233" s="11" t="s">
        <v>156</v>
      </c>
    </row>
    <row r="234" spans="1:3" ht="17">
      <c r="A234" s="26"/>
      <c r="B234" s="12" t="s">
        <v>136</v>
      </c>
      <c r="C234" s="15">
        <v>60</v>
      </c>
    </row>
    <row r="235" spans="1:3" ht="17">
      <c r="A235" s="26"/>
      <c r="B235" s="12" t="s">
        <v>32</v>
      </c>
      <c r="C235" s="15">
        <v>20</v>
      </c>
    </row>
    <row r="236" spans="1:3" ht="17">
      <c r="A236" s="26"/>
      <c r="B236" s="12" t="s">
        <v>138</v>
      </c>
      <c r="C236" s="13">
        <v>1</v>
      </c>
    </row>
    <row r="237" spans="1:3" ht="17">
      <c r="A237" s="26"/>
      <c r="B237" s="12" t="s">
        <v>157</v>
      </c>
      <c r="C237" s="20" t="s">
        <v>173</v>
      </c>
    </row>
    <row r="238" spans="1:3" ht="17">
      <c r="A238" s="26"/>
      <c r="B238" s="12" t="s">
        <v>159</v>
      </c>
      <c r="C238" s="17">
        <v>0.03</v>
      </c>
    </row>
    <row r="239" spans="1:3" ht="17">
      <c r="A239" s="26"/>
      <c r="B239" s="12" t="s">
        <v>160</v>
      </c>
      <c r="C239" s="19">
        <f>IFERROR(IF(C236=0,0,IF(C232="次料",0,IF(C233="平貼",IF(C234&gt;$C$131,C236*$C$107,IF(C234&gt;$C$130,C236*$C$106,IF(C234&gt;$C$129,C236*$C$105,IF(C234&gt;$C$128,C236*$C$104,IF(C234&gt;$C$127,C236*$C$103,IF(C234&gt;$C$126,C236*$C$102,IF(C234&gt;$C$125,C236*$C$101,IF(C234&gt;$C$124,C236*$C$100,IF(C234&gt;$C$123,C236*$C$99,IF(C234&gt;$C$122,C236*$C$98,C236*$C$97)))))))))),IF(C233="環包",IF(C235&lt;=$C$132,$C$108*C236,IF(C234&gt;$C$142,$C$119*C236,IF(C234&gt;$C$141,$C$118*C236,IF(C234&gt;$C$140,$C$117*C236,IF(C234&gt;$C$139,$C$116*C236,IF(C234&gt;$C$138,$C$115*C236,IF(C234&gt;$C$137,$C$114*C236,IF(C234&gt;$C$136,$C$113*C236,IF(C234&gt;$C$135,$C$112*C236,IF(C234&gt;$C$134,$C$111*C236,IF(C234&gt;$C$133,$C$110*C236,$C$109*C236))))))))))),IF(C234&lt;=$C$144,($C$120*C236),((INT(C234/$C$143)*$C$121)+$C$120*C236)))))),0)</f>
        <v>6</v>
      </c>
    </row>
    <row r="240" spans="1:3" ht="17">
      <c r="A240" s="26"/>
      <c r="B240" s="12" t="s">
        <v>161</v>
      </c>
      <c r="C240" s="19">
        <f ca="1">IF(OR(OFFSET(C231,0,-2)="輔料1",OFFSET(C231,0,-2)="輔料",OFFSET(C231,0,-2)="輔料",C232="主料",NOT(AND(C234=OFFSET(C234,-13,0),IFERROR(C235=OFFSET(C235,-13,0),FALSE)))),1,0)</f>
        <v>1</v>
      </c>
    </row>
    <row r="241" spans="1:3" ht="17">
      <c r="A241" s="26"/>
      <c r="B241" s="12" t="s">
        <v>162</v>
      </c>
      <c r="C241" s="19">
        <f ca="1">IF(OR(OFFSET(C231,0,-2)="輔料1",OFFSET(C231,0,-2)="輔料",C232="主料",AND(C234=OFFSET(C234,-13,0),IFERROR(C235=OFFSET(C235,-13,0),FALSE))),0,1)</f>
        <v>0</v>
      </c>
    </row>
    <row r="242" spans="1:3" ht="30" customHeight="1">
      <c r="A242" s="26"/>
      <c r="B242" s="12" t="s">
        <v>27</v>
      </c>
      <c r="C242" s="11" t="s">
        <v>163</v>
      </c>
    </row>
    <row r="243" spans="1:3" ht="17">
      <c r="A243" s="26"/>
      <c r="B243" s="10" t="s">
        <v>29</v>
      </c>
      <c r="C243" s="18">
        <f ca="1">IFERROR(IF(C236=0,0,(C237/1000000*((C234+$C$82)*(C235+$C$83)*(1+C238)*C236)+IF(AND(MAX(C234:C235)+$C$82&lt;$C$84,MIN(C234:C235)+$C$83&lt;$C$85),$C$86,IF(AND(MAX(C234:C235)+$C$82&lt;$C$87,MIN(C234:C235)+$C$83&lt;$C$88),$C$89,$C$90))/IF(AND(MAX(C234:C235)+$C$82&lt;$C$84,MIN(C234:C235)+$C$83&lt;$C$85),MAX(INT($C$84/(C234+$C$82))*INT($C$85/(C235+$C$83)),INT($C$84/(C235+$C$83))*INT($C$85/(C234+$C$82))),IF(AND(MAX(C234:C235)&lt;$C$87,MIN(C234:C235)&lt;$C$88),MAX(INT($C$87/(C234+$C$82))*INT($C$88/(C235+$C$83)),INT($C$87/(C235+$C$83))*INT($C$88/(C234+$C$82))),MAX(INT($C$91/(C234+$C$82))*INT($C$92/(C235+$C$83)),INT($C$91/(C235+$C$83))*INT($C$92/(C234+$C$82)))))*(1+$C$93)*C240+C241*$C$94*$C$95/60*(1+$C$96))),0)</f>
        <v>4.8814455399999995E-3</v>
      </c>
    </row>
    <row r="244" spans="1:3" ht="17">
      <c r="A244" s="23"/>
      <c r="B244" s="10" t="s">
        <v>195</v>
      </c>
      <c r="C244" s="31" t="s">
        <v>203</v>
      </c>
    </row>
    <row r="245" spans="1:3" ht="17">
      <c r="A245" s="26" t="s">
        <v>174</v>
      </c>
      <c r="B245" s="12" t="s">
        <v>152</v>
      </c>
      <c r="C245" s="31" t="s">
        <v>202</v>
      </c>
    </row>
    <row r="246" spans="1:3" ht="17">
      <c r="A246" s="26"/>
      <c r="B246" s="12" t="s">
        <v>154</v>
      </c>
      <c r="C246" s="11" t="s">
        <v>155</v>
      </c>
    </row>
    <row r="247" spans="1:3" ht="17">
      <c r="A247" s="26"/>
      <c r="B247" s="12" t="s">
        <v>145</v>
      </c>
      <c r="C247" s="11" t="s">
        <v>156</v>
      </c>
    </row>
    <row r="248" spans="1:3" ht="17">
      <c r="A248" s="26"/>
      <c r="B248" s="12" t="s">
        <v>136</v>
      </c>
      <c r="C248" s="15">
        <v>60</v>
      </c>
    </row>
    <row r="249" spans="1:3" ht="17">
      <c r="A249" s="26"/>
      <c r="B249" s="12" t="s">
        <v>32</v>
      </c>
      <c r="C249" s="15">
        <v>20</v>
      </c>
    </row>
    <row r="250" spans="1:3" ht="17">
      <c r="A250" s="26"/>
      <c r="B250" s="12" t="s">
        <v>138</v>
      </c>
      <c r="C250" s="13">
        <v>1</v>
      </c>
    </row>
    <row r="251" spans="1:3" ht="17">
      <c r="A251" s="26"/>
      <c r="B251" s="12" t="s">
        <v>157</v>
      </c>
      <c r="C251" s="20" t="s">
        <v>175</v>
      </c>
    </row>
    <row r="252" spans="1:3" ht="17">
      <c r="A252" s="26"/>
      <c r="B252" s="12" t="s">
        <v>159</v>
      </c>
      <c r="C252" s="17">
        <v>0.03</v>
      </c>
    </row>
    <row r="253" spans="1:3" ht="17">
      <c r="A253" s="26"/>
      <c r="B253" s="12" t="s">
        <v>160</v>
      </c>
      <c r="C253" s="19">
        <f>IFERROR(IF(C250=0,0,IF(C246="次料",0,IF(C247="平貼",IF(C248&gt;$C$131,C250*$C$107,IF(C248&gt;$C$130,C250*$C$106,IF(C248&gt;$C$129,C250*$C$105,IF(C248&gt;$C$128,C250*$C$104,IF(C248&gt;$C$127,C250*$C$103,IF(C248&gt;$C$126,C250*$C$102,IF(C248&gt;$C$125,C250*$C$101,IF(C248&gt;$C$124,C250*$C$100,IF(C248&gt;$C$123,C250*$C$99,IF(C248&gt;$C$122,C250*$C$98,C250*$C$97)))))))))),IF(C247="環包",IF(C249&lt;=$C$132,$C$108*C250,IF(C248&gt;$C$142,$C$119*C250,IF(C248&gt;$C$141,$C$118*C250,IF(C248&gt;$C$140,$C$117*C250,IF(C248&gt;$C$139,$C$116*C250,IF(C248&gt;$C$138,$C$115*C250,IF(C248&gt;$C$137,$C$114*C250,IF(C248&gt;$C$136,$C$113*C250,IF(C248&gt;$C$135,$C$112*C250,IF(C248&gt;$C$134,$C$111*C250,IF(C248&gt;$C$133,$C$110*C250,$C$109*C250))))))))))),IF(C248&lt;=$C$144,($C$120*C250),((INT(C248/$C$143)*$C$121)+$C$120*C250)))))),0)</f>
        <v>6</v>
      </c>
    </row>
    <row r="254" spans="1:3" ht="17">
      <c r="A254" s="26"/>
      <c r="B254" s="12" t="s">
        <v>161</v>
      </c>
      <c r="C254" s="19">
        <f ca="1">IF(OR(OFFSET(C245,0,-2)="輔料1",OFFSET(C245,0,-2)="輔料",OFFSET(C245,0,-2)="輔料",C246="主料",NOT(AND(C248=OFFSET(C248,-13,0),IFERROR(C249=OFFSET(C249,-13,0),FALSE)))),1,0)</f>
        <v>1</v>
      </c>
    </row>
    <row r="255" spans="1:3" ht="17">
      <c r="A255" s="26"/>
      <c r="B255" s="12" t="s">
        <v>162</v>
      </c>
      <c r="C255" s="19">
        <f ca="1">IF(OR(OFFSET(C245,0,-2)="輔料1",OFFSET(C245,0,-2)="輔料",C246="主料",AND(C248=OFFSET(C248,-13,0),IFERROR(C249=OFFSET(C249,-13,0),FALSE))),0,1)</f>
        <v>0</v>
      </c>
    </row>
    <row r="256" spans="1:3" ht="30" customHeight="1">
      <c r="A256" s="26"/>
      <c r="B256" s="12" t="s">
        <v>27</v>
      </c>
      <c r="C256" s="11" t="s">
        <v>163</v>
      </c>
    </row>
    <row r="257" spans="1:3" ht="17">
      <c r="A257" s="26"/>
      <c r="B257" s="10" t="s">
        <v>29</v>
      </c>
      <c r="C257" s="18">
        <f ca="1">IFERROR(IF(C250=0,0,(C251/1000000*((C248+$C$82)*(C249+$C$83)*(1+C252)*C250)+IF(AND(MAX(C248:C249)+$C$82&lt;$C$84,MIN(C248:C249)+$C$83&lt;$C$85),$C$86,IF(AND(MAX(C248:C249)+$C$82&lt;$C$87,MIN(C248:C249)+$C$83&lt;$C$88),$C$89,$C$90))/IF(AND(MAX(C248:C249)+$C$82&lt;$C$84,MIN(C248:C249)+$C$83&lt;$C$85),MAX(INT($C$84/(C248+$C$82))*INT($C$85/(C249+$C$83)),INT($C$84/(C249+$C$83))*INT($C$85/(C248+$C$82))),IF(AND(MAX(C248:C249)&lt;$C$87,MIN(C248:C249)&lt;$C$88),MAX(INT($C$87/(C248+$C$82))*INT($C$88/(C249+$C$83)),INT($C$87/(C249+$C$83))*INT($C$88/(C248+$C$82))),MAX(INT($C$91/(C248+$C$82))*INT($C$92/(C249+$C$83)),INT($C$91/(C249+$C$83))*INT($C$92/(C248+$C$82)))))*(1+$C$93)*C254+C255*$C$94*$C$95/60*(1+$C$96))),0)</f>
        <v>4.4332126119999999E-3</v>
      </c>
    </row>
    <row r="258" spans="1:3" ht="17">
      <c r="A258" s="23"/>
      <c r="B258" s="10"/>
      <c r="C258" s="31" t="s">
        <v>205</v>
      </c>
    </row>
    <row r="259" spans="1:3" ht="17">
      <c r="A259" s="26" t="s">
        <v>176</v>
      </c>
      <c r="B259" s="12" t="s">
        <v>152</v>
      </c>
      <c r="C259" s="31" t="s">
        <v>204</v>
      </c>
    </row>
    <row r="260" spans="1:3" ht="17">
      <c r="A260" s="26"/>
      <c r="B260" s="12" t="s">
        <v>154</v>
      </c>
      <c r="C260" s="11" t="s">
        <v>155</v>
      </c>
    </row>
    <row r="261" spans="1:3" ht="17">
      <c r="A261" s="26"/>
      <c r="B261" s="12" t="s">
        <v>145</v>
      </c>
      <c r="C261" s="11" t="s">
        <v>156</v>
      </c>
    </row>
    <row r="262" spans="1:3" ht="17">
      <c r="A262" s="26"/>
      <c r="B262" s="12" t="s">
        <v>136</v>
      </c>
      <c r="C262" s="15">
        <v>50</v>
      </c>
    </row>
    <row r="263" spans="1:3" ht="17">
      <c r="A263" s="26"/>
      <c r="B263" s="12" t="s">
        <v>32</v>
      </c>
      <c r="C263" s="15">
        <v>20</v>
      </c>
    </row>
    <row r="264" spans="1:3" ht="17">
      <c r="A264" s="26"/>
      <c r="B264" s="12" t="s">
        <v>138</v>
      </c>
      <c r="C264" s="13">
        <v>1</v>
      </c>
    </row>
    <row r="265" spans="1:3" ht="17">
      <c r="A265" s="26"/>
      <c r="B265" s="12" t="s">
        <v>157</v>
      </c>
      <c r="C265" s="20" t="s">
        <v>177</v>
      </c>
    </row>
    <row r="266" spans="1:3" ht="17">
      <c r="A266" s="26"/>
      <c r="B266" s="12" t="s">
        <v>159</v>
      </c>
      <c r="C266" s="17">
        <v>0.03</v>
      </c>
    </row>
    <row r="267" spans="1:3" ht="17">
      <c r="A267" s="26"/>
      <c r="B267" s="12" t="s">
        <v>160</v>
      </c>
      <c r="C267" s="19">
        <f>IFERROR(IF(C264=0,0,IF(C260="次料",0,IF(C261="平貼",IF(C262&gt;$C$131,C264*$C$107,IF(C262&gt;$C$130,C264*$C$106,IF(C262&gt;$C$129,C264*$C$105,IF(C262&gt;$C$128,C264*$C$104,IF(C262&gt;$C$127,C264*$C$103,IF(C262&gt;$C$126,C264*$C$102,IF(C262&gt;$C$125,C264*$C$101,IF(C262&gt;$C$124,C264*$C$100,IF(C262&gt;$C$123,C264*$C$99,IF(C262&gt;$C$122,C264*$C$98,C264*$C$97)))))))))),IF(C261="環包",IF(C263&lt;=$C$132,$C$108*C264,IF(C262&gt;$C$142,$C$119*C264,IF(C262&gt;$C$141,$C$118*C264,IF(C262&gt;$C$140,$C$117*C264,IF(C262&gt;$C$139,$C$116*C264,IF(C262&gt;$C$138,$C$115*C264,IF(C262&gt;$C$137,$C$114*C264,IF(C262&gt;$C$136,$C$113*C264,IF(C262&gt;$C$135,$C$112*C264,IF(C262&gt;$C$134,$C$111*C264,IF(C262&gt;$C$133,$C$110*C264,$C$109*C264))))))))))),IF(C262&lt;=$C$144,($C$120*C264),((INT(C262/$C$143)*$C$121)+$C$120*C264)))))),0)</f>
        <v>6</v>
      </c>
    </row>
    <row r="268" spans="1:3" ht="17">
      <c r="A268" s="26"/>
      <c r="B268" s="12" t="s">
        <v>161</v>
      </c>
      <c r="C268" s="19">
        <f ca="1">IF(OR(OFFSET(C259,0,-2)="輔料1",OFFSET(C259,0,-2)="輔料",OFFSET(C259,0,-2)="輔料",C260="主料",NOT(AND(C262=OFFSET(C262,-13,0),IFERROR(C263=OFFSET(C263,-13,0),FALSE)))),1,0)</f>
        <v>1</v>
      </c>
    </row>
    <row r="269" spans="1:3" ht="17">
      <c r="A269" s="26"/>
      <c r="B269" s="12" t="s">
        <v>162</v>
      </c>
      <c r="C269" s="19">
        <f ca="1">IF(OR(OFFSET(C259,0,-2)="輔料1",OFFSET(C259,0,-2)="輔料",C260="主料",AND(C262=OFFSET(C262,-13,0),IFERROR(C263=OFFSET(C263,-13,0),FALSE))),0,1)</f>
        <v>0</v>
      </c>
    </row>
    <row r="270" spans="1:3" ht="30" customHeight="1">
      <c r="A270" s="26"/>
      <c r="B270" s="12" t="s">
        <v>27</v>
      </c>
      <c r="C270" s="11" t="s">
        <v>163</v>
      </c>
    </row>
    <row r="271" spans="1:3" ht="17">
      <c r="A271" s="26"/>
      <c r="B271" s="10" t="s">
        <v>29</v>
      </c>
      <c r="C271" s="18">
        <f ca="1">IFERROR(IF(C264=0,0,(C265/1000000*((C262+$C$82)*(C263+$C$83)*(1+C266)*C264)+IF(AND(MAX(C262:C263)+$C$82&lt;$C$84,MIN(C262:C263)+$C$83&lt;$C$85),$C$86,IF(AND(MAX(C262:C263)+$C$82&lt;$C$87,MIN(C262:C263)+$C$83&lt;$C$88),$C$89,$C$90))/IF(AND(MAX(C262:C263)+$C$82&lt;$C$84,MIN(C262:C263)+$C$83&lt;$C$85),MAX(INT($C$84/(C262+$C$82))*INT($C$85/(C263+$C$83)),INT($C$84/(C263+$C$83))*INT($C$85/(C262+$C$82))),IF(AND(MAX(C262:C263)&lt;$C$87,MIN(C262:C263)&lt;$C$88),MAX(INT($C$87/(C262+$C$82))*INT($C$88/(C263+$C$83)),INT($C$87/(C263+$C$83))*INT($C$88/(C262+$C$82))),MAX(INT($C$91/(C262+$C$82))*INT($C$92/(C263+$C$83)),INT($C$91/(C263+$C$83))*INT($C$92/(C262+$C$82)))))*(1+$C$93)*C268+C269*$C$94*$C$95/60*(1+$C$96))),0)</f>
        <v>3.5141734811428571E-3</v>
      </c>
    </row>
    <row r="272" spans="1:3" ht="17">
      <c r="A272" s="23"/>
      <c r="B272" s="10"/>
      <c r="C272" s="31" t="s">
        <v>207</v>
      </c>
    </row>
    <row r="273" spans="1:3" ht="17">
      <c r="A273" s="26" t="s">
        <v>178</v>
      </c>
      <c r="B273" s="12" t="s">
        <v>152</v>
      </c>
      <c r="C273" s="31" t="s">
        <v>206</v>
      </c>
    </row>
    <row r="274" spans="1:3" ht="17">
      <c r="A274" s="26"/>
      <c r="B274" s="12" t="s">
        <v>154</v>
      </c>
      <c r="C274" s="11" t="s">
        <v>155</v>
      </c>
    </row>
    <row r="275" spans="1:3" ht="17">
      <c r="A275" s="26"/>
      <c r="B275" s="12" t="s">
        <v>145</v>
      </c>
      <c r="C275" s="11" t="s">
        <v>156</v>
      </c>
    </row>
    <row r="276" spans="1:3" ht="17">
      <c r="A276" s="26"/>
      <c r="B276" s="12" t="s">
        <v>136</v>
      </c>
      <c r="C276" s="15">
        <v>30</v>
      </c>
    </row>
    <row r="277" spans="1:3" ht="17">
      <c r="A277" s="26"/>
      <c r="B277" s="12" t="s">
        <v>32</v>
      </c>
      <c r="C277" s="15">
        <v>15</v>
      </c>
    </row>
    <row r="278" spans="1:3" ht="17">
      <c r="A278" s="26"/>
      <c r="B278" s="12" t="s">
        <v>138</v>
      </c>
      <c r="C278" s="13">
        <v>1</v>
      </c>
    </row>
    <row r="279" spans="1:3" ht="17">
      <c r="A279" s="26"/>
      <c r="B279" s="12" t="s">
        <v>157</v>
      </c>
      <c r="C279" s="20" t="s">
        <v>179</v>
      </c>
    </row>
    <row r="280" spans="1:3" ht="17">
      <c r="A280" s="26"/>
      <c r="B280" s="12" t="s">
        <v>159</v>
      </c>
      <c r="C280" s="17">
        <v>0.03</v>
      </c>
    </row>
    <row r="281" spans="1:3" ht="17">
      <c r="A281" s="26"/>
      <c r="B281" s="12" t="s">
        <v>160</v>
      </c>
      <c r="C281" s="19">
        <f>IFERROR(IF(C278=0,0,IF(C274="次料",0,IF(C275="平貼",IF(C276&gt;$C$131,C278*$C$107,IF(C276&gt;$C$130,C278*$C$106,IF(C276&gt;$C$129,C278*$C$105,IF(C276&gt;$C$128,C278*$C$104,IF(C276&gt;$C$127,C278*$C$103,IF(C276&gt;$C$126,C278*$C$102,IF(C276&gt;$C$125,C278*$C$101,IF(C276&gt;$C$124,C278*$C$100,IF(C276&gt;$C$123,C278*$C$99,IF(C276&gt;$C$122,C278*$C$98,C278*$C$97)))))))))),IF(C275="環包",IF(C277&lt;=$C$132,$C$108*C278,IF(C276&gt;$C$142,$C$119*C278,IF(C276&gt;$C$141,$C$118*C278,IF(C276&gt;$C$140,$C$117*C278,IF(C276&gt;$C$139,$C$116*C278,IF(C276&gt;$C$138,$C$115*C278,IF(C276&gt;$C$137,$C$114*C278,IF(C276&gt;$C$136,$C$113*C278,IF(C276&gt;$C$135,$C$112*C278,IF(C276&gt;$C$134,$C$111*C278,IF(C276&gt;$C$133,$C$110*C278,$C$109*C278))))))))))),IF(C276&lt;=$C$144,($C$120*C278),((INT(C276/$C$143)*$C$121)+$C$120*C278)))))),0)</f>
        <v>6</v>
      </c>
    </row>
    <row r="282" spans="1:3" ht="17">
      <c r="A282" s="26"/>
      <c r="B282" s="12" t="s">
        <v>161</v>
      </c>
      <c r="C282" s="19">
        <f ca="1">IF(OR(OFFSET(C273,0,-2)="輔料1",OFFSET(C273,0,-2)="輔料",OFFSET(C273,0,-2)="輔料",C274="主料",NOT(AND(C276=OFFSET(C276,-13,0),IFERROR(C277=OFFSET(C277,-13,0),FALSE)))),1,0)</f>
        <v>1</v>
      </c>
    </row>
    <row r="283" spans="1:3" ht="17">
      <c r="A283" s="26"/>
      <c r="B283" s="12" t="s">
        <v>162</v>
      </c>
      <c r="C283" s="19">
        <f ca="1">IF(OR(OFFSET(C273,0,-2)="輔料1",OFFSET(C273,0,-2)="輔料",C274="主料",AND(C276=OFFSET(C276,-13,0),IFERROR(C277=OFFSET(C277,-13,0),FALSE))),0,1)</f>
        <v>0</v>
      </c>
    </row>
    <row r="284" spans="1:3" ht="30" customHeight="1">
      <c r="A284" s="26"/>
      <c r="B284" s="12" t="s">
        <v>27</v>
      </c>
      <c r="C284" s="11" t="s">
        <v>163</v>
      </c>
    </row>
    <row r="285" spans="1:3" ht="17">
      <c r="A285" s="26"/>
      <c r="B285" s="10" t="s">
        <v>29</v>
      </c>
      <c r="C285" s="18">
        <f ca="1">IFERROR(IF(C278=0,0,(C279/1000000*((C276+$C$82)*(C277+$C$83)*(1+C280)*C278)+IF(AND(MAX(C276:C277)+$C$82&lt;$C$84,MIN(C276:C277)+$C$83&lt;$C$85),$C$86,IF(AND(MAX(C276:C277)+$C$82&lt;$C$87,MIN(C276:C277)+$C$83&lt;$C$88),$C$89,$C$90))/IF(AND(MAX(C276:C277)+$C$82&lt;$C$84,MIN(C276:C277)+$C$83&lt;$C$85),MAX(INT($C$84/(C276+$C$82))*INT($C$85/(C277+$C$83)),INT($C$84/(C277+$C$83))*INT($C$85/(C276+$C$82))),IF(AND(MAX(C276:C277)&lt;$C$87,MIN(C276:C277)&lt;$C$88),MAX(INT($C$87/(C276+$C$82))*INT($C$88/(C277+$C$83)),INT($C$87/(C277+$C$83))*INT($C$88/(C276+$C$82))),MAX(INT($C$91/(C276+$C$82))*INT($C$92/(C277+$C$83)),INT($C$91/(C277+$C$83))*INT($C$92/(C276+$C$82)))))*(1+$C$93)*C282+C283*$C$94*$C$95/60*(1+$C$96))),0)</f>
        <v>1.9158184653333334E-3</v>
      </c>
    </row>
    <row r="286" spans="1:3" ht="17">
      <c r="A286" s="23"/>
      <c r="B286" s="10" t="s">
        <v>195</v>
      </c>
      <c r="C286" s="11" t="s">
        <v>181</v>
      </c>
    </row>
    <row r="287" spans="1:3" ht="17">
      <c r="A287" s="26" t="s">
        <v>180</v>
      </c>
      <c r="B287" s="12" t="s">
        <v>152</v>
      </c>
      <c r="C287" s="11" t="s">
        <v>181</v>
      </c>
    </row>
    <row r="288" spans="1:3" ht="17">
      <c r="A288" s="26"/>
      <c r="B288" s="12" t="s">
        <v>154</v>
      </c>
      <c r="C288" s="11" t="s">
        <v>155</v>
      </c>
    </row>
    <row r="289" spans="1:3" ht="17">
      <c r="A289" s="26"/>
      <c r="B289" s="12" t="s">
        <v>145</v>
      </c>
      <c r="C289" s="11" t="s">
        <v>156</v>
      </c>
    </row>
    <row r="290" spans="1:3" ht="17">
      <c r="A290" s="26"/>
      <c r="B290" s="12" t="s">
        <v>136</v>
      </c>
      <c r="C290" s="15">
        <v>50</v>
      </c>
    </row>
    <row r="291" spans="1:3" ht="17">
      <c r="A291" s="26"/>
      <c r="B291" s="12" t="s">
        <v>32</v>
      </c>
      <c r="C291" s="15">
        <v>20</v>
      </c>
    </row>
    <row r="292" spans="1:3" ht="17">
      <c r="A292" s="26"/>
      <c r="B292" s="12" t="s">
        <v>138</v>
      </c>
      <c r="C292" s="13">
        <v>1</v>
      </c>
    </row>
    <row r="293" spans="1:3" ht="17">
      <c r="A293" s="26"/>
      <c r="B293" s="12" t="s">
        <v>157</v>
      </c>
      <c r="C293" s="20" t="s">
        <v>182</v>
      </c>
    </row>
    <row r="294" spans="1:3" ht="17">
      <c r="A294" s="26"/>
      <c r="B294" s="12" t="s">
        <v>159</v>
      </c>
      <c r="C294" s="17">
        <v>0.03</v>
      </c>
    </row>
    <row r="295" spans="1:3" ht="17">
      <c r="A295" s="26"/>
      <c r="B295" s="12" t="s">
        <v>160</v>
      </c>
      <c r="C295" s="19">
        <f>IFERROR(IF(C292=0,0,IF(C288="次料",0,IF(C289="平貼",IF(C290&gt;$C$131,C292*$C$107,IF(C290&gt;$C$130,C292*$C$106,IF(C290&gt;$C$129,C292*$C$105,IF(C290&gt;$C$128,C292*$C$104,IF(C290&gt;$C$127,C292*$C$103,IF(C290&gt;$C$126,C292*$C$102,IF(C290&gt;$C$125,C292*$C$101,IF(C290&gt;$C$124,C292*$C$100,IF(C290&gt;$C$123,C292*$C$99,IF(C290&gt;$C$122,C292*$C$98,C292*$C$97)))))))))),IF(C289="環包",IF(C291&lt;=$C$132,$C$108*C292,IF(C290&gt;$C$142,$C$119*C292,IF(C290&gt;$C$141,$C$118*C292,IF(C290&gt;$C$140,$C$117*C292,IF(C290&gt;$C$139,$C$116*C292,IF(C290&gt;$C$138,$C$115*C292,IF(C290&gt;$C$137,$C$114*C292,IF(C290&gt;$C$136,$C$113*C292,IF(C290&gt;$C$135,$C$112*C292,IF(C290&gt;$C$134,$C$111*C292,IF(C290&gt;$C$133,$C$110*C292,$C$109*C292))))))))))),IF(C290&lt;=$C$144,($C$120*C292),((INT(C290/$C$143)*$C$121)+$C$120*C292)))))),0)</f>
        <v>6</v>
      </c>
    </row>
    <row r="296" spans="1:3" ht="17">
      <c r="A296" s="26"/>
      <c r="B296" s="12" t="s">
        <v>161</v>
      </c>
      <c r="C296" s="19">
        <f ca="1">IF(OR(OFFSET(C287,0,-2)="輔料1",OFFSET(C287,0,-2)="輔料",OFFSET(C287,0,-2)="輔料",C288="主料",NOT(AND(C290=OFFSET(C290,-13,0),IFERROR(C291=OFFSET(C291,-13,0),FALSE)))),1,0)</f>
        <v>1</v>
      </c>
    </row>
    <row r="297" spans="1:3" ht="17">
      <c r="A297" s="26"/>
      <c r="B297" s="12" t="s">
        <v>162</v>
      </c>
      <c r="C297" s="19">
        <f ca="1">IF(OR(OFFSET(C287,0,-2)="輔料1",OFFSET(C287,0,-2)="輔料",C288="主料",AND(C290=OFFSET(C290,-13,0),IFERROR(C291=OFFSET(C291,-13,0),FALSE))),0,1)</f>
        <v>0</v>
      </c>
    </row>
    <row r="298" spans="1:3" ht="30" customHeight="1">
      <c r="A298" s="26"/>
      <c r="B298" s="12" t="s">
        <v>27</v>
      </c>
      <c r="C298" s="11" t="s">
        <v>163</v>
      </c>
    </row>
    <row r="299" spans="1:3" ht="17">
      <c r="A299" s="26"/>
      <c r="B299" s="10" t="s">
        <v>29</v>
      </c>
      <c r="C299" s="18">
        <f ca="1">IFERROR(IF(C292=0,0,(C293/1000000*((C290+$C$82)*(C291+$C$83)*(1+C294)*C292)+IF(AND(MAX(C290:C291)+$C$82&lt;$C$84,MIN(C290:C291)+$C$83&lt;$C$85),$C$86,IF(AND(MAX(C290:C291)+$C$82&lt;$C$87,MIN(C290:C291)+$C$83&lt;$C$88),$C$89,$C$90))/IF(AND(MAX(C290:C291)+$C$82&lt;$C$84,MIN(C290:C291)+$C$83&lt;$C$85),MAX(INT($C$84/(C290+$C$82))*INT($C$85/(C291+$C$83)),INT($C$84/(C291+$C$83))*INT($C$85/(C290+$C$82))),IF(AND(MAX(C290:C291)&lt;$C$87,MIN(C290:C291)&lt;$C$88),MAX(INT($C$87/(C290+$C$82))*INT($C$88/(C291+$C$83)),INT($C$87/(C291+$C$83))*INT($C$88/(C290+$C$82))),MAX(INT($C$91/(C290+$C$82))*INT($C$92/(C291+$C$83)),INT($C$91/(C291+$C$83))*INT($C$92/(C290+$C$82)))))*(1+$C$93)*C296+C297*$C$94*$C$95/60*(1+$C$96))),0)</f>
        <v>1.0425508731428572E-3</v>
      </c>
    </row>
    <row r="300" spans="1:3" ht="17">
      <c r="A300" s="23"/>
      <c r="B300" s="10" t="s">
        <v>195</v>
      </c>
      <c r="C300" s="31" t="s">
        <v>209</v>
      </c>
    </row>
    <row r="301" spans="1:3" ht="17">
      <c r="A301" s="26" t="s">
        <v>183</v>
      </c>
      <c r="B301" s="12" t="s">
        <v>152</v>
      </c>
      <c r="C301" s="31" t="s">
        <v>208</v>
      </c>
    </row>
    <row r="302" spans="1:3" ht="17">
      <c r="A302" s="26"/>
      <c r="B302" s="12" t="s">
        <v>154</v>
      </c>
      <c r="C302" s="11" t="s">
        <v>155</v>
      </c>
    </row>
    <row r="303" spans="1:3" ht="17">
      <c r="A303" s="26"/>
      <c r="B303" s="12" t="s">
        <v>145</v>
      </c>
      <c r="C303" s="11" t="s">
        <v>156</v>
      </c>
    </row>
    <row r="304" spans="1:3" ht="17">
      <c r="A304" s="26"/>
      <c r="B304" s="12" t="s">
        <v>136</v>
      </c>
      <c r="C304" s="15">
        <v>50</v>
      </c>
    </row>
    <row r="305" spans="1:3" ht="17">
      <c r="A305" s="26"/>
      <c r="B305" s="12" t="s">
        <v>32</v>
      </c>
      <c r="C305" s="15">
        <v>20</v>
      </c>
    </row>
    <row r="306" spans="1:3" ht="17">
      <c r="A306" s="26"/>
      <c r="B306" s="12" t="s">
        <v>138</v>
      </c>
      <c r="C306" s="13">
        <v>1</v>
      </c>
    </row>
    <row r="307" spans="1:3" ht="17">
      <c r="A307" s="26"/>
      <c r="B307" s="12" t="s">
        <v>157</v>
      </c>
      <c r="C307" s="20" t="s">
        <v>184</v>
      </c>
    </row>
    <row r="308" spans="1:3" ht="17">
      <c r="A308" s="26"/>
      <c r="B308" s="12" t="s">
        <v>159</v>
      </c>
      <c r="C308" s="17">
        <v>0.03</v>
      </c>
    </row>
    <row r="309" spans="1:3" ht="17">
      <c r="A309" s="26"/>
      <c r="B309" s="12" t="s">
        <v>160</v>
      </c>
      <c r="C309" s="19">
        <f>IFERROR(IF(C306=0,0,IF(C302="次料",0,IF(C303="平貼",IF(C304&gt;$C$131,C306*$C$107,IF(C304&gt;$C$130,C306*$C$106,IF(C304&gt;$C$129,C306*$C$105,IF(C304&gt;$C$128,C306*$C$104,IF(C304&gt;$C$127,C306*$C$103,IF(C304&gt;$C$126,C306*$C$102,IF(C304&gt;$C$125,C306*$C$101,IF(C304&gt;$C$124,C306*$C$100,IF(C304&gt;$C$123,C306*$C$99,IF(C304&gt;$C$122,C306*$C$98,C306*$C$97)))))))))),IF(C303="環包",IF(C305&lt;=$C$132,$C$108*C306,IF(C304&gt;$C$142,$C$119*C306,IF(C304&gt;$C$141,$C$118*C306,IF(C304&gt;$C$140,$C$117*C306,IF(C304&gt;$C$139,$C$116*C306,IF(C304&gt;$C$138,$C$115*C306,IF(C304&gt;$C$137,$C$114*C306,IF(C304&gt;$C$136,$C$113*C306,IF(C304&gt;$C$135,$C$112*C306,IF(C304&gt;$C$134,$C$111*C306,IF(C304&gt;$C$133,$C$110*C306,$C$109*C306))))))))))),IF(C304&lt;=$C$144,($C$120*C306),((INT(C304/$C$143)*$C$121)+$C$120*C306)))))),0)</f>
        <v>6</v>
      </c>
    </row>
    <row r="310" spans="1:3" ht="17">
      <c r="A310" s="26"/>
      <c r="B310" s="12" t="s">
        <v>161</v>
      </c>
      <c r="C310" s="19">
        <f ca="1">IF(OR(OFFSET(C301,0,-2)="輔料1",OFFSET(C301,0,-2)="輔料",OFFSET(C301,0,-2)="輔料",C302="主料",NOT(AND(C304=OFFSET(C304,-13,0),IFERROR(C305=OFFSET(C305,-13,0),FALSE)))),1,0)</f>
        <v>1</v>
      </c>
    </row>
    <row r="311" spans="1:3" ht="17">
      <c r="A311" s="26"/>
      <c r="B311" s="12" t="s">
        <v>162</v>
      </c>
      <c r="C311" s="19">
        <f ca="1">IF(OR(OFFSET(C301,0,-2)="輔料1",OFFSET(C301,0,-2)="輔料",C302="主料",AND(C304=OFFSET(C304,-13,0),IFERROR(C305=OFFSET(C305,-13,0),FALSE))),0,1)</f>
        <v>0</v>
      </c>
    </row>
    <row r="312" spans="1:3" ht="30" customHeight="1">
      <c r="A312" s="26"/>
      <c r="B312" s="12" t="s">
        <v>27</v>
      </c>
      <c r="C312" s="11" t="s">
        <v>163</v>
      </c>
    </row>
    <row r="313" spans="1:3" ht="17">
      <c r="A313" s="26"/>
      <c r="B313" s="10" t="s">
        <v>29</v>
      </c>
      <c r="C313" s="18">
        <f ca="1">IFERROR(IF(C306=0,0,(C307/1000000*((C304+$C$82)*(C305+$C$83)*(1+C308)*C306)+IF(AND(MAX(C304:C305)+$C$82&lt;$C$84,MIN(C304:C305)+$C$83&lt;$C$85),$C$86,IF(AND(MAX(C304:C305)+$C$82&lt;$C$87,MIN(C304:C305)+$C$83&lt;$C$88),$C$89,$C$90))/IF(AND(MAX(C304:C305)+$C$82&lt;$C$84,MIN(C304:C305)+$C$83&lt;$C$85),MAX(INT($C$84/(C304+$C$82))*INT($C$85/(C305+$C$83)),INT($C$84/(C305+$C$83))*INT($C$85/(C304+$C$82))),IF(AND(MAX(C304:C305)&lt;$C$87,MIN(C304:C305)&lt;$C$88),MAX(INT($C$87/(C304+$C$82))*INT($C$88/(C305+$C$83)),INT($C$87/(C305+$C$83))*INT($C$88/(C304+$C$82))),MAX(INT($C$91/(C304+$C$82))*INT($C$92/(C305+$C$83)),INT($C$91/(C305+$C$83))*INT($C$92/(C304+$C$82)))))*(1+$C$93)*C310+C311*$C$94*$C$95/60*(1+$C$96))),0)</f>
        <v>5.3202381051428577E-3</v>
      </c>
    </row>
    <row r="314" spans="1:3" ht="17">
      <c r="A314" s="23"/>
      <c r="B314" s="10" t="s">
        <v>195</v>
      </c>
      <c r="C314" s="18" t="s">
        <v>210</v>
      </c>
    </row>
    <row r="315" spans="1:3" ht="17">
      <c r="A315" s="26" t="s">
        <v>185</v>
      </c>
      <c r="B315" s="12" t="s">
        <v>152</v>
      </c>
      <c r="C315" s="11"/>
    </row>
    <row r="316" spans="1:3" ht="17">
      <c r="A316" s="26"/>
      <c r="B316" s="12" t="s">
        <v>154</v>
      </c>
      <c r="C316" s="11" t="s">
        <v>155</v>
      </c>
    </row>
    <row r="317" spans="1:3" ht="17">
      <c r="A317" s="26"/>
      <c r="B317" s="12" t="s">
        <v>145</v>
      </c>
      <c r="C317" s="11" t="s">
        <v>156</v>
      </c>
    </row>
    <row r="318" spans="1:3" ht="17">
      <c r="A318" s="26"/>
      <c r="B318" s="12" t="s">
        <v>136</v>
      </c>
      <c r="C318" s="15">
        <v>50</v>
      </c>
    </row>
    <row r="319" spans="1:3" ht="17">
      <c r="A319" s="26"/>
      <c r="B319" s="12" t="s">
        <v>32</v>
      </c>
      <c r="C319" s="15">
        <v>20</v>
      </c>
    </row>
    <row r="320" spans="1:3" ht="17">
      <c r="A320" s="26"/>
      <c r="B320" s="12" t="s">
        <v>138</v>
      </c>
      <c r="C320" s="13">
        <v>1</v>
      </c>
    </row>
    <row r="321" spans="1:3" ht="17">
      <c r="A321" s="26"/>
      <c r="B321" s="12" t="s">
        <v>157</v>
      </c>
      <c r="C321" s="20"/>
    </row>
    <row r="322" spans="1:3" ht="17">
      <c r="A322" s="26"/>
      <c r="B322" s="12" t="s">
        <v>159</v>
      </c>
      <c r="C322" s="17">
        <v>0</v>
      </c>
    </row>
    <row r="323" spans="1:3" ht="17">
      <c r="A323" s="26"/>
      <c r="B323" s="12" t="s">
        <v>160</v>
      </c>
      <c r="C323" s="19">
        <f>IFERROR(IF(C320=0,0,IF(C316="次料",0,IF(C317="平貼",IF(C318&gt;$C$131,C320*$C$107,IF(C318&gt;$C$130,C320*$C$106,IF(C318&gt;$C$129,C320*$C$105,IF(C318&gt;$C$128,C320*$C$104,IF(C318&gt;$C$127,C320*$C$103,IF(C318&gt;$C$126,C320*$C$102,IF(C318&gt;$C$125,C320*$C$101,IF(C318&gt;$C$124,C320*$C$100,IF(C318&gt;$C$123,C320*$C$99,IF(C318&gt;$C$122,C320*$C$98,C320*$C$97)))))))))),IF(C317="環包",IF(C319&lt;=$C$132,$C$108*C320,IF(C318&gt;$C$142,$C$119*C320,IF(C318&gt;$C$141,$C$118*C320,IF(C318&gt;$C$140,$C$117*C320,IF(C318&gt;$C$139,$C$116*C320,IF(C318&gt;$C$138,$C$115*C320,IF(C318&gt;$C$137,$C$114*C320,IF(C318&gt;$C$136,$C$113*C320,IF(C318&gt;$C$135,$C$112*C320,IF(C318&gt;$C$134,$C$111*C320,IF(C318&gt;$C$133,$C$110*C320,$C$109*C320))))))))))),IF(C318&lt;=$C$144,($C$120*C320),((INT(C318/$C$143)*$C$121)+$C$120*C320)))))),0)</f>
        <v>6</v>
      </c>
    </row>
    <row r="324" spans="1:3" ht="17">
      <c r="A324" s="26"/>
      <c r="B324" s="12" t="s">
        <v>161</v>
      </c>
      <c r="C324" s="19">
        <f ca="1">IF(OR(OFFSET(C315,0,-2)="輔料1",OFFSET(C315,0,-2)="輔料",OFFSET(C315,0,-2)="輔料",C316="主料",NOT(AND(C318=OFFSET(C318,-13,0),IFERROR(C319=OFFSET(C319,-13,0),FALSE)))),1,0)</f>
        <v>1</v>
      </c>
    </row>
    <row r="325" spans="1:3" ht="17">
      <c r="A325" s="26"/>
      <c r="B325" s="12" t="s">
        <v>162</v>
      </c>
      <c r="C325" s="19">
        <f ca="1">IF(OR(OFFSET(C315,0,-2)="輔料1",OFFSET(C315,0,-2)="輔料",C316="主料",AND(C318=OFFSET(C318,-13,0),IFERROR(C319=OFFSET(C319,-13,0),FALSE))),0,1)</f>
        <v>0</v>
      </c>
    </row>
    <row r="326" spans="1:3" ht="30" customHeight="1">
      <c r="A326" s="26"/>
      <c r="B326" s="12" t="s">
        <v>27</v>
      </c>
      <c r="C326" s="11" t="s">
        <v>163</v>
      </c>
    </row>
    <row r="327" spans="1:3" ht="18" thickBot="1">
      <c r="A327" s="26"/>
      <c r="B327" s="10" t="s">
        <v>29</v>
      </c>
      <c r="C327" s="18">
        <f ca="1">IFERROR(IF(C320=0,0,(C321/1000000*((C318+$C$82)*(C319+$C$83)*(1+C322)*C320)+IF(AND(MAX(C318:C319)+$C$82&lt;$C$84,MIN(C318:C319)+$C$83&lt;$C$85),$C$86,IF(AND(MAX(C318:C319)+$C$82&lt;$C$87,MIN(C318:C319)+$C$83&lt;$C$88),$C$89,$C$90))/IF(AND(MAX(C318:C319)+$C$82&lt;$C$84,MIN(C318:C319)+$C$83&lt;$C$85),MAX(INT($C$84/(C318+$C$82))*INT($C$85/(C319+$C$83)),INT($C$84/(C319+$C$83))*INT($C$85/(C318+$C$82))),IF(AND(MAX(C318:C319)&lt;$C$87,MIN(C318:C319)&lt;$C$88),MAX(INT($C$87/(C318+$C$82))*INT($C$88/(C319+$C$83)),INT($C$87/(C319+$C$83))*INT($C$88/(C318+$C$82))),MAX(INT($C$91/(C318+$C$82))*INT($C$92/(C319+$C$83)),INT($C$91/(C319+$C$83))*INT($C$92/(C318+$C$82)))))*(1+$C$93)*C324+C325*$C$94*$C$95/60*(1+$C$96))),0)</f>
        <v>3.7714285714285714E-4</v>
      </c>
    </row>
    <row r="328" spans="1:3" ht="18" thickTop="1" thickBot="1">
      <c r="A328" s="24" t="s">
        <v>16</v>
      </c>
      <c r="B328" s="24"/>
      <c r="C328" s="9">
        <f>C10</f>
        <v>8.6297614853333329E-2</v>
      </c>
    </row>
    <row r="329" spans="1:3" ht="18" thickTop="1" thickBot="1">
      <c r="A329" s="24" t="s">
        <v>37</v>
      </c>
      <c r="B329" s="24"/>
      <c r="C329" s="9">
        <f>C40+C46+C51+C60+C65+C70+C75+C80</f>
        <v>0.25462666666666667</v>
      </c>
    </row>
    <row r="330" spans="1:3" ht="18" thickTop="1" thickBot="1">
      <c r="A330" s="24" t="s">
        <v>71</v>
      </c>
      <c r="B330" s="24"/>
      <c r="C330" s="9">
        <f ca="1">IFERROR(C173+C187+C201+C215+C229+C243+C257+C271+C285+C299+C313+C327+$C$162+$C$153, "")</f>
        <v>0.12507782587301586</v>
      </c>
    </row>
    <row r="331" spans="1:3" ht="18" thickTop="1" thickBot="1">
      <c r="A331" s="25" t="s">
        <v>186</v>
      </c>
      <c r="B331" s="25"/>
      <c r="C331" s="22">
        <v>0.1</v>
      </c>
    </row>
    <row r="332" spans="1:3" ht="18" thickTop="1" thickBot="1">
      <c r="A332" s="24" t="s">
        <v>187</v>
      </c>
      <c r="B332" s="24"/>
      <c r="C332" s="9">
        <f>C329*C331</f>
        <v>2.5462666666666668E-2</v>
      </c>
    </row>
    <row r="333" spans="1:3" ht="18" thickTop="1" thickBot="1">
      <c r="A333" s="24" t="s">
        <v>188</v>
      </c>
      <c r="B333" s="24"/>
      <c r="C333" s="9">
        <f ca="1">IFERROR(C328+C329+C330+C332,"")</f>
        <v>0.49146477405968253</v>
      </c>
    </row>
    <row r="334" spans="1:3" ht="15">
      <c r="A334" s="1" t="s">
        <v>211</v>
      </c>
      <c r="C334" s="1" t="s">
        <v>213</v>
      </c>
    </row>
    <row r="335" spans="1:3" ht="16">
      <c r="A335" s="1" t="s">
        <v>212</v>
      </c>
      <c r="C335" s="37" t="s">
        <v>214</v>
      </c>
    </row>
  </sheetData>
  <mergeCells count="40">
    <mergeCell ref="A4:B4"/>
    <mergeCell ref="A5:B5"/>
    <mergeCell ref="A6:B6"/>
    <mergeCell ref="A7:B7"/>
    <mergeCell ref="A8:B8"/>
    <mergeCell ref="A9:B9"/>
    <mergeCell ref="A10:B10"/>
    <mergeCell ref="A11:A20"/>
    <mergeCell ref="A21:A29"/>
    <mergeCell ref="A30:B30"/>
    <mergeCell ref="A31:A40"/>
    <mergeCell ref="A41:A46"/>
    <mergeCell ref="A47:A51"/>
    <mergeCell ref="A52:A60"/>
    <mergeCell ref="A61:A65"/>
    <mergeCell ref="A66:A70"/>
    <mergeCell ref="A71:A75"/>
    <mergeCell ref="A76:A80"/>
    <mergeCell ref="A81:B81"/>
    <mergeCell ref="A82:A144"/>
    <mergeCell ref="A146:A153"/>
    <mergeCell ref="A155:A162"/>
    <mergeCell ref="A163:A173"/>
    <mergeCell ref="A174:A187"/>
    <mergeCell ref="A189:A201"/>
    <mergeCell ref="A203:A215"/>
    <mergeCell ref="A217:A229"/>
    <mergeCell ref="A231:A243"/>
    <mergeCell ref="A245:A257"/>
    <mergeCell ref="A259:A271"/>
    <mergeCell ref="A273:A285"/>
    <mergeCell ref="A287:A299"/>
    <mergeCell ref="A301:A313"/>
    <mergeCell ref="A315:A327"/>
    <mergeCell ref="A328:B328"/>
    <mergeCell ref="A329:B329"/>
    <mergeCell ref="A330:B330"/>
    <mergeCell ref="A331:B331"/>
    <mergeCell ref="A332:B332"/>
    <mergeCell ref="A333:B333"/>
  </mergeCells>
  <phoneticPr fontId="6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cable ffc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2020-09-03T09:37:16Z</dcterms:created>
  <dcterms:modified xsi:type="dcterms:W3CDTF">2020-09-14T07:50:41Z</dcterms:modified>
</cp:coreProperties>
</file>