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dcdf7eb514dfaeec/Projects/Microgravity-Press-Washing-Machine/System Design and Documentation/Structure and CAD/"/>
    </mc:Choice>
  </mc:AlternateContent>
  <xr:revisionPtr revIDLastSave="950" documentId="13_ncr:1_{4AAA6B9C-80F3-4AB5-A3F7-F08D2B1D8BA3}" xr6:coauthVersionLast="47" xr6:coauthVersionMax="47" xr10:uidLastSave="{A07CB529-EBDD-4A51-86B7-61A3CA1BC13A}"/>
  <bookViews>
    <workbookView xWindow="-98" yWindow="-98" windowWidth="17115" windowHeight="10755" activeTab="2" xr2:uid="{73A7591B-B5CA-4318-9343-9B3FDBEBCAB4}"/>
  </bookViews>
  <sheets>
    <sheet name="Design and Material Specs" sheetId="2" r:id="rId1"/>
    <sheet name="Key Dimensions" sheetId="7" r:id="rId2"/>
    <sheet name="WS Sizing Calculations" sheetId="1" r:id="rId3"/>
    <sheet name="Sources" sheetId="8" r:id="rId4"/>
    <sheet name="Equation Derivation" sheetId="3" r:id="rId5"/>
    <sheet name="Sheet1" sheetId="6" r:id="rId6"/>
  </sheets>
  <definedNames>
    <definedName name="AmbientPressureAbsolute">'Design and Material Specs'!$N$14</definedName>
    <definedName name="AppliedForceNormal">'Design and Material Specs'!$D$5</definedName>
    <definedName name="CoeffStaticFrictionBrassonSteelLubricated">'Design and Material Specs'!$N$15</definedName>
    <definedName name="FS">'Design and Material Specs'!$D$7</definedName>
    <definedName name="lfb2N">'Design and Material Specs'!$N$16</definedName>
    <definedName name="MachineHeight">'Design and Material Specs'!$D$12</definedName>
    <definedName name="MachineLength">'Design and Material Specs'!$D$14</definedName>
    <definedName name="MachineWidth">'Design and Material Specs'!$D$13</definedName>
    <definedName name="MMH">Sheet1!$B$3</definedName>
    <definedName name="PistonSpeed">'Design and Material Specs'!$D$6</definedName>
    <definedName name="PTIH">Sheet1!$B$4</definedName>
    <definedName name="SS303FatigueStrength">'Design and Material Specs'!$N$4</definedName>
    <definedName name="SS303YieldStrength">'Design and Material Specs'!$O$4</definedName>
    <definedName name="SS303YoungsModulus">'Design and Material Specs'!$P$4</definedName>
    <definedName name="WashChamberDiameter">'Design and Material Specs'!$D$10</definedName>
    <definedName name="WCID">Sheet1!$B$2</definedName>
    <definedName name="WPRT">Sheet1!$B$1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8" i="1" l="1"/>
  <c r="D103" i="1"/>
  <c r="D37" i="1"/>
  <c r="D38" i="1"/>
  <c r="D36" i="1" s="1"/>
  <c r="D41" i="1" s="1"/>
  <c r="D42" i="1" s="1"/>
  <c r="D39" i="1"/>
  <c r="D40" i="1"/>
  <c r="D45" i="1"/>
  <c r="D46" i="1"/>
  <c r="F5" i="2"/>
  <c r="N23" i="1"/>
  <c r="D18" i="1"/>
  <c r="D16" i="1"/>
  <c r="N15" i="1" s="1"/>
  <c r="N20" i="1" s="1"/>
  <c r="D134" i="1"/>
  <c r="D137" i="1" s="1"/>
  <c r="D136" i="1"/>
  <c r="D131" i="1"/>
  <c r="N17" i="1"/>
  <c r="D21" i="1"/>
  <c r="I114" i="1"/>
  <c r="I17" i="1" l="1"/>
  <c r="N16" i="1" s="1"/>
  <c r="N19" i="1" s="1"/>
  <c r="D24" i="2"/>
  <c r="D17" i="1"/>
  <c r="D19" i="1" s="1"/>
  <c r="D22" i="1" s="1"/>
  <c r="S55" i="1"/>
  <c r="S57" i="1"/>
  <c r="N59" i="1"/>
  <c r="N65" i="1"/>
  <c r="N55" i="1"/>
  <c r="N56" i="1"/>
  <c r="I39" i="1"/>
  <c r="I45" i="1"/>
  <c r="I47" i="1" s="1"/>
  <c r="I35" i="1"/>
  <c r="I40" i="1" s="1"/>
  <c r="I41" i="1" s="1"/>
  <c r="I36" i="1"/>
  <c r="D99" i="1"/>
  <c r="D106" i="1" s="1"/>
  <c r="I113" i="1" s="1"/>
  <c r="I115" i="1" s="1"/>
  <c r="I116" i="1" s="1"/>
  <c r="I83" i="1"/>
  <c r="I81" i="1"/>
  <c r="I74" i="1"/>
  <c r="B8" i="6" a="1"/>
  <c r="B8" i="6" s="1"/>
  <c r="B7" i="6"/>
  <c r="I18" i="1" l="1"/>
  <c r="I38" i="1"/>
  <c r="N67" i="1"/>
  <c r="N60" i="1"/>
  <c r="I61" i="1"/>
  <c r="D78" i="1"/>
  <c r="I82" i="1"/>
  <c r="D87" i="1"/>
  <c r="I75" i="1"/>
  <c r="I79" i="1"/>
  <c r="I80" i="1" s="1"/>
  <c r="N73" i="1" l="1"/>
  <c r="I85" i="1"/>
  <c r="I86" i="1" s="1"/>
  <c r="D80" i="1"/>
  <c r="D84" i="1"/>
  <c r="D86" i="1" s="1"/>
  <c r="D79" i="1"/>
  <c r="I59" i="1"/>
  <c r="N74" i="1" l="1"/>
  <c r="N76" i="1" s="1"/>
  <c r="D81" i="1"/>
  <c r="I67" i="1"/>
  <c r="I68" i="1" s="1"/>
  <c r="D55" i="1"/>
  <c r="D56" i="1" s="1"/>
  <c r="N75" i="1" l="1"/>
  <c r="N77" i="1" s="1"/>
  <c r="N78" i="1" s="1"/>
  <c r="D57" i="1"/>
  <c r="D58" i="1" s="1"/>
  <c r="I60" i="1" s="1"/>
  <c r="I58" i="1" l="1"/>
  <c r="I63" i="1" s="1"/>
  <c r="I64" i="1" s="1"/>
  <c r="N58" i="1"/>
  <c r="N61" i="1"/>
  <c r="N81" i="1"/>
  <c r="D98" i="1"/>
  <c r="N79" i="1"/>
  <c r="N80" i="1"/>
  <c r="D105" i="1" l="1"/>
  <c r="D100" i="1"/>
  <c r="D104" i="1" l="1"/>
  <c r="D112" i="1"/>
  <c r="D114" i="1" l="1"/>
  <c r="D11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<sst xmlns="http://schemas.openxmlformats.org/spreadsheetml/2006/main" count="455" uniqueCount="264">
  <si>
    <t>Desired Force Application</t>
  </si>
  <si>
    <t>Method</t>
  </si>
  <si>
    <t>Material Properties</t>
  </si>
  <si>
    <t>Design Specifications</t>
  </si>
  <si>
    <t>lb</t>
  </si>
  <si>
    <t>Units</t>
  </si>
  <si>
    <t>Piston Speed</t>
  </si>
  <si>
    <t>ft/s</t>
  </si>
  <si>
    <t>Piston Rod Size For Load Application</t>
  </si>
  <si>
    <t>303 Stainless Steel</t>
  </si>
  <si>
    <t>FS</t>
  </si>
  <si>
    <t>-</t>
  </si>
  <si>
    <t>Max Force Application</t>
  </si>
  <si>
    <t>psi</t>
  </si>
  <si>
    <t>Value</t>
  </si>
  <si>
    <t>Item</t>
  </si>
  <si>
    <t>Source</t>
  </si>
  <si>
    <t>Matweb</t>
  </si>
  <si>
    <t>K</t>
  </si>
  <si>
    <t>I</t>
  </si>
  <si>
    <t>E</t>
  </si>
  <si>
    <t>Pcr</t>
  </si>
  <si>
    <t>Youngs Modulus</t>
  </si>
  <si>
    <t>lmax</t>
  </si>
  <si>
    <t>Piston Travel Max</t>
  </si>
  <si>
    <t xml:space="preserve"> r = Radius of Shaft, R = Radius of Wash Chamber, t = Chamber Top travel, T = Piston travel distance, and V = Volume</t>
  </si>
  <si>
    <t xml:space="preserve">When the chamber top extends upward, it increases the volume of the chamber by the cross sectional area of the wash chamber minus the cross sectional area of the shaft multiplied by the distance traveled, represented by </t>
  </si>
  <si>
    <t>.</t>
  </si>
  <si>
    <t>For const volume, volume of shaft introduced into chamber equated to required chamber top travel</t>
  </si>
  <si>
    <t>πr^2 T=t(πR^2-πr^2)</t>
  </si>
  <si>
    <t>Solved for piston top travel</t>
  </si>
  <si>
    <t>t=πr^2 T/(πR^2-πr^2)</t>
  </si>
  <si>
    <t>Simplified equation for chamber top travel for a given compression piston travel</t>
  </si>
  <si>
    <t>t=r^2*T/(R^2-r^2)</t>
  </si>
  <si>
    <t>H= Max allowable height of machine, r = Radius of Shaft, R = Radius of Wash Chamber, t = Chamber Top travel, T = Piston travel distance, and W[component] = Width or height taken up by component in washing machine</t>
  </si>
  <si>
    <t>Ideal max piston travel for a given height</t>
  </si>
  <si>
    <t>T=H-T</t>
  </si>
  <si>
    <t>Actual allowable piston travel</t>
  </si>
  <si>
    <t>T=H-(T+∑W)</t>
  </si>
  <si>
    <t>Find allowable piston travel based upon thickness of structural members, pistons, and chamber top travel</t>
  </si>
  <si>
    <t>T=H-(T+(r^2*T/(R^2-r^2))+∑W)</t>
  </si>
  <si>
    <t>Allowable piston travel, solving for T</t>
  </si>
  <si>
    <t>T=(H-∑W)(R^2-r^2/(2R^2-r^2))</t>
  </si>
  <si>
    <t>Method:</t>
  </si>
  <si>
    <t>Determine the number of compression cycles that need to take place over the products working lifespan to determine max stress each member can experience under normal operations.</t>
  </si>
  <si>
    <t>Name of Value</t>
  </si>
  <si>
    <t>Symbol</t>
  </si>
  <si>
    <t>Reasoning</t>
  </si>
  <si>
    <t>Load Bearing Material</t>
  </si>
  <si>
    <t>Stress for Given Lifespan</t>
  </si>
  <si>
    <t xml:space="preserve">People Accomodated </t>
  </si>
  <si>
    <t>People</t>
  </si>
  <si>
    <t>NA</t>
  </si>
  <si>
    <t>Crew Size for the ISS</t>
  </si>
  <si>
    <t>Wash Rate</t>
  </si>
  <si>
    <t>Wash/Person/Day</t>
  </si>
  <si>
    <t>Assuming washing full set of clothes per day (over-estimation)</t>
  </si>
  <si>
    <t>304 Stainless Steel</t>
  </si>
  <si>
    <t>Designed Life-Span</t>
  </si>
  <si>
    <t>Years</t>
  </si>
  <si>
    <t>Compressions Per Wash Min</t>
  </si>
  <si>
    <t># of Compression Cycles</t>
  </si>
  <si>
    <t>One compression for hydration, agitation, and removal of water respectively</t>
  </si>
  <si>
    <t>Aluminium 3104-H19</t>
  </si>
  <si>
    <t>Compressions Per Wash Max</t>
  </si>
  <si>
    <t>Arbitrarily chosen to accommodate multiple compressions per wash phase</t>
  </si>
  <si>
    <t>Aluminium 3004-H19</t>
  </si>
  <si>
    <t>Wash Chamber Diameter</t>
  </si>
  <si>
    <t>Wash Chamber Height</t>
  </si>
  <si>
    <t>Max Maching Height</t>
  </si>
  <si>
    <t>Max Machine Width</t>
  </si>
  <si>
    <t>in</t>
  </si>
  <si>
    <t>Max Machine Length</t>
  </si>
  <si>
    <t>a</t>
  </si>
  <si>
    <t>D</t>
  </si>
  <si>
    <t>Shaft Diameter</t>
  </si>
  <si>
    <t>check</t>
  </si>
  <si>
    <t>Reaction Force on Chamber Top Due to Pressure</t>
  </si>
  <si>
    <t>Max Water Pressue</t>
  </si>
  <si>
    <t>Chamber Top Wetted Area</t>
  </si>
  <si>
    <t>Piston Area</t>
  </si>
  <si>
    <t># of Supports</t>
  </si>
  <si>
    <t>Chamber Top Rod Size For Load Application</t>
  </si>
  <si>
    <t># of Lead Screws</t>
  </si>
  <si>
    <t>Tension</t>
  </si>
  <si>
    <t>State of Force</t>
  </si>
  <si>
    <t>Force Applied to Screws</t>
  </si>
  <si>
    <t>Critical Stress Due to Plastic Deformation</t>
  </si>
  <si>
    <t>Coefficient of Friction Equation and Table Chart (engineersedge.com)</t>
  </si>
  <si>
    <t>Max Allowed Stress</t>
  </si>
  <si>
    <t>Minimum diameter of lead screw pure tensile stress</t>
  </si>
  <si>
    <t>Pitch at Given Diameter</t>
  </si>
  <si>
    <t>From Shigleys</t>
  </si>
  <si>
    <t>mean diameter of Lead Screw</t>
  </si>
  <si>
    <t>Unraveled Diameter of Screw</t>
  </si>
  <si>
    <t>Applied Force</t>
  </si>
  <si>
    <t>Pitch Angle of Screw</t>
  </si>
  <si>
    <t>Normal Reaction Force</t>
  </si>
  <si>
    <t>Horizontal Component of Normal Force</t>
  </si>
  <si>
    <t>Friction Force</t>
  </si>
  <si>
    <t>Force Required to Produce Applied Load</t>
  </si>
  <si>
    <t>Torque application required to move piston</t>
  </si>
  <si>
    <t>ft-lb</t>
  </si>
  <si>
    <t>lbf</t>
  </si>
  <si>
    <t>Shear Stress Induced due to Torque</t>
  </si>
  <si>
    <t>Polar Moment of Inertia of Screw (minor dia)</t>
  </si>
  <si>
    <t>1 atm</t>
  </si>
  <si>
    <t>psia</t>
  </si>
  <si>
    <t>Pre-Spec Screw Dimensions</t>
  </si>
  <si>
    <t>Screw Major Diameter</t>
  </si>
  <si>
    <t>Thread Type</t>
  </si>
  <si>
    <t>ACME</t>
  </si>
  <si>
    <t>Screw Minor Diameter</t>
  </si>
  <si>
    <t>Screw Mean Diameter</t>
  </si>
  <si>
    <t>Screw Pitch</t>
  </si>
  <si>
    <t>TPI</t>
  </si>
  <si>
    <t>Material</t>
  </si>
  <si>
    <t>Design Max Stress</t>
  </si>
  <si>
    <t>Mean Screw Circumference</t>
  </si>
  <si>
    <t>Screw Efficiency</t>
  </si>
  <si>
    <t>Minor Diameter Cross Sect. Area</t>
  </si>
  <si>
    <t>Piston Lead Screw Initial Sizing</t>
  </si>
  <si>
    <t>inch/revolution</t>
  </si>
  <si>
    <t>threads/inch</t>
  </si>
  <si>
    <t>Motor Sizing</t>
  </si>
  <si>
    <t>Chain Efficiency</t>
  </si>
  <si>
    <t>radians</t>
  </si>
  <si>
    <t>degrees</t>
  </si>
  <si>
    <t>Screw Pitch Angle</t>
  </si>
  <si>
    <t>Notes</t>
  </si>
  <si>
    <t>initial estimate of rod size to withstand forces associated with maximum working clothing compression</t>
  </si>
  <si>
    <t>Condition</t>
  </si>
  <si>
    <t>Max Clothing Compression</t>
  </si>
  <si>
    <t>~(3/8")</t>
  </si>
  <si>
    <t>Note</t>
  </si>
  <si>
    <t>Mild Steel</t>
  </si>
  <si>
    <t>1 lb = 16 oz</t>
  </si>
  <si>
    <t>oz-in</t>
  </si>
  <si>
    <t>kg-cm</t>
  </si>
  <si>
    <t>Gear Ratio</t>
  </si>
  <si>
    <t>RPM</t>
  </si>
  <si>
    <t>Shaft Diamete</t>
  </si>
  <si>
    <t>Wash Chamber ID</t>
  </si>
  <si>
    <t>Max Machine Height</t>
  </si>
  <si>
    <t>Interference Hardware</t>
  </si>
  <si>
    <t>( MMH - PTIH ) * ( ( ( ( ( WCID / 2 ul ) ^ 2 ul ) - ( WPRT / 2 ul ) ^ 2 ul ) ) / ( ( ( (2 ul * ( WCID / 2 ul )) ^ 2 ul ) - ( WPRT / 2 ul ) ^ 2 ul ) ) )</t>
  </si>
  <si>
    <t>ACME Thread Calculations: A Complete Guide - EngineerExcel</t>
  </si>
  <si>
    <t>Links</t>
  </si>
  <si>
    <t>Lead Screw Analysis of Selected Screw</t>
  </si>
  <si>
    <t>Required Motor Torque to Achieve Applied Force</t>
  </si>
  <si>
    <t>Assumed Sprocket Size</t>
  </si>
  <si>
    <t>from inventor max allowable space for given design</t>
  </si>
  <si>
    <t>From ACME Screw calc (x2 due to 2 acme screws)</t>
  </si>
  <si>
    <t>Chain Tension for Applied Load</t>
  </si>
  <si>
    <t>Driving Chain Size</t>
  </si>
  <si>
    <t>2.1.2 Engagement with Sprockets (chain-guide.com)</t>
  </si>
  <si>
    <t>Total Chain Tension</t>
  </si>
  <si>
    <t>Chain Back Tension (to Prevent Slip)</t>
  </si>
  <si>
    <t>Required Chain Strength</t>
  </si>
  <si>
    <t>Chain Drive Efficiency Estimate</t>
  </si>
  <si>
    <t>Required Torque to Drive Chain</t>
  </si>
  <si>
    <t>Critical Stress Buckling (Check)</t>
  </si>
  <si>
    <t>Stress required to buckle beam</t>
  </si>
  <si>
    <t>in2</t>
  </si>
  <si>
    <t>Force Required to Produce Buckling Stress</t>
  </si>
  <si>
    <t>Reservior Piston Rod Size For Load Application</t>
  </si>
  <si>
    <t>Selected Motor Specifications</t>
  </si>
  <si>
    <t>Voltage</t>
  </si>
  <si>
    <t>Reaction Force on Reservior Piston Due to Potential Developed Pressure</t>
  </si>
  <si>
    <t>Wash Piston Rod</t>
  </si>
  <si>
    <t>Reservior Piston Rod</t>
  </si>
  <si>
    <t>Span of Piston Rod</t>
  </si>
  <si>
    <t>Torque Applied to Screw to Achieve Applied Force</t>
  </si>
  <si>
    <t>Max Stress of Material Used</t>
  </si>
  <si>
    <t>Drive Chain Assembly Mechanical Advantage and Chain Tension</t>
  </si>
  <si>
    <t>Minimum Pin Diameter</t>
  </si>
  <si>
    <t>Piston Rod Area at Pin</t>
  </si>
  <si>
    <t>Stress on Piston Rod at Area</t>
  </si>
  <si>
    <t>Chosen Pin Diameter</t>
  </si>
  <si>
    <t>Machinability Check</t>
  </si>
  <si>
    <t>Pin Hole Depth</t>
  </si>
  <si>
    <t>Nut Thickness for Chosen Pin</t>
  </si>
  <si>
    <t>Hole Diameter to Depth Ratio</t>
  </si>
  <si>
    <t>Diameter to Depth Ratio</t>
  </si>
  <si>
    <t>Reservior Piston Rod Stay Pin Thickness</t>
  </si>
  <si>
    <t>Wash Piston Rod Stay Pin Thickness</t>
  </si>
  <si>
    <t>Feasible but Challenging. Could Possibly be Machined from both sides if needed</t>
  </si>
  <si>
    <t>Based on Dimensions of Reservior Piston in CAD. Pins offset due to distance from center of piston support rods</t>
  </si>
  <si>
    <t>Minimum Spring ID</t>
  </si>
  <si>
    <t>Piston Compliance Springs</t>
  </si>
  <si>
    <t># of Springs</t>
  </si>
  <si>
    <t>Spring Travel</t>
  </si>
  <si>
    <t>Nut Length</t>
  </si>
  <si>
    <t>Force Applied Load</t>
  </si>
  <si>
    <t>Span</t>
  </si>
  <si>
    <t>From NASA</t>
  </si>
  <si>
    <t>Fit 4 machines into one express locker</t>
  </si>
  <si>
    <t>Basics of Bending Stress part 2 - Moment of inertia (youtube.com)</t>
  </si>
  <si>
    <t>Bending Moment</t>
  </si>
  <si>
    <t>in-lb</t>
  </si>
  <si>
    <t>Shear Force</t>
  </si>
  <si>
    <t>Beam Stress &amp; Deflection | MechaniCalc</t>
  </si>
  <si>
    <t>Wash Chamber Access Hatch Calculations</t>
  </si>
  <si>
    <t>Beams - Supported at Both Ends - Continuous and Point Loads (engineeringtoolbox.com)</t>
  </si>
  <si>
    <t>https://engineering.purdue.edu/~ce474/Docs/DA6-BeamFormulas.pdf</t>
  </si>
  <si>
    <t>Bearing Bronze</t>
  </si>
  <si>
    <t>Fatigue Strength (psi)</t>
  </si>
  <si>
    <t>Yield Strength (psi)</t>
  </si>
  <si>
    <t>Constants Referenced</t>
  </si>
  <si>
    <t>Coeff of Friction Lubricated SS on Bearing Bronze</t>
  </si>
  <si>
    <t>bronze 932 Product Guide from Online Metals</t>
  </si>
  <si>
    <t>Nook Industries: PowerAc Precision Acme Screw Assemblies</t>
  </si>
  <si>
    <t>Inventor Tutorials</t>
  </si>
  <si>
    <t>Using Tube &amp; Pipe in Inventor Professional 2021 | Autodesk Virtual Academy (youtube.com)</t>
  </si>
  <si>
    <t>Pipe Routing</t>
  </si>
  <si>
    <t>Wire Routing</t>
  </si>
  <si>
    <t>Autodesk Inventor - Cable Routing (youtube.com)</t>
  </si>
  <si>
    <t>AUTODESK INVENTOR TUTORIAL || ROLLER CHAIN COMMAND (youtube.com)</t>
  </si>
  <si>
    <t>Roller Chain</t>
  </si>
  <si>
    <t>(3) Tutorial Inventor - 143 DA - POWER TRANSMISSION - YouTube</t>
  </si>
  <si>
    <t>Power Transmission Design Accelerator</t>
  </si>
  <si>
    <t>Inventor 2014 Help: Frame Analysis (autodesk.com)</t>
  </si>
  <si>
    <t>Frame Analysis FEA</t>
  </si>
  <si>
    <t>Inventor 2022 Help | Skeletal Modeling | Autodesk</t>
  </si>
  <si>
    <t>Skeletal Modeling</t>
  </si>
  <si>
    <t>Sketch Blocks</t>
  </si>
  <si>
    <t>Autodesk Inventor 2013 - Sketch Blocks (youtube.com)</t>
  </si>
  <si>
    <t>ACME Screw Strength</t>
  </si>
  <si>
    <t>Beam Calculations</t>
  </si>
  <si>
    <t>Section Modulus Equations and Calculators Common Shapes (engineersedge.com)</t>
  </si>
  <si>
    <t>Section Modulus</t>
  </si>
  <si>
    <t>Allowable Piston Travel &amp; Chamber Top Travel</t>
  </si>
  <si>
    <t>Motor Speed</t>
  </si>
  <si>
    <t>Motor RPM</t>
  </si>
  <si>
    <t>Motor Gear Ratio</t>
  </si>
  <si>
    <t>Drive Chain Ratio</t>
  </si>
  <si>
    <t>revolutions/in</t>
  </si>
  <si>
    <t>Power Screw Speed Ratio</t>
  </si>
  <si>
    <t>Screw Drive Speed</t>
  </si>
  <si>
    <t>Linear Speed</t>
  </si>
  <si>
    <t>in/min</t>
  </si>
  <si>
    <t>Plate Thickness</t>
  </si>
  <si>
    <t>Number of Supporting Plates</t>
  </si>
  <si>
    <t>Required Section Modulus (S.S.)</t>
  </si>
  <si>
    <t>Material Shear Strength</t>
  </si>
  <si>
    <t>Minimum Hatch Support Height</t>
  </si>
  <si>
    <t>Effective Support Thickness</t>
  </si>
  <si>
    <t>Beam Dimensions</t>
  </si>
  <si>
    <t>Overestimate of span since design limit is 8.5. Hatch Span will be significantly less</t>
  </si>
  <si>
    <t>Thickness of Hatch Beams</t>
  </si>
  <si>
    <t>Minimum Pin Diameter for Bearing Stress</t>
  </si>
  <si>
    <t>Minimum Pin Diameter for Shear Stress</t>
  </si>
  <si>
    <t>stress=F/(D/2^2)</t>
  </si>
  <si>
    <t>Sqrt((F/S)*2)</t>
  </si>
  <si>
    <t>Thrust Beam Span</t>
  </si>
  <si>
    <t>Span Found from ACME location in assembly</t>
  </si>
  <si>
    <t>Required Pin Thickness (for hatch beam)</t>
  </si>
  <si>
    <t>Assumed Sealing Force</t>
  </si>
  <si>
    <t>not known, assumed</t>
  </si>
  <si>
    <t>N</t>
  </si>
  <si>
    <t>lfb2N</t>
  </si>
  <si>
    <t>Chain Working Tension</t>
  </si>
  <si>
    <t>Reservior Thrust Arm</t>
  </si>
  <si>
    <t>Wash Thrust 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</si>
</sst>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rial"/>
      <family val="2"/>
    </font>
    <font>
      <u/>
      <sz val="11"/>
      <color theme="10"/>
      <name val="Aptos Narrow"/>
      <family val="2"/>
      <scheme val="minor"/>
    </font>
  </fonts>
  <fills count="9">
    <fill>
      <patternFill patternType="none"/>
    </fill>
    <fill>
      <patternFill patternType="gray125"/>
    </fill>
    <fill>
      <patternFill patternType="solid">
        <fgColor rgb="FF996633"/>
        <bgColor indexed="64"/>
      </patternFill>
    </fill>
    <fill>
      <patternFill patternType="solid">
        <fgColor theme="7"/>
        <bgColor indexed="64"/>
      </patternFill>
    </fill>
    <fill>
      <patternFill patternType="solid">
        <fgColor theme="9"/>
        <bgColor indexed="64"/>
      </patternFill>
    </fill>
    <fill>
      <patternFill patternType="solid">
        <fgColor rgb="FFFFFF00"/>
        <bgColor indexed="64"/>
      </patternFill>
    </fill>
    <fill>
      <patternFill patternType="solid">
        <fgColor theme="1"/>
        <bgColor indexed="64"/>
      </patternFill>
    </fill>
    <fill>
      <patternFill patternType="solid">
        <fgColor theme="1" tint="0.499984740745262"/>
        <bgColor indexed="64"/>
      </patternFill>
    </fill>
    <fill>
      <patternFill patternType="solid">
        <fgColor theme="2" tint="-0.49998474074526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0" fillId="2" borderId="0" xfId="0" applyFill="1"/>
    <xf numFmtId="0" fontId="1" fillId="0" borderId="0" xfId="0" applyFont="1" applyAlignment="1">
      <alignment vertical="center"/>
    </xf>
    <xf numFmtId="0" fontId="0" fillId="3" borderId="0" xfId="0" applyFill="1"/>
    <xf numFmtId="0" fontId="0" fillId="4" borderId="0" xfId="0" applyFill="1"/>
    <xf numFmtId="0" fontId="0" fillId="5" borderId="0" xfId="0" applyFill="1"/>
    <xf numFmtId="0" fontId="2" fillId="0" borderId="0" xfId="1"/>
    <xf numFmtId="9" fontId="0" fillId="0" borderId="0" xfId="0" applyNumberFormat="1"/>
    <xf numFmtId="0" fontId="0" fillId="0" borderId="1" xfId="0" applyBorder="1"/>
    <xf numFmtId="0" fontId="0" fillId="5" borderId="1" xfId="0" applyFill="1" applyBorder="1"/>
    <xf numFmtId="0" fontId="0" fillId="3" borderId="1" xfId="0" applyFill="1" applyBorder="1"/>
    <xf numFmtId="0" fontId="0" fillId="2" borderId="1" xfId="0" applyFill="1" applyBorder="1"/>
    <xf numFmtId="2" fontId="0" fillId="5" borderId="1" xfId="0" applyNumberFormat="1" applyFill="1" applyBorder="1"/>
    <xf numFmtId="0" fontId="0" fillId="0" borderId="5" xfId="0" applyBorder="1"/>
    <xf numFmtId="0" fontId="0" fillId="0" borderId="6" xfId="0" applyBorder="1"/>
    <xf numFmtId="16" fontId="0" fillId="0" borderId="6" xfId="0" applyNumberFormat="1" applyBorder="1"/>
    <xf numFmtId="0" fontId="0" fillId="6" borderId="5" xfId="0" applyFill="1" applyBorder="1"/>
    <xf numFmtId="0" fontId="0" fillId="7" borderId="5" xfId="0" applyFill="1" applyBorder="1"/>
    <xf numFmtId="0" fontId="0" fillId="7" borderId="1" xfId="0" applyFill="1" applyBorder="1"/>
    <xf numFmtId="0" fontId="0" fillId="7" borderId="6" xfId="0" applyFill="1" applyBorder="1"/>
    <xf numFmtId="2" fontId="0" fillId="7" borderId="1" xfId="0" applyNumberFormat="1" applyFill="1" applyBorder="1"/>
    <xf numFmtId="0" fontId="0" fillId="7" borderId="7" xfId="0" applyFill="1" applyBorder="1"/>
    <xf numFmtId="0" fontId="0" fillId="7" borderId="8" xfId="0" applyFill="1" applyBorder="1"/>
    <xf numFmtId="0" fontId="0" fillId="7" borderId="9" xfId="0" applyFill="1" applyBorder="1"/>
    <xf numFmtId="0" fontId="0" fillId="6" borderId="1" xfId="0" applyFill="1" applyBorder="1"/>
    <xf numFmtId="0" fontId="0" fillId="6" borderId="6" xfId="0" applyFill="1" applyBorder="1"/>
    <xf numFmtId="0" fontId="0" fillId="0" borderId="7" xfId="0" applyBorder="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0" borderId="0" xfId="0" applyFill="1"/>
    <xf numFmtId="0" fontId="0" fillId="4" borderId="1" xfId="0" applyFill="1" applyBorder="1"/>
    <xf numFmtId="0" fontId="0" fillId="8" borderId="7" xfId="0" applyFill="1" applyBorder="1"/>
    <xf numFmtId="0" fontId="0" fillId="8" borderId="8" xfId="0" applyFill="1" applyBorder="1"/>
    <xf numFmtId="0" fontId="0" fillId="0" borderId="9" xfId="0" applyBorder="1"/>
    <xf numFmtId="2" fontId="0" fillId="0" borderId="0" xfId="0" applyNumberFormat="1"/>
    <xf numFmtId="0" fontId="0" fillId="0" borderId="2" xfId="0" applyBorder="1"/>
    <xf numFmtId="0" fontId="0" fillId="0" borderId="3" xfId="0" applyBorder="1"/>
    <xf numFmtId="0" fontId="0" fillId="0" borderId="4" xfId="0" applyBorder="1"/>
    <xf numFmtId="0" fontId="0" fillId="0" borderId="8" xfId="0" applyBorder="1"/>
    <xf numFmtId="0" fontId="0" fillId="0" borderId="13" xfId="0" applyBorder="1"/>
    <xf numFmtId="0" fontId="0" fillId="0" borderId="14" xfId="0" applyBorder="1"/>
    <xf numFmtId="0" fontId="0" fillId="0" borderId="15" xfId="0" applyBorder="1"/>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 xfId="0" applyFill="1" applyBorder="1"/>
    <xf numFmtId="0" fontId="0" fillId="0" borderId="0" xfId="0" applyFill="1" applyBorder="1"/>
    <xf numFmtId="0" fontId="0" fillId="0" borderId="16" xfId="0" applyFill="1" applyBorder="1"/>
  </cellXfs>
  <cellStyles count="2">
    <cellStyle name="Hyperlink" xfId="1" builtinId="8"/>
    <cellStyle name="Normal" xfId="0" builtinId="0"/>
  </cellStyles>
  <dxfs count="0"/>
  <tableStyles count="0" defaultTableStyle="TableStyleMedium2" defaultPivotStyle="PivotStyleLight16"/>
  <colors>
    <mruColors>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504825</xdr:colOff>
      <xdr:row>14</xdr:row>
      <xdr:rowOff>114300</xdr:rowOff>
    </xdr:from>
    <xdr:to>
      <xdr:col>10</xdr:col>
      <xdr:colOff>24130</xdr:colOff>
      <xdr:row>27</xdr:row>
      <xdr:rowOff>28575</xdr:rowOff>
    </xdr:to>
    <xdr:pic>
      <xdr:nvPicPr>
        <xdr:cNvPr id="2" name="Picture 1">
          <a:extLst>
            <a:ext uri="{FF2B5EF4-FFF2-40B4-BE49-F238E27FC236}">
              <a16:creationId xmlns:a16="http://schemas.microsoft.com/office/drawing/2014/main" id="{71F97A4D-632C-38AF-93D1-DEAFEDB2B5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3219" t="11851" r="50625"/>
        <a:stretch>
          <a:fillRect/>
        </a:stretch>
      </xdr:blipFill>
      <xdr:spPr>
        <a:xfrm>
          <a:off x="5824538" y="2105025"/>
          <a:ext cx="2110105" cy="2266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572671</xdr:colOff>
      <xdr:row>97</xdr:row>
      <xdr:rowOff>94735</xdr:rowOff>
    </xdr:from>
    <xdr:to>
      <xdr:col>17</xdr:col>
      <xdr:colOff>467471</xdr:colOff>
      <xdr:row>116</xdr:row>
      <xdr:rowOff>90781</xdr:rowOff>
    </xdr:to>
    <xdr:pic>
      <xdr:nvPicPr>
        <xdr:cNvPr id="6" name="Picture 5">
          <a:extLst>
            <a:ext uri="{FF2B5EF4-FFF2-40B4-BE49-F238E27FC236}">
              <a16:creationId xmlns:a16="http://schemas.microsoft.com/office/drawing/2014/main" id="{1FFB077A-FA92-50EC-B963-730667BA4175}"/>
            </a:ext>
          </a:extLst>
        </xdr:cNvPr>
        <xdr:cNvPicPr>
          <a:picLocks noChangeAspect="1"/>
        </xdr:cNvPicPr>
      </xdr:nvPicPr>
      <xdr:blipFill>
        <a:blip xmlns:r="http://schemas.openxmlformats.org/officeDocument/2006/relationships" r:embed="rId1"/>
        <a:stretch>
          <a:fillRect/>
        </a:stretch>
      </xdr:blipFill>
      <xdr:spPr>
        <a:xfrm>
          <a:off x="11466051" y="12953486"/>
          <a:ext cx="5938480" cy="3437119"/>
        </a:xfrm>
        <a:prstGeom prst="rect">
          <a:avLst/>
        </a:prstGeom>
      </xdr:spPr>
    </xdr:pic>
    <xdr:clientData/>
  </xdr:twoCellAnchor>
  <xdr:twoCellAnchor editAs="oneCell">
    <xdr:from>
      <xdr:col>11</xdr:col>
      <xdr:colOff>87200</xdr:colOff>
      <xdr:row>100</xdr:row>
      <xdr:rowOff>727</xdr:rowOff>
    </xdr:from>
    <xdr:to>
      <xdr:col>18</xdr:col>
      <xdr:colOff>209077</xdr:colOff>
      <xdr:row>117</xdr:row>
      <xdr:rowOff>157019</xdr:rowOff>
    </xdr:to>
    <xdr:pic>
      <xdr:nvPicPr>
        <xdr:cNvPr id="2" name="Picture 1">
          <a:extLst>
            <a:ext uri="{FF2B5EF4-FFF2-40B4-BE49-F238E27FC236}">
              <a16:creationId xmlns:a16="http://schemas.microsoft.com/office/drawing/2014/main" id="{4134BA38-A402-C46A-93AE-261EFD3FE30B}"/>
            </a:ext>
          </a:extLst>
        </xdr:cNvPr>
        <xdr:cNvPicPr>
          <a:picLocks noChangeAspect="1"/>
        </xdr:cNvPicPr>
      </xdr:nvPicPr>
      <xdr:blipFill>
        <a:blip xmlns:r="http://schemas.openxmlformats.org/officeDocument/2006/relationships" r:embed="rId2"/>
        <a:stretch>
          <a:fillRect/>
        </a:stretch>
      </xdr:blipFill>
      <xdr:spPr>
        <a:xfrm>
          <a:off x="13697218" y="18165304"/>
          <a:ext cx="8392528" cy="323514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linemetals.com/en/product-guide/alloy/932" TargetMode="External"/><Relationship Id="rId2" Type="http://schemas.openxmlformats.org/officeDocument/2006/relationships/hyperlink" Target="https://www.youtube.com/watch?v=O2wF3Xh-JAM&amp;list=PLJU5oCuGIGUovQ2s4dB8k4R5ZZtM5oxUp&amp;index=5&amp;ab_channel=PrometheusEngineeringGroup" TargetMode="External"/><Relationship Id="rId1" Type="http://schemas.openxmlformats.org/officeDocument/2006/relationships/hyperlink" Target="https://www.engineersedge.com/coeffients_of_friction.htm"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chain-guide.com/basics/2-1-2-engagement-with-sprockets.html" TargetMode="External"/><Relationship Id="rId1" Type="http://schemas.openxmlformats.org/officeDocument/2006/relationships/hyperlink" Target="https://engineerexcel.com/acme-thread-calculation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qejdeREv4yQ&amp;list=PL992BCE4AB35AD129&amp;index=5&amp;ab_channel=TEDCFPublishing" TargetMode="External"/><Relationship Id="rId3" Type="http://schemas.openxmlformats.org/officeDocument/2006/relationships/hyperlink" Target="https://www.youtube.com/watch?v=-boTG63iuU8&amp;ab_channel=InventorTutorials" TargetMode="External"/><Relationship Id="rId7" Type="http://schemas.openxmlformats.org/officeDocument/2006/relationships/hyperlink" Target="https://help.autodesk.com/view/INVNTOR/2022/ENU/?guid=GUID-D96F0063-3813-4EED-98FA-C34D3946265C" TargetMode="External"/><Relationship Id="rId12" Type="http://schemas.openxmlformats.org/officeDocument/2006/relationships/hyperlink" Target="https://engineering.purdue.edu/~ce474/Docs/DA6-BeamFormulas.pdf" TargetMode="External"/><Relationship Id="rId2" Type="http://schemas.openxmlformats.org/officeDocument/2006/relationships/hyperlink" Target="https://www.youtube.com/watch?v=IEURRpiXw0A&amp;ab_channel=KETIVTechnologies" TargetMode="External"/><Relationship Id="rId1" Type="http://schemas.openxmlformats.org/officeDocument/2006/relationships/hyperlink" Target="https://s3.amazonaws.com/www.motionusa.com/nook/AcmeScrewsandLeadScrews/PowerAc_Technical_Introduction.pdf" TargetMode="External"/><Relationship Id="rId6" Type="http://schemas.openxmlformats.org/officeDocument/2006/relationships/hyperlink" Target="https://help.autodesk.com/view/INVNTOR/2014/ENU/?guid=GUID-77BAE285-4803-4DCA-9AE0-919C7A862D4C" TargetMode="External"/><Relationship Id="rId11" Type="http://schemas.openxmlformats.org/officeDocument/2006/relationships/hyperlink" Target="https://www.engineeringtoolbox.com/beam-stress-deflection-d_1312.html" TargetMode="External"/><Relationship Id="rId5" Type="http://schemas.openxmlformats.org/officeDocument/2006/relationships/hyperlink" Target="https://www.youtube.com/watch?v=XMdkNPOzI-g&amp;ab_channel=ConstantinStancescu" TargetMode="External"/><Relationship Id="rId10" Type="http://schemas.openxmlformats.org/officeDocument/2006/relationships/hyperlink" Target="https://mechanicalc.com/reference/beam-analysis" TargetMode="External"/><Relationship Id="rId4" Type="http://schemas.openxmlformats.org/officeDocument/2006/relationships/hyperlink" Target="https://www.youtube.com/watch?v=QqAxnKq4804&amp;ab_channel=CADwave" TargetMode="External"/><Relationship Id="rId9" Type="http://schemas.openxmlformats.org/officeDocument/2006/relationships/hyperlink" Target="https://www.engineersedge.com/material_science/section_modulus_1289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2333B-A9BC-44A5-9DD5-8238FAA8AC6A}">
  <dimension ref="C2:Q55"/>
  <sheetViews>
    <sheetView topLeftCell="B1" workbookViewId="0">
      <selection activeCell="G4" sqref="G4"/>
    </sheetView>
  </sheetViews>
  <sheetFormatPr defaultRowHeight="14.25" x14ac:dyDescent="0.45"/>
  <cols>
    <col min="2" max="2" width="17" customWidth="1"/>
    <col min="3" max="3" width="32.265625" customWidth="1"/>
    <col min="12" max="12" width="8.19921875" customWidth="1"/>
    <col min="13" max="13" width="19.19921875" customWidth="1"/>
    <col min="14" max="14" width="18.73046875" customWidth="1"/>
    <col min="15" max="15" width="18.3984375" customWidth="1"/>
    <col min="16" max="16" width="14.6640625" customWidth="1"/>
  </cols>
  <sheetData>
    <row r="2" spans="3:17" x14ac:dyDescent="0.45">
      <c r="M2" t="s">
        <v>2</v>
      </c>
    </row>
    <row r="3" spans="3:17" x14ac:dyDescent="0.45">
      <c r="C3" t="s">
        <v>3</v>
      </c>
      <c r="N3" t="s">
        <v>206</v>
      </c>
      <c r="O3" t="s">
        <v>207</v>
      </c>
      <c r="P3" t="s">
        <v>22</v>
      </c>
      <c r="Q3" t="s">
        <v>16</v>
      </c>
    </row>
    <row r="4" spans="3:17" x14ac:dyDescent="0.45">
      <c r="C4" t="s">
        <v>15</v>
      </c>
      <c r="D4" t="s">
        <v>14</v>
      </c>
      <c r="E4" t="s">
        <v>5</v>
      </c>
      <c r="F4" t="s">
        <v>259</v>
      </c>
      <c r="M4" t="s">
        <v>9</v>
      </c>
      <c r="N4">
        <v>34800</v>
      </c>
      <c r="O4">
        <v>34800</v>
      </c>
      <c r="P4">
        <v>28000000</v>
      </c>
      <c r="Q4" t="s">
        <v>17</v>
      </c>
    </row>
    <row r="5" spans="3:17" x14ac:dyDescent="0.45">
      <c r="C5" t="s">
        <v>0</v>
      </c>
      <c r="D5">
        <v>1000</v>
      </c>
      <c r="E5" t="s">
        <v>4</v>
      </c>
      <c r="F5">
        <f>AppliedForceNormal*lfb2N</f>
        <v>4448.2220000000007</v>
      </c>
      <c r="M5" t="s">
        <v>205</v>
      </c>
      <c r="O5">
        <v>18100</v>
      </c>
      <c r="P5">
        <v>14500000</v>
      </c>
      <c r="Q5" s="6" t="s">
        <v>210</v>
      </c>
    </row>
    <row r="6" spans="3:17" x14ac:dyDescent="0.45">
      <c r="C6" t="s">
        <v>6</v>
      </c>
      <c r="D6" t="s">
        <v>11</v>
      </c>
      <c r="E6" t="s">
        <v>7</v>
      </c>
    </row>
    <row r="7" spans="3:17" x14ac:dyDescent="0.45">
      <c r="C7" t="s">
        <v>10</v>
      </c>
      <c r="D7">
        <v>2</v>
      </c>
      <c r="E7" t="s">
        <v>11</v>
      </c>
    </row>
    <row r="8" spans="3:17" x14ac:dyDescent="0.45">
      <c r="C8" t="s">
        <v>24</v>
      </c>
    </row>
    <row r="9" spans="3:17" x14ac:dyDescent="0.45">
      <c r="C9" t="s">
        <v>12</v>
      </c>
    </row>
    <row r="10" spans="3:17" x14ac:dyDescent="0.45">
      <c r="C10" t="s">
        <v>67</v>
      </c>
      <c r="D10">
        <v>4</v>
      </c>
      <c r="E10" t="s">
        <v>71</v>
      </c>
    </row>
    <row r="11" spans="3:17" x14ac:dyDescent="0.45">
      <c r="C11" t="s">
        <v>68</v>
      </c>
    </row>
    <row r="12" spans="3:17" x14ac:dyDescent="0.45">
      <c r="C12" t="s">
        <v>69</v>
      </c>
      <c r="D12">
        <v>21.45</v>
      </c>
      <c r="E12" t="s">
        <v>71</v>
      </c>
      <c r="M12" t="s">
        <v>208</v>
      </c>
    </row>
    <row r="13" spans="3:17" x14ac:dyDescent="0.45">
      <c r="C13" t="s">
        <v>70</v>
      </c>
      <c r="D13">
        <v>8.5</v>
      </c>
      <c r="E13" t="s">
        <v>71</v>
      </c>
      <c r="N13" t="s">
        <v>14</v>
      </c>
      <c r="O13" t="s">
        <v>5</v>
      </c>
    </row>
    <row r="14" spans="3:17" x14ac:dyDescent="0.45">
      <c r="C14" t="s">
        <v>72</v>
      </c>
      <c r="D14">
        <v>10.5</v>
      </c>
      <c r="E14" t="s">
        <v>71</v>
      </c>
      <c r="M14" t="s">
        <v>106</v>
      </c>
      <c r="N14">
        <v>14.7</v>
      </c>
      <c r="O14" t="s">
        <v>107</v>
      </c>
    </row>
    <row r="15" spans="3:17" x14ac:dyDescent="0.45">
      <c r="M15" t="s">
        <v>209</v>
      </c>
      <c r="N15">
        <v>0.19</v>
      </c>
      <c r="O15" t="s">
        <v>11</v>
      </c>
      <c r="P15" s="6" t="s">
        <v>88</v>
      </c>
    </row>
    <row r="16" spans="3:17" x14ac:dyDescent="0.45">
      <c r="M16" t="s">
        <v>260</v>
      </c>
      <c r="N16">
        <v>4.4482220000000003</v>
      </c>
    </row>
    <row r="22" spans="3:5" x14ac:dyDescent="0.45">
      <c r="C22" t="s">
        <v>195</v>
      </c>
    </row>
    <row r="23" spans="3:5" x14ac:dyDescent="0.45">
      <c r="C23" t="s">
        <v>69</v>
      </c>
      <c r="D23">
        <v>21.45</v>
      </c>
      <c r="E23" t="s">
        <v>71</v>
      </c>
    </row>
    <row r="24" spans="3:5" x14ac:dyDescent="0.45">
      <c r="C24" t="s">
        <v>70</v>
      </c>
      <c r="D24">
        <f>17.34</f>
        <v>17.34</v>
      </c>
      <c r="E24" t="s">
        <v>71</v>
      </c>
    </row>
    <row r="25" spans="3:5" x14ac:dyDescent="0.45">
      <c r="C25" t="s">
        <v>72</v>
      </c>
      <c r="D25">
        <v>21.1</v>
      </c>
      <c r="E25" t="s">
        <v>71</v>
      </c>
    </row>
    <row r="26" spans="3:5" x14ac:dyDescent="0.45">
      <c r="C26" t="s">
        <v>3</v>
      </c>
      <c r="D26" t="s">
        <v>196</v>
      </c>
    </row>
    <row r="33" spans="3:4" x14ac:dyDescent="0.45">
      <c r="D33" s="6" t="s">
        <v>197</v>
      </c>
    </row>
    <row r="48" spans="3:4" x14ac:dyDescent="0.45">
      <c r="C48" t="s">
        <v>43</v>
      </c>
      <c r="D48" t="s">
        <v>44</v>
      </c>
    </row>
    <row r="50" spans="3:13" x14ac:dyDescent="0.45">
      <c r="C50" t="s">
        <v>45</v>
      </c>
      <c r="D50" t="s">
        <v>14</v>
      </c>
      <c r="E50" t="s">
        <v>5</v>
      </c>
      <c r="F50" t="s">
        <v>46</v>
      </c>
      <c r="G50" t="s">
        <v>47</v>
      </c>
      <c r="L50" t="s">
        <v>48</v>
      </c>
      <c r="M50" t="s">
        <v>49</v>
      </c>
    </row>
    <row r="51" spans="3:13" x14ac:dyDescent="0.45">
      <c r="C51" t="s">
        <v>50</v>
      </c>
      <c r="D51">
        <v>7</v>
      </c>
      <c r="E51" t="s">
        <v>51</v>
      </c>
      <c r="F51" t="s">
        <v>52</v>
      </c>
      <c r="G51" t="s">
        <v>53</v>
      </c>
      <c r="L51" t="s">
        <v>9</v>
      </c>
    </row>
    <row r="52" spans="3:13" x14ac:dyDescent="0.45">
      <c r="C52" t="s">
        <v>54</v>
      </c>
      <c r="D52">
        <v>1</v>
      </c>
      <c r="E52" t="s">
        <v>55</v>
      </c>
      <c r="F52" t="s">
        <v>52</v>
      </c>
      <c r="G52" t="s">
        <v>56</v>
      </c>
      <c r="L52" t="s">
        <v>57</v>
      </c>
    </row>
    <row r="53" spans="3:13" x14ac:dyDescent="0.45">
      <c r="C53" t="s">
        <v>58</v>
      </c>
      <c r="D53">
        <v>10</v>
      </c>
      <c r="E53" t="s">
        <v>59</v>
      </c>
      <c r="F53" t="s">
        <v>52</v>
      </c>
    </row>
    <row r="54" spans="3:13" x14ac:dyDescent="0.45">
      <c r="C54" t="s">
        <v>60</v>
      </c>
      <c r="D54">
        <v>3</v>
      </c>
      <c r="E54" t="s">
        <v>61</v>
      </c>
      <c r="F54" t="s">
        <v>52</v>
      </c>
      <c r="G54" t="s">
        <v>62</v>
      </c>
      <c r="L54" t="s">
        <v>63</v>
      </c>
    </row>
    <row r="55" spans="3:13" x14ac:dyDescent="0.45">
      <c r="C55" t="s">
        <v>64</v>
      </c>
      <c r="D55">
        <v>16</v>
      </c>
      <c r="E55" t="s">
        <v>61</v>
      </c>
      <c r="F55" t="s">
        <v>52</v>
      </c>
      <c r="G55" t="s">
        <v>65</v>
      </c>
      <c r="L55" t="s">
        <v>66</v>
      </c>
    </row>
  </sheetData>
  <hyperlinks>
    <hyperlink ref="P15" r:id="rId1" display="https://www.engineersedge.com/coeffients_of_friction.htm" xr:uid="{B3F54E53-A1BA-4ED7-95AA-73578F3B63E2}"/>
    <hyperlink ref="D33" r:id="rId2" display="https://www.youtube.com/watch?v=O2wF3Xh-JAM&amp;list=PLJU5oCuGIGUovQ2s4dB8k4R5ZZtM5oxUp&amp;index=5&amp;ab_channel=PrometheusEngineeringGroup" xr:uid="{48DC56CE-9A92-4786-9F33-386D68889142}"/>
    <hyperlink ref="Q5" r:id="rId3" location="mechanical%20and%20chemical" display="https://www.onlinemetals.com/en/product-guide/alloy/932 - mechanical%20and%20chemical" xr:uid="{3E174F69-ECE4-4E84-8C1B-1BF3FA3B7BB4}"/>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3CD3E-CF4E-44DC-9B88-9EF5EFC0948C}">
  <dimension ref="A1"/>
  <sheetViews>
    <sheetView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F30C8-AEF8-4367-97CA-93B5B12A08F4}">
  <dimension ref="C8:U163"/>
  <sheetViews>
    <sheetView tabSelected="1" topLeftCell="A142" zoomScale="70" zoomScaleNormal="70" workbookViewId="0">
      <selection activeCell="E158" sqref="E158"/>
    </sheetView>
  </sheetViews>
  <sheetFormatPr defaultRowHeight="14.25" x14ac:dyDescent="0.45"/>
  <cols>
    <col min="2" max="2" width="11.3984375" customWidth="1"/>
    <col min="3" max="3" width="40.33203125" customWidth="1"/>
    <col min="4" max="4" width="10.73046875" bestFit="1" customWidth="1"/>
    <col min="6" max="6" width="41.1328125" customWidth="1"/>
    <col min="8" max="8" width="35.796875" customWidth="1"/>
    <col min="10" max="10" width="5.6640625" customWidth="1"/>
    <col min="12" max="12" width="12.265625" customWidth="1"/>
    <col min="13" max="13" width="39.1328125" customWidth="1"/>
    <col min="15" max="15" width="5.86328125" customWidth="1"/>
    <col min="18" max="18" width="31.19921875" customWidth="1"/>
    <col min="20" max="20" width="8.73046875" customWidth="1"/>
  </cols>
  <sheetData>
    <row r="8" spans="3:21" x14ac:dyDescent="0.45">
      <c r="N8" t="s">
        <v>252</v>
      </c>
    </row>
    <row r="9" spans="3:21" x14ac:dyDescent="0.45">
      <c r="C9" s="6"/>
      <c r="N9" t="s">
        <v>253</v>
      </c>
    </row>
    <row r="10" spans="3:21" x14ac:dyDescent="0.45">
      <c r="C10" s="6"/>
    </row>
    <row r="11" spans="3:21" x14ac:dyDescent="0.45">
      <c r="C11" s="6"/>
    </row>
    <row r="13" spans="3:21" x14ac:dyDescent="0.45">
      <c r="C13" s="8" t="s">
        <v>202</v>
      </c>
      <c r="D13" s="8"/>
      <c r="E13" s="8"/>
      <c r="F13" s="8"/>
      <c r="H13" s="8" t="s">
        <v>247</v>
      </c>
      <c r="I13" s="8"/>
      <c r="J13" s="8"/>
      <c r="K13" s="8"/>
      <c r="M13" s="8" t="s">
        <v>256</v>
      </c>
      <c r="N13" s="8"/>
      <c r="O13" s="8"/>
      <c r="P13" s="8"/>
    </row>
    <row r="14" spans="3:21" x14ac:dyDescent="0.45">
      <c r="C14" s="8"/>
      <c r="D14" s="8" t="s">
        <v>14</v>
      </c>
      <c r="E14" s="8" t="s">
        <v>5</v>
      </c>
      <c r="F14" s="8" t="s">
        <v>129</v>
      </c>
      <c r="H14" s="8"/>
      <c r="I14" s="8" t="s">
        <v>14</v>
      </c>
      <c r="J14" s="8" t="s">
        <v>5</v>
      </c>
      <c r="K14" s="8" t="s">
        <v>129</v>
      </c>
      <c r="M14" s="8"/>
      <c r="N14" s="8" t="s">
        <v>14</v>
      </c>
      <c r="O14" s="8" t="s">
        <v>5</v>
      </c>
      <c r="P14" s="8" t="s">
        <v>129</v>
      </c>
      <c r="S14" s="8"/>
      <c r="T14" s="8"/>
      <c r="U14" s="14"/>
    </row>
    <row r="15" spans="3:21" x14ac:dyDescent="0.45">
      <c r="C15" s="8" t="s">
        <v>257</v>
      </c>
      <c r="D15" s="8">
        <v>200</v>
      </c>
      <c r="E15" s="8" t="s">
        <v>103</v>
      </c>
      <c r="F15" s="8" t="s">
        <v>258</v>
      </c>
      <c r="H15" s="8" t="s">
        <v>241</v>
      </c>
      <c r="I15" s="8">
        <v>0.5</v>
      </c>
      <c r="J15" s="8"/>
      <c r="K15" s="8"/>
      <c r="M15" s="8" t="s">
        <v>193</v>
      </c>
      <c r="N15" s="8">
        <f>D16</f>
        <v>1200</v>
      </c>
      <c r="O15" s="8" t="s">
        <v>103</v>
      </c>
      <c r="P15" s="8"/>
    </row>
    <row r="16" spans="3:21" x14ac:dyDescent="0.45">
      <c r="C16" s="8" t="s">
        <v>193</v>
      </c>
      <c r="D16" s="8">
        <f>AppliedForceNormal+D15</f>
        <v>1200</v>
      </c>
      <c r="E16" s="8" t="s">
        <v>103</v>
      </c>
      <c r="F16" s="8"/>
      <c r="H16" s="8" t="s">
        <v>242</v>
      </c>
      <c r="I16" s="8">
        <v>2</v>
      </c>
      <c r="J16" s="8"/>
      <c r="K16" s="8"/>
      <c r="M16" s="8" t="s">
        <v>249</v>
      </c>
      <c r="N16" s="8">
        <f>I17</f>
        <v>1</v>
      </c>
      <c r="O16" s="8"/>
      <c r="P16" s="8"/>
    </row>
    <row r="17" spans="3:21" x14ac:dyDescent="0.45">
      <c r="C17" s="8" t="s">
        <v>194</v>
      </c>
      <c r="D17" s="8">
        <f>MachineWidth</f>
        <v>8.5</v>
      </c>
      <c r="E17" s="8" t="s">
        <v>71</v>
      </c>
      <c r="F17" s="8" t="s">
        <v>248</v>
      </c>
      <c r="H17" s="8" t="s">
        <v>246</v>
      </c>
      <c r="I17" s="8">
        <f>I15*I16</f>
        <v>1</v>
      </c>
      <c r="J17" s="8"/>
      <c r="K17" s="8"/>
      <c r="M17" s="8" t="s">
        <v>173</v>
      </c>
      <c r="N17" s="46">
        <f>SS303FatigueStrength</f>
        <v>34800</v>
      </c>
      <c r="O17" s="8" t="s">
        <v>13</v>
      </c>
      <c r="P17" s="8"/>
      <c r="R17" s="8"/>
      <c r="S17" s="46"/>
      <c r="T17" s="8"/>
      <c r="U17" s="8"/>
    </row>
    <row r="18" spans="3:21" x14ac:dyDescent="0.45">
      <c r="C18" s="8" t="s">
        <v>200</v>
      </c>
      <c r="D18" s="8">
        <f>D16/2</f>
        <v>600</v>
      </c>
      <c r="E18" s="8" t="s">
        <v>103</v>
      </c>
      <c r="F18" s="8"/>
      <c r="H18" s="8" t="s">
        <v>245</v>
      </c>
      <c r="I18" s="8">
        <f>SQRT((6*D22)/I17)</f>
        <v>0.93771549247497565</v>
      </c>
      <c r="J18" s="8"/>
      <c r="K18" s="8"/>
      <c r="M18" s="8" t="s">
        <v>10</v>
      </c>
      <c r="N18" s="46">
        <v>5</v>
      </c>
      <c r="O18" s="8"/>
      <c r="P18" s="8"/>
      <c r="R18" s="8"/>
      <c r="S18" s="46"/>
      <c r="T18" s="8"/>
      <c r="U18" s="8"/>
    </row>
    <row r="19" spans="3:21" x14ac:dyDescent="0.45">
      <c r="C19" s="8" t="s">
        <v>198</v>
      </c>
      <c r="D19" s="8">
        <f>D18*D17/2</f>
        <v>2550</v>
      </c>
      <c r="E19" s="8" t="s">
        <v>199</v>
      </c>
      <c r="F19" s="8"/>
      <c r="H19" s="8"/>
      <c r="I19" s="8"/>
      <c r="J19" s="8"/>
      <c r="K19" s="8"/>
      <c r="M19" s="8" t="s">
        <v>250</v>
      </c>
      <c r="N19" s="46">
        <f>N15*N18*FS/(N17*N16)</f>
        <v>0.34482758620689657</v>
      </c>
      <c r="O19" s="8"/>
      <c r="P19" s="8"/>
      <c r="R19" s="8"/>
      <c r="S19" s="46"/>
      <c r="T19" s="8"/>
      <c r="U19" s="8"/>
    </row>
    <row r="20" spans="3:21" x14ac:dyDescent="0.45">
      <c r="C20" s="8" t="s">
        <v>10</v>
      </c>
      <c r="D20" s="8">
        <v>2</v>
      </c>
      <c r="E20" s="8"/>
      <c r="F20" s="8"/>
      <c r="M20" s="46" t="s">
        <v>251</v>
      </c>
      <c r="N20" s="8">
        <f>2*SQRT((N15*FS/I16)/N17)</f>
        <v>0.37139067635410372</v>
      </c>
      <c r="O20" s="8"/>
      <c r="P20" s="8"/>
      <c r="R20" s="47"/>
    </row>
    <row r="21" spans="3:21" x14ac:dyDescent="0.45">
      <c r="C21" s="8" t="s">
        <v>244</v>
      </c>
      <c r="D21" s="8">
        <f>SS303FatigueStrength</f>
        <v>34800</v>
      </c>
      <c r="E21" s="8"/>
      <c r="F21" s="8"/>
      <c r="M21" s="48" t="s">
        <v>178</v>
      </c>
    </row>
    <row r="22" spans="3:21" x14ac:dyDescent="0.45">
      <c r="C22" s="8" t="s">
        <v>243</v>
      </c>
      <c r="D22" s="8">
        <f>D19*D20/D21</f>
        <v>0.14655172413793102</v>
      </c>
      <c r="E22" s="8"/>
      <c r="F22" s="8"/>
    </row>
    <row r="23" spans="3:21" x14ac:dyDescent="0.45">
      <c r="N23">
        <f>3/8</f>
        <v>0.375</v>
      </c>
    </row>
    <row r="32" spans="3:21" ht="14.65" thickBot="1" x14ac:dyDescent="0.5">
      <c r="C32" t="s">
        <v>169</v>
      </c>
    </row>
    <row r="33" spans="3:11" x14ac:dyDescent="0.45">
      <c r="C33" s="36" t="s">
        <v>8</v>
      </c>
      <c r="D33" s="37"/>
      <c r="E33" s="37"/>
      <c r="F33" s="38"/>
      <c r="H33" s="8" t="s">
        <v>185</v>
      </c>
      <c r="I33" s="8"/>
      <c r="J33" s="8"/>
      <c r="K33" s="8"/>
    </row>
    <row r="34" spans="3:11" x14ac:dyDescent="0.45">
      <c r="C34" s="13"/>
      <c r="D34" s="8" t="s">
        <v>14</v>
      </c>
      <c r="E34" s="8" t="s">
        <v>5</v>
      </c>
      <c r="F34" s="14" t="s">
        <v>129</v>
      </c>
      <c r="H34" s="8"/>
      <c r="I34" s="8" t="s">
        <v>14</v>
      </c>
      <c r="J34" s="8" t="s">
        <v>5</v>
      </c>
      <c r="K34" s="8" t="s">
        <v>129</v>
      </c>
    </row>
    <row r="35" spans="3:11" x14ac:dyDescent="0.45">
      <c r="C35" s="13" t="s">
        <v>18</v>
      </c>
      <c r="D35" s="9">
        <v>2</v>
      </c>
      <c r="E35" s="8" t="s">
        <v>11</v>
      </c>
      <c r="F35" s="14"/>
      <c r="H35" s="8" t="s">
        <v>171</v>
      </c>
      <c r="I35" s="46">
        <f>D43</f>
        <v>0.875</v>
      </c>
      <c r="J35" s="8" t="s">
        <v>71</v>
      </c>
      <c r="K35" s="8"/>
    </row>
    <row r="36" spans="3:11" x14ac:dyDescent="0.45">
      <c r="C36" s="13" t="s">
        <v>19</v>
      </c>
      <c r="D36" s="10">
        <f>(D38*D40*(D35*D39)^2)/((PI()^2)*D37)</f>
        <v>3.3298664211999082E-3</v>
      </c>
      <c r="E36" s="8"/>
      <c r="F36" s="14"/>
      <c r="H36" s="8" t="s">
        <v>173</v>
      </c>
      <c r="I36" s="46">
        <f>SS303FatigueStrength</f>
        <v>34800</v>
      </c>
      <c r="J36" s="8" t="s">
        <v>13</v>
      </c>
      <c r="K36" s="8"/>
    </row>
    <row r="37" spans="3:11" x14ac:dyDescent="0.45">
      <c r="C37" s="13" t="s">
        <v>20</v>
      </c>
      <c r="D37" s="11">
        <f>SS303YoungsModulus</f>
        <v>28000000</v>
      </c>
      <c r="E37" s="8"/>
      <c r="F37" s="14"/>
      <c r="H37" s="8" t="s">
        <v>10</v>
      </c>
      <c r="I37" s="46">
        <v>5</v>
      </c>
      <c r="J37" s="8"/>
      <c r="K37" s="8"/>
    </row>
    <row r="38" spans="3:11" x14ac:dyDescent="0.45">
      <c r="C38" s="13" t="s">
        <v>21</v>
      </c>
      <c r="D38" s="11">
        <f>AppliedForceNormal</f>
        <v>1000</v>
      </c>
      <c r="E38" s="8"/>
      <c r="F38" s="14"/>
      <c r="H38" s="8" t="s">
        <v>175</v>
      </c>
      <c r="I38" s="46">
        <f>AppliedForceNormal*I37/(I36*I35)</f>
        <v>0.16420361247947454</v>
      </c>
      <c r="J38" s="8"/>
      <c r="K38" s="8"/>
    </row>
    <row r="39" spans="3:11" x14ac:dyDescent="0.45">
      <c r="C39" s="13" t="s">
        <v>23</v>
      </c>
      <c r="D39" s="10">
        <f>MachineHeight/2</f>
        <v>10.725</v>
      </c>
      <c r="E39" s="8"/>
      <c r="F39" s="14"/>
      <c r="H39" s="46" t="s">
        <v>178</v>
      </c>
      <c r="I39" s="8">
        <f>3/8</f>
        <v>0.375</v>
      </c>
      <c r="J39" s="8"/>
      <c r="K39" s="8"/>
    </row>
    <row r="40" spans="3:11" x14ac:dyDescent="0.45">
      <c r="C40" s="13" t="s">
        <v>10</v>
      </c>
      <c r="D40" s="11">
        <f>FS</f>
        <v>2</v>
      </c>
      <c r="E40" s="8"/>
      <c r="F40" s="14"/>
      <c r="H40" s="8" t="s">
        <v>176</v>
      </c>
      <c r="I40" s="46">
        <f>(((I35/2)^2)*PI())-(I35*I39)</f>
        <v>0.2731954688511713</v>
      </c>
      <c r="J40" s="8"/>
      <c r="K40" s="8"/>
    </row>
    <row r="41" spans="3:11" x14ac:dyDescent="0.45">
      <c r="C41" s="13" t="s">
        <v>73</v>
      </c>
      <c r="D41" s="10">
        <f>((4*D36)/PI())^0.25</f>
        <v>0.25517271392884311</v>
      </c>
      <c r="E41" s="8"/>
      <c r="F41" s="14"/>
      <c r="H41" s="8" t="s">
        <v>177</v>
      </c>
      <c r="I41" s="46">
        <f>AppliedForceNormal/I40</f>
        <v>3660.3828174938362</v>
      </c>
      <c r="J41" s="8"/>
      <c r="K41" s="8" t="s">
        <v>76</v>
      </c>
    </row>
    <row r="42" spans="3:11" x14ac:dyDescent="0.45">
      <c r="C42" s="13" t="s">
        <v>74</v>
      </c>
      <c r="D42" s="31">
        <f>D41*2</f>
        <v>0.51034542785768622</v>
      </c>
      <c r="E42" s="8"/>
      <c r="F42" s="14"/>
    </row>
    <row r="43" spans="3:11" x14ac:dyDescent="0.45">
      <c r="C43" s="13" t="s">
        <v>75</v>
      </c>
      <c r="D43" s="31">
        <v>0.875</v>
      </c>
      <c r="E43" s="8" t="s">
        <v>71</v>
      </c>
      <c r="F43" s="14"/>
    </row>
    <row r="44" spans="3:11" x14ac:dyDescent="0.45">
      <c r="C44" s="13"/>
      <c r="D44" s="8"/>
      <c r="E44" s="8"/>
      <c r="F44" s="14"/>
      <c r="H44" s="46" t="s">
        <v>179</v>
      </c>
      <c r="I44" s="8" t="s">
        <v>14</v>
      </c>
      <c r="J44" s="8" t="s">
        <v>5</v>
      </c>
      <c r="K44" s="14" t="s">
        <v>129</v>
      </c>
    </row>
    <row r="45" spans="3:11" x14ac:dyDescent="0.45">
      <c r="C45" s="13" t="s">
        <v>161</v>
      </c>
      <c r="D45" s="8">
        <f>((PI()^2)*D37)/((D39/(D43/2))^2)</f>
        <v>459853.28127613547</v>
      </c>
      <c r="E45" s="8" t="s">
        <v>13</v>
      </c>
      <c r="F45" s="14" t="s">
        <v>162</v>
      </c>
      <c r="H45" s="46" t="s">
        <v>180</v>
      </c>
      <c r="I45" s="8">
        <f>WashChamberDiameter</f>
        <v>4</v>
      </c>
      <c r="J45" s="8"/>
      <c r="K45" s="8"/>
    </row>
    <row r="46" spans="3:11" x14ac:dyDescent="0.45">
      <c r="C46" s="40" t="s">
        <v>164</v>
      </c>
      <c r="D46" s="41">
        <f>D45*(((D43/2)^2)*PI())</f>
        <v>276519.19069971534</v>
      </c>
      <c r="E46" s="41" t="s">
        <v>103</v>
      </c>
      <c r="F46" s="42"/>
      <c r="H46" s="46" t="s">
        <v>181</v>
      </c>
      <c r="I46" s="8">
        <v>0.25</v>
      </c>
      <c r="J46" s="8"/>
      <c r="K46" s="8"/>
    </row>
    <row r="47" spans="3:11" ht="14.65" thickBot="1" x14ac:dyDescent="0.5">
      <c r="C47" s="26" t="s">
        <v>87</v>
      </c>
      <c r="D47" s="39"/>
      <c r="E47" s="39"/>
      <c r="F47" s="34"/>
      <c r="H47" s="46" t="s">
        <v>183</v>
      </c>
      <c r="I47" s="8">
        <f>(I45-(2*I46))/I39</f>
        <v>9.3333333333333339</v>
      </c>
      <c r="J47" s="8"/>
      <c r="K47" s="8"/>
    </row>
    <row r="48" spans="3:11" x14ac:dyDescent="0.45">
      <c r="H48" s="8" t="s">
        <v>182</v>
      </c>
      <c r="I48" s="8">
        <v>10</v>
      </c>
      <c r="J48" s="8"/>
      <c r="K48" s="8"/>
    </row>
    <row r="52" spans="3:21" ht="14.65" thickBot="1" x14ac:dyDescent="0.5">
      <c r="C52" t="s">
        <v>170</v>
      </c>
    </row>
    <row r="53" spans="3:21" x14ac:dyDescent="0.45">
      <c r="C53" s="36" t="s">
        <v>168</v>
      </c>
      <c r="D53" s="37"/>
      <c r="E53" s="37"/>
      <c r="F53" s="38"/>
      <c r="H53" s="36" t="s">
        <v>165</v>
      </c>
      <c r="I53" s="37"/>
      <c r="J53" s="37"/>
      <c r="K53" s="38"/>
      <c r="M53" s="8" t="s">
        <v>184</v>
      </c>
      <c r="N53" s="8"/>
      <c r="O53" s="8"/>
      <c r="P53" s="8"/>
      <c r="R53" s="8" t="s">
        <v>189</v>
      </c>
      <c r="S53" s="8"/>
      <c r="T53" s="8"/>
      <c r="U53" s="8"/>
    </row>
    <row r="54" spans="3:21" x14ac:dyDescent="0.45">
      <c r="C54" s="13"/>
      <c r="D54" s="8" t="s">
        <v>14</v>
      </c>
      <c r="E54" s="8" t="s">
        <v>5</v>
      </c>
      <c r="F54" s="14" t="s">
        <v>129</v>
      </c>
      <c r="H54" s="13"/>
      <c r="I54" s="8" t="s">
        <v>14</v>
      </c>
      <c r="J54" s="8" t="s">
        <v>5</v>
      </c>
      <c r="K54" s="14" t="s">
        <v>129</v>
      </c>
      <c r="M54" s="8"/>
      <c r="N54" s="8" t="s">
        <v>14</v>
      </c>
      <c r="O54" s="8" t="s">
        <v>5</v>
      </c>
      <c r="P54" s="8" t="s">
        <v>129</v>
      </c>
      <c r="R54" s="8"/>
      <c r="S54" s="8" t="s">
        <v>14</v>
      </c>
      <c r="T54" s="8" t="s">
        <v>5</v>
      </c>
      <c r="U54" s="8" t="s">
        <v>129</v>
      </c>
    </row>
    <row r="55" spans="3:21" x14ac:dyDescent="0.45">
      <c r="C55" s="13" t="s">
        <v>80</v>
      </c>
      <c r="D55" s="8">
        <f>(PI()*WashChamberDiameter^2/4)</f>
        <v>12.566370614359172</v>
      </c>
      <c r="E55" s="8" t="s">
        <v>163</v>
      </c>
      <c r="F55" s="14"/>
      <c r="H55" s="13" t="s">
        <v>82</v>
      </c>
      <c r="I55" s="8"/>
      <c r="J55" s="8"/>
      <c r="K55" s="14"/>
      <c r="M55" s="8" t="s">
        <v>171</v>
      </c>
      <c r="N55" s="46">
        <f>I65</f>
        <v>0.5</v>
      </c>
      <c r="O55" s="8" t="s">
        <v>71</v>
      </c>
      <c r="P55" s="8"/>
      <c r="R55" s="8" t="s">
        <v>190</v>
      </c>
      <c r="S55" s="46">
        <f>I56</f>
        <v>4</v>
      </c>
      <c r="T55" s="8"/>
      <c r="U55" s="8"/>
    </row>
    <row r="56" spans="3:21" x14ac:dyDescent="0.45">
      <c r="C56" s="13" t="s">
        <v>78</v>
      </c>
      <c r="D56" s="8">
        <f>AppliedForceNormal/D55</f>
        <v>79.577471545947674</v>
      </c>
      <c r="E56" s="8" t="s">
        <v>13</v>
      </c>
      <c r="F56" s="14"/>
      <c r="H56" s="13" t="s">
        <v>81</v>
      </c>
      <c r="I56" s="9">
        <v>4</v>
      </c>
      <c r="J56" s="8"/>
      <c r="K56" s="14"/>
      <c r="M56" s="8" t="s">
        <v>173</v>
      </c>
      <c r="N56" s="46">
        <f>SS303FatigueStrength</f>
        <v>34800</v>
      </c>
      <c r="O56" s="8" t="s">
        <v>13</v>
      </c>
      <c r="P56" s="8"/>
      <c r="R56" t="s">
        <v>191</v>
      </c>
      <c r="S56" s="46"/>
      <c r="T56" s="8"/>
      <c r="U56" s="8"/>
    </row>
    <row r="57" spans="3:21" x14ac:dyDescent="0.45">
      <c r="C57" s="13" t="s">
        <v>79</v>
      </c>
      <c r="D57" s="8">
        <f>D55-(((D43/2)^2)*PI())</f>
        <v>11.965050145508002</v>
      </c>
      <c r="E57" s="8" t="s">
        <v>163</v>
      </c>
      <c r="F57" s="14"/>
      <c r="H57" s="13" t="s">
        <v>18</v>
      </c>
      <c r="I57" s="9">
        <v>2</v>
      </c>
      <c r="J57" s="8"/>
      <c r="K57" s="14"/>
      <c r="M57" s="8" t="s">
        <v>10</v>
      </c>
      <c r="N57" s="46">
        <v>5</v>
      </c>
      <c r="O57" s="8"/>
      <c r="P57" s="8"/>
      <c r="R57" s="8" t="s">
        <v>188</v>
      </c>
      <c r="S57" s="46">
        <f>I65</f>
        <v>0.5</v>
      </c>
      <c r="T57" s="8"/>
      <c r="U57" s="8"/>
    </row>
    <row r="58" spans="3:21" ht="14.65" thickBot="1" x14ac:dyDescent="0.5">
      <c r="C58" s="26" t="s">
        <v>77</v>
      </c>
      <c r="D58" s="39">
        <f>D56*D57</f>
        <v>952.14843750000011</v>
      </c>
      <c r="E58" s="39" t="s">
        <v>103</v>
      </c>
      <c r="F58" s="34"/>
      <c r="H58" s="13" t="s">
        <v>19</v>
      </c>
      <c r="I58" s="10">
        <f>((I60/I56)*I62*(I57*I61)^2)/((PI()^2)*I59)</f>
        <v>7.9263177750730249E-4</v>
      </c>
      <c r="J58" s="8"/>
      <c r="K58" s="14"/>
      <c r="M58" s="8" t="s">
        <v>175</v>
      </c>
      <c r="N58" s="46">
        <f>(I60*N57/I56)/(N56*N55)</f>
        <v>6.8401468211206906E-2</v>
      </c>
      <c r="O58" s="8"/>
      <c r="P58" s="8"/>
      <c r="R58" s="8"/>
      <c r="S58" s="46"/>
      <c r="T58" s="8"/>
      <c r="U58" s="8"/>
    </row>
    <row r="59" spans="3:21" x14ac:dyDescent="0.45">
      <c r="H59" s="13" t="s">
        <v>20</v>
      </c>
      <c r="I59" s="11">
        <f>SS303YoungsModulus</f>
        <v>28000000</v>
      </c>
      <c r="J59" s="8"/>
      <c r="K59" s="14"/>
      <c r="M59" s="46" t="s">
        <v>178</v>
      </c>
      <c r="N59" s="8">
        <f>(0.25+0.125)/2</f>
        <v>0.1875</v>
      </c>
      <c r="O59" s="8"/>
      <c r="P59" s="8"/>
      <c r="R59" s="46"/>
      <c r="S59" s="8"/>
      <c r="T59" s="8"/>
      <c r="U59" s="8"/>
    </row>
    <row r="60" spans="3:21" x14ac:dyDescent="0.45">
      <c r="H60" s="13" t="s">
        <v>21</v>
      </c>
      <c r="I60" s="11">
        <f>D58</f>
        <v>952.14843750000011</v>
      </c>
      <c r="J60" s="8" t="s">
        <v>103</v>
      </c>
      <c r="K60" s="14"/>
      <c r="M60" s="8" t="s">
        <v>176</v>
      </c>
      <c r="N60" s="46">
        <f>(((N55/2)^2)*PI())-(N55*N59)</f>
        <v>0.10259954084936207</v>
      </c>
      <c r="O60" s="8"/>
      <c r="P60" s="8"/>
      <c r="R60" s="8"/>
      <c r="S60" s="46"/>
      <c r="T60" s="8"/>
      <c r="U60" s="8"/>
    </row>
    <row r="61" spans="3:21" x14ac:dyDescent="0.45">
      <c r="H61" s="13" t="s">
        <v>23</v>
      </c>
      <c r="I61" s="10">
        <f>MachineHeight/2</f>
        <v>10.725</v>
      </c>
      <c r="J61" s="8" t="s">
        <v>71</v>
      </c>
      <c r="K61" s="14"/>
      <c r="M61" s="8" t="s">
        <v>177</v>
      </c>
      <c r="N61" s="46">
        <f>(I60/I56)/N60</f>
        <v>2320.0601815995365</v>
      </c>
      <c r="O61" s="8"/>
      <c r="P61" s="8" t="s">
        <v>76</v>
      </c>
      <c r="R61" s="8"/>
      <c r="S61" s="46"/>
      <c r="T61" s="8"/>
      <c r="U61" s="8"/>
    </row>
    <row r="62" spans="3:21" x14ac:dyDescent="0.45">
      <c r="H62" s="13" t="s">
        <v>10</v>
      </c>
      <c r="I62" s="11">
        <v>2</v>
      </c>
      <c r="J62" s="8" t="s">
        <v>11</v>
      </c>
      <c r="K62" s="14"/>
    </row>
    <row r="63" spans="3:21" x14ac:dyDescent="0.45">
      <c r="H63" s="13" t="s">
        <v>73</v>
      </c>
      <c r="I63" s="10">
        <f>((4*I58)/PI())^0.25</f>
        <v>0.17823598870820678</v>
      </c>
      <c r="J63" s="8" t="s">
        <v>163</v>
      </c>
      <c r="K63" s="14"/>
    </row>
    <row r="64" spans="3:21" x14ac:dyDescent="0.45">
      <c r="H64" s="13" t="s">
        <v>74</v>
      </c>
      <c r="I64" s="31">
        <f>SQRT(I63/PI())*2</f>
        <v>0.47637916528565649</v>
      </c>
      <c r="J64" s="8" t="s">
        <v>71</v>
      </c>
      <c r="K64" s="14"/>
      <c r="M64" s="46" t="s">
        <v>179</v>
      </c>
      <c r="N64" s="8" t="s">
        <v>14</v>
      </c>
      <c r="O64" s="8" t="s">
        <v>5</v>
      </c>
      <c r="P64" s="14" t="s">
        <v>129</v>
      </c>
    </row>
    <row r="65" spans="3:21" x14ac:dyDescent="0.45">
      <c r="H65" s="13" t="s">
        <v>75</v>
      </c>
      <c r="I65" s="31">
        <v>0.5</v>
      </c>
      <c r="J65" s="8" t="s">
        <v>71</v>
      </c>
      <c r="K65" s="14"/>
      <c r="M65" s="46" t="s">
        <v>180</v>
      </c>
      <c r="N65" s="8">
        <f>1.29*2</f>
        <v>2.58</v>
      </c>
      <c r="O65" s="8"/>
      <c r="P65" s="8" t="s">
        <v>187</v>
      </c>
    </row>
    <row r="66" spans="3:21" x14ac:dyDescent="0.45">
      <c r="H66" s="13"/>
      <c r="I66" s="8"/>
      <c r="J66" s="8"/>
      <c r="K66" s="14"/>
      <c r="M66" s="46" t="s">
        <v>181</v>
      </c>
      <c r="N66" s="8">
        <v>0.25</v>
      </c>
      <c r="O66" s="8"/>
      <c r="P66" s="8"/>
    </row>
    <row r="67" spans="3:21" x14ac:dyDescent="0.45">
      <c r="H67" s="13" t="s">
        <v>161</v>
      </c>
      <c r="I67" s="8">
        <f>((PI()^2)*I59)/((I61/(I65/2))^2)</f>
        <v>150156.17347792178</v>
      </c>
      <c r="J67" s="8" t="s">
        <v>13</v>
      </c>
      <c r="K67" s="14" t="s">
        <v>162</v>
      </c>
      <c r="M67" s="46" t="s">
        <v>183</v>
      </c>
      <c r="N67" s="8">
        <f>(N65-(2*N66))/N59</f>
        <v>11.093333333333334</v>
      </c>
      <c r="O67" s="8"/>
      <c r="P67" s="8"/>
    </row>
    <row r="68" spans="3:21" x14ac:dyDescent="0.45">
      <c r="H68" s="13" t="s">
        <v>164</v>
      </c>
      <c r="I68" s="8">
        <f>I67*(((I65/2)^2)*PI())</f>
        <v>29483.095718087101</v>
      </c>
      <c r="J68" s="8" t="s">
        <v>103</v>
      </c>
      <c r="K68" s="14"/>
      <c r="M68" s="8" t="s">
        <v>182</v>
      </c>
      <c r="N68" s="8">
        <v>10</v>
      </c>
      <c r="O68" s="8"/>
      <c r="P68" s="8" t="s">
        <v>186</v>
      </c>
    </row>
    <row r="69" spans="3:21" ht="14.65" thickBot="1" x14ac:dyDescent="0.5">
      <c r="H69" s="26" t="s">
        <v>87</v>
      </c>
      <c r="I69" s="39"/>
      <c r="J69" s="39"/>
      <c r="K69" s="34"/>
    </row>
    <row r="70" spans="3:21" ht="14.65" thickBot="1" x14ac:dyDescent="0.5"/>
    <row r="71" spans="3:21" x14ac:dyDescent="0.45">
      <c r="C71" s="27" t="s">
        <v>121</v>
      </c>
      <c r="D71" s="28"/>
      <c r="E71" s="28"/>
      <c r="F71" s="29"/>
      <c r="H71" s="43" t="s">
        <v>148</v>
      </c>
      <c r="I71" s="44"/>
      <c r="J71" s="44"/>
      <c r="K71" s="45"/>
      <c r="M71" s="8" t="s">
        <v>172</v>
      </c>
      <c r="N71" s="8"/>
      <c r="O71" s="8"/>
      <c r="P71" s="8"/>
      <c r="R71" t="s">
        <v>192</v>
      </c>
    </row>
    <row r="72" spans="3:21" x14ac:dyDescent="0.45">
      <c r="C72" s="13" t="s">
        <v>131</v>
      </c>
      <c r="D72" s="8" t="s">
        <v>132</v>
      </c>
      <c r="E72" s="8"/>
      <c r="F72" s="14"/>
      <c r="H72" s="13" t="s">
        <v>108</v>
      </c>
      <c r="I72" s="8" t="s">
        <v>14</v>
      </c>
      <c r="J72" s="8" t="s">
        <v>5</v>
      </c>
      <c r="K72" s="14" t="s">
        <v>134</v>
      </c>
      <c r="M72" s="8"/>
      <c r="N72" s="8" t="s">
        <v>14</v>
      </c>
      <c r="O72" s="8" t="s">
        <v>5</v>
      </c>
      <c r="P72" s="8" t="s">
        <v>134</v>
      </c>
      <c r="S72" t="s">
        <v>14</v>
      </c>
      <c r="T72" t="s">
        <v>5</v>
      </c>
      <c r="U72" t="s">
        <v>134</v>
      </c>
    </row>
    <row r="73" spans="3:21" x14ac:dyDescent="0.45">
      <c r="C73" s="13" t="s">
        <v>1</v>
      </c>
      <c r="D73" s="8" t="s">
        <v>130</v>
      </c>
      <c r="E73" s="8"/>
      <c r="F73" s="14"/>
      <c r="H73" s="13" t="s">
        <v>116</v>
      </c>
      <c r="I73" s="8" t="s">
        <v>135</v>
      </c>
      <c r="J73" s="8" t="s">
        <v>11</v>
      </c>
      <c r="K73" s="14"/>
      <c r="M73" s="8" t="s">
        <v>95</v>
      </c>
      <c r="N73" s="11">
        <f>D78</f>
        <v>500</v>
      </c>
      <c r="O73" s="8" t="s">
        <v>103</v>
      </c>
      <c r="P73" s="8"/>
    </row>
    <row r="74" spans="3:21" x14ac:dyDescent="0.45">
      <c r="C74" s="13" t="s">
        <v>147</v>
      </c>
      <c r="D74" s="8"/>
      <c r="E74" s="8"/>
      <c r="F74" s="14"/>
      <c r="H74" s="13" t="s">
        <v>117</v>
      </c>
      <c r="I74" s="11">
        <f>SS303FatigueStrength</f>
        <v>34800</v>
      </c>
      <c r="J74" s="8"/>
      <c r="K74" s="14"/>
      <c r="M74" s="8" t="s">
        <v>97</v>
      </c>
      <c r="N74" s="10">
        <f>(N73/COS(I85))/COS(RADIANS(27))</f>
        <v>562.73483366177425</v>
      </c>
      <c r="O74" s="8" t="s">
        <v>103</v>
      </c>
      <c r="P74" s="8"/>
    </row>
    <row r="75" spans="3:21" x14ac:dyDescent="0.45">
      <c r="C75" s="16"/>
      <c r="D75" s="8" t="s">
        <v>14</v>
      </c>
      <c r="E75" s="8" t="s">
        <v>5</v>
      </c>
      <c r="F75" s="14" t="s">
        <v>129</v>
      </c>
      <c r="H75" s="13" t="s">
        <v>10</v>
      </c>
      <c r="I75" s="11">
        <f>FS</f>
        <v>2</v>
      </c>
      <c r="J75" s="8"/>
      <c r="K75" s="14"/>
      <c r="M75" s="8" t="s">
        <v>98</v>
      </c>
      <c r="N75" s="10">
        <f>SQRT((N74^2)-(N73^2))</f>
        <v>258.20629933513379</v>
      </c>
      <c r="O75" s="8" t="s">
        <v>103</v>
      </c>
      <c r="P75" s="8"/>
    </row>
    <row r="76" spans="3:21" x14ac:dyDescent="0.45">
      <c r="C76" s="13" t="s">
        <v>85</v>
      </c>
      <c r="D76" s="8" t="s">
        <v>84</v>
      </c>
      <c r="E76" s="8" t="s">
        <v>11</v>
      </c>
      <c r="F76" s="14" t="s">
        <v>11</v>
      </c>
      <c r="H76" s="13" t="s">
        <v>110</v>
      </c>
      <c r="I76" s="9" t="s">
        <v>111</v>
      </c>
      <c r="J76" s="8" t="s">
        <v>11</v>
      </c>
      <c r="K76" s="14"/>
      <c r="M76" s="8" t="s">
        <v>99</v>
      </c>
      <c r="N76" s="10">
        <f>N74*CoeffStaticFrictionBrassonSteelLubricated</f>
        <v>106.9196183957371</v>
      </c>
      <c r="O76" s="8" t="s">
        <v>103</v>
      </c>
      <c r="P76" s="8"/>
    </row>
    <row r="77" spans="3:21" x14ac:dyDescent="0.45">
      <c r="C77" s="13" t="s">
        <v>83</v>
      </c>
      <c r="D77" s="9">
        <v>2</v>
      </c>
      <c r="E77" s="8" t="s">
        <v>11</v>
      </c>
      <c r="F77" s="14" t="s">
        <v>11</v>
      </c>
      <c r="H77" s="13" t="s">
        <v>109</v>
      </c>
      <c r="I77" s="9">
        <v>0.5</v>
      </c>
      <c r="J77" s="8" t="s">
        <v>71</v>
      </c>
      <c r="K77" s="14"/>
      <c r="M77" s="8" t="s">
        <v>100</v>
      </c>
      <c r="N77" s="10">
        <f>N75+COS(I85)*N76</f>
        <v>364.82729191039806</v>
      </c>
      <c r="O77" s="8" t="s">
        <v>103</v>
      </c>
      <c r="P77" s="8"/>
    </row>
    <row r="78" spans="3:21" x14ac:dyDescent="0.45">
      <c r="C78" s="13" t="s">
        <v>86</v>
      </c>
      <c r="D78" s="10">
        <f>AppliedForceNormal/D77</f>
        <v>500</v>
      </c>
      <c r="E78" s="8" t="s">
        <v>103</v>
      </c>
      <c r="F78" s="14"/>
      <c r="H78" s="13" t="s">
        <v>112</v>
      </c>
      <c r="I78" s="9">
        <v>0.35</v>
      </c>
      <c r="J78" s="8" t="s">
        <v>71</v>
      </c>
      <c r="K78" s="14"/>
      <c r="M78" s="8" t="s">
        <v>101</v>
      </c>
      <c r="N78" s="31">
        <f>N77*((I79/2)/12)</f>
        <v>6.4604832942466324</v>
      </c>
      <c r="O78" s="8" t="s">
        <v>102</v>
      </c>
      <c r="P78" s="8"/>
    </row>
    <row r="79" spans="3:21" x14ac:dyDescent="0.45">
      <c r="C79" s="13" t="s">
        <v>89</v>
      </c>
      <c r="D79" s="11">
        <f>SS303FatigueStrength</f>
        <v>34800</v>
      </c>
      <c r="E79" s="8" t="s">
        <v>13</v>
      </c>
      <c r="F79" s="14"/>
      <c r="H79" s="13" t="s">
        <v>113</v>
      </c>
      <c r="I79" s="31">
        <f>(I77+I78)/2</f>
        <v>0.42499999999999999</v>
      </c>
      <c r="J79" s="8" t="s">
        <v>71</v>
      </c>
      <c r="K79" s="14"/>
      <c r="M79" s="8" t="s">
        <v>101</v>
      </c>
      <c r="N79" s="31">
        <f>N78*16*12</f>
        <v>1240.4127924953534</v>
      </c>
      <c r="O79" s="8" t="s">
        <v>137</v>
      </c>
      <c r="P79" s="8"/>
    </row>
    <row r="80" spans="3:21" x14ac:dyDescent="0.45">
      <c r="C80" s="13" t="s">
        <v>10</v>
      </c>
      <c r="D80" s="11">
        <f>FS</f>
        <v>2</v>
      </c>
      <c r="E80" s="8" t="s">
        <v>11</v>
      </c>
      <c r="F80" s="14"/>
      <c r="H80" s="13" t="s">
        <v>118</v>
      </c>
      <c r="I80" s="10">
        <f>I79*PI()</f>
        <v>1.3351768777756621</v>
      </c>
      <c r="J80" s="8" t="s">
        <v>71</v>
      </c>
      <c r="K80" s="14"/>
      <c r="M80" s="8" t="s">
        <v>101</v>
      </c>
      <c r="N80" s="31">
        <f>N78*0.4535*30.48</f>
        <v>89.301193221717043</v>
      </c>
      <c r="O80" s="8" t="s">
        <v>138</v>
      </c>
      <c r="P80" s="8"/>
    </row>
    <row r="81" spans="3:16" x14ac:dyDescent="0.45">
      <c r="C81" s="13" t="s">
        <v>90</v>
      </c>
      <c r="D81" s="10">
        <f>SQRT((4*D78*D80)/(D79*PI()))</f>
        <v>0.19127818286337878</v>
      </c>
      <c r="E81" s="8" t="s">
        <v>71</v>
      </c>
      <c r="F81" s="14"/>
      <c r="H81" s="13" t="s">
        <v>120</v>
      </c>
      <c r="I81" s="31">
        <f>((I78/2)^2)*PI()</f>
        <v>9.6211275016187398E-2</v>
      </c>
      <c r="J81" s="8"/>
      <c r="K81" s="14"/>
      <c r="M81" s="8" t="s">
        <v>104</v>
      </c>
      <c r="N81" s="8">
        <f>N78/I82</f>
        <v>4385.2356495917147</v>
      </c>
      <c r="O81" s="8" t="s">
        <v>13</v>
      </c>
      <c r="P81" s="8"/>
    </row>
    <row r="82" spans="3:16" x14ac:dyDescent="0.45">
      <c r="C82" s="13" t="s">
        <v>93</v>
      </c>
      <c r="D82" s="12">
        <v>0.375</v>
      </c>
      <c r="E82" s="8" t="s">
        <v>71</v>
      </c>
      <c r="F82" s="15" t="s">
        <v>133</v>
      </c>
      <c r="H82" s="13" t="s">
        <v>105</v>
      </c>
      <c r="I82" s="31">
        <f>PI()*((I78/2)^4)/2</f>
        <v>1.4732351486853694E-3</v>
      </c>
      <c r="J82" s="8" t="s">
        <v>71</v>
      </c>
      <c r="K82" s="14"/>
    </row>
    <row r="83" spans="3:16" x14ac:dyDescent="0.45">
      <c r="C83" s="16"/>
      <c r="D83" s="24"/>
      <c r="E83" s="24"/>
      <c r="F83" s="25"/>
      <c r="H83" s="13" t="s">
        <v>114</v>
      </c>
      <c r="I83" s="10">
        <f>1/I84</f>
        <v>0.1</v>
      </c>
      <c r="J83" s="8" t="s">
        <v>122</v>
      </c>
      <c r="K83" s="14"/>
    </row>
    <row r="84" spans="3:16" x14ac:dyDescent="0.45">
      <c r="C84" s="17" t="s">
        <v>94</v>
      </c>
      <c r="D84" s="18">
        <f>D82*PI()</f>
        <v>1.1780972450961724</v>
      </c>
      <c r="E84" s="18"/>
      <c r="F84" s="19"/>
      <c r="H84" s="13" t="s">
        <v>115</v>
      </c>
      <c r="I84" s="9">
        <v>10</v>
      </c>
      <c r="J84" s="8" t="s">
        <v>123</v>
      </c>
      <c r="K84" s="14"/>
    </row>
    <row r="85" spans="3:16" x14ac:dyDescent="0.45">
      <c r="C85" s="17" t="s">
        <v>91</v>
      </c>
      <c r="D85" s="20">
        <v>0.16666666666666666</v>
      </c>
      <c r="E85" s="18"/>
      <c r="F85" s="19" t="s">
        <v>92</v>
      </c>
      <c r="H85" s="13" t="s">
        <v>128</v>
      </c>
      <c r="I85" s="31">
        <f>ATAN(I83/I80)</f>
        <v>7.4756869969081929E-2</v>
      </c>
      <c r="J85" s="8" t="s">
        <v>126</v>
      </c>
      <c r="K85" s="14"/>
    </row>
    <row r="86" spans="3:16" ht="14.65" thickBot="1" x14ac:dyDescent="0.5">
      <c r="C86" s="17" t="s">
        <v>96</v>
      </c>
      <c r="D86" s="18">
        <f>ATAN(D85/D84)</f>
        <v>0.14053843111258857</v>
      </c>
      <c r="E86" s="18"/>
      <c r="F86" s="19"/>
      <c r="H86" s="32" t="s">
        <v>128</v>
      </c>
      <c r="I86" s="33">
        <f>DEGREES(I85)</f>
        <v>4.2832531388366837</v>
      </c>
      <c r="J86" s="33" t="s">
        <v>127</v>
      </c>
      <c r="K86" s="34"/>
    </row>
    <row r="87" spans="3:16" ht="14.65" thickBot="1" x14ac:dyDescent="0.5">
      <c r="C87" s="21" t="s">
        <v>105</v>
      </c>
      <c r="D87" s="22">
        <f>PI()*((D82/2)^4)/2</f>
        <v>1.9414444346677645E-3</v>
      </c>
      <c r="E87" s="22"/>
      <c r="F87" s="23"/>
    </row>
    <row r="90" spans="3:16" x14ac:dyDescent="0.45">
      <c r="H90" t="s">
        <v>119</v>
      </c>
      <c r="I90" s="7">
        <v>0.4</v>
      </c>
    </row>
    <row r="91" spans="3:16" x14ac:dyDescent="0.45">
      <c r="C91" s="6" t="s">
        <v>146</v>
      </c>
      <c r="H91" t="s">
        <v>125</v>
      </c>
      <c r="I91" s="7">
        <v>0.98</v>
      </c>
      <c r="J91" s="30"/>
      <c r="K91" s="30"/>
    </row>
    <row r="92" spans="3:16" x14ac:dyDescent="0.45">
      <c r="C92" t="s">
        <v>136</v>
      </c>
      <c r="J92" s="30"/>
      <c r="K92" s="30"/>
    </row>
    <row r="93" spans="3:16" x14ac:dyDescent="0.45">
      <c r="J93" s="30"/>
      <c r="K93" s="30"/>
    </row>
    <row r="94" spans="3:16" x14ac:dyDescent="0.45">
      <c r="H94" s="30"/>
      <c r="I94" s="30"/>
      <c r="J94" s="30"/>
      <c r="K94" s="30"/>
    </row>
    <row r="95" spans="3:16" x14ac:dyDescent="0.45">
      <c r="H95" s="30"/>
      <c r="I95" s="30"/>
      <c r="J95" s="30"/>
      <c r="K95" s="30"/>
    </row>
    <row r="96" spans="3:16" x14ac:dyDescent="0.45">
      <c r="C96" t="s">
        <v>174</v>
      </c>
      <c r="H96" t="s">
        <v>158</v>
      </c>
    </row>
    <row r="97" spans="3:15" x14ac:dyDescent="0.45">
      <c r="C97" s="13"/>
      <c r="D97" s="8" t="s">
        <v>14</v>
      </c>
      <c r="E97" s="8" t="s">
        <v>5</v>
      </c>
      <c r="F97" s="14" t="s">
        <v>129</v>
      </c>
      <c r="H97" s="13"/>
      <c r="I97" s="8" t="s">
        <v>14</v>
      </c>
      <c r="J97" s="8" t="s">
        <v>5</v>
      </c>
      <c r="K97" s="14" t="s">
        <v>129</v>
      </c>
    </row>
    <row r="98" spans="3:15" x14ac:dyDescent="0.45">
      <c r="C98" t="s">
        <v>149</v>
      </c>
      <c r="D98" s="4">
        <f>ROUND(N78*D77,1)</f>
        <v>12.9</v>
      </c>
      <c r="E98" t="s">
        <v>102</v>
      </c>
      <c r="F98" t="s">
        <v>152</v>
      </c>
      <c r="H98" t="s">
        <v>261</v>
      </c>
      <c r="I98">
        <f>D103/(D99/12)</f>
        <v>50.390625</v>
      </c>
    </row>
    <row r="99" spans="3:15" x14ac:dyDescent="0.45">
      <c r="C99" t="s">
        <v>150</v>
      </c>
      <c r="D99" s="35">
        <f>2</f>
        <v>2</v>
      </c>
      <c r="E99" t="s">
        <v>71</v>
      </c>
      <c r="F99" t="s">
        <v>151</v>
      </c>
      <c r="H99" t="s">
        <v>157</v>
      </c>
    </row>
    <row r="100" spans="3:15" x14ac:dyDescent="0.45">
      <c r="C100" t="s">
        <v>153</v>
      </c>
      <c r="D100">
        <f>D98/(D99/12)</f>
        <v>77.400000000000006</v>
      </c>
      <c r="E100" t="s">
        <v>4</v>
      </c>
      <c r="H100" t="s">
        <v>156</v>
      </c>
      <c r="I100" s="30"/>
      <c r="J100" s="30"/>
      <c r="K100" s="30"/>
    </row>
    <row r="101" spans="3:15" x14ac:dyDescent="0.45">
      <c r="C101" t="s">
        <v>154</v>
      </c>
      <c r="D101">
        <v>1.25</v>
      </c>
      <c r="E101" t="s">
        <v>71</v>
      </c>
      <c r="H101" s="30"/>
      <c r="I101" s="30"/>
      <c r="J101" s="30"/>
      <c r="K101" s="30"/>
    </row>
    <row r="102" spans="3:15" x14ac:dyDescent="0.45">
      <c r="C102" t="s">
        <v>159</v>
      </c>
      <c r="D102" s="7">
        <v>0.96</v>
      </c>
      <c r="I102" s="30"/>
      <c r="J102" s="30"/>
      <c r="K102" s="30"/>
    </row>
    <row r="103" spans="3:15" x14ac:dyDescent="0.45">
      <c r="C103" t="s">
        <v>160</v>
      </c>
      <c r="D103" s="4">
        <f>D98*(D101/D99)/D102</f>
        <v>8.3984375</v>
      </c>
      <c r="E103" t="s">
        <v>102</v>
      </c>
      <c r="K103" s="6" t="s">
        <v>155</v>
      </c>
    </row>
    <row r="104" spans="3:15" x14ac:dyDescent="0.45">
      <c r="C104" t="s">
        <v>160</v>
      </c>
      <c r="D104" s="4">
        <f>D103*16*12</f>
        <v>1612.5</v>
      </c>
      <c r="E104" t="s">
        <v>137</v>
      </c>
      <c r="H104" s="30"/>
      <c r="I104" s="30"/>
      <c r="J104" s="30"/>
      <c r="K104" s="30"/>
    </row>
    <row r="105" spans="3:15" x14ac:dyDescent="0.45">
      <c r="C105" t="s">
        <v>160</v>
      </c>
      <c r="D105" s="4">
        <f>D103*0.4535*30.48</f>
        <v>116.0889140625</v>
      </c>
      <c r="E105" t="s">
        <v>138</v>
      </c>
      <c r="H105" s="30"/>
      <c r="I105" s="30"/>
      <c r="J105" s="30"/>
      <c r="K105" s="30"/>
      <c r="L105" s="30"/>
      <c r="M105" s="30"/>
      <c r="N105" s="30"/>
      <c r="O105" s="30"/>
    </row>
    <row r="106" spans="3:15" x14ac:dyDescent="0.45">
      <c r="C106" t="s">
        <v>139</v>
      </c>
      <c r="D106">
        <f>D99/D101</f>
        <v>1.6</v>
      </c>
      <c r="H106" s="30"/>
      <c r="I106" s="30"/>
      <c r="J106" s="30"/>
      <c r="K106" s="30"/>
      <c r="L106" s="30"/>
      <c r="M106" s="30"/>
      <c r="N106" s="30"/>
      <c r="O106" s="30"/>
    </row>
    <row r="107" spans="3:15" x14ac:dyDescent="0.45">
      <c r="L107" s="30"/>
      <c r="M107" s="30"/>
      <c r="N107" s="30"/>
      <c r="O107" s="30"/>
    </row>
    <row r="108" spans="3:15" x14ac:dyDescent="0.45">
      <c r="L108" s="30"/>
      <c r="M108" s="30"/>
      <c r="N108" s="30"/>
      <c r="O108" s="30"/>
    </row>
    <row r="109" spans="3:15" x14ac:dyDescent="0.45">
      <c r="H109" t="s">
        <v>232</v>
      </c>
      <c r="L109" s="30"/>
      <c r="M109" s="30"/>
      <c r="N109" s="30"/>
      <c r="O109" s="30"/>
    </row>
    <row r="110" spans="3:15" x14ac:dyDescent="0.45">
      <c r="C110" t="s">
        <v>124</v>
      </c>
      <c r="H110" s="13"/>
      <c r="I110" s="8" t="s">
        <v>14</v>
      </c>
      <c r="J110" s="8" t="s">
        <v>5</v>
      </c>
      <c r="K110" s="14" t="s">
        <v>129</v>
      </c>
      <c r="L110" s="30"/>
      <c r="M110" s="30"/>
      <c r="N110" s="30"/>
      <c r="O110" s="30"/>
    </row>
    <row r="111" spans="3:15" x14ac:dyDescent="0.45">
      <c r="H111" t="s">
        <v>233</v>
      </c>
      <c r="I111" s="5">
        <v>10000</v>
      </c>
      <c r="J111" t="s">
        <v>140</v>
      </c>
      <c r="L111" s="30"/>
      <c r="M111" s="30"/>
      <c r="N111" s="30"/>
      <c r="O111" s="30"/>
    </row>
    <row r="112" spans="3:15" x14ac:dyDescent="0.45">
      <c r="C112" t="s">
        <v>160</v>
      </c>
      <c r="D112" s="4">
        <f>D103</f>
        <v>8.3984375</v>
      </c>
      <c r="E112" t="s">
        <v>102</v>
      </c>
      <c r="H112" t="s">
        <v>234</v>
      </c>
      <c r="I112" s="5">
        <v>210</v>
      </c>
      <c r="J112" t="s">
        <v>11</v>
      </c>
      <c r="L112" s="30"/>
      <c r="M112" s="30"/>
      <c r="N112" s="30"/>
      <c r="O112" s="30"/>
    </row>
    <row r="113" spans="3:15" x14ac:dyDescent="0.45">
      <c r="C113" t="s">
        <v>160</v>
      </c>
      <c r="D113" s="4">
        <f>D112*16*12</f>
        <v>1612.5</v>
      </c>
      <c r="E113" t="s">
        <v>137</v>
      </c>
      <c r="H113" t="s">
        <v>235</v>
      </c>
      <c r="I113" s="1">
        <f>D106</f>
        <v>1.6</v>
      </c>
      <c r="L113" s="30"/>
      <c r="M113" s="30"/>
      <c r="N113" s="30"/>
      <c r="O113" s="30"/>
    </row>
    <row r="114" spans="3:15" x14ac:dyDescent="0.45">
      <c r="C114" t="s">
        <v>160</v>
      </c>
      <c r="D114" s="4">
        <f>D112*0.4535*30.48</f>
        <v>116.0889140625</v>
      </c>
      <c r="E114" t="s">
        <v>138</v>
      </c>
      <c r="H114" t="s">
        <v>237</v>
      </c>
      <c r="I114" s="1">
        <f>I84</f>
        <v>10</v>
      </c>
      <c r="J114" t="s">
        <v>236</v>
      </c>
      <c r="L114" s="30"/>
      <c r="M114" s="30"/>
      <c r="N114" s="30"/>
      <c r="O114" s="30"/>
    </row>
    <row r="115" spans="3:15" x14ac:dyDescent="0.45">
      <c r="H115" t="s">
        <v>238</v>
      </c>
      <c r="I115" s="3">
        <f>I111/(I112*I113)</f>
        <v>29.761904761904763</v>
      </c>
      <c r="J115" t="s">
        <v>140</v>
      </c>
      <c r="L115" s="30"/>
      <c r="M115" s="30"/>
      <c r="N115" s="30"/>
      <c r="O115" s="30"/>
    </row>
    <row r="116" spans="3:15" x14ac:dyDescent="0.45">
      <c r="H116" t="s">
        <v>239</v>
      </c>
      <c r="I116">
        <f>I115/I114</f>
        <v>2.9761904761904763</v>
      </c>
      <c r="J116" t="s">
        <v>240</v>
      </c>
      <c r="L116" s="30"/>
      <c r="M116" s="30"/>
      <c r="N116" s="30"/>
      <c r="O116" s="30"/>
    </row>
    <row r="117" spans="3:15" x14ac:dyDescent="0.45">
      <c r="C117" t="s">
        <v>166</v>
      </c>
      <c r="L117" s="30"/>
      <c r="M117" s="30"/>
      <c r="N117" s="30"/>
      <c r="O117" s="30"/>
    </row>
    <row r="118" spans="3:15" x14ac:dyDescent="0.45">
      <c r="C118" t="s">
        <v>167</v>
      </c>
      <c r="L118" s="30"/>
      <c r="M118" s="30"/>
      <c r="N118" s="30"/>
      <c r="O118" s="30"/>
    </row>
    <row r="119" spans="3:15" x14ac:dyDescent="0.45">
      <c r="L119" s="30"/>
      <c r="M119" s="30"/>
      <c r="N119" s="30"/>
      <c r="O119" s="30"/>
    </row>
    <row r="120" spans="3:15" x14ac:dyDescent="0.45">
      <c r="L120" s="30"/>
      <c r="M120" s="30"/>
      <c r="N120" s="30"/>
      <c r="O120" s="30"/>
    </row>
    <row r="127" spans="3:15" x14ac:dyDescent="0.45">
      <c r="C127" t="s">
        <v>254</v>
      </c>
      <c r="D127">
        <v>7.4690000000000003</v>
      </c>
      <c r="E127" t="s">
        <v>71</v>
      </c>
    </row>
    <row r="129" spans="3:6" x14ac:dyDescent="0.45">
      <c r="C129" s="8" t="s">
        <v>202</v>
      </c>
      <c r="D129" s="8"/>
      <c r="E129" s="8"/>
      <c r="F129" s="8"/>
    </row>
    <row r="130" spans="3:6" x14ac:dyDescent="0.45">
      <c r="C130" s="8"/>
      <c r="D130" s="8" t="s">
        <v>14</v>
      </c>
      <c r="E130" s="8" t="s">
        <v>5</v>
      </c>
      <c r="F130" s="8" t="s">
        <v>129</v>
      </c>
    </row>
    <row r="131" spans="3:6" x14ac:dyDescent="0.45">
      <c r="C131" s="8" t="s">
        <v>193</v>
      </c>
      <c r="D131" s="8">
        <f>AppliedForceNormal</f>
        <v>1000</v>
      </c>
      <c r="E131" s="8" t="s">
        <v>103</v>
      </c>
      <c r="F131" s="8"/>
    </row>
    <row r="132" spans="3:6" x14ac:dyDescent="0.45">
      <c r="C132" s="8" t="s">
        <v>254</v>
      </c>
      <c r="D132" s="8">
        <v>7.4690000000000003</v>
      </c>
      <c r="E132" s="8" t="s">
        <v>71</v>
      </c>
      <c r="F132" s="8" t="s">
        <v>255</v>
      </c>
    </row>
    <row r="133" spans="3:6" x14ac:dyDescent="0.45">
      <c r="C133" s="8" t="s">
        <v>200</v>
      </c>
      <c r="D133" s="8">
        <v>500</v>
      </c>
      <c r="E133" s="8" t="s">
        <v>103</v>
      </c>
      <c r="F133" s="8"/>
    </row>
    <row r="134" spans="3:6" x14ac:dyDescent="0.45">
      <c r="C134" s="8" t="s">
        <v>198</v>
      </c>
      <c r="D134" s="8">
        <f>D133*D132/2</f>
        <v>1867.25</v>
      </c>
      <c r="E134" s="8" t="s">
        <v>199</v>
      </c>
      <c r="F134" s="8"/>
    </row>
    <row r="135" spans="3:6" x14ac:dyDescent="0.45">
      <c r="C135" s="8" t="s">
        <v>10</v>
      </c>
      <c r="D135" s="8">
        <v>2</v>
      </c>
      <c r="E135" s="8"/>
      <c r="F135" s="8"/>
    </row>
    <row r="136" spans="3:6" x14ac:dyDescent="0.45">
      <c r="C136" s="8" t="s">
        <v>244</v>
      </c>
      <c r="D136" s="8">
        <f>SS303FatigueStrength</f>
        <v>34800</v>
      </c>
      <c r="E136" s="8"/>
      <c r="F136" s="8"/>
    </row>
    <row r="137" spans="3:6" x14ac:dyDescent="0.45">
      <c r="C137" s="8" t="s">
        <v>243</v>
      </c>
      <c r="D137" s="8">
        <f>D134*D135/D136</f>
        <v>0.1073132183908046</v>
      </c>
      <c r="E137" s="8"/>
      <c r="F137" s="8"/>
    </row>
    <row r="150" spans="3:3" x14ac:dyDescent="0.45">
      <c r="C150" t="s">
        <v>263</v>
      </c>
    </row>
    <row r="163" spans="3:3" x14ac:dyDescent="0.45">
      <c r="C163" t="s">
        <v>262</v>
      </c>
    </row>
  </sheetData>
  <hyperlinks>
    <hyperlink ref="C91" r:id="rId1" location=":~:text=The%20bearing%20pressure%20refers%20to%20the#:~:text=The%20bearing%20pressure%20refers%20to%20the" display="https://engineerexcel.com/acme-thread-calculations/ - :~:text=The%20bearing%20pressure%20refers%20to%20the#:~:text=The%20bearing%20pressure%20refers%20to%20the" xr:uid="{EB560DC3-B69B-4530-B1AF-3637325D1D1F}"/>
    <hyperlink ref="K103" r:id="rId2" location="fig25" display="http://chain-guide.com/basics/2-1-2-engagement-with-sprockets.html - fig25" xr:uid="{80E4AA67-26CD-4E34-8F69-0332D5B7D54D}"/>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40096-3C22-48AC-994A-0768CD3A5344}">
  <dimension ref="A5:C19"/>
  <sheetViews>
    <sheetView workbookViewId="0">
      <selection activeCell="C10" sqref="C10"/>
    </sheetView>
  </sheetViews>
  <sheetFormatPr defaultRowHeight="14.25" x14ac:dyDescent="0.45"/>
  <cols>
    <col min="1" max="1" width="20.265625" customWidth="1"/>
    <col min="2" max="2" width="33.53125" customWidth="1"/>
  </cols>
  <sheetData>
    <row r="5" spans="1:3" x14ac:dyDescent="0.45">
      <c r="B5" t="s">
        <v>227</v>
      </c>
      <c r="C5" s="6" t="s">
        <v>211</v>
      </c>
    </row>
    <row r="8" spans="1:3" x14ac:dyDescent="0.45">
      <c r="A8" t="s">
        <v>228</v>
      </c>
      <c r="B8" t="s">
        <v>230</v>
      </c>
      <c r="C8" s="6" t="s">
        <v>229</v>
      </c>
    </row>
    <row r="9" spans="1:3" x14ac:dyDescent="0.45">
      <c r="C9" s="6" t="s">
        <v>204</v>
      </c>
    </row>
    <row r="10" spans="1:3" x14ac:dyDescent="0.45">
      <c r="C10" s="6" t="s">
        <v>203</v>
      </c>
    </row>
    <row r="11" spans="1:3" x14ac:dyDescent="0.45">
      <c r="C11" s="6" t="s">
        <v>201</v>
      </c>
    </row>
    <row r="13" spans="1:3" x14ac:dyDescent="0.45">
      <c r="A13" t="s">
        <v>212</v>
      </c>
      <c r="B13" t="s">
        <v>214</v>
      </c>
      <c r="C13" s="6" t="s">
        <v>213</v>
      </c>
    </row>
    <row r="14" spans="1:3" x14ac:dyDescent="0.45">
      <c r="B14" t="s">
        <v>215</v>
      </c>
      <c r="C14" s="6" t="s">
        <v>216</v>
      </c>
    </row>
    <row r="15" spans="1:3" x14ac:dyDescent="0.45">
      <c r="B15" t="s">
        <v>218</v>
      </c>
      <c r="C15" s="6" t="s">
        <v>217</v>
      </c>
    </row>
    <row r="16" spans="1:3" x14ac:dyDescent="0.45">
      <c r="B16" t="s">
        <v>220</v>
      </c>
      <c r="C16" s="6" t="s">
        <v>219</v>
      </c>
    </row>
    <row r="17" spans="2:3" x14ac:dyDescent="0.45">
      <c r="B17" t="s">
        <v>222</v>
      </c>
      <c r="C17" s="6" t="s">
        <v>221</v>
      </c>
    </row>
    <row r="18" spans="2:3" x14ac:dyDescent="0.45">
      <c r="B18" t="s">
        <v>224</v>
      </c>
      <c r="C18" s="6" t="s">
        <v>223</v>
      </c>
    </row>
    <row r="19" spans="2:3" x14ac:dyDescent="0.45">
      <c r="B19" t="s">
        <v>225</v>
      </c>
      <c r="C19" s="6" t="s">
        <v>226</v>
      </c>
    </row>
  </sheetData>
  <hyperlinks>
    <hyperlink ref="C5" r:id="rId1" display="https://s3.amazonaws.com/www.motionusa.com/nook/AcmeScrewsandLeadScrews/PowerAc_Technical_Introduction.pdf" xr:uid="{61E2D891-AD0B-4E5F-B93A-369198A6FC1F}"/>
    <hyperlink ref="C13" r:id="rId2" display="https://www.youtube.com/watch?v=IEURRpiXw0A&amp;ab_channel=KETIVTechnologies" xr:uid="{470CEF69-BA8B-4EDD-9789-758D5116F88C}"/>
    <hyperlink ref="C14" r:id="rId3" display="https://www.youtube.com/watch?v=-boTG63iuU8&amp;ab_channel=InventorTutorials" xr:uid="{171FD47A-297A-4D8A-8E20-E84AA50AB7CF}"/>
    <hyperlink ref="C15" r:id="rId4" display="https://www.youtube.com/watch?v=QqAxnKq4804&amp;ab_channel=CADwave" xr:uid="{C3342291-9C1C-4DA9-8FFB-B1E189BAAF6D}"/>
    <hyperlink ref="C16" r:id="rId5" display="https://www.youtube.com/watch?v=XMdkNPOzI-g&amp;ab_channel=ConstantinStancescu" xr:uid="{CADBB44C-2A51-4A7D-8385-FBC5DF90E8A1}"/>
    <hyperlink ref="C17" r:id="rId6" display="https://help.autodesk.com/view/INVNTOR/2014/ENU/?guid=GUID-77BAE285-4803-4DCA-9AE0-919C7A862D4C" xr:uid="{B77B5351-809E-4441-BC0E-E46B189B3201}"/>
    <hyperlink ref="C18" r:id="rId7" display="https://help.autodesk.com/view/INVNTOR/2022/ENU/?guid=GUID-D96F0063-3813-4EED-98FA-C34D3946265C" xr:uid="{17A6B94A-F2BF-4BA0-BD40-DC9FFCA54C71}"/>
    <hyperlink ref="C19" r:id="rId8" display="https://www.youtube.com/watch?v=qejdeREv4yQ&amp;list=PL992BCE4AB35AD129&amp;index=5&amp;ab_channel=TEDCFPublishing" xr:uid="{CB8EFD32-A070-4DB1-B79D-B2C58CD645FD}"/>
    <hyperlink ref="C8" r:id="rId9" location=":~:text=Equations%20for%20the%20section%20moduli%20of" display="https://www.engineersedge.com/material_science/section_modulus_12893.htm - :~:text=Equations%20for%20the%20section%20moduli%20of" xr:uid="{EEC1E151-1F84-4EE2-B4D9-6F6A2CD98E59}"/>
    <hyperlink ref="C11" r:id="rId10" location=":~:text=The%20bending%20moment,%20M,%20along%20the%20length#:~:text=The%20bending%20moment,%20M,%20along%20the%20length" display="https://mechanicalc.com/reference/beam-analysis - :~:text=The%20bending%20moment,%20M,%20along%20the%20length#:~:text=The%20bending%20moment,%20M,%20along%20the%20length" xr:uid="{759D6FF9-602F-404F-B489-CCCDE2271B97}"/>
    <hyperlink ref="C10" r:id="rId11" location=":~:text=The%20bending%20stress%20in%20a%20bending%20beam%20can" display="https://www.engineeringtoolbox.com/beam-stress-deflection-d_1312.html - :~:text=The%20bending%20stress%20in%20a%20bending%20beam%20can" xr:uid="{296F07B6-648C-474F-9995-60C904037101}"/>
    <hyperlink ref="C9" r:id="rId12" location=":~:text=Introduction.%20Figures%201%20through%2032" display="https://engineering.purdue.edu/~ce474/Docs/DA6-BeamFormulas.pdf - :~:text=Introduction.%20Figures%201%20through%2032" xr:uid="{0B98366A-E9AA-422D-9022-1814824E801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C0A57-75E1-4C82-BEEC-8882CA08F993}">
  <dimension ref="C6:D22"/>
  <sheetViews>
    <sheetView topLeftCell="A4" workbookViewId="0">
      <selection activeCell="C7" sqref="C7"/>
    </sheetView>
  </sheetViews>
  <sheetFormatPr defaultRowHeight="14.25" x14ac:dyDescent="0.45"/>
  <cols>
    <col min="3" max="3" width="95.1328125" customWidth="1"/>
  </cols>
  <sheetData>
    <row r="6" spans="3:4" x14ac:dyDescent="0.45">
      <c r="C6" t="s">
        <v>231</v>
      </c>
    </row>
    <row r="7" spans="3:4" x14ac:dyDescent="0.45">
      <c r="C7" t="s">
        <v>25</v>
      </c>
    </row>
    <row r="9" spans="3:4" x14ac:dyDescent="0.45">
      <c r="C9" s="2" t="s">
        <v>26</v>
      </c>
    </row>
    <row r="10" spans="3:4" x14ac:dyDescent="0.45">
      <c r="C10" s="2" t="s">
        <v>27</v>
      </c>
    </row>
    <row r="12" spans="3:4" x14ac:dyDescent="0.45">
      <c r="C12" t="s">
        <v>28</v>
      </c>
      <c r="D12" t="s">
        <v>29</v>
      </c>
    </row>
    <row r="13" spans="3:4" x14ac:dyDescent="0.45">
      <c r="C13" t="s">
        <v>30</v>
      </c>
      <c r="D13" t="s">
        <v>31</v>
      </c>
    </row>
    <row r="14" spans="3:4" x14ac:dyDescent="0.45">
      <c r="C14" t="s">
        <v>32</v>
      </c>
      <c r="D14" t="s">
        <v>33</v>
      </c>
    </row>
    <row r="18" spans="3:4" x14ac:dyDescent="0.45">
      <c r="C18" t="s">
        <v>34</v>
      </c>
    </row>
    <row r="19" spans="3:4" x14ac:dyDescent="0.45">
      <c r="C19" t="s">
        <v>35</v>
      </c>
      <c r="D19" t="s">
        <v>36</v>
      </c>
    </row>
    <row r="20" spans="3:4" x14ac:dyDescent="0.45">
      <c r="C20" t="s">
        <v>37</v>
      </c>
      <c r="D20" t="s">
        <v>38</v>
      </c>
    </row>
    <row r="21" spans="3:4" x14ac:dyDescent="0.45">
      <c r="C21" t="s">
        <v>39</v>
      </c>
      <c r="D21" t="s">
        <v>40</v>
      </c>
    </row>
    <row r="22" spans="3:4" x14ac:dyDescent="0.45">
      <c r="C22" t="s">
        <v>41</v>
      </c>
      <c r="D22"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2221C-5C0B-46B0-85B0-C1695986BBCC}">
  <dimension ref="A1:B12"/>
  <sheetViews>
    <sheetView workbookViewId="0">
      <selection activeCell="B8" sqref="B8"/>
    </sheetView>
  </sheetViews>
  <sheetFormatPr defaultRowHeight="14.25" x14ac:dyDescent="0.45"/>
  <cols>
    <col min="1" max="1" width="17.9296875" customWidth="1"/>
  </cols>
  <sheetData>
    <row r="1" spans="1:2" x14ac:dyDescent="0.45">
      <c r="A1" t="s">
        <v>141</v>
      </c>
      <c r="B1">
        <v>0.875</v>
      </c>
    </row>
    <row r="2" spans="1:2" x14ac:dyDescent="0.45">
      <c r="A2" t="s">
        <v>142</v>
      </c>
      <c r="B2">
        <v>4</v>
      </c>
    </row>
    <row r="3" spans="1:2" x14ac:dyDescent="0.45">
      <c r="A3" t="s">
        <v>143</v>
      </c>
      <c r="B3">
        <v>21.45</v>
      </c>
    </row>
    <row r="4" spans="1:2" x14ac:dyDescent="0.45">
      <c r="A4" t="s">
        <v>144</v>
      </c>
      <c r="B4">
        <v>5.18</v>
      </c>
    </row>
    <row r="7" spans="1:2" x14ac:dyDescent="0.45">
      <c r="B7">
        <f>(B3-B4)*(((B2/2)^2)-((B1/2)^2))/((2*((B2/2)^2))-((B1/2)^2))</f>
        <v>7.9355927963981987</v>
      </c>
    </row>
    <row r="8" spans="1:2" x14ac:dyDescent="0.45">
      <c r="B8" cm="1">
        <f t="array" ref="B8">(MMH-PTIH)*(((WCID/2)^2)-((WPRT/2)^2))/((2*((WCID/2)^2))-((WPRT/2)^2))</f>
        <v>7.9355927963981987</v>
      </c>
    </row>
    <row r="12" spans="1:2" x14ac:dyDescent="0.45">
      <c r="B12"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17</vt:i4>
      </vt:variant>
    </vt:vector>
  </HeadingPairs>
  <TitlesOfParts>
    <vt:vector size="23" baseType="lpstr">
      <vt:lpstr>Design and Material Specs</vt:lpstr>
      <vt:lpstr>Key Dimensions</vt:lpstr>
      <vt:lpstr>WS Sizing Calculations</vt:lpstr>
      <vt:lpstr>Sources</vt:lpstr>
      <vt:lpstr>Equation Derivation</vt:lpstr>
      <vt:lpstr>Sheet1</vt:lpstr>
      <vt:lpstr>AmbientPressureAbsolute</vt:lpstr>
      <vt:lpstr>AppliedForceNormal</vt:lpstr>
      <vt:lpstr>CoeffStaticFrictionBrassonSteelLubricated</vt:lpstr>
      <vt:lpstr>FS</vt:lpstr>
      <vt:lpstr>lfb2N</vt:lpstr>
      <vt:lpstr>MachineHeight</vt:lpstr>
      <vt:lpstr>MachineLength</vt:lpstr>
      <vt:lpstr>MachineWidth</vt:lpstr>
      <vt:lpstr>MMH</vt:lpstr>
      <vt:lpstr>PistonSpeed</vt:lpstr>
      <vt:lpstr>PTIH</vt:lpstr>
      <vt:lpstr>SS303FatigueStrength</vt:lpstr>
      <vt:lpstr>SS303YieldStrength</vt:lpstr>
      <vt:lpstr>SS303YoungsModulus</vt:lpstr>
      <vt:lpstr>WashChamberDiameter</vt:lpstr>
      <vt:lpstr>WCID</vt:lpstr>
      <vt:lpstr>WPRT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ROHMANN, THOMAS</dc:creator>
  <cp:lastModifiedBy>Tommy Rohmann</cp:lastModifiedBy>
  <dcterms:created xsi:type="dcterms:W3CDTF">2024-03-29T19:26:34Z</dcterms:created>
  <dcterms:modified xsi:type="dcterms:W3CDTF">2024-10-12T11:56:43Z</dcterms:modified>
</cp:coreProperties>
</file>