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dcdf7eb514dfaeec/Projects/Microgravity-Press-Washing-Machine/Sub-System Design and Documentation/4 Structure and Drive Train Assembly/"/>
    </mc:Choice>
  </mc:AlternateContent>
  <xr:revisionPtr revIDLastSave="9" documentId="13_ncr:1_{4AAA6B9C-80F3-4AB5-A3F7-F08D2B1D8BA3}" xr6:coauthVersionLast="47" xr6:coauthVersionMax="47" xr10:uidLastSave="{FA1F8A23-83DC-4024-903F-CC290AE398B6}"/>
  <bookViews>
    <workbookView xWindow="-120" yWindow="-120" windowWidth="29040" windowHeight="15720" activeTab="2" xr2:uid="{73A7591B-B5CA-4318-9343-9B3FDBEBCAB4}"/>
  </bookViews>
  <sheets>
    <sheet name="Design and Material Specs" sheetId="2" r:id="rId1"/>
    <sheet name="Inventor Model Ref Sheet" sheetId="5" r:id="rId2"/>
    <sheet name="WS Sizing Calculations" sheetId="1" r:id="rId3"/>
    <sheet name="Allowable Piston Travel" sheetId="3" r:id="rId4"/>
  </sheets>
  <definedNames>
    <definedName name="AmbientPressureAbsolute">'Design and Material Specs'!$D$11</definedName>
    <definedName name="AppliedForceNormal">'Design and Material Specs'!$D$17</definedName>
    <definedName name="CoeffStaticFrictionBrassonSteelLubricated">'Design and Material Specs'!$D$7</definedName>
    <definedName name="FS">'Design and Material Specs'!$D$19</definedName>
    <definedName name="MachineHeight">'Design and Material Specs'!$D$29</definedName>
    <definedName name="MachineLength">'Design and Material Specs'!$D$31</definedName>
    <definedName name="MachineWidth">'Design and Material Specs'!$D$30</definedName>
    <definedName name="PistonSpeed">'Design and Material Specs'!$D$18</definedName>
    <definedName name="SS303FatigueStrength">'Design and Material Specs'!$D$4</definedName>
    <definedName name="SS303YieldStrength">'Design and Material Specs'!$D$5</definedName>
    <definedName name="SS303YoungsModulus">'Design and Material Specs'!$D$6</definedName>
    <definedName name="WashChamberDiameter">'Design and Material Specs'!$D$25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D42" i="1"/>
  <c r="N41" i="1" s="1"/>
  <c r="I68" i="1"/>
  <c r="I70" i="1" s="1"/>
  <c r="I71" i="1" s="1"/>
  <c r="I51" i="1"/>
  <c r="I49" i="1"/>
  <c r="D51" i="1"/>
  <c r="I76" i="1"/>
  <c r="I81" i="1" s="1"/>
  <c r="I48" i="1"/>
  <c r="I42" i="1"/>
  <c r="I46" i="1"/>
  <c r="I47" i="1" s="1"/>
  <c r="I53" i="1" l="1"/>
  <c r="I54" i="1" s="1"/>
  <c r="I60" i="1"/>
  <c r="I61" i="1"/>
  <c r="D44" i="1"/>
  <c r="D45" i="1" s="1"/>
  <c r="D48" i="1"/>
  <c r="D50" i="1" s="1"/>
  <c r="D43" i="1"/>
  <c r="P13" i="1"/>
  <c r="P12" i="1"/>
  <c r="P10" i="1"/>
  <c r="N42" i="1" l="1"/>
  <c r="N44" i="1"/>
  <c r="N43" i="1"/>
  <c r="P9" i="1"/>
  <c r="P14" i="1" s="1"/>
  <c r="P15" i="1" s="1"/>
  <c r="P18" i="1"/>
  <c r="U7" i="1"/>
  <c r="U8" i="1" s="1"/>
  <c r="D10" i="1"/>
  <c r="D30" i="2"/>
  <c r="D8" i="1"/>
  <c r="D11" i="1"/>
  <c r="N45" i="1" l="1"/>
  <c r="N50" i="1" s="1"/>
  <c r="D7" i="1"/>
  <c r="D12" i="1" s="1"/>
  <c r="D16" i="1"/>
  <c r="U9" i="1"/>
  <c r="U10" i="1" s="1"/>
  <c r="N46" i="1" l="1"/>
  <c r="N47" i="1" l="1"/>
  <c r="N48" i="1"/>
  <c r="N67" i="1" s="1"/>
  <c r="N68" i="1" s="1"/>
</calcChain>
</file>

<file path=xl/sharedStrings.xml><?xml version="1.0" encoding="utf-8"?>
<sst xmlns="http://schemas.openxmlformats.org/spreadsheetml/2006/main" count="265" uniqueCount="198">
  <si>
    <t>Clamping Screws for middle support to clamp down wash chamber</t>
  </si>
  <si>
    <t>Desired Force Application</t>
  </si>
  <si>
    <t>Method</t>
  </si>
  <si>
    <t>Material Properties</t>
  </si>
  <si>
    <t>Design Specifications</t>
  </si>
  <si>
    <t>lb</t>
  </si>
  <si>
    <t>Units</t>
  </si>
  <si>
    <t>Piston Speed</t>
  </si>
  <si>
    <t>ft/s</t>
  </si>
  <si>
    <t>Piston Rod Size For Load Application</t>
  </si>
  <si>
    <t>303 Stainless Steel</t>
  </si>
  <si>
    <t>Yield Strength</t>
  </si>
  <si>
    <t>FS</t>
  </si>
  <si>
    <t>-</t>
  </si>
  <si>
    <t>Max Force Application</t>
  </si>
  <si>
    <t>psi</t>
  </si>
  <si>
    <t>Value</t>
  </si>
  <si>
    <t>Item</t>
  </si>
  <si>
    <t>Fatigue Strength</t>
  </si>
  <si>
    <t>Source</t>
  </si>
  <si>
    <t>Matweb</t>
  </si>
  <si>
    <t>K</t>
  </si>
  <si>
    <t>I</t>
  </si>
  <si>
    <t>E</t>
  </si>
  <si>
    <t>Pcr</t>
  </si>
  <si>
    <t>Assume Fixed/Free since no buckling load taken by piston sealing</t>
  </si>
  <si>
    <t>Youngs Modulus</t>
  </si>
  <si>
    <t>lmax</t>
  </si>
  <si>
    <t>Piston Travel Max</t>
  </si>
  <si>
    <t>D=2√((V/16.387)/πh)</t>
  </si>
  <si>
    <t xml:space="preserve"> r = Radius of Shaft, R = Radius of Wash Chamber, t = Chamber Top travel, T = Piston travel distance, and V = Volume</t>
  </si>
  <si>
    <t xml:space="preserve">When the chamber top extends upward, it increases the volume of the chamber by the cross sectional area of the wash chamber minus the cross sectional area of the shaft multiplied by the distance traveled, represented by </t>
  </si>
  <si>
    <t>.</t>
  </si>
  <si>
    <t>For const volume, volume of shaft introduced into chamber equated to required chamber top travel</t>
  </si>
  <si>
    <t>πr^2 T=t(πR^2-πr^2)</t>
  </si>
  <si>
    <t>Solved for piston top travel</t>
  </si>
  <si>
    <t>t=πr^2 T/(πR^2-πr^2)</t>
  </si>
  <si>
    <t>Simplified equation for chamber top travel for a given compression piston travel</t>
  </si>
  <si>
    <t>t=r^2*T/(R^2-r^2)</t>
  </si>
  <si>
    <t>H= Max allowable height of machine, r = Radius of Shaft, R = Radius of Wash Chamber, t = Chamber Top travel, T = Piston travel distance, and W[component] = Width or height taken up by component in washing machine</t>
  </si>
  <si>
    <t>Ideal max piston travel for a given height</t>
  </si>
  <si>
    <t>T=H-T</t>
  </si>
  <si>
    <t>Actual allowable piston travel</t>
  </si>
  <si>
    <t>T=H-(T+∑W)</t>
  </si>
  <si>
    <t>Find allowable piston travel based upon thickness of structural members, pistons, and chamber top travel</t>
  </si>
  <si>
    <t>T=H-(T+(r^2*T/(R^2-r^2))+∑W)</t>
  </si>
  <si>
    <t>Allowable piston travel, solving for T</t>
  </si>
  <si>
    <t>T=(H-∑W)(R^2-r^2/(2R^2-r^2))</t>
  </si>
  <si>
    <t>Method:</t>
  </si>
  <si>
    <t>Determine the number of compression cycles that need to take place over the products working lifespan to determine max stress each member can experience under normal operations.</t>
  </si>
  <si>
    <t>Name of Value</t>
  </si>
  <si>
    <t>Symbol</t>
  </si>
  <si>
    <t>Reasoning</t>
  </si>
  <si>
    <t>Load Bearing Material</t>
  </si>
  <si>
    <t>Stress for Given Lifespan</t>
  </si>
  <si>
    <t xml:space="preserve">People Accomodated </t>
  </si>
  <si>
    <t>People</t>
  </si>
  <si>
    <t>NA</t>
  </si>
  <si>
    <t>Crew Size for the ISS</t>
  </si>
  <si>
    <t>Wash Rate</t>
  </si>
  <si>
    <t>Wash/Person/Day</t>
  </si>
  <si>
    <t>Assuming washing full set of clothes per day (over-estimation)</t>
  </si>
  <si>
    <t>304 Stainless Steel</t>
  </si>
  <si>
    <t>Designed Life-Span</t>
  </si>
  <si>
    <t>Years</t>
  </si>
  <si>
    <t>Compressions Per Wash Min</t>
  </si>
  <si>
    <t># of Compression Cycles</t>
  </si>
  <si>
    <t>One compression for hydration, agitation, and removal of water respectively</t>
  </si>
  <si>
    <t>Aluminium 3104-H19</t>
  </si>
  <si>
    <t>Compressions Per Wash Max</t>
  </si>
  <si>
    <t>Arbitrarily chosen to accommodate multiple compressions per wash phase</t>
  </si>
  <si>
    <t>Aluminium 3004-H19</t>
  </si>
  <si>
    <t>Wash Chamber Diameter</t>
  </si>
  <si>
    <t>Wash Chamber Height</t>
  </si>
  <si>
    <t>Max Maching Height</t>
  </si>
  <si>
    <t>Max Machine Width</t>
  </si>
  <si>
    <t>in</t>
  </si>
  <si>
    <t>Max Machine Length</t>
  </si>
  <si>
    <t>a</t>
  </si>
  <si>
    <t>D</t>
  </si>
  <si>
    <t>Shaft Diameter</t>
  </si>
  <si>
    <t>Min Shaft Diameter to stay under Fatigue Stress for piston of machine height</t>
  </si>
  <si>
    <t>check</t>
  </si>
  <si>
    <t>Reaction Force on Chamber Top Due to Pressure</t>
  </si>
  <si>
    <t>Max Water Pressue</t>
  </si>
  <si>
    <t>Chamber Top Wetted Area</t>
  </si>
  <si>
    <t>Piston Area</t>
  </si>
  <si>
    <t># of Supports</t>
  </si>
  <si>
    <t>Chamber Top Rod Size For Load Application</t>
  </si>
  <si>
    <t># of Lead Screws</t>
  </si>
  <si>
    <t>Tension</t>
  </si>
  <si>
    <t>State of Force</t>
  </si>
  <si>
    <t>Force Applied to Screws</t>
  </si>
  <si>
    <t>FS over Fatigue Limit</t>
  </si>
  <si>
    <t>Critical Stress Buckling</t>
  </si>
  <si>
    <t>Critical Stress Due to Plastic Deformation</t>
  </si>
  <si>
    <t>Coefficients of Friction</t>
  </si>
  <si>
    <t>Lubricated Steel on Brass Static Friction</t>
  </si>
  <si>
    <t>Coefficient of Friction Equation and Table Chart (engineersedge.com)</t>
  </si>
  <si>
    <t>Max Allowed Stress</t>
  </si>
  <si>
    <t>Minimum diameter of lead screw pure tensile stress</t>
  </si>
  <si>
    <t>Pitch at Given Diameter</t>
  </si>
  <si>
    <t>From Shigleys</t>
  </si>
  <si>
    <t>mean diameter of Lead Screw</t>
  </si>
  <si>
    <t>Unraveled Diameter of Screw</t>
  </si>
  <si>
    <t>Applied Force</t>
  </si>
  <si>
    <t>Pitch Angle of Screw</t>
  </si>
  <si>
    <t>Normal Reaction Force</t>
  </si>
  <si>
    <t>Horizontal Component of Normal Force</t>
  </si>
  <si>
    <t>Friction Force</t>
  </si>
  <si>
    <t>Force Required to Produce Applied Load</t>
  </si>
  <si>
    <t>Torque application required to move piston</t>
  </si>
  <si>
    <t>ft-lb</t>
  </si>
  <si>
    <t>lbf</t>
  </si>
  <si>
    <t>Shear Stress Induced due to Torque</t>
  </si>
  <si>
    <t>Polar Moment of Inertia of Screw (minor dia)</t>
  </si>
  <si>
    <t>Mohrs Circle Max Stress</t>
  </si>
  <si>
    <t>Stress Y</t>
  </si>
  <si>
    <t>Stress X</t>
  </si>
  <si>
    <t>Shear Stress</t>
  </si>
  <si>
    <t>Center of Circle</t>
  </si>
  <si>
    <t>Radius of Circle</t>
  </si>
  <si>
    <t>Max stress</t>
  </si>
  <si>
    <t>1 atm</t>
  </si>
  <si>
    <t>psia</t>
  </si>
  <si>
    <t>Lead Screw Analysis</t>
  </si>
  <si>
    <t>Pre-Spec Screw Dimensions</t>
  </si>
  <si>
    <t>Screw Major Diameter</t>
  </si>
  <si>
    <t>Thread Type</t>
  </si>
  <si>
    <t>ACME</t>
  </si>
  <si>
    <t>Screw Minor Diameter</t>
  </si>
  <si>
    <t>Screw Mean Diameter</t>
  </si>
  <si>
    <t>Screw Pitch</t>
  </si>
  <si>
    <t>TPI</t>
  </si>
  <si>
    <t>Material</t>
  </si>
  <si>
    <t>Design Max Stress</t>
  </si>
  <si>
    <t>inch</t>
  </si>
  <si>
    <t>Mean Screw Circumference</t>
  </si>
  <si>
    <t>Inch</t>
  </si>
  <si>
    <t>Post Calculation Values</t>
  </si>
  <si>
    <t>Speed Ratio</t>
  </si>
  <si>
    <t>lbf/ft-lbf</t>
  </si>
  <si>
    <t>Screw Efficiency</t>
  </si>
  <si>
    <t>Tensile Stress</t>
  </si>
  <si>
    <t>Minor Diameter Cross Sect. Area</t>
  </si>
  <si>
    <t>Condition 1: Max Service Stress</t>
  </si>
  <si>
    <t>Condition 2: Max Force Application of Motor</t>
  </si>
  <si>
    <t>Piston Lead Screw Initial Sizing</t>
  </si>
  <si>
    <t>Condition 3: Piston Retract under Vacuum</t>
  </si>
  <si>
    <t>Method: Determine if screws could withstand max compressive force applied by motor.</t>
  </si>
  <si>
    <t>Determine if screw could withstand max force application achievable by selected motor, calculated following design of the rest of the drive train system</t>
  </si>
  <si>
    <t>Max Applied Force Normal</t>
  </si>
  <si>
    <t>Mechanical Advantage (ideal)</t>
  </si>
  <si>
    <t>Screw Efficiency at max design load</t>
  </si>
  <si>
    <t>(in/sec)/RPM</t>
  </si>
  <si>
    <t>inch/revolution</t>
  </si>
  <si>
    <t>threads/inch</t>
  </si>
  <si>
    <t>(ft/min)/RPM</t>
  </si>
  <si>
    <t>Motor Sizing</t>
  </si>
  <si>
    <t>Power Required * Efficiency</t>
  </si>
  <si>
    <t>Design Load</t>
  </si>
  <si>
    <t>Design Speed</t>
  </si>
  <si>
    <t>total expected drive train efficiency</t>
  </si>
  <si>
    <t>Chain Efficiency</t>
  </si>
  <si>
    <t>Gearbox Efficiency</t>
  </si>
  <si>
    <t>ft/sec</t>
  </si>
  <si>
    <t>Design Power</t>
  </si>
  <si>
    <t>J</t>
  </si>
  <si>
    <t>ft-lb -&gt;</t>
  </si>
  <si>
    <t>Watts</t>
  </si>
  <si>
    <t>radians</t>
  </si>
  <si>
    <t>degrees</t>
  </si>
  <si>
    <t>Screw Pitch Angle</t>
  </si>
  <si>
    <t>Notes</t>
  </si>
  <si>
    <t>initial estimate of rod size to withstand forces associated with maximum working clothing compression</t>
  </si>
  <si>
    <t>Condition</t>
  </si>
  <si>
    <t>Max Clothing Compression</t>
  </si>
  <si>
    <t>~(3/8")</t>
  </si>
  <si>
    <t>Screw Strength Check</t>
  </si>
  <si>
    <t>Screw Mechanical Advantage Check</t>
  </si>
  <si>
    <t>Note</t>
  </si>
  <si>
    <t>Mild Steel</t>
  </si>
  <si>
    <t>1 lb = 16 oz</t>
  </si>
  <si>
    <t>oz-in</t>
  </si>
  <si>
    <t>kg-cm</t>
  </si>
  <si>
    <t>in/s</t>
  </si>
  <si>
    <t>Piston</t>
  </si>
  <si>
    <t>Assembly</t>
  </si>
  <si>
    <t>Chamber Seal Diameter</t>
  </si>
  <si>
    <t>Rotations/Sec</t>
  </si>
  <si>
    <t>Speed</t>
  </si>
  <si>
    <t>Rotational Speed For Screw</t>
  </si>
  <si>
    <t>Desired Speed</t>
  </si>
  <si>
    <t>Gear Ratio</t>
  </si>
  <si>
    <t>Torque TO Screw</t>
  </si>
  <si>
    <t>Torque out of Gearbox</t>
  </si>
  <si>
    <t>RPM</t>
  </si>
  <si>
    <t>Speed output of gearbox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</si>
</sst>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rial"/>
      <family val="2"/>
    </font>
    <font>
      <u/>
      <sz val="11"/>
      <color theme="10"/>
      <name val="Aptos Narrow"/>
      <family val="2"/>
      <scheme val="minor"/>
    </font>
  </fonts>
  <fills count="10">
    <fill>
      <patternFill patternType="none"/>
    </fill>
    <fill>
      <patternFill patternType="gray125"/>
    </fill>
    <fill>
      <patternFill patternType="solid">
        <fgColor rgb="FF996633"/>
        <bgColor indexed="64"/>
      </patternFill>
    </fill>
    <fill>
      <patternFill patternType="solid">
        <fgColor theme="7"/>
        <bgColor indexed="64"/>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
      <patternFill patternType="solid">
        <fgColor theme="1" tint="0.499984740745262"/>
        <bgColor indexed="64"/>
      </patternFill>
    </fill>
    <fill>
      <patternFill patternType="solid">
        <fgColor theme="2"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2" borderId="0" xfId="0" applyFill="1"/>
    <xf numFmtId="0" fontId="1" fillId="0" borderId="0" xfId="0" applyFont="1" applyAlignment="1">
      <alignment vertical="center"/>
    </xf>
    <xf numFmtId="0" fontId="0" fillId="3" borderId="0" xfId="0" applyFill="1"/>
    <xf numFmtId="0" fontId="0" fillId="4" borderId="0" xfId="0" applyFill="1"/>
    <xf numFmtId="0" fontId="0" fillId="5" borderId="0" xfId="0" applyFill="1"/>
    <xf numFmtId="0" fontId="2" fillId="0" borderId="0" xfId="1"/>
    <xf numFmtId="0" fontId="0" fillId="6" borderId="0" xfId="0" applyFill="1"/>
    <xf numFmtId="9" fontId="0" fillId="0" borderId="0" xfId="0" applyNumberFormat="1"/>
    <xf numFmtId="0" fontId="0" fillId="0" borderId="1" xfId="0" applyBorder="1"/>
    <xf numFmtId="0" fontId="0" fillId="5" borderId="1" xfId="0" applyFill="1" applyBorder="1"/>
    <xf numFmtId="0" fontId="0" fillId="3" borderId="1" xfId="0" applyFill="1" applyBorder="1"/>
    <xf numFmtId="0" fontId="0" fillId="2" borderId="1" xfId="0" applyFill="1" applyBorder="1"/>
    <xf numFmtId="2" fontId="0" fillId="5" borderId="1" xfId="0" applyNumberFormat="1" applyFill="1" applyBorder="1"/>
    <xf numFmtId="0" fontId="0" fillId="0" borderId="5" xfId="0" applyBorder="1"/>
    <xf numFmtId="0" fontId="0" fillId="0" borderId="6" xfId="0" applyBorder="1"/>
    <xf numFmtId="16" fontId="0" fillId="0" borderId="6" xfId="0" applyNumberFormat="1" applyBorder="1"/>
    <xf numFmtId="0" fontId="0" fillId="7" borderId="5" xfId="0" applyFill="1" applyBorder="1"/>
    <xf numFmtId="0" fontId="0" fillId="8" borderId="5" xfId="0" applyFill="1" applyBorder="1"/>
    <xf numFmtId="0" fontId="0" fillId="8" borderId="1" xfId="0" applyFill="1" applyBorder="1"/>
    <xf numFmtId="0" fontId="0" fillId="8" borderId="6" xfId="0" applyFill="1" applyBorder="1"/>
    <xf numFmtId="2" fontId="0" fillId="8" borderId="1" xfId="0" applyNumberFormat="1" applyFill="1" applyBorder="1"/>
    <xf numFmtId="0" fontId="0" fillId="8" borderId="7" xfId="0" applyFill="1" applyBorder="1"/>
    <xf numFmtId="0" fontId="0" fillId="8" borderId="8" xfId="0" applyFill="1" applyBorder="1"/>
    <xf numFmtId="0" fontId="0" fillId="8" borderId="9" xfId="0" applyFill="1" applyBorder="1"/>
    <xf numFmtId="0" fontId="0" fillId="7" borderId="1" xfId="0" applyFill="1" applyBorder="1"/>
    <xf numFmtId="0" fontId="0" fillId="7" borderId="6" xfId="0" applyFill="1" applyBorder="1"/>
    <xf numFmtId="0" fontId="0" fillId="4" borderId="8" xfId="0" applyFill="1" applyBorder="1"/>
    <xf numFmtId="0" fontId="0" fillId="0" borderId="7" xfId="0" applyBorder="1"/>
    <xf numFmtId="0" fontId="0" fillId="9" borderId="0" xfId="0" applyFill="1"/>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0" borderId="1" xfId="0" applyBorder="1"/>
    <xf numFmtId="0" fontId="0" fillId="0" borderId="6" xfId="0" applyBorder="1"/>
  </cellXfs>
  <cellStyles count="2">
    <cellStyle name="Hyperlink" xfId="1" builtinId="8"/>
    <cellStyle name="Normal" xfId="0" builtinId="0"/>
  </cellStyles>
  <dxfs count="0"/>
  <tableStyles count="0" defaultTableStyle="TableStyleMedium2" defaultPivotStyle="PivotStyleLight16"/>
  <colors>
    <mruColors>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504825</xdr:colOff>
      <xdr:row>14</xdr:row>
      <xdr:rowOff>114300</xdr:rowOff>
    </xdr:from>
    <xdr:to>
      <xdr:col>10</xdr:col>
      <xdr:colOff>24130</xdr:colOff>
      <xdr:row>27</xdr:row>
      <xdr:rowOff>28575</xdr:rowOff>
    </xdr:to>
    <xdr:pic>
      <xdr:nvPicPr>
        <xdr:cNvPr id="2" name="Picture 1">
          <a:extLst>
            <a:ext uri="{FF2B5EF4-FFF2-40B4-BE49-F238E27FC236}">
              <a16:creationId xmlns:a16="http://schemas.microsoft.com/office/drawing/2014/main" id="{71F97A4D-632C-38AF-93D1-DEAFEDB2B5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3219" t="11851" r="50625"/>
        <a:stretch>
          <a:fillRect/>
        </a:stretch>
      </xdr:blipFill>
      <xdr:spPr>
        <a:xfrm>
          <a:off x="5824538" y="2105025"/>
          <a:ext cx="2110105" cy="2266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575613</xdr:colOff>
      <xdr:row>5</xdr:row>
      <xdr:rowOff>9524</xdr:rowOff>
    </xdr:from>
    <xdr:to>
      <xdr:col>8</xdr:col>
      <xdr:colOff>173761</xdr:colOff>
      <xdr:row>19</xdr:row>
      <xdr:rowOff>101149</xdr:rowOff>
    </xdr:to>
    <xdr:pic>
      <xdr:nvPicPr>
        <xdr:cNvPr id="2" name="Picture 1">
          <a:extLst>
            <a:ext uri="{FF2B5EF4-FFF2-40B4-BE49-F238E27FC236}">
              <a16:creationId xmlns:a16="http://schemas.microsoft.com/office/drawing/2014/main" id="{91962B33-34E6-E879-B8A1-76191C1156D4}"/>
            </a:ext>
          </a:extLst>
        </xdr:cNvPr>
        <xdr:cNvPicPr>
          <a:picLocks noChangeAspect="1"/>
        </xdr:cNvPicPr>
      </xdr:nvPicPr>
      <xdr:blipFill>
        <a:blip xmlns:r="http://schemas.openxmlformats.org/officeDocument/2006/relationships" r:embed="rId1"/>
        <a:stretch>
          <a:fillRect/>
        </a:stretch>
      </xdr:blipFill>
      <xdr:spPr>
        <a:xfrm>
          <a:off x="6709713" y="914399"/>
          <a:ext cx="2392461" cy="2625275"/>
        </a:xfrm>
        <a:prstGeom prst="rect">
          <a:avLst/>
        </a:prstGeom>
      </xdr:spPr>
    </xdr:pic>
    <xdr:clientData/>
  </xdr:twoCellAnchor>
  <xdr:twoCellAnchor editAs="oneCell">
    <xdr:from>
      <xdr:col>7</xdr:col>
      <xdr:colOff>171451</xdr:colOff>
      <xdr:row>10</xdr:row>
      <xdr:rowOff>76200</xdr:rowOff>
    </xdr:from>
    <xdr:to>
      <xdr:col>8</xdr:col>
      <xdr:colOff>549315</xdr:colOff>
      <xdr:row>18</xdr:row>
      <xdr:rowOff>114507</xdr:rowOff>
    </xdr:to>
    <xdr:pic>
      <xdr:nvPicPr>
        <xdr:cNvPr id="3" name="Picture 2">
          <a:extLst>
            <a:ext uri="{FF2B5EF4-FFF2-40B4-BE49-F238E27FC236}">
              <a16:creationId xmlns:a16="http://schemas.microsoft.com/office/drawing/2014/main" id="{F2EF09D8-40E3-3CB7-2EE4-7AB00E7DAC09}"/>
            </a:ext>
          </a:extLst>
        </xdr:cNvPr>
        <xdr:cNvPicPr>
          <a:picLocks noChangeAspect="1"/>
        </xdr:cNvPicPr>
      </xdr:nvPicPr>
      <xdr:blipFill>
        <a:blip xmlns:r="http://schemas.openxmlformats.org/officeDocument/2006/relationships" r:embed="rId2"/>
        <a:stretch>
          <a:fillRect/>
        </a:stretch>
      </xdr:blipFill>
      <xdr:spPr>
        <a:xfrm>
          <a:off x="6953251" y="1885950"/>
          <a:ext cx="2524477" cy="1486107"/>
        </a:xfrm>
        <a:prstGeom prst="rect">
          <a:avLst/>
        </a:prstGeom>
      </xdr:spPr>
    </xdr:pic>
    <xdr:clientData/>
  </xdr:twoCellAnchor>
  <xdr:twoCellAnchor editAs="oneCell">
    <xdr:from>
      <xdr:col>5</xdr:col>
      <xdr:colOff>171451</xdr:colOff>
      <xdr:row>13</xdr:row>
      <xdr:rowOff>95250</xdr:rowOff>
    </xdr:from>
    <xdr:to>
      <xdr:col>8</xdr:col>
      <xdr:colOff>197022</xdr:colOff>
      <xdr:row>22</xdr:row>
      <xdr:rowOff>124056</xdr:rowOff>
    </xdr:to>
    <xdr:pic>
      <xdr:nvPicPr>
        <xdr:cNvPr id="4" name="Picture 3">
          <a:extLst>
            <a:ext uri="{FF2B5EF4-FFF2-40B4-BE49-F238E27FC236}">
              <a16:creationId xmlns:a16="http://schemas.microsoft.com/office/drawing/2014/main" id="{E4333508-B2EC-7B40-8BEB-708B425DC897}"/>
            </a:ext>
          </a:extLst>
        </xdr:cNvPr>
        <xdr:cNvPicPr>
          <a:picLocks noChangeAspect="1"/>
        </xdr:cNvPicPr>
      </xdr:nvPicPr>
      <xdr:blipFill>
        <a:blip xmlns:r="http://schemas.openxmlformats.org/officeDocument/2006/relationships" r:embed="rId3"/>
        <a:stretch>
          <a:fillRect/>
        </a:stretch>
      </xdr:blipFill>
      <xdr:spPr>
        <a:xfrm>
          <a:off x="5657851" y="2447925"/>
          <a:ext cx="3467584" cy="1657581"/>
        </a:xfrm>
        <a:prstGeom prst="rect">
          <a:avLst/>
        </a:prstGeom>
      </xdr:spPr>
    </xdr:pic>
    <xdr:clientData/>
  </xdr:twoCellAnchor>
  <xdr:twoCellAnchor editAs="oneCell">
    <xdr:from>
      <xdr:col>5</xdr:col>
      <xdr:colOff>247651</xdr:colOff>
      <xdr:row>14</xdr:row>
      <xdr:rowOff>31183</xdr:rowOff>
    </xdr:from>
    <xdr:to>
      <xdr:col>8</xdr:col>
      <xdr:colOff>31661</xdr:colOff>
      <xdr:row>21</xdr:row>
      <xdr:rowOff>110053</xdr:rowOff>
    </xdr:to>
    <xdr:pic>
      <xdr:nvPicPr>
        <xdr:cNvPr id="5" name="Picture 4">
          <a:extLst>
            <a:ext uri="{FF2B5EF4-FFF2-40B4-BE49-F238E27FC236}">
              <a16:creationId xmlns:a16="http://schemas.microsoft.com/office/drawing/2014/main" id="{89A1CD90-C33A-ACAB-24A2-028F4D5FFDC2}"/>
            </a:ext>
          </a:extLst>
        </xdr:cNvPr>
        <xdr:cNvPicPr>
          <a:picLocks noChangeAspect="1"/>
        </xdr:cNvPicPr>
      </xdr:nvPicPr>
      <xdr:blipFill>
        <a:blip xmlns:r="http://schemas.openxmlformats.org/officeDocument/2006/relationships" r:embed="rId4"/>
        <a:stretch>
          <a:fillRect/>
        </a:stretch>
      </xdr:blipFill>
      <xdr:spPr>
        <a:xfrm>
          <a:off x="5734051" y="2564833"/>
          <a:ext cx="3228975" cy="1345695"/>
        </a:xfrm>
        <a:prstGeom prst="rect">
          <a:avLst/>
        </a:prstGeom>
      </xdr:spPr>
    </xdr:pic>
    <xdr:clientData/>
  </xdr:twoCellAnchor>
  <xdr:twoCellAnchor editAs="oneCell">
    <xdr:from>
      <xdr:col>11</xdr:col>
      <xdr:colOff>572671</xdr:colOff>
      <xdr:row>71</xdr:row>
      <xdr:rowOff>94735</xdr:rowOff>
    </xdr:from>
    <xdr:to>
      <xdr:col>17</xdr:col>
      <xdr:colOff>118668</xdr:colOff>
      <xdr:row>90</xdr:row>
      <xdr:rowOff>90779</xdr:rowOff>
    </xdr:to>
    <xdr:pic>
      <xdr:nvPicPr>
        <xdr:cNvPr id="6" name="Picture 5">
          <a:extLst>
            <a:ext uri="{FF2B5EF4-FFF2-40B4-BE49-F238E27FC236}">
              <a16:creationId xmlns:a16="http://schemas.microsoft.com/office/drawing/2014/main" id="{1FFB077A-FA92-50EC-B963-730667BA4175}"/>
            </a:ext>
          </a:extLst>
        </xdr:cNvPr>
        <xdr:cNvPicPr>
          <a:picLocks noChangeAspect="1"/>
        </xdr:cNvPicPr>
      </xdr:nvPicPr>
      <xdr:blipFill>
        <a:blip xmlns:r="http://schemas.openxmlformats.org/officeDocument/2006/relationships" r:embed="rId5"/>
        <a:stretch>
          <a:fillRect/>
        </a:stretch>
      </xdr:blipFill>
      <xdr:spPr>
        <a:xfrm>
          <a:off x="11466051" y="12953486"/>
          <a:ext cx="5938480" cy="34371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engineersedge.com/coeffients_of_friction.ht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2333B-A9BC-44A5-9DD5-8238FAA8AC6A}">
  <dimension ref="B3:M54"/>
  <sheetViews>
    <sheetView topLeftCell="A13" workbookViewId="0">
      <selection activeCell="D19" sqref="D19"/>
    </sheetView>
  </sheetViews>
  <sheetFormatPr defaultRowHeight="15" x14ac:dyDescent="0.25"/>
  <cols>
    <col min="2" max="2" width="17" customWidth="1"/>
    <col min="3" max="3" width="32.28515625" customWidth="1"/>
  </cols>
  <sheetData>
    <row r="3" spans="2:6" x14ac:dyDescent="0.25">
      <c r="C3" t="s">
        <v>3</v>
      </c>
      <c r="F3" t="s">
        <v>19</v>
      </c>
    </row>
    <row r="4" spans="2:6" x14ac:dyDescent="0.25">
      <c r="B4" t="s">
        <v>10</v>
      </c>
      <c r="C4" t="s">
        <v>18</v>
      </c>
      <c r="D4">
        <v>34800</v>
      </c>
      <c r="E4" t="s">
        <v>15</v>
      </c>
      <c r="F4" t="s">
        <v>20</v>
      </c>
    </row>
    <row r="5" spans="2:6" x14ac:dyDescent="0.25">
      <c r="C5" t="s">
        <v>11</v>
      </c>
      <c r="D5">
        <v>34800</v>
      </c>
      <c r="E5" t="s">
        <v>15</v>
      </c>
      <c r="F5" t="s">
        <v>20</v>
      </c>
    </row>
    <row r="6" spans="2:6" x14ac:dyDescent="0.25">
      <c r="C6" t="s">
        <v>26</v>
      </c>
      <c r="D6">
        <v>28000000</v>
      </c>
      <c r="E6" t="s">
        <v>15</v>
      </c>
      <c r="F6" t="s">
        <v>20</v>
      </c>
    </row>
    <row r="7" spans="2:6" x14ac:dyDescent="0.25">
      <c r="B7" t="s">
        <v>96</v>
      </c>
      <c r="C7" t="s">
        <v>97</v>
      </c>
      <c r="D7">
        <v>0.19</v>
      </c>
      <c r="E7" t="s">
        <v>13</v>
      </c>
      <c r="F7" s="6" t="s">
        <v>98</v>
      </c>
    </row>
    <row r="11" spans="2:6" x14ac:dyDescent="0.25">
      <c r="C11" t="s">
        <v>123</v>
      </c>
      <c r="D11">
        <v>14.7</v>
      </c>
      <c r="E11" t="s">
        <v>124</v>
      </c>
    </row>
    <row r="15" spans="2:6" x14ac:dyDescent="0.25">
      <c r="C15" t="s">
        <v>4</v>
      </c>
    </row>
    <row r="16" spans="2:6" x14ac:dyDescent="0.25">
      <c r="C16" t="s">
        <v>17</v>
      </c>
      <c r="D16" t="s">
        <v>16</v>
      </c>
      <c r="E16" t="s">
        <v>6</v>
      </c>
    </row>
    <row r="17" spans="3:5" x14ac:dyDescent="0.25">
      <c r="C17" t="s">
        <v>1</v>
      </c>
      <c r="D17">
        <v>800</v>
      </c>
      <c r="E17" t="s">
        <v>5</v>
      </c>
    </row>
    <row r="18" spans="3:5" x14ac:dyDescent="0.25">
      <c r="C18" t="s">
        <v>7</v>
      </c>
      <c r="D18" t="s">
        <v>13</v>
      </c>
      <c r="E18" t="s">
        <v>8</v>
      </c>
    </row>
    <row r="19" spans="3:5" x14ac:dyDescent="0.25">
      <c r="C19" t="s">
        <v>12</v>
      </c>
      <c r="D19">
        <v>2</v>
      </c>
      <c r="E19" t="s">
        <v>13</v>
      </c>
    </row>
    <row r="20" spans="3:5" x14ac:dyDescent="0.25">
      <c r="C20" t="s">
        <v>28</v>
      </c>
    </row>
    <row r="21" spans="3:5" x14ac:dyDescent="0.25">
      <c r="C21" t="s">
        <v>14</v>
      </c>
    </row>
    <row r="25" spans="3:5" x14ac:dyDescent="0.25">
      <c r="C25" t="s">
        <v>72</v>
      </c>
      <c r="D25">
        <v>4</v>
      </c>
      <c r="E25" t="s">
        <v>76</v>
      </c>
    </row>
    <row r="26" spans="3:5" x14ac:dyDescent="0.25">
      <c r="C26" t="s">
        <v>73</v>
      </c>
    </row>
    <row r="29" spans="3:5" x14ac:dyDescent="0.25">
      <c r="C29" t="s">
        <v>74</v>
      </c>
      <c r="D29">
        <v>21.45</v>
      </c>
    </row>
    <row r="30" spans="3:5" x14ac:dyDescent="0.25">
      <c r="C30" t="s">
        <v>75</v>
      </c>
      <c r="D30">
        <f>17/2</f>
        <v>8.5</v>
      </c>
    </row>
    <row r="31" spans="3:5" x14ac:dyDescent="0.25">
      <c r="C31" t="s">
        <v>77</v>
      </c>
      <c r="D31">
        <v>10.5</v>
      </c>
    </row>
    <row r="47" spans="3:4" x14ac:dyDescent="0.25">
      <c r="C47" t="s">
        <v>48</v>
      </c>
      <c r="D47" t="s">
        <v>49</v>
      </c>
    </row>
    <row r="49" spans="3:13" x14ac:dyDescent="0.25">
      <c r="C49" t="s">
        <v>50</v>
      </c>
      <c r="D49" t="s">
        <v>16</v>
      </c>
      <c r="E49" t="s">
        <v>6</v>
      </c>
      <c r="F49" t="s">
        <v>51</v>
      </c>
      <c r="G49" t="s">
        <v>52</v>
      </c>
      <c r="L49" t="s">
        <v>53</v>
      </c>
      <c r="M49" t="s">
        <v>54</v>
      </c>
    </row>
    <row r="50" spans="3:13" x14ac:dyDescent="0.25">
      <c r="C50" t="s">
        <v>55</v>
      </c>
      <c r="D50">
        <v>7</v>
      </c>
      <c r="E50" t="s">
        <v>56</v>
      </c>
      <c r="F50" t="s">
        <v>57</v>
      </c>
      <c r="G50" t="s">
        <v>58</v>
      </c>
      <c r="L50" t="s">
        <v>10</v>
      </c>
    </row>
    <row r="51" spans="3:13" x14ac:dyDescent="0.25">
      <c r="C51" t="s">
        <v>59</v>
      </c>
      <c r="D51">
        <v>1</v>
      </c>
      <c r="E51" t="s">
        <v>60</v>
      </c>
      <c r="F51" t="s">
        <v>57</v>
      </c>
      <c r="G51" t="s">
        <v>61</v>
      </c>
      <c r="L51" t="s">
        <v>62</v>
      </c>
    </row>
    <row r="52" spans="3:13" x14ac:dyDescent="0.25">
      <c r="C52" t="s">
        <v>63</v>
      </c>
      <c r="D52">
        <v>10</v>
      </c>
      <c r="E52" t="s">
        <v>64</v>
      </c>
      <c r="F52" t="s">
        <v>57</v>
      </c>
    </row>
    <row r="53" spans="3:13" x14ac:dyDescent="0.25">
      <c r="C53" t="s">
        <v>65</v>
      </c>
      <c r="D53">
        <v>3</v>
      </c>
      <c r="E53" t="s">
        <v>66</v>
      </c>
      <c r="F53" t="s">
        <v>57</v>
      </c>
      <c r="G53" t="s">
        <v>67</v>
      </c>
      <c r="L53" t="s">
        <v>68</v>
      </c>
    </row>
    <row r="54" spans="3:13" x14ac:dyDescent="0.25">
      <c r="C54" t="s">
        <v>69</v>
      </c>
      <c r="D54">
        <v>16</v>
      </c>
      <c r="E54" t="s">
        <v>66</v>
      </c>
      <c r="F54" t="s">
        <v>57</v>
      </c>
      <c r="G54" t="s">
        <v>70</v>
      </c>
      <c r="L54" t="s">
        <v>71</v>
      </c>
    </row>
  </sheetData>
  <hyperlinks>
    <hyperlink ref="F7" r:id="rId1" display="https://www.engineersedge.com/coeffients_of_friction.htm" xr:uid="{B3F54E53-A1BA-4ED7-95AA-73578F3B63E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7666D-B5D0-4B8A-82A6-93CF4E87BD88}">
  <dimension ref="C2:D3"/>
  <sheetViews>
    <sheetView workbookViewId="0">
      <selection activeCell="D14" sqref="D14"/>
    </sheetView>
  </sheetViews>
  <sheetFormatPr defaultRowHeight="15" x14ac:dyDescent="0.25"/>
  <cols>
    <col min="4" max="4" width="26.42578125" customWidth="1"/>
  </cols>
  <sheetData>
    <row r="2" spans="3:4" x14ac:dyDescent="0.25">
      <c r="C2" t="s">
        <v>187</v>
      </c>
    </row>
    <row r="3" spans="3:4" x14ac:dyDescent="0.25">
      <c r="C3" t="s">
        <v>186</v>
      </c>
      <c r="D3" t="s">
        <v>188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30C8-AEF8-4367-97CA-93B5B12A08F4}">
  <dimension ref="B2:AE88"/>
  <sheetViews>
    <sheetView tabSelected="1" zoomScale="71" workbookViewId="0">
      <selection activeCell="D14" sqref="D14"/>
    </sheetView>
  </sheetViews>
  <sheetFormatPr defaultRowHeight="15" x14ac:dyDescent="0.25"/>
  <cols>
    <col min="2" max="2" width="11.42578125" customWidth="1"/>
    <col min="3" max="3" width="36.42578125" customWidth="1"/>
    <col min="4" max="4" width="10.7109375" bestFit="1" customWidth="1"/>
    <col min="8" max="8" width="30.140625" customWidth="1"/>
    <col min="12" max="12" width="12.28515625" customWidth="1"/>
    <col min="13" max="13" width="39.140625" customWidth="1"/>
    <col min="15" max="15" width="10.7109375" customWidth="1"/>
  </cols>
  <sheetData>
    <row r="2" spans="2:21" x14ac:dyDescent="0.25">
      <c r="C2" t="s">
        <v>2</v>
      </c>
    </row>
    <row r="3" spans="2:21" x14ac:dyDescent="0.25">
      <c r="H3" t="s">
        <v>0</v>
      </c>
    </row>
    <row r="4" spans="2:21" x14ac:dyDescent="0.25">
      <c r="O4" t="s">
        <v>93</v>
      </c>
    </row>
    <row r="5" spans="2:21" x14ac:dyDescent="0.25">
      <c r="C5" t="s">
        <v>9</v>
      </c>
    </row>
    <row r="6" spans="2:21" x14ac:dyDescent="0.25">
      <c r="C6" t="s">
        <v>21</v>
      </c>
      <c r="D6" s="5">
        <v>2</v>
      </c>
      <c r="F6" t="s">
        <v>25</v>
      </c>
      <c r="O6" t="s">
        <v>88</v>
      </c>
      <c r="T6" t="s">
        <v>83</v>
      </c>
    </row>
    <row r="7" spans="2:21" x14ac:dyDescent="0.25">
      <c r="C7" t="s">
        <v>22</v>
      </c>
      <c r="D7" s="3">
        <f>(D9*D11*(D6*D10)^2)/((PI()^2)*D8)</f>
        <v>3.3298664211999082E-3</v>
      </c>
      <c r="O7" t="s">
        <v>87</v>
      </c>
      <c r="P7" s="5">
        <v>4</v>
      </c>
      <c r="T7" t="s">
        <v>86</v>
      </c>
      <c r="U7">
        <f>(PI()*WashChamberDiameter^2/4)</f>
        <v>12.566370614359172</v>
      </c>
    </row>
    <row r="8" spans="2:21" x14ac:dyDescent="0.25">
      <c r="C8" t="s">
        <v>23</v>
      </c>
      <c r="D8" s="1">
        <f>SS303YoungsModulus</f>
        <v>28000000</v>
      </c>
      <c r="O8" t="s">
        <v>21</v>
      </c>
      <c r="P8" s="5">
        <v>2</v>
      </c>
      <c r="T8" t="s">
        <v>84</v>
      </c>
      <c r="U8">
        <f>AppliedForceNormal/U7</f>
        <v>63.661977236758133</v>
      </c>
    </row>
    <row r="9" spans="2:21" x14ac:dyDescent="0.25">
      <c r="C9" t="s">
        <v>24</v>
      </c>
      <c r="D9" s="1">
        <v>1000</v>
      </c>
      <c r="O9" t="s">
        <v>22</v>
      </c>
      <c r="P9" s="3">
        <f>(P11*P13*(P8*P12)^2)/((PI()^2)*P10)</f>
        <v>3.3298664211999082E-3</v>
      </c>
      <c r="T9" t="s">
        <v>85</v>
      </c>
      <c r="U9">
        <f>U7-(((D14/2)^2)*PI())</f>
        <v>12.124584147448108</v>
      </c>
    </row>
    <row r="10" spans="2:21" x14ac:dyDescent="0.25">
      <c r="C10" t="s">
        <v>27</v>
      </c>
      <c r="D10" s="3">
        <f>MachineHeight/2</f>
        <v>10.725</v>
      </c>
      <c r="O10" t="s">
        <v>23</v>
      </c>
      <c r="P10" s="1">
        <f>SS303YoungsModulus</f>
        <v>28000000</v>
      </c>
      <c r="T10" t="s">
        <v>83</v>
      </c>
      <c r="U10">
        <f>U8*U9</f>
        <v>771.87499999999989</v>
      </c>
    </row>
    <row r="11" spans="2:21" x14ac:dyDescent="0.25">
      <c r="C11" t="s">
        <v>12</v>
      </c>
      <c r="D11" s="1">
        <f>FS</f>
        <v>2</v>
      </c>
      <c r="O11" t="s">
        <v>24</v>
      </c>
      <c r="P11" s="1">
        <v>1000</v>
      </c>
    </row>
    <row r="12" spans="2:21" x14ac:dyDescent="0.25">
      <c r="C12" t="s">
        <v>78</v>
      </c>
      <c r="D12" s="3">
        <f>((4*D7)/PI())^0.25</f>
        <v>0.25517271392884311</v>
      </c>
      <c r="O12" t="s">
        <v>27</v>
      </c>
      <c r="P12" s="3">
        <f>MachineHeight/2</f>
        <v>10.725</v>
      </c>
    </row>
    <row r="13" spans="2:21" x14ac:dyDescent="0.25">
      <c r="C13" t="s">
        <v>79</v>
      </c>
      <c r="D13" s="4">
        <f>D12*2</f>
        <v>0.51034542785768622</v>
      </c>
      <c r="F13" t="s">
        <v>81</v>
      </c>
      <c r="O13" t="s">
        <v>12</v>
      </c>
      <c r="P13" s="1">
        <f>FS</f>
        <v>2</v>
      </c>
    </row>
    <row r="14" spans="2:21" x14ac:dyDescent="0.25">
      <c r="C14" t="s">
        <v>80</v>
      </c>
      <c r="D14" s="4">
        <v>0.75</v>
      </c>
      <c r="O14" t="s">
        <v>78</v>
      </c>
      <c r="P14" s="3">
        <f>((4*P9)/PI())^0.25</f>
        <v>0.25517271392884311</v>
      </c>
    </row>
    <row r="15" spans="2:21" x14ac:dyDescent="0.25">
      <c r="O15" t="s">
        <v>79</v>
      </c>
      <c r="P15" s="4">
        <f>SQRT(4*P14/PI())</f>
        <v>0.56999648254317858</v>
      </c>
    </row>
    <row r="16" spans="2:21" x14ac:dyDescent="0.25">
      <c r="B16" t="s">
        <v>82</v>
      </c>
      <c r="C16" t="s">
        <v>94</v>
      </c>
      <c r="D16">
        <f>((PI()^2)*D8)/((D10/(D14/2))^2)</f>
        <v>337851.39032532403</v>
      </c>
      <c r="O16" t="s">
        <v>80</v>
      </c>
      <c r="P16" s="5">
        <v>0.5</v>
      </c>
    </row>
    <row r="17" spans="3:16" x14ac:dyDescent="0.25">
      <c r="C17" t="s">
        <v>95</v>
      </c>
    </row>
    <row r="18" spans="3:16" x14ac:dyDescent="0.25">
      <c r="N18" t="s">
        <v>82</v>
      </c>
      <c r="O18" t="s">
        <v>94</v>
      </c>
      <c r="P18">
        <f>((PI()^2)*P10)/((P12/(P16/2))^2)</f>
        <v>150156.17347792178</v>
      </c>
    </row>
    <row r="19" spans="3:16" x14ac:dyDescent="0.25">
      <c r="O19" t="s">
        <v>95</v>
      </c>
    </row>
    <row r="24" spans="3:16" x14ac:dyDescent="0.25">
      <c r="J24" t="s">
        <v>15</v>
      </c>
    </row>
    <row r="34" spans="3:31" x14ac:dyDescent="0.25">
      <c r="H34" t="s">
        <v>151</v>
      </c>
    </row>
    <row r="35" spans="3:31" ht="15.75" thickBot="1" x14ac:dyDescent="0.3"/>
    <row r="36" spans="3:31" x14ac:dyDescent="0.25">
      <c r="C36" s="30" t="s">
        <v>147</v>
      </c>
      <c r="D36" s="31"/>
      <c r="E36" s="31"/>
      <c r="F36" s="32"/>
      <c r="R36" t="s">
        <v>178</v>
      </c>
    </row>
    <row r="37" spans="3:31" x14ac:dyDescent="0.25">
      <c r="C37" s="14" t="s">
        <v>175</v>
      </c>
      <c r="D37" s="33" t="s">
        <v>176</v>
      </c>
      <c r="E37" s="33"/>
      <c r="F37" s="34"/>
      <c r="R37" t="s">
        <v>145</v>
      </c>
      <c r="X37" t="s">
        <v>146</v>
      </c>
      <c r="AE37" t="s">
        <v>148</v>
      </c>
    </row>
    <row r="38" spans="3:31" x14ac:dyDescent="0.25">
      <c r="C38" s="14" t="s">
        <v>2</v>
      </c>
      <c r="D38" s="33" t="s">
        <v>174</v>
      </c>
      <c r="E38" s="33"/>
      <c r="F38" s="34"/>
      <c r="H38" t="s">
        <v>125</v>
      </c>
      <c r="M38" t="s">
        <v>179</v>
      </c>
      <c r="R38" t="s">
        <v>143</v>
      </c>
      <c r="X38" t="s">
        <v>150</v>
      </c>
      <c r="AE38" t="s">
        <v>149</v>
      </c>
    </row>
    <row r="39" spans="3:31" x14ac:dyDescent="0.25">
      <c r="C39" s="17"/>
      <c r="D39" s="9" t="s">
        <v>16</v>
      </c>
      <c r="E39" s="9" t="s">
        <v>6</v>
      </c>
      <c r="F39" s="15" t="s">
        <v>173</v>
      </c>
      <c r="H39" t="s">
        <v>126</v>
      </c>
      <c r="I39" t="s">
        <v>16</v>
      </c>
      <c r="J39" t="s">
        <v>6</v>
      </c>
      <c r="K39" t="s">
        <v>180</v>
      </c>
    </row>
    <row r="40" spans="3:31" x14ac:dyDescent="0.25">
      <c r="C40" s="14" t="s">
        <v>91</v>
      </c>
      <c r="D40" s="9" t="s">
        <v>90</v>
      </c>
      <c r="E40" s="9" t="s">
        <v>13</v>
      </c>
      <c r="F40" s="15" t="s">
        <v>13</v>
      </c>
      <c r="H40" t="s">
        <v>134</v>
      </c>
      <c r="I40" t="s">
        <v>181</v>
      </c>
      <c r="J40" t="s">
        <v>13</v>
      </c>
      <c r="N40" t="s">
        <v>16</v>
      </c>
      <c r="O40" t="s">
        <v>6</v>
      </c>
      <c r="P40" t="s">
        <v>180</v>
      </c>
    </row>
    <row r="41" spans="3:31" x14ac:dyDescent="0.25">
      <c r="C41" s="14" t="s">
        <v>89</v>
      </c>
      <c r="D41" s="10">
        <v>2</v>
      </c>
      <c r="E41" s="9" t="s">
        <v>13</v>
      </c>
      <c r="F41" s="15" t="s">
        <v>13</v>
      </c>
      <c r="H41" t="s">
        <v>135</v>
      </c>
      <c r="M41" t="s">
        <v>105</v>
      </c>
      <c r="N41" s="1">
        <f>D42</f>
        <v>400</v>
      </c>
      <c r="O41" t="s">
        <v>113</v>
      </c>
    </row>
    <row r="42" spans="3:31" x14ac:dyDescent="0.25">
      <c r="C42" s="14" t="s">
        <v>92</v>
      </c>
      <c r="D42" s="11">
        <f>AppliedForceNormal/D41</f>
        <v>400</v>
      </c>
      <c r="E42" s="9" t="s">
        <v>113</v>
      </c>
      <c r="F42" s="15"/>
      <c r="H42" t="s">
        <v>12</v>
      </c>
      <c r="I42" s="1">
        <f>FS</f>
        <v>2</v>
      </c>
      <c r="M42" t="s">
        <v>107</v>
      </c>
      <c r="N42" s="3">
        <f>N41/COS(I53)</f>
        <v>403.10433019261211</v>
      </c>
      <c r="O42" t="s">
        <v>113</v>
      </c>
    </row>
    <row r="43" spans="3:31" x14ac:dyDescent="0.25">
      <c r="C43" s="14" t="s">
        <v>99</v>
      </c>
      <c r="D43" s="12">
        <f>SS303FatigueStrength</f>
        <v>34800</v>
      </c>
      <c r="E43" s="9" t="s">
        <v>15</v>
      </c>
      <c r="F43" s="15"/>
      <c r="H43" t="s">
        <v>128</v>
      </c>
      <c r="I43" s="5" t="s">
        <v>129</v>
      </c>
      <c r="J43" t="s">
        <v>13</v>
      </c>
      <c r="M43" t="s">
        <v>108</v>
      </c>
      <c r="N43" s="3">
        <f>SQRT((N42^2)-(N41^2))</f>
        <v>49.930962538633892</v>
      </c>
      <c r="O43" t="s">
        <v>113</v>
      </c>
    </row>
    <row r="44" spans="3:31" x14ac:dyDescent="0.25">
      <c r="C44" s="14" t="s">
        <v>12</v>
      </c>
      <c r="D44" s="12">
        <f>FS</f>
        <v>2</v>
      </c>
      <c r="E44" s="9" t="s">
        <v>13</v>
      </c>
      <c r="F44" s="15"/>
      <c r="H44" t="s">
        <v>127</v>
      </c>
      <c r="I44" s="5">
        <v>0.5</v>
      </c>
      <c r="J44" t="s">
        <v>76</v>
      </c>
      <c r="M44" t="s">
        <v>109</v>
      </c>
      <c r="N44" s="3">
        <f>N42*CoeffStaticFrictionBrassonSteelLubricated</f>
        <v>76.589822736596304</v>
      </c>
      <c r="O44" t="s">
        <v>113</v>
      </c>
    </row>
    <row r="45" spans="3:31" x14ac:dyDescent="0.25">
      <c r="C45" s="14" t="s">
        <v>100</v>
      </c>
      <c r="D45" s="11">
        <f>SQRT((4*D42*D44)/(D43*PI()))</f>
        <v>0.17108440779806014</v>
      </c>
      <c r="E45" s="9" t="s">
        <v>76</v>
      </c>
      <c r="F45" s="15"/>
      <c r="H45" t="s">
        <v>130</v>
      </c>
      <c r="I45" s="5">
        <v>0.35</v>
      </c>
      <c r="J45" t="s">
        <v>136</v>
      </c>
      <c r="M45" t="s">
        <v>110</v>
      </c>
      <c r="N45" s="3">
        <f>N43+COS(I53)*N44</f>
        <v>125.93096253863389</v>
      </c>
      <c r="O45" t="s">
        <v>113</v>
      </c>
    </row>
    <row r="46" spans="3:31" x14ac:dyDescent="0.25">
      <c r="C46" s="14" t="s">
        <v>103</v>
      </c>
      <c r="D46" s="13">
        <v>0.375</v>
      </c>
      <c r="E46" s="9" t="s">
        <v>76</v>
      </c>
      <c r="F46" s="16" t="s">
        <v>177</v>
      </c>
      <c r="H46" t="s">
        <v>131</v>
      </c>
      <c r="I46" s="4">
        <f>(I44+I45)/2</f>
        <v>0.42499999999999999</v>
      </c>
      <c r="J46" t="s">
        <v>136</v>
      </c>
      <c r="M46" t="s">
        <v>111</v>
      </c>
      <c r="N46" s="4">
        <f>N45*(I46/2)/12</f>
        <v>2.2300274616216416</v>
      </c>
      <c r="O46" t="s">
        <v>112</v>
      </c>
    </row>
    <row r="47" spans="3:31" x14ac:dyDescent="0.25">
      <c r="C47" s="17"/>
      <c r="D47" s="25"/>
      <c r="E47" s="25"/>
      <c r="F47" s="26"/>
      <c r="H47" t="s">
        <v>137</v>
      </c>
      <c r="I47" s="3">
        <f>I46*PI()</f>
        <v>1.3351768777756621</v>
      </c>
      <c r="J47" t="s">
        <v>138</v>
      </c>
      <c r="M47" t="s">
        <v>111</v>
      </c>
      <c r="N47" s="4">
        <f>N46*16*12</f>
        <v>428.16527263135515</v>
      </c>
      <c r="O47" t="s">
        <v>183</v>
      </c>
    </row>
    <row r="48" spans="3:31" x14ac:dyDescent="0.25">
      <c r="C48" s="18" t="s">
        <v>104</v>
      </c>
      <c r="D48" s="19">
        <f>D46*PI()</f>
        <v>1.1780972450961724</v>
      </c>
      <c r="E48" s="19"/>
      <c r="F48" s="20"/>
      <c r="H48" t="s">
        <v>144</v>
      </c>
      <c r="I48" s="4">
        <f>((I45/2)^2)*PI()</f>
        <v>9.6211275016187398E-2</v>
      </c>
      <c r="M48" t="s">
        <v>111</v>
      </c>
      <c r="N48" s="4">
        <f>N46*0.4535*30.48</f>
        <v>30.824955993208231</v>
      </c>
      <c r="O48" t="s">
        <v>184</v>
      </c>
    </row>
    <row r="49" spans="3:15" ht="15.75" thickBot="1" x14ac:dyDescent="0.3">
      <c r="C49" s="18" t="s">
        <v>101</v>
      </c>
      <c r="D49" s="21">
        <v>0.16666666666666666</v>
      </c>
      <c r="E49" s="19"/>
      <c r="F49" s="20" t="s">
        <v>102</v>
      </c>
      <c r="H49" s="28" t="s">
        <v>115</v>
      </c>
      <c r="I49" s="27">
        <f>PI()*((I45/2)^4)/2</f>
        <v>1.4732351486853694E-3</v>
      </c>
      <c r="J49" t="s">
        <v>76</v>
      </c>
    </row>
    <row r="50" spans="3:15" x14ac:dyDescent="0.25">
      <c r="C50" s="18" t="s">
        <v>106</v>
      </c>
      <c r="D50" s="19">
        <f>ATAN(D49/D48)</f>
        <v>0.14053843111258857</v>
      </c>
      <c r="E50" s="19"/>
      <c r="F50" s="20"/>
      <c r="M50" t="s">
        <v>114</v>
      </c>
      <c r="N50">
        <f>N45/I49</f>
        <v>85479.200418892709</v>
      </c>
      <c r="O50" t="s">
        <v>15</v>
      </c>
    </row>
    <row r="51" spans="3:15" ht="15.75" thickBot="1" x14ac:dyDescent="0.3">
      <c r="C51" s="22" t="s">
        <v>115</v>
      </c>
      <c r="D51" s="23">
        <f>PI()*((D46/2)^4)/2</f>
        <v>1.9414444346677645E-3</v>
      </c>
      <c r="E51" s="23"/>
      <c r="F51" s="24"/>
      <c r="H51" t="s">
        <v>132</v>
      </c>
      <c r="I51" s="3">
        <f>1/I52</f>
        <v>0.16666666666666666</v>
      </c>
      <c r="J51" t="s">
        <v>155</v>
      </c>
    </row>
    <row r="52" spans="3:15" x14ac:dyDescent="0.25">
      <c r="H52" t="s">
        <v>133</v>
      </c>
      <c r="I52" s="5">
        <v>6</v>
      </c>
      <c r="J52" t="s">
        <v>156</v>
      </c>
    </row>
    <row r="53" spans="3:15" x14ac:dyDescent="0.25">
      <c r="H53" t="s">
        <v>172</v>
      </c>
      <c r="I53" s="4">
        <f>ATAN(I51/I47)</f>
        <v>0.12418505257199988</v>
      </c>
      <c r="J53" t="s">
        <v>170</v>
      </c>
    </row>
    <row r="54" spans="3:15" x14ac:dyDescent="0.25">
      <c r="H54" s="29" t="s">
        <v>172</v>
      </c>
      <c r="I54" s="29">
        <f>DEGREES(I53)</f>
        <v>7.1152793909858421</v>
      </c>
      <c r="J54" s="29" t="s">
        <v>171</v>
      </c>
    </row>
    <row r="55" spans="3:15" x14ac:dyDescent="0.25">
      <c r="C55" t="s">
        <v>182</v>
      </c>
    </row>
    <row r="58" spans="3:15" x14ac:dyDescent="0.25">
      <c r="H58" t="s">
        <v>139</v>
      </c>
    </row>
    <row r="59" spans="3:15" x14ac:dyDescent="0.25">
      <c r="H59" t="s">
        <v>152</v>
      </c>
      <c r="J59" t="s">
        <v>141</v>
      </c>
    </row>
    <row r="60" spans="3:15" x14ac:dyDescent="0.25">
      <c r="H60" t="s">
        <v>140</v>
      </c>
      <c r="I60" s="7">
        <f>I51/(60/12)</f>
        <v>3.3333333333333333E-2</v>
      </c>
      <c r="J60" t="s">
        <v>157</v>
      </c>
    </row>
    <row r="61" spans="3:15" x14ac:dyDescent="0.25">
      <c r="H61" t="s">
        <v>140</v>
      </c>
      <c r="I61" s="7">
        <f>I51/(60)</f>
        <v>2.7777777777777775E-3</v>
      </c>
      <c r="J61" t="s">
        <v>154</v>
      </c>
    </row>
    <row r="62" spans="3:15" x14ac:dyDescent="0.25">
      <c r="H62" t="s">
        <v>153</v>
      </c>
    </row>
    <row r="64" spans="3:15" x14ac:dyDescent="0.25">
      <c r="M64" t="s">
        <v>142</v>
      </c>
      <c r="N64">
        <v>0.95</v>
      </c>
    </row>
    <row r="65" spans="3:14" x14ac:dyDescent="0.25">
      <c r="C65" t="s">
        <v>116</v>
      </c>
    </row>
    <row r="66" spans="3:14" x14ac:dyDescent="0.25">
      <c r="C66" t="s">
        <v>117</v>
      </c>
      <c r="I66" t="s">
        <v>190</v>
      </c>
    </row>
    <row r="67" spans="3:14" x14ac:dyDescent="0.25">
      <c r="C67" t="s">
        <v>118</v>
      </c>
      <c r="H67" t="s">
        <v>192</v>
      </c>
      <c r="I67">
        <v>1</v>
      </c>
      <c r="J67" t="s">
        <v>185</v>
      </c>
      <c r="M67" t="s">
        <v>194</v>
      </c>
      <c r="N67">
        <f>N48</f>
        <v>30.824955993208231</v>
      </c>
    </row>
    <row r="68" spans="3:14" x14ac:dyDescent="0.25">
      <c r="C68" t="s">
        <v>119</v>
      </c>
      <c r="H68" t="s">
        <v>191</v>
      </c>
      <c r="I68">
        <f>I67/I51</f>
        <v>6</v>
      </c>
      <c r="J68" t="s">
        <v>189</v>
      </c>
      <c r="M68" t="s">
        <v>195</v>
      </c>
      <c r="N68">
        <f>N67*I69/N64</f>
        <v>16.223661049056965</v>
      </c>
    </row>
    <row r="69" spans="3:14" x14ac:dyDescent="0.25">
      <c r="C69" t="s">
        <v>120</v>
      </c>
      <c r="H69" t="s">
        <v>193</v>
      </c>
      <c r="I69">
        <v>0.5</v>
      </c>
    </row>
    <row r="70" spans="3:14" x14ac:dyDescent="0.25">
      <c r="C70" t="s">
        <v>121</v>
      </c>
      <c r="H70" t="s">
        <v>190</v>
      </c>
      <c r="I70">
        <f>I68/I69</f>
        <v>12</v>
      </c>
      <c r="J70" t="s">
        <v>189</v>
      </c>
    </row>
    <row r="71" spans="3:14" x14ac:dyDescent="0.25">
      <c r="C71" t="s">
        <v>122</v>
      </c>
      <c r="H71" t="s">
        <v>197</v>
      </c>
      <c r="I71">
        <f>I70*60</f>
        <v>720</v>
      </c>
      <c r="J71" t="s">
        <v>196</v>
      </c>
    </row>
    <row r="76" spans="3:14" x14ac:dyDescent="0.25">
      <c r="H76" t="s">
        <v>168</v>
      </c>
      <c r="I76">
        <f>1/0.7376</f>
        <v>1.3557483731019522</v>
      </c>
      <c r="J76" t="s">
        <v>167</v>
      </c>
    </row>
    <row r="78" spans="3:14" x14ac:dyDescent="0.25">
      <c r="H78" t="s">
        <v>158</v>
      </c>
    </row>
    <row r="79" spans="3:14" x14ac:dyDescent="0.25">
      <c r="H79" t="s">
        <v>160</v>
      </c>
      <c r="I79">
        <v>1000</v>
      </c>
      <c r="J79" t="s">
        <v>113</v>
      </c>
    </row>
    <row r="80" spans="3:14" x14ac:dyDescent="0.25">
      <c r="H80" t="s">
        <v>161</v>
      </c>
      <c r="I80">
        <v>1</v>
      </c>
      <c r="J80" t="s">
        <v>165</v>
      </c>
    </row>
    <row r="81" spans="8:10" x14ac:dyDescent="0.25">
      <c r="H81" t="s">
        <v>166</v>
      </c>
      <c r="I81">
        <f>I79*I80*I76</f>
        <v>1355.7483731019522</v>
      </c>
      <c r="J81" t="s">
        <v>169</v>
      </c>
    </row>
    <row r="82" spans="8:10" x14ac:dyDescent="0.25">
      <c r="H82" t="s">
        <v>159</v>
      </c>
    </row>
    <row r="85" spans="8:10" x14ac:dyDescent="0.25">
      <c r="H85" t="s">
        <v>142</v>
      </c>
      <c r="I85" s="8">
        <v>0.4</v>
      </c>
    </row>
    <row r="86" spans="8:10" x14ac:dyDescent="0.25">
      <c r="H86" t="s">
        <v>163</v>
      </c>
      <c r="I86" s="8">
        <v>0.98</v>
      </c>
    </row>
    <row r="87" spans="8:10" x14ac:dyDescent="0.25">
      <c r="H87" t="s">
        <v>164</v>
      </c>
    </row>
    <row r="88" spans="8:10" x14ac:dyDescent="0.25">
      <c r="H88" t="s">
        <v>162</v>
      </c>
    </row>
  </sheetData>
  <mergeCells count="3">
    <mergeCell ref="C36:F36"/>
    <mergeCell ref="D37:F37"/>
    <mergeCell ref="D38:F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0A57-75E1-4C82-BEEC-8882CA08F993}">
  <dimension ref="C4:D22"/>
  <sheetViews>
    <sheetView topLeftCell="A13" workbookViewId="0">
      <selection activeCell="C22" sqref="C22"/>
    </sheetView>
  </sheetViews>
  <sheetFormatPr defaultRowHeight="15" x14ac:dyDescent="0.25"/>
  <cols>
    <col min="3" max="3" width="95.140625" customWidth="1"/>
  </cols>
  <sheetData>
    <row r="4" spans="3:4" x14ac:dyDescent="0.25">
      <c r="D4" t="s">
        <v>29</v>
      </c>
    </row>
    <row r="7" spans="3:4" x14ac:dyDescent="0.25">
      <c r="C7" t="s">
        <v>30</v>
      </c>
    </row>
    <row r="9" spans="3:4" x14ac:dyDescent="0.25">
      <c r="C9" s="2" t="s">
        <v>31</v>
      </c>
    </row>
    <row r="10" spans="3:4" x14ac:dyDescent="0.25">
      <c r="C10" s="2" t="s">
        <v>32</v>
      </c>
    </row>
    <row r="12" spans="3:4" x14ac:dyDescent="0.25">
      <c r="C12" t="s">
        <v>33</v>
      </c>
      <c r="D12" t="s">
        <v>34</v>
      </c>
    </row>
    <row r="13" spans="3:4" x14ac:dyDescent="0.25">
      <c r="C13" t="s">
        <v>35</v>
      </c>
      <c r="D13" t="s">
        <v>36</v>
      </c>
    </row>
    <row r="14" spans="3:4" x14ac:dyDescent="0.25">
      <c r="C14" t="s">
        <v>37</v>
      </c>
      <c r="D14" t="s">
        <v>38</v>
      </c>
    </row>
    <row r="18" spans="3:4" x14ac:dyDescent="0.25">
      <c r="C18" t="s">
        <v>39</v>
      </c>
    </row>
    <row r="19" spans="3:4" x14ac:dyDescent="0.25">
      <c r="C19" t="s">
        <v>40</v>
      </c>
      <c r="D19" t="s">
        <v>41</v>
      </c>
    </row>
    <row r="20" spans="3:4" x14ac:dyDescent="0.25">
      <c r="C20" t="s">
        <v>42</v>
      </c>
      <c r="D20" t="s">
        <v>43</v>
      </c>
    </row>
    <row r="21" spans="3:4" x14ac:dyDescent="0.25">
      <c r="C21" t="s">
        <v>44</v>
      </c>
      <c r="D21" t="s">
        <v>45</v>
      </c>
    </row>
    <row r="22" spans="3:4" x14ac:dyDescent="0.25">
      <c r="C22" t="s">
        <v>46</v>
      </c>
      <c r="D2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Design and Material Specs</vt:lpstr>
      <vt:lpstr>Inventor Model Ref Sheet</vt:lpstr>
      <vt:lpstr>WS Sizing Calculations</vt:lpstr>
      <vt:lpstr>Allowable Piston Travel</vt:lpstr>
      <vt:lpstr>AmbientPressureAbsolute</vt:lpstr>
      <vt:lpstr>AppliedForceNormal</vt:lpstr>
      <vt:lpstr>CoeffStaticFrictionBrassonSteelLubricated</vt:lpstr>
      <vt:lpstr>FS</vt:lpstr>
      <vt:lpstr>MachineHeight</vt:lpstr>
      <vt:lpstr>MachineLength</vt:lpstr>
      <vt:lpstr>MachineWidth</vt:lpstr>
      <vt:lpstr>PistonSpeed</vt:lpstr>
      <vt:lpstr>SS303FatigueStrength</vt:lpstr>
      <vt:lpstr>SS303YieldStrength</vt:lpstr>
      <vt:lpstr>SS303YoungsModulus</vt:lpstr>
      <vt:lpstr>WashChamberDiameter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ROHMANN, THOMAS</dc:creator>
  <cp:lastModifiedBy>Tommy Rohmann</cp:lastModifiedBy>
  <dcterms:created xsi:type="dcterms:W3CDTF">2024-03-29T19:26:34Z</dcterms:created>
  <dcterms:modified xsi:type="dcterms:W3CDTF">2024-06-18T17:37:54Z</dcterms:modified>
</cp:coreProperties>
</file>