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dcdf7eb514dfaeec/Projects/Microgravity-Press-Washing-Machine/System Design and Documentation/"/>
    </mc:Choice>
  </mc:AlternateContent>
  <xr:revisionPtr revIDLastSave="1438" documentId="13_ncr:1_{4AAA6B9C-80F3-4AB5-A3F7-F08D2B1D8BA3}" xr6:coauthVersionLast="47" xr6:coauthVersionMax="47" xr10:uidLastSave="{BAC8B969-F2ED-4131-8A3E-61FDA812043C}"/>
  <bookViews>
    <workbookView xWindow="-98" yWindow="-98" windowWidth="17115" windowHeight="10755" firstSheet="1" activeTab="1" xr2:uid="{73A7591B-B5CA-4318-9343-9B3FDBEBCAB4}"/>
  </bookViews>
  <sheets>
    <sheet name="Design and Material Specs" sheetId="2" r:id="rId1"/>
    <sheet name="WS Sizing Calculations" sheetId="1" r:id="rId2"/>
    <sheet name="Sources" sheetId="8" r:id="rId3"/>
    <sheet name="Equation Derivation" sheetId="3" r:id="rId4"/>
    <sheet name="Sheet1" sheetId="6" r:id="rId5"/>
  </sheets>
  <definedNames>
    <definedName name="AmbientPressureAbsolute">'Design and Material Specs'!$N$14</definedName>
    <definedName name="AppliedForceNormal">'Design and Material Specs'!$D$5</definedName>
    <definedName name="CoeffStaticFrictionBrassonSteelLubricated">'Design and Material Specs'!$N$15</definedName>
    <definedName name="FS">'Design and Material Specs'!$D$7</definedName>
    <definedName name="lfb2N">'Design and Material Specs'!$N$16</definedName>
    <definedName name="MachineHeight">'Design and Material Specs'!$D$12</definedName>
    <definedName name="MachineLength">'Design and Material Specs'!$D$14</definedName>
    <definedName name="MachineWidth">'Design and Material Specs'!$D$13</definedName>
    <definedName name="MMH">Sheet1!$B$3</definedName>
    <definedName name="PistonSpeed">'Design and Material Specs'!$D$6</definedName>
    <definedName name="PTIH">Sheet1!$B$4</definedName>
    <definedName name="SS303FatigueStrength">'Design and Material Specs'!$N$4</definedName>
    <definedName name="SS303YieldStrength">'Design and Material Specs'!$O$4</definedName>
    <definedName name="SS303YoungsModulus">'Design and Material Specs'!$P$4</definedName>
    <definedName name="WashChamberDiameter">'Design and Material Specs'!$D$10</definedName>
    <definedName name="WCID">Sheet1!$B$2</definedName>
    <definedName name="WPRT">Sheet1!$B$1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 i="1" l="1"/>
  <c r="I22" i="1"/>
  <c r="I20" i="1"/>
  <c r="I19" i="1"/>
  <c r="D22" i="1"/>
  <c r="D20" i="1"/>
  <c r="D19" i="1"/>
  <c r="X79" i="1"/>
  <c r="X77" i="1"/>
  <c r="X78" i="1" s="1"/>
  <c r="N59" i="1"/>
  <c r="N58" i="1"/>
  <c r="E12" i="6"/>
  <c r="E11" i="6"/>
  <c r="E10" i="6"/>
  <c r="B4" i="6"/>
  <c r="B14" i="6"/>
  <c r="B8" i="6"/>
  <c r="N102" i="1"/>
  <c r="N103" i="1" s="1"/>
  <c r="N98" i="1"/>
  <c r="N100" i="1" s="1"/>
  <c r="D98" i="1"/>
  <c r="D34" i="1"/>
  <c r="N13" i="1"/>
  <c r="D13" i="1"/>
  <c r="N9" i="1"/>
  <c r="I9" i="1"/>
  <c r="N8" i="1" s="1"/>
  <c r="D10" i="1"/>
  <c r="N7" i="1"/>
  <c r="D97" i="1"/>
  <c r="D99" i="1" s="1"/>
  <c r="D102" i="1"/>
  <c r="I99" i="1"/>
  <c r="D100" i="1" l="1"/>
  <c r="D103" i="1" s="1"/>
  <c r="I100" i="1" s="1"/>
  <c r="N60" i="1"/>
  <c r="X80" i="1"/>
  <c r="N12" i="1"/>
  <c r="D11" i="1"/>
  <c r="D14" i="1" s="1"/>
  <c r="I10" i="1" s="1"/>
  <c r="N11" i="1"/>
  <c r="D116" i="1"/>
  <c r="N111" i="1" l="1"/>
  <c r="F158" i="1"/>
  <c r="I121" i="1"/>
  <c r="H163" i="1"/>
  <c r="D59" i="1"/>
  <c r="D60" i="1"/>
  <c r="D61" i="1"/>
  <c r="D62" i="1"/>
  <c r="F5" i="2"/>
  <c r="N39" i="1"/>
  <c r="D36" i="1"/>
  <c r="N33" i="1"/>
  <c r="N35" i="1"/>
  <c r="D39" i="1"/>
  <c r="I152" i="1"/>
  <c r="D67" i="1" l="1"/>
  <c r="D68" i="1" s="1"/>
  <c r="N38" i="1"/>
  <c r="D58" i="1"/>
  <c r="D63" i="1" s="1"/>
  <c r="D64" i="1" s="1"/>
  <c r="I35" i="1"/>
  <c r="N34" i="1" s="1"/>
  <c r="N37" i="1" s="1"/>
  <c r="D24" i="2"/>
  <c r="D35" i="1"/>
  <c r="D37" i="1" s="1"/>
  <c r="D40" i="1" s="1"/>
  <c r="S77" i="1"/>
  <c r="S79" i="1"/>
  <c r="N81" i="1"/>
  <c r="N87" i="1"/>
  <c r="N77" i="1"/>
  <c r="N78" i="1"/>
  <c r="I61" i="1"/>
  <c r="I67" i="1"/>
  <c r="I69" i="1" s="1"/>
  <c r="I57" i="1"/>
  <c r="I62" i="1" s="1"/>
  <c r="I63" i="1" s="1"/>
  <c r="I58" i="1"/>
  <c r="D137" i="1"/>
  <c r="D144" i="1" s="1"/>
  <c r="I151" i="1" s="1"/>
  <c r="I153" i="1" s="1"/>
  <c r="I154" i="1" s="1"/>
  <c r="I119" i="1"/>
  <c r="I112" i="1"/>
  <c r="E7" i="6" a="1"/>
  <c r="E7" i="6" s="1"/>
  <c r="E8" i="6" s="1"/>
  <c r="I36" i="1" l="1"/>
  <c r="N82" i="1"/>
  <c r="I60" i="1"/>
  <c r="N89" i="1"/>
  <c r="I83" i="1"/>
  <c r="I120" i="1"/>
  <c r="D125" i="1"/>
  <c r="I113" i="1"/>
  <c r="I117" i="1"/>
  <c r="I118" i="1" s="1"/>
  <c r="I123" i="1" s="1"/>
  <c r="N112" i="1" s="1"/>
  <c r="N113" i="1" l="1"/>
  <c r="S111" i="1"/>
  <c r="N114" i="1"/>
  <c r="D118" i="1"/>
  <c r="D122" i="1"/>
  <c r="D124" i="1" s="1"/>
  <c r="D117" i="1"/>
  <c r="I81" i="1"/>
  <c r="I124" i="1" l="1"/>
  <c r="D119" i="1"/>
  <c r="I89" i="1"/>
  <c r="I90" i="1" s="1"/>
  <c r="D77" i="1"/>
  <c r="D78" i="1" s="1"/>
  <c r="D79" i="1" l="1"/>
  <c r="D80" i="1" s="1"/>
  <c r="I82" i="1" s="1"/>
  <c r="N80" i="1" l="1"/>
  <c r="N83" i="1"/>
  <c r="N115" i="1"/>
  <c r="N116" i="1" s="1"/>
  <c r="D136" i="1" s="1"/>
  <c r="I80" i="1"/>
  <c r="I85" i="1" s="1"/>
  <c r="I86" i="1" s="1"/>
  <c r="D141" i="1" l="1"/>
  <c r="N119" i="1"/>
  <c r="D138" i="1"/>
  <c r="N118" i="1"/>
  <c r="N117" i="1"/>
  <c r="I136" i="1" l="1"/>
  <c r="D143" i="1"/>
  <c r="D142" i="1"/>
  <c r="D150" i="1"/>
  <c r="D153" i="1" s="1"/>
  <c r="F159" i="1" s="1"/>
  <c r="F160" i="1" s="1"/>
  <c r="F163" i="1" s="1"/>
  <c r="H160" i="1" l="1"/>
  <c r="D152" i="1"/>
  <c r="D1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<sst xmlns="http://schemas.openxmlformats.org/spreadsheetml/2006/main" count="611" uniqueCount="305">
  <si>
    <t>Desired Force Application</t>
  </si>
  <si>
    <t>Method</t>
  </si>
  <si>
    <t>Material Properties</t>
  </si>
  <si>
    <t>Design Specifications</t>
  </si>
  <si>
    <t>lb</t>
  </si>
  <si>
    <t>Units</t>
  </si>
  <si>
    <t>Piston Speed</t>
  </si>
  <si>
    <t>ft/s</t>
  </si>
  <si>
    <t>Piston Rod Size For Load Application</t>
  </si>
  <si>
    <t>303 Stainless Steel</t>
  </si>
  <si>
    <t>FS</t>
  </si>
  <si>
    <t>-</t>
  </si>
  <si>
    <t>Max Force Application</t>
  </si>
  <si>
    <t>psi</t>
  </si>
  <si>
    <t>Value</t>
  </si>
  <si>
    <t>Item</t>
  </si>
  <si>
    <t>Source</t>
  </si>
  <si>
    <t>Matweb</t>
  </si>
  <si>
    <t>K</t>
  </si>
  <si>
    <t>I</t>
  </si>
  <si>
    <t>E</t>
  </si>
  <si>
    <t>Pcr</t>
  </si>
  <si>
    <t>Youngs Modulus</t>
  </si>
  <si>
    <t>lmax</t>
  </si>
  <si>
    <t>Piston Travel Max</t>
  </si>
  <si>
    <t xml:space="preserve"> r = Radius of Shaft, R = Radius of Wash Chamber, t = Chamber Top travel, T = Piston travel distance, and V = Volume</t>
  </si>
  <si>
    <t xml:space="preserve">When the chamber top extends upward, it increases the volume of the chamber by the cross sectional area of the wash chamber minus the cross sectional area of the shaft multiplied by the distance traveled, represented by </t>
  </si>
  <si>
    <t>.</t>
  </si>
  <si>
    <t>For const volume, volume of shaft introduced into chamber equated to required chamber top travel</t>
  </si>
  <si>
    <t>πr^2 T=t(πR^2-πr^2)</t>
  </si>
  <si>
    <t>Solved for piston top travel</t>
  </si>
  <si>
    <t>t=πr^2 T/(πR^2-πr^2)</t>
  </si>
  <si>
    <t>Simplified equation for chamber top travel for a given compression piston travel</t>
  </si>
  <si>
    <t>t=r^2*T/(R^2-r^2)</t>
  </si>
  <si>
    <t>H= Max allowable height of machine, r = Radius of Shaft, R = Radius of Wash Chamber, t = Chamber Top travel, T = Piston travel distance, and W[component] = Width or height taken up by component in washing machine</t>
  </si>
  <si>
    <t>Ideal max piston travel for a given height</t>
  </si>
  <si>
    <t>T=H-T</t>
  </si>
  <si>
    <t>Actual allowable piston travel</t>
  </si>
  <si>
    <t>T=H-(T+∑W)</t>
  </si>
  <si>
    <t>Find allowable piston travel based upon thickness of structural members, pistons, and chamber top travel</t>
  </si>
  <si>
    <t>T=H-(T+(r^2*T/(R^2-r^2))+∑W)</t>
  </si>
  <si>
    <t>Allowable piston travel, solving for T</t>
  </si>
  <si>
    <t>T=(H-∑W)(R^2-r^2/(2R^2-r^2))</t>
  </si>
  <si>
    <t>Method:</t>
  </si>
  <si>
    <t>Determine the number of compression cycles that need to take place over the products working lifespan to determine max stress each member can experience under normal operations.</t>
  </si>
  <si>
    <t>Name of Value</t>
  </si>
  <si>
    <t>Symbol</t>
  </si>
  <si>
    <t>Reasoning</t>
  </si>
  <si>
    <t>Load Bearing Material</t>
  </si>
  <si>
    <t>Stress for Given Lifespan</t>
  </si>
  <si>
    <t xml:space="preserve">People Accomodated </t>
  </si>
  <si>
    <t>People</t>
  </si>
  <si>
    <t>NA</t>
  </si>
  <si>
    <t>Crew Size for the ISS</t>
  </si>
  <si>
    <t>Wash Rate</t>
  </si>
  <si>
    <t>Wash/Person/Day</t>
  </si>
  <si>
    <t>Assuming washing full set of clothes per day (over-estimation)</t>
  </si>
  <si>
    <t>304 Stainless Steel</t>
  </si>
  <si>
    <t>Designed Life-Span</t>
  </si>
  <si>
    <t>Years</t>
  </si>
  <si>
    <t>Compressions Per Wash Min</t>
  </si>
  <si>
    <t># of Compression Cycles</t>
  </si>
  <si>
    <t>One compression for hydration, agitation, and removal of water respectively</t>
  </si>
  <si>
    <t>Aluminium 3104-H19</t>
  </si>
  <si>
    <t>Compressions Per Wash Max</t>
  </si>
  <si>
    <t>Arbitrarily chosen to accommodate multiple compressions per wash phase</t>
  </si>
  <si>
    <t>Aluminium 3004-H19</t>
  </si>
  <si>
    <t>Wash Chamber Diameter</t>
  </si>
  <si>
    <t>Wash Chamber Height</t>
  </si>
  <si>
    <t>Max Maching Height</t>
  </si>
  <si>
    <t>Max Machine Width</t>
  </si>
  <si>
    <t>in</t>
  </si>
  <si>
    <t>Max Machine Length</t>
  </si>
  <si>
    <t>a</t>
  </si>
  <si>
    <t>D</t>
  </si>
  <si>
    <t>Shaft Diameter</t>
  </si>
  <si>
    <t>check</t>
  </si>
  <si>
    <t>Reaction Force on Chamber Top Due to Pressure</t>
  </si>
  <si>
    <t>Max Water Pressue</t>
  </si>
  <si>
    <t>Chamber Top Wetted Area</t>
  </si>
  <si>
    <t>Piston Area</t>
  </si>
  <si>
    <t># of Supports</t>
  </si>
  <si>
    <t>Chamber Top Rod Size For Load Application</t>
  </si>
  <si>
    <t># of Lead Screws</t>
  </si>
  <si>
    <t>Tension</t>
  </si>
  <si>
    <t>State of Force</t>
  </si>
  <si>
    <t>Force Applied to Screws</t>
  </si>
  <si>
    <t>Critical Stress Due to Plastic Deformation</t>
  </si>
  <si>
    <t>Coefficient of Friction Equation and Table Chart (engineersedge.com)</t>
  </si>
  <si>
    <t>Max Allowed Stress</t>
  </si>
  <si>
    <t>Minimum diameter of lead screw pure tensile stress</t>
  </si>
  <si>
    <t>Pitch at Given Diameter</t>
  </si>
  <si>
    <t>From Shigleys</t>
  </si>
  <si>
    <t>mean diameter of Lead Screw</t>
  </si>
  <si>
    <t>Unraveled Diameter of Screw</t>
  </si>
  <si>
    <t>Applied Force</t>
  </si>
  <si>
    <t>Pitch Angle of Screw</t>
  </si>
  <si>
    <t>Normal Reaction Force</t>
  </si>
  <si>
    <t>Horizontal Component of Normal Force</t>
  </si>
  <si>
    <t>Friction Force</t>
  </si>
  <si>
    <t>Force Required to Produce Applied Load</t>
  </si>
  <si>
    <t>Torque application required to move piston</t>
  </si>
  <si>
    <t>ft-lb</t>
  </si>
  <si>
    <t>lbf</t>
  </si>
  <si>
    <t>Shear Stress Induced due to Torque</t>
  </si>
  <si>
    <t>Polar Moment of Inertia of Screw (minor dia)</t>
  </si>
  <si>
    <t>1 atm</t>
  </si>
  <si>
    <t>psia</t>
  </si>
  <si>
    <t>Pre-Spec Screw Dimensions</t>
  </si>
  <si>
    <t>Screw Major Diameter</t>
  </si>
  <si>
    <t>Thread Type</t>
  </si>
  <si>
    <t>ACME</t>
  </si>
  <si>
    <t>Screw Minor Diameter</t>
  </si>
  <si>
    <t>Screw Mean Diameter</t>
  </si>
  <si>
    <t>Screw Pitch</t>
  </si>
  <si>
    <t>TPI</t>
  </si>
  <si>
    <t>Material</t>
  </si>
  <si>
    <t>Design Max Stress</t>
  </si>
  <si>
    <t>Mean Screw Circumference</t>
  </si>
  <si>
    <t>Screw Efficiency</t>
  </si>
  <si>
    <t>Minor Diameter Cross Sect. Area</t>
  </si>
  <si>
    <t>Piston Lead Screw Initial Sizing</t>
  </si>
  <si>
    <t>inch/revolution</t>
  </si>
  <si>
    <t>threads/inch</t>
  </si>
  <si>
    <t>Motor Sizing</t>
  </si>
  <si>
    <t>Chain Efficiency</t>
  </si>
  <si>
    <t>radians</t>
  </si>
  <si>
    <t>degrees</t>
  </si>
  <si>
    <t>Screw Pitch Angle</t>
  </si>
  <si>
    <t>Notes</t>
  </si>
  <si>
    <t>initial estimate of rod size to withstand forces associated with maximum working clothing compression</t>
  </si>
  <si>
    <t>Condition</t>
  </si>
  <si>
    <t>Max Clothing Compression</t>
  </si>
  <si>
    <t>~(3/8")</t>
  </si>
  <si>
    <t>Note</t>
  </si>
  <si>
    <t>Mild Steel</t>
  </si>
  <si>
    <t>1 lb = 16 oz</t>
  </si>
  <si>
    <t>oz-in</t>
  </si>
  <si>
    <t>kg-cm</t>
  </si>
  <si>
    <t>Gear Ratio</t>
  </si>
  <si>
    <t>RPM</t>
  </si>
  <si>
    <t>Shaft Diamete</t>
  </si>
  <si>
    <t>Wash Chamber ID</t>
  </si>
  <si>
    <t>Max Machine Height</t>
  </si>
  <si>
    <t>Interference Hardware</t>
  </si>
  <si>
    <t>( MMH - PTIH ) * ( ( ( ( ( WCID / 2 ul ) ^ 2 ul ) - ( WPRT / 2 ul ) ^ 2 ul ) ) / ( ( ( (2 ul * ( WCID / 2 ul )) ^ 2 ul ) - ( WPRT / 2 ul ) ^ 2 ul ) ) )</t>
  </si>
  <si>
    <t>ACME Thread Calculations: A Complete Guide - EngineerExcel</t>
  </si>
  <si>
    <t>Links</t>
  </si>
  <si>
    <t>Lead Screw Analysis of Selected Screw</t>
  </si>
  <si>
    <t>Required Motor Torque to Achieve Applied Force</t>
  </si>
  <si>
    <t>Assumed Sprocket Size</t>
  </si>
  <si>
    <t>from inventor max allowable space for given design</t>
  </si>
  <si>
    <t>From ACME Screw calc (x2 due to 2 acme screws)</t>
  </si>
  <si>
    <t>Chain Tension for Applied Load</t>
  </si>
  <si>
    <t>2.1.2 Engagement with Sprockets (chain-guide.com)</t>
  </si>
  <si>
    <t>Total Chain Tension</t>
  </si>
  <si>
    <t>Chain Back Tension (to Prevent Slip)</t>
  </si>
  <si>
    <t>Required Chain Strength</t>
  </si>
  <si>
    <t>Chain Drive Efficiency Estimate</t>
  </si>
  <si>
    <t>Required Torque to Drive Chain</t>
  </si>
  <si>
    <t>Critical Stress Buckling (Check)</t>
  </si>
  <si>
    <t>Stress required to buckle beam</t>
  </si>
  <si>
    <t>in2</t>
  </si>
  <si>
    <t>Force Required to Produce Buckling Stress</t>
  </si>
  <si>
    <t>Reservior Piston Rod Size For Load Application</t>
  </si>
  <si>
    <t>Selected Motor Specifications</t>
  </si>
  <si>
    <t>Voltage</t>
  </si>
  <si>
    <t>Reaction Force on Reservior Piston Due to Potential Developed Pressure</t>
  </si>
  <si>
    <t>Wash Piston Rod</t>
  </si>
  <si>
    <t>Reservior Piston Rod</t>
  </si>
  <si>
    <t>Span of Piston Rod</t>
  </si>
  <si>
    <t>Torque Applied to Screw to Achieve Applied Force</t>
  </si>
  <si>
    <t>Max Stress of Material Used</t>
  </si>
  <si>
    <t>Drive Chain Assembly Mechanical Advantage and Chain Tension</t>
  </si>
  <si>
    <t>Minimum Pin Diameter</t>
  </si>
  <si>
    <t>Piston Rod Area at Pin</t>
  </si>
  <si>
    <t>Stress on Piston Rod at Area</t>
  </si>
  <si>
    <t>Chosen Pin Diameter</t>
  </si>
  <si>
    <t>Machinability Check</t>
  </si>
  <si>
    <t>Pin Hole Depth</t>
  </si>
  <si>
    <t>Nut Thickness for Chosen Pin</t>
  </si>
  <si>
    <t>Hole Diameter to Depth Ratio</t>
  </si>
  <si>
    <t>Diameter to Depth Ratio</t>
  </si>
  <si>
    <t>Reservior Piston Rod Stay Pin Thickness</t>
  </si>
  <si>
    <t>Wash Piston Rod Stay Pin Thickness</t>
  </si>
  <si>
    <t>Feasible but Challenging. Could Possibly be Machined from both sides if needed</t>
  </si>
  <si>
    <t>Based on Dimensions of Reservior Piston in CAD. Pins offset due to distance from center of piston support rods</t>
  </si>
  <si>
    <t>Minimum Spring ID</t>
  </si>
  <si>
    <t>Piston Compliance Springs</t>
  </si>
  <si>
    <t># of Springs</t>
  </si>
  <si>
    <t>Spring Travel</t>
  </si>
  <si>
    <t>Force Applied Load</t>
  </si>
  <si>
    <t>Span</t>
  </si>
  <si>
    <t>From NASA</t>
  </si>
  <si>
    <t>Fit 4 machines into one express locker</t>
  </si>
  <si>
    <t>Basics of Bending Stress part 2 - Moment of inertia (youtube.com)</t>
  </si>
  <si>
    <t>Bending Moment</t>
  </si>
  <si>
    <t>in-lb</t>
  </si>
  <si>
    <t>Shear Force</t>
  </si>
  <si>
    <t>Beam Stress &amp; Deflection | MechaniCalc</t>
  </si>
  <si>
    <t>Wash Chamber Access Hatch Calculations</t>
  </si>
  <si>
    <t>Beams - Supported at Both Ends - Continuous and Point Loads (engineeringtoolbox.com)</t>
  </si>
  <si>
    <t>https://engineering.purdue.edu/~ce474/Docs/DA6-BeamFormulas.pdf</t>
  </si>
  <si>
    <t>Bearing Bronze</t>
  </si>
  <si>
    <t>Fatigue Strength (psi)</t>
  </si>
  <si>
    <t>Yield Strength (psi)</t>
  </si>
  <si>
    <t>Constants Referenced</t>
  </si>
  <si>
    <t>Coeff of Friction Lubricated SS on Bearing Bronze</t>
  </si>
  <si>
    <t>bronze 932 Product Guide from Online Metals</t>
  </si>
  <si>
    <t>Nook Industries: PowerAc Precision Acme Screw Assemblies</t>
  </si>
  <si>
    <t>Inventor Tutorials</t>
  </si>
  <si>
    <t>Using Tube &amp; Pipe in Inventor Professional 2021 | Autodesk Virtual Academy (youtube.com)</t>
  </si>
  <si>
    <t>Pipe Routing</t>
  </si>
  <si>
    <t>Wire Routing</t>
  </si>
  <si>
    <t>Autodesk Inventor - Cable Routing (youtube.com)</t>
  </si>
  <si>
    <t>AUTODESK INVENTOR TUTORIAL || ROLLER CHAIN COMMAND (youtube.com)</t>
  </si>
  <si>
    <t>Roller Chain</t>
  </si>
  <si>
    <t>(3) Tutorial Inventor - 143 DA - POWER TRANSMISSION - YouTube</t>
  </si>
  <si>
    <t>Power Transmission Design Accelerator</t>
  </si>
  <si>
    <t>Inventor 2014 Help: Frame Analysis (autodesk.com)</t>
  </si>
  <si>
    <t>Frame Analysis FEA</t>
  </si>
  <si>
    <t>Inventor 2022 Help | Skeletal Modeling | Autodesk</t>
  </si>
  <si>
    <t>Skeletal Modeling</t>
  </si>
  <si>
    <t>Sketch Blocks</t>
  </si>
  <si>
    <t>Autodesk Inventor 2013 - Sketch Blocks (youtube.com)</t>
  </si>
  <si>
    <t>ACME Screw Strength</t>
  </si>
  <si>
    <t>Beam Calculations</t>
  </si>
  <si>
    <t>Section Modulus Equations and Calculators Common Shapes (engineersedge.com)</t>
  </si>
  <si>
    <t>Section Modulus</t>
  </si>
  <si>
    <t>Allowable Piston Travel &amp; Chamber Top Travel</t>
  </si>
  <si>
    <t>Motor RPM</t>
  </si>
  <si>
    <t>Motor Gear Ratio</t>
  </si>
  <si>
    <t>Drive Chain Ratio</t>
  </si>
  <si>
    <t>revolutions/in</t>
  </si>
  <si>
    <t>Power Screw Speed Ratio</t>
  </si>
  <si>
    <t>Screw Drive Speed</t>
  </si>
  <si>
    <t>Linear Speed</t>
  </si>
  <si>
    <t>in/min</t>
  </si>
  <si>
    <t>Plate Thickness</t>
  </si>
  <si>
    <t>Number of Supporting Plates</t>
  </si>
  <si>
    <t>Required Section Modulus (S.S.)</t>
  </si>
  <si>
    <t>Material Shear Strength</t>
  </si>
  <si>
    <t>Minimum Hatch Support Height</t>
  </si>
  <si>
    <t>Effective Support Thickness</t>
  </si>
  <si>
    <t>Beam Dimensions</t>
  </si>
  <si>
    <t>Overestimate of span since design limit is 8.5. Hatch Span will be significantly less</t>
  </si>
  <si>
    <t>Thickness of Hatch Beams</t>
  </si>
  <si>
    <t>Minimum Pin Diameter for Bearing Stress</t>
  </si>
  <si>
    <t>Minimum Pin Diameter for Shear Stress</t>
  </si>
  <si>
    <t>Required Pin Thickness (for hatch beam)</t>
  </si>
  <si>
    <t>N</t>
  </si>
  <si>
    <t>lfb2N</t>
  </si>
  <si>
    <t>Chain Working Tension</t>
  </si>
  <si>
    <t>Reservior Thrust Arm</t>
  </si>
  <si>
    <t>Wash Thrust Arm</t>
  </si>
  <si>
    <t>Driving Sprocket Size</t>
  </si>
  <si>
    <t>Nm</t>
  </si>
  <si>
    <t>Watt = 0.105*Nm*rpm</t>
  </si>
  <si>
    <t>rpm</t>
  </si>
  <si>
    <t>rad/s</t>
  </si>
  <si>
    <t>watts</t>
  </si>
  <si>
    <t>Volts</t>
  </si>
  <si>
    <t>Amps</t>
  </si>
  <si>
    <t>Motor Speed Estimate</t>
  </si>
  <si>
    <t>Required Nut Length</t>
  </si>
  <si>
    <t>Normal Reaction Force on Nut</t>
  </si>
  <si>
    <t>Not breaking into component forces, using normal as a ballpark estimate/assuming overbuilt</t>
  </si>
  <si>
    <t>Hatch Beam Dimensions</t>
  </si>
  <si>
    <t>Bottom Frame Calculations</t>
  </si>
  <si>
    <t>Hatch Frame Required Moment of Inertia</t>
  </si>
  <si>
    <t>Bottom Frame Required Moment of Inertia</t>
  </si>
  <si>
    <t>Assumed O-Ring Crush Force for Sealing</t>
  </si>
  <si>
    <t>Additional force being applied by user to seal hatch O-Rings</t>
  </si>
  <si>
    <t>Diameter of Piston Rod</t>
  </si>
  <si>
    <t>Length of Nut Supported by Pin</t>
  </si>
  <si>
    <t>Finding Interference Height</t>
  </si>
  <si>
    <t>From Hatch to bottom of Wash Chamber</t>
  </si>
  <si>
    <t>Wash Piston</t>
  </si>
  <si>
    <t>Reservior Piston</t>
  </si>
  <si>
    <t>Bearing Thickness</t>
  </si>
  <si>
    <t>total</t>
  </si>
  <si>
    <t>Max Piston Travel</t>
  </si>
  <si>
    <t>Top Piston Travel Allowance</t>
  </si>
  <si>
    <t>Wash Chamber Length</t>
  </si>
  <si>
    <t>Wash Piston Rod Length</t>
  </si>
  <si>
    <t>measured from top of piston head to bottom of thrust arm</t>
  </si>
  <si>
    <t>Reservior Piston Rod Length</t>
  </si>
  <si>
    <t>Total Machine Height Check</t>
  </si>
  <si>
    <t>Rod Diameter at O Ring</t>
  </si>
  <si>
    <t>Cross Sectional Area</t>
  </si>
  <si>
    <t>Stress at Location</t>
  </si>
  <si>
    <t>SuperStructure Pin</t>
  </si>
  <si>
    <t>SuperStructure</t>
  </si>
  <si>
    <t>Access hatch and conduit</t>
  </si>
  <si>
    <t>Superstructure</t>
  </si>
  <si>
    <t>Known based on component sizing</t>
  </si>
  <si>
    <t>Thrust Beam Span (Wash and Reservior)</t>
  </si>
  <si>
    <t>Thickness of Frame Component</t>
  </si>
  <si>
    <t>Frame Pin and Frame Interface</t>
  </si>
  <si>
    <t>Frame Pin Diameter</t>
  </si>
  <si>
    <t>Frame Pin Support Size</t>
  </si>
  <si>
    <t>Required Hatch Pin Thickness</t>
  </si>
  <si>
    <t>Thickness Offset from Pin Hole</t>
  </si>
  <si>
    <t>Chosen Thickness</t>
  </si>
  <si>
    <t>Frame Pin Reinforcement Thickness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</si>
</sst>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u/>
      <sz val="11"/>
      <color theme="10"/>
      <name val="Aptos Narrow"/>
      <family val="2"/>
      <scheme val="minor"/>
    </font>
  </fonts>
  <fills count="9">
    <fill>
      <patternFill patternType="none"/>
    </fill>
    <fill>
      <patternFill patternType="gray125"/>
    </fill>
    <fill>
      <patternFill patternType="solid">
        <fgColor rgb="FF996633"/>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2"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2" borderId="0" xfId="0" applyFill="1"/>
    <xf numFmtId="0" fontId="1" fillId="0" borderId="0" xfId="0" applyFont="1" applyAlignment="1">
      <alignment vertical="center"/>
    </xf>
    <xf numFmtId="0" fontId="2" fillId="0" borderId="0" xfId="1"/>
    <xf numFmtId="9" fontId="0" fillId="0" borderId="0" xfId="0" applyNumberFormat="1"/>
    <xf numFmtId="0" fontId="0" fillId="0" borderId="1" xfId="0" applyBorder="1"/>
    <xf numFmtId="0" fontId="0" fillId="5" borderId="1" xfId="0" applyFill="1" applyBorder="1"/>
    <xf numFmtId="0" fontId="0" fillId="3" borderId="1" xfId="0" applyFill="1" applyBorder="1"/>
    <xf numFmtId="0" fontId="0" fillId="2" borderId="1" xfId="0" applyFill="1" applyBorder="1"/>
    <xf numFmtId="2" fontId="0" fillId="5" borderId="1" xfId="0" applyNumberFormat="1" applyFill="1" applyBorder="1"/>
    <xf numFmtId="0" fontId="0" fillId="0" borderId="5" xfId="0" applyBorder="1"/>
    <xf numFmtId="0" fontId="0" fillId="0" borderId="6" xfId="0" applyBorder="1"/>
    <xf numFmtId="16" fontId="0" fillId="0" borderId="6" xfId="0" applyNumberFormat="1" applyBorder="1"/>
    <xf numFmtId="0" fontId="0" fillId="6" borderId="5" xfId="0" applyFill="1" applyBorder="1"/>
    <xf numFmtId="0" fontId="0" fillId="7" borderId="5" xfId="0" applyFill="1" applyBorder="1"/>
    <xf numFmtId="0" fontId="0" fillId="7" borderId="1" xfId="0" applyFill="1" applyBorder="1"/>
    <xf numFmtId="0" fontId="0" fillId="7" borderId="6" xfId="0" applyFill="1" applyBorder="1"/>
    <xf numFmtId="2" fontId="0" fillId="7" borderId="1" xfId="0" applyNumberFormat="1" applyFill="1" applyBorder="1"/>
    <xf numFmtId="0" fontId="0" fillId="7" borderId="7" xfId="0" applyFill="1" applyBorder="1"/>
    <xf numFmtId="0" fontId="0" fillId="7" borderId="8" xfId="0" applyFill="1" applyBorder="1"/>
    <xf numFmtId="0" fontId="0" fillId="7" borderId="9" xfId="0" applyFill="1" applyBorder="1"/>
    <xf numFmtId="0" fontId="0" fillId="6" borderId="1" xfId="0" applyFill="1" applyBorder="1"/>
    <xf numFmtId="0" fontId="0" fillId="6" borderId="6" xfId="0" applyFill="1" applyBorder="1"/>
    <xf numFmtId="0" fontId="0" fillId="0" borderId="7" xfId="0" applyBorder="1"/>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1" xfId="0" applyFill="1" applyBorder="1"/>
    <xf numFmtId="0" fontId="0" fillId="8" borderId="7" xfId="0" applyFill="1" applyBorder="1"/>
    <xf numFmtId="0" fontId="0" fillId="8" borderId="8" xfId="0" applyFill="1" applyBorder="1"/>
    <xf numFmtId="0" fontId="0" fillId="0" borderId="9" xfId="0" applyBorder="1"/>
    <xf numFmtId="0" fontId="0" fillId="0" borderId="2" xfId="0" applyBorder="1"/>
    <xf numFmtId="0" fontId="0" fillId="0" borderId="3" xfId="0" applyBorder="1"/>
    <xf numFmtId="0" fontId="0" fillId="0" borderId="4" xfId="0" applyBorder="1"/>
    <xf numFmtId="0" fontId="0" fillId="0" borderId="8"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2" fontId="0" fillId="0" borderId="1" xfId="0" applyNumberFormat="1" applyBorder="1"/>
    <xf numFmtId="9" fontId="0" fillId="0" borderId="1" xfId="0" applyNumberFormat="1" applyBorder="1"/>
    <xf numFmtId="9" fontId="0" fillId="0" borderId="6" xfId="0" applyNumberFormat="1" applyBorder="1"/>
    <xf numFmtId="0" fontId="0" fillId="0" borderId="16" xfId="0" applyBorder="1"/>
  </cellXfs>
  <cellStyles count="2">
    <cellStyle name="Hyperlink" xfId="1" builtinId="8"/>
    <cellStyle name="Normal" xfId="0" builtinId="0"/>
  </cellStyles>
  <dxfs count="0"/>
  <tableStyles count="0" defaultTableStyle="TableStyleMedium2" defaultPivotStyle="PivotStyleLight16"/>
  <colors>
    <mruColors>
      <color rgb="FF9966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495300</xdr:colOff>
      <xdr:row>3</xdr:row>
      <xdr:rowOff>9525</xdr:rowOff>
    </xdr:from>
    <xdr:to>
      <xdr:col>11</xdr:col>
      <xdr:colOff>14605</xdr:colOff>
      <xdr:row>15</xdr:row>
      <xdr:rowOff>104775</xdr:rowOff>
    </xdr:to>
    <xdr:pic>
      <xdr:nvPicPr>
        <xdr:cNvPr id="2" name="Picture 1">
          <a:extLst>
            <a:ext uri="{FF2B5EF4-FFF2-40B4-BE49-F238E27FC236}">
              <a16:creationId xmlns:a16="http://schemas.microsoft.com/office/drawing/2014/main" id="{71F97A4D-632C-38AF-93D1-DEAFEDB2B5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3219" t="11851" r="50625"/>
        <a:stretch>
          <a:fillRect/>
        </a:stretch>
      </xdr:blipFill>
      <xdr:spPr>
        <a:xfrm>
          <a:off x="7253288" y="552450"/>
          <a:ext cx="2110105" cy="2266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572671</xdr:colOff>
      <xdr:row>135</xdr:row>
      <xdr:rowOff>94735</xdr:rowOff>
    </xdr:from>
    <xdr:to>
      <xdr:col>17</xdr:col>
      <xdr:colOff>467471</xdr:colOff>
      <xdr:row>154</xdr:row>
      <xdr:rowOff>48258</xdr:rowOff>
    </xdr:to>
    <xdr:pic>
      <xdr:nvPicPr>
        <xdr:cNvPr id="6" name="Picture 5">
          <a:extLst>
            <a:ext uri="{FF2B5EF4-FFF2-40B4-BE49-F238E27FC236}">
              <a16:creationId xmlns:a16="http://schemas.microsoft.com/office/drawing/2014/main" id="{1FFB077A-FA92-50EC-B963-730667BA4175}"/>
            </a:ext>
          </a:extLst>
        </xdr:cNvPr>
        <xdr:cNvPicPr>
          <a:picLocks noChangeAspect="1"/>
        </xdr:cNvPicPr>
      </xdr:nvPicPr>
      <xdr:blipFill>
        <a:blip xmlns:r="http://schemas.openxmlformats.org/officeDocument/2006/relationships" r:embed="rId1"/>
        <a:stretch>
          <a:fillRect/>
        </a:stretch>
      </xdr:blipFill>
      <xdr:spPr>
        <a:xfrm>
          <a:off x="11466051" y="12953486"/>
          <a:ext cx="5938480" cy="3437119"/>
        </a:xfrm>
        <a:prstGeom prst="rect">
          <a:avLst/>
        </a:prstGeom>
      </xdr:spPr>
    </xdr:pic>
    <xdr:clientData/>
  </xdr:twoCellAnchor>
  <xdr:twoCellAnchor editAs="oneCell">
    <xdr:from>
      <xdr:col>11</xdr:col>
      <xdr:colOff>624683</xdr:colOff>
      <xdr:row>135</xdr:row>
      <xdr:rowOff>48352</xdr:rowOff>
    </xdr:from>
    <xdr:to>
      <xdr:col>19</xdr:col>
      <xdr:colOff>100222</xdr:colOff>
      <xdr:row>152</xdr:row>
      <xdr:rowOff>174028</xdr:rowOff>
    </xdr:to>
    <xdr:pic>
      <xdr:nvPicPr>
        <xdr:cNvPr id="2" name="Picture 1">
          <a:extLst>
            <a:ext uri="{FF2B5EF4-FFF2-40B4-BE49-F238E27FC236}">
              <a16:creationId xmlns:a16="http://schemas.microsoft.com/office/drawing/2014/main" id="{4134BA38-A402-C46A-93AE-261EFD3FE30B}"/>
            </a:ext>
          </a:extLst>
        </xdr:cNvPr>
        <xdr:cNvPicPr>
          <a:picLocks noChangeAspect="1"/>
        </xdr:cNvPicPr>
      </xdr:nvPicPr>
      <xdr:blipFill>
        <a:blip xmlns:r="http://schemas.openxmlformats.org/officeDocument/2006/relationships" r:embed="rId2"/>
        <a:stretch>
          <a:fillRect/>
        </a:stretch>
      </xdr:blipFill>
      <xdr:spPr>
        <a:xfrm>
          <a:off x="14231826" y="17866906"/>
          <a:ext cx="8388217" cy="32791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linemetals.com/en/product-guide/alloy/932" TargetMode="External"/><Relationship Id="rId2" Type="http://schemas.openxmlformats.org/officeDocument/2006/relationships/hyperlink" Target="https://www.youtube.com/watch?v=O2wF3Xh-JAM&amp;list=PLJU5oCuGIGUovQ2s4dB8k4R5ZZtM5oxUp&amp;index=5&amp;ab_channel=PrometheusEngineeringGroup" TargetMode="External"/><Relationship Id="rId1" Type="http://schemas.openxmlformats.org/officeDocument/2006/relationships/hyperlink" Target="https://www.engineersedge.com/coeffients_of_friction.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chain-guide.com/basics/2-1-2-engagement-with-sprockets.html" TargetMode="External"/><Relationship Id="rId1" Type="http://schemas.openxmlformats.org/officeDocument/2006/relationships/hyperlink" Target="https://engineerexcel.com/acme-thread-calcula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qejdeREv4yQ&amp;list=PL992BCE4AB35AD129&amp;index=5&amp;ab_channel=TEDCFPublishing" TargetMode="External"/><Relationship Id="rId3" Type="http://schemas.openxmlformats.org/officeDocument/2006/relationships/hyperlink" Target="https://www.youtube.com/watch?v=-boTG63iuU8&amp;ab_channel=InventorTutorials" TargetMode="External"/><Relationship Id="rId7" Type="http://schemas.openxmlformats.org/officeDocument/2006/relationships/hyperlink" Target="https://help.autodesk.com/view/INVNTOR/2022/ENU/?guid=GUID-D96F0063-3813-4EED-98FA-C34D3946265C" TargetMode="External"/><Relationship Id="rId12" Type="http://schemas.openxmlformats.org/officeDocument/2006/relationships/hyperlink" Target="https://engineering.purdue.edu/~ce474/Docs/DA6-BeamFormulas.pdf" TargetMode="External"/><Relationship Id="rId2" Type="http://schemas.openxmlformats.org/officeDocument/2006/relationships/hyperlink" Target="https://www.youtube.com/watch?v=IEURRpiXw0A&amp;ab_channel=KETIVTechnologies" TargetMode="External"/><Relationship Id="rId1" Type="http://schemas.openxmlformats.org/officeDocument/2006/relationships/hyperlink" Target="https://s3.amazonaws.com/www.motionusa.com/nook/AcmeScrewsandLeadScrews/PowerAc_Technical_Introduction.pdf" TargetMode="External"/><Relationship Id="rId6" Type="http://schemas.openxmlformats.org/officeDocument/2006/relationships/hyperlink" Target="https://help.autodesk.com/view/INVNTOR/2014/ENU/?guid=GUID-77BAE285-4803-4DCA-9AE0-919C7A862D4C" TargetMode="External"/><Relationship Id="rId11" Type="http://schemas.openxmlformats.org/officeDocument/2006/relationships/hyperlink" Target="https://www.engineeringtoolbox.com/beam-stress-deflection-d_1312.html" TargetMode="External"/><Relationship Id="rId5" Type="http://schemas.openxmlformats.org/officeDocument/2006/relationships/hyperlink" Target="https://www.youtube.com/watch?v=XMdkNPOzI-g&amp;ab_channel=ConstantinStancescu" TargetMode="External"/><Relationship Id="rId10" Type="http://schemas.openxmlformats.org/officeDocument/2006/relationships/hyperlink" Target="https://mechanicalc.com/reference/beam-analysis" TargetMode="External"/><Relationship Id="rId4" Type="http://schemas.openxmlformats.org/officeDocument/2006/relationships/hyperlink" Target="https://www.youtube.com/watch?v=QqAxnKq4804&amp;ab_channel=CADwave" TargetMode="External"/><Relationship Id="rId9" Type="http://schemas.openxmlformats.org/officeDocument/2006/relationships/hyperlink" Target="https://www.engineersedge.com/material_science/section_modulus_1289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2333B-A9BC-44A5-9DD5-8238FAA8AC6A}">
  <dimension ref="C2:Q55"/>
  <sheetViews>
    <sheetView topLeftCell="B1" workbookViewId="0">
      <selection activeCell="E9" sqref="E9"/>
    </sheetView>
  </sheetViews>
  <sheetFormatPr defaultRowHeight="14.25" x14ac:dyDescent="0.45"/>
  <cols>
    <col min="2" max="2" width="17" customWidth="1"/>
    <col min="3" max="3" width="32.265625" customWidth="1"/>
    <col min="12" max="12" width="8.19921875" customWidth="1"/>
    <col min="13" max="13" width="19.19921875" customWidth="1"/>
    <col min="14" max="14" width="18.73046875" customWidth="1"/>
    <col min="15" max="15" width="18.3984375" customWidth="1"/>
    <col min="16" max="16" width="14.6640625" customWidth="1"/>
  </cols>
  <sheetData>
    <row r="2" spans="3:17" x14ac:dyDescent="0.45">
      <c r="M2" t="s">
        <v>2</v>
      </c>
    </row>
    <row r="3" spans="3:17" x14ac:dyDescent="0.45">
      <c r="C3" t="s">
        <v>3</v>
      </c>
      <c r="N3" t="s">
        <v>204</v>
      </c>
      <c r="O3" t="s">
        <v>205</v>
      </c>
      <c r="P3" t="s">
        <v>22</v>
      </c>
      <c r="Q3" t="s">
        <v>16</v>
      </c>
    </row>
    <row r="4" spans="3:17" x14ac:dyDescent="0.45">
      <c r="C4" t="s">
        <v>15</v>
      </c>
      <c r="D4" t="s">
        <v>14</v>
      </c>
      <c r="E4" t="s">
        <v>5</v>
      </c>
      <c r="F4" t="s">
        <v>250</v>
      </c>
      <c r="M4" t="s">
        <v>9</v>
      </c>
      <c r="N4">
        <v>34800</v>
      </c>
      <c r="O4">
        <v>34800</v>
      </c>
      <c r="P4">
        <v>28000000</v>
      </c>
      <c r="Q4" t="s">
        <v>17</v>
      </c>
    </row>
    <row r="5" spans="3:17" x14ac:dyDescent="0.45">
      <c r="C5" t="s">
        <v>0</v>
      </c>
      <c r="D5">
        <v>700</v>
      </c>
      <c r="E5" t="s">
        <v>4</v>
      </c>
      <c r="F5">
        <f>AppliedForceNormal*lfb2N</f>
        <v>3113.7554000000005</v>
      </c>
      <c r="M5" t="s">
        <v>203</v>
      </c>
      <c r="O5">
        <v>18100</v>
      </c>
      <c r="P5">
        <v>14500000</v>
      </c>
      <c r="Q5" s="3" t="s">
        <v>208</v>
      </c>
    </row>
    <row r="6" spans="3:17" x14ac:dyDescent="0.45">
      <c r="C6" t="s">
        <v>6</v>
      </c>
      <c r="D6" t="s">
        <v>11</v>
      </c>
      <c r="E6" t="s">
        <v>7</v>
      </c>
    </row>
    <row r="7" spans="3:17" x14ac:dyDescent="0.45">
      <c r="C7" t="s">
        <v>10</v>
      </c>
      <c r="D7">
        <v>2</v>
      </c>
      <c r="E7" t="s">
        <v>11</v>
      </c>
    </row>
    <row r="8" spans="3:17" x14ac:dyDescent="0.45">
      <c r="C8" t="s">
        <v>24</v>
      </c>
    </row>
    <row r="9" spans="3:17" x14ac:dyDescent="0.45">
      <c r="C9" t="s">
        <v>12</v>
      </c>
    </row>
    <row r="10" spans="3:17" x14ac:dyDescent="0.45">
      <c r="C10" t="s">
        <v>67</v>
      </c>
      <c r="D10">
        <v>4</v>
      </c>
      <c r="E10" t="s">
        <v>71</v>
      </c>
    </row>
    <row r="11" spans="3:17" x14ac:dyDescent="0.45">
      <c r="C11" t="s">
        <v>68</v>
      </c>
    </row>
    <row r="12" spans="3:17" x14ac:dyDescent="0.45">
      <c r="C12" t="s">
        <v>69</v>
      </c>
      <c r="D12">
        <v>21.45</v>
      </c>
      <c r="E12" t="s">
        <v>71</v>
      </c>
      <c r="M12" t="s">
        <v>206</v>
      </c>
    </row>
    <row r="13" spans="3:17" x14ac:dyDescent="0.45">
      <c r="C13" t="s">
        <v>70</v>
      </c>
      <c r="D13">
        <v>8.5</v>
      </c>
      <c r="E13" t="s">
        <v>71</v>
      </c>
      <c r="N13" t="s">
        <v>14</v>
      </c>
      <c r="O13" t="s">
        <v>5</v>
      </c>
    </row>
    <row r="14" spans="3:17" x14ac:dyDescent="0.45">
      <c r="C14" t="s">
        <v>72</v>
      </c>
      <c r="D14">
        <v>10.5</v>
      </c>
      <c r="E14" t="s">
        <v>71</v>
      </c>
      <c r="M14" t="s">
        <v>106</v>
      </c>
      <c r="N14">
        <v>14.7</v>
      </c>
      <c r="O14" t="s">
        <v>107</v>
      </c>
    </row>
    <row r="15" spans="3:17" x14ac:dyDescent="0.45">
      <c r="M15" t="s">
        <v>207</v>
      </c>
      <c r="N15">
        <v>0.19</v>
      </c>
      <c r="O15" t="s">
        <v>11</v>
      </c>
      <c r="P15" s="3" t="s">
        <v>88</v>
      </c>
    </row>
    <row r="16" spans="3:17" x14ac:dyDescent="0.45">
      <c r="M16" t="s">
        <v>251</v>
      </c>
      <c r="N16">
        <v>4.4482220000000003</v>
      </c>
    </row>
    <row r="22" spans="3:5" x14ac:dyDescent="0.45">
      <c r="C22" t="s">
        <v>193</v>
      </c>
    </row>
    <row r="23" spans="3:5" x14ac:dyDescent="0.45">
      <c r="C23" t="s">
        <v>69</v>
      </c>
      <c r="D23">
        <v>21.45</v>
      </c>
      <c r="E23" t="s">
        <v>71</v>
      </c>
    </row>
    <row r="24" spans="3:5" x14ac:dyDescent="0.45">
      <c r="C24" t="s">
        <v>70</v>
      </c>
      <c r="D24">
        <f>17.34</f>
        <v>17.34</v>
      </c>
      <c r="E24" t="s">
        <v>71</v>
      </c>
    </row>
    <row r="25" spans="3:5" x14ac:dyDescent="0.45">
      <c r="C25" t="s">
        <v>72</v>
      </c>
      <c r="D25">
        <v>21.1</v>
      </c>
      <c r="E25" t="s">
        <v>71</v>
      </c>
    </row>
    <row r="26" spans="3:5" x14ac:dyDescent="0.45">
      <c r="C26" t="s">
        <v>3</v>
      </c>
      <c r="D26" t="s">
        <v>194</v>
      </c>
    </row>
    <row r="33" spans="3:4" x14ac:dyDescent="0.45">
      <c r="D33" s="3" t="s">
        <v>195</v>
      </c>
    </row>
    <row r="48" spans="3:4" x14ac:dyDescent="0.45">
      <c r="C48" t="s">
        <v>43</v>
      </c>
      <c r="D48" t="s">
        <v>44</v>
      </c>
    </row>
    <row r="50" spans="3:13" x14ac:dyDescent="0.45">
      <c r="C50" t="s">
        <v>45</v>
      </c>
      <c r="D50" t="s">
        <v>14</v>
      </c>
      <c r="E50" t="s">
        <v>5</v>
      </c>
      <c r="F50" t="s">
        <v>46</v>
      </c>
      <c r="G50" t="s">
        <v>47</v>
      </c>
      <c r="L50" t="s">
        <v>48</v>
      </c>
      <c r="M50" t="s">
        <v>49</v>
      </c>
    </row>
    <row r="51" spans="3:13" x14ac:dyDescent="0.45">
      <c r="C51" t="s">
        <v>50</v>
      </c>
      <c r="D51">
        <v>7</v>
      </c>
      <c r="E51" t="s">
        <v>51</v>
      </c>
      <c r="F51" t="s">
        <v>52</v>
      </c>
      <c r="G51" t="s">
        <v>53</v>
      </c>
      <c r="L51" t="s">
        <v>9</v>
      </c>
    </row>
    <row r="52" spans="3:13" x14ac:dyDescent="0.45">
      <c r="C52" t="s">
        <v>54</v>
      </c>
      <c r="D52">
        <v>1</v>
      </c>
      <c r="E52" t="s">
        <v>55</v>
      </c>
      <c r="F52" t="s">
        <v>52</v>
      </c>
      <c r="G52" t="s">
        <v>56</v>
      </c>
      <c r="L52" t="s">
        <v>57</v>
      </c>
    </row>
    <row r="53" spans="3:13" x14ac:dyDescent="0.45">
      <c r="C53" t="s">
        <v>58</v>
      </c>
      <c r="D53">
        <v>10</v>
      </c>
      <c r="E53" t="s">
        <v>59</v>
      </c>
      <c r="F53" t="s">
        <v>52</v>
      </c>
    </row>
    <row r="54" spans="3:13" x14ac:dyDescent="0.45">
      <c r="C54" t="s">
        <v>60</v>
      </c>
      <c r="D54">
        <v>3</v>
      </c>
      <c r="E54" t="s">
        <v>61</v>
      </c>
      <c r="F54" t="s">
        <v>52</v>
      </c>
      <c r="G54" t="s">
        <v>62</v>
      </c>
      <c r="L54" t="s">
        <v>63</v>
      </c>
    </row>
    <row r="55" spans="3:13" x14ac:dyDescent="0.45">
      <c r="C55" t="s">
        <v>64</v>
      </c>
      <c r="D55">
        <v>16</v>
      </c>
      <c r="E55" t="s">
        <v>61</v>
      </c>
      <c r="F55" t="s">
        <v>52</v>
      </c>
      <c r="G55" t="s">
        <v>65</v>
      </c>
      <c r="L55" t="s">
        <v>66</v>
      </c>
    </row>
  </sheetData>
  <hyperlinks>
    <hyperlink ref="P15" r:id="rId1" display="https://www.engineersedge.com/coeffients_of_friction.htm" xr:uid="{B3F54E53-A1BA-4ED7-95AA-73578F3B63E2}"/>
    <hyperlink ref="D33" r:id="rId2" display="https://www.youtube.com/watch?v=O2wF3Xh-JAM&amp;list=PLJU5oCuGIGUovQ2s4dB8k4R5ZZtM5oxUp&amp;index=5&amp;ab_channel=PrometheusEngineeringGroup" xr:uid="{48DC56CE-9A92-4786-9F33-386D68889142}"/>
    <hyperlink ref="Q5" r:id="rId3" location="mechanical%20and%20chemical" display="https://www.onlinemetals.com/en/product-guide/alloy/932 - mechanical%20and%20chemical" xr:uid="{3E174F69-ECE4-4E84-8C1B-1BF3FA3B7BB4}"/>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F30C8-AEF8-4367-97CA-93B5B12A08F4}">
  <dimension ref="B4:Z182"/>
  <sheetViews>
    <sheetView tabSelected="1" zoomScale="56" zoomScaleNormal="56" workbookViewId="0">
      <selection activeCell="E18" sqref="E18"/>
    </sheetView>
  </sheetViews>
  <sheetFormatPr defaultRowHeight="14.25" x14ac:dyDescent="0.45"/>
  <cols>
    <col min="2" max="2" width="23.53125" customWidth="1"/>
    <col min="3" max="3" width="40.33203125" customWidth="1"/>
    <col min="4" max="4" width="10.73046875" bestFit="1" customWidth="1"/>
    <col min="6" max="6" width="41.1328125" customWidth="1"/>
    <col min="8" max="8" width="35.796875" customWidth="1"/>
    <col min="10" max="10" width="5.6640625" customWidth="1"/>
    <col min="12" max="12" width="12.265625" customWidth="1"/>
    <col min="13" max="13" width="39.1328125" customWidth="1"/>
    <col min="15" max="15" width="5.86328125" customWidth="1"/>
    <col min="18" max="18" width="31.19921875" customWidth="1"/>
    <col min="20" max="20" width="8.73046875" customWidth="1"/>
    <col min="23" max="23" width="22.796875" customWidth="1"/>
  </cols>
  <sheetData>
    <row r="4" spans="2:16" ht="14.65" thickBot="1" x14ac:dyDescent="0.5">
      <c r="B4" t="s">
        <v>294</v>
      </c>
      <c r="C4" t="s">
        <v>268</v>
      </c>
    </row>
    <row r="5" spans="2:16" x14ac:dyDescent="0.45">
      <c r="C5" s="31" t="s">
        <v>270</v>
      </c>
      <c r="D5" s="32"/>
      <c r="E5" s="32"/>
      <c r="F5" s="33"/>
      <c r="H5" s="31" t="s">
        <v>267</v>
      </c>
      <c r="I5" s="32"/>
      <c r="J5" s="32"/>
      <c r="K5" s="33"/>
      <c r="M5" s="31" t="s">
        <v>301</v>
      </c>
      <c r="N5" s="32"/>
      <c r="O5" s="32"/>
      <c r="P5" s="33"/>
    </row>
    <row r="6" spans="2:16" x14ac:dyDescent="0.45">
      <c r="C6" s="10"/>
      <c r="D6" s="5" t="s">
        <v>14</v>
      </c>
      <c r="E6" s="5" t="s">
        <v>5</v>
      </c>
      <c r="F6" s="11" t="s">
        <v>129</v>
      </c>
      <c r="H6" s="10"/>
      <c r="I6" s="5" t="s">
        <v>14</v>
      </c>
      <c r="J6" s="5" t="s">
        <v>5</v>
      </c>
      <c r="K6" s="11" t="s">
        <v>129</v>
      </c>
      <c r="M6" s="10"/>
      <c r="N6" s="5" t="s">
        <v>14</v>
      </c>
      <c r="O6" s="5" t="s">
        <v>5</v>
      </c>
      <c r="P6" s="11" t="s">
        <v>129</v>
      </c>
    </row>
    <row r="7" spans="2:16" x14ac:dyDescent="0.45">
      <c r="C7" s="10"/>
      <c r="D7" s="5"/>
      <c r="E7" s="5"/>
      <c r="F7" s="11"/>
      <c r="H7" s="10" t="s">
        <v>238</v>
      </c>
      <c r="I7" s="5">
        <v>0.5</v>
      </c>
      <c r="J7" s="5" t="s">
        <v>71</v>
      </c>
      <c r="K7" s="11"/>
      <c r="M7" s="10" t="s">
        <v>191</v>
      </c>
      <c r="N7" s="5">
        <f>D8</f>
        <v>700</v>
      </c>
      <c r="O7" s="5" t="s">
        <v>103</v>
      </c>
      <c r="P7" s="11"/>
    </row>
    <row r="8" spans="2:16" x14ac:dyDescent="0.45">
      <c r="C8" s="10" t="s">
        <v>191</v>
      </c>
      <c r="D8" s="5">
        <v>700</v>
      </c>
      <c r="E8" s="5" t="s">
        <v>103</v>
      </c>
      <c r="F8" s="11"/>
      <c r="H8" s="10" t="s">
        <v>239</v>
      </c>
      <c r="I8" s="5">
        <v>2</v>
      </c>
      <c r="J8" s="5" t="s">
        <v>11</v>
      </c>
      <c r="K8" s="11"/>
      <c r="M8" s="10" t="s">
        <v>246</v>
      </c>
      <c r="N8" s="5">
        <f>I9</f>
        <v>1</v>
      </c>
      <c r="O8" s="5"/>
      <c r="P8" s="11"/>
    </row>
    <row r="9" spans="2:16" x14ac:dyDescent="0.45">
      <c r="C9" s="10" t="s">
        <v>192</v>
      </c>
      <c r="D9" s="5">
        <v>8</v>
      </c>
      <c r="E9" s="5" t="s">
        <v>71</v>
      </c>
      <c r="F9" s="11" t="s">
        <v>245</v>
      </c>
      <c r="H9" s="10" t="s">
        <v>243</v>
      </c>
      <c r="I9" s="5">
        <f>I7*I8</f>
        <v>1</v>
      </c>
      <c r="J9" s="5" t="s">
        <v>71</v>
      </c>
      <c r="K9" s="11"/>
      <c r="M9" s="10" t="s">
        <v>172</v>
      </c>
      <c r="N9" s="5">
        <f>SS303FatigueStrength</f>
        <v>34800</v>
      </c>
      <c r="O9" s="5" t="s">
        <v>13</v>
      </c>
      <c r="P9" s="11"/>
    </row>
    <row r="10" spans="2:16" x14ac:dyDescent="0.45">
      <c r="C10" s="10" t="s">
        <v>198</v>
      </c>
      <c r="D10" s="5">
        <f>D8/2</f>
        <v>350</v>
      </c>
      <c r="E10" s="5" t="s">
        <v>103</v>
      </c>
      <c r="F10" s="11"/>
      <c r="H10" s="10" t="s">
        <v>242</v>
      </c>
      <c r="I10" s="5">
        <f>SQRT((6*D14)/I9)</f>
        <v>0.69480833377965112</v>
      </c>
      <c r="J10" s="5" t="s">
        <v>71</v>
      </c>
      <c r="K10" s="11"/>
      <c r="M10" s="10" t="s">
        <v>10</v>
      </c>
      <c r="N10" s="5">
        <v>5</v>
      </c>
      <c r="O10" s="5"/>
      <c r="P10" s="11"/>
    </row>
    <row r="11" spans="2:16" ht="14.65" thickBot="1" x14ac:dyDescent="0.5">
      <c r="C11" s="10" t="s">
        <v>196</v>
      </c>
      <c r="D11" s="5">
        <f>D10*D9/2</f>
        <v>1400</v>
      </c>
      <c r="E11" s="5" t="s">
        <v>197</v>
      </c>
      <c r="F11" s="11"/>
      <c r="H11" s="23"/>
      <c r="I11" s="34"/>
      <c r="J11" s="34"/>
      <c r="K11" s="30"/>
      <c r="M11" s="10" t="s">
        <v>247</v>
      </c>
      <c r="N11" s="5">
        <f>N7*N10*FS/(N9*N8)</f>
        <v>0.20114942528735633</v>
      </c>
      <c r="O11" s="5"/>
      <c r="P11" s="11"/>
    </row>
    <row r="12" spans="2:16" x14ac:dyDescent="0.45">
      <c r="C12" s="10" t="s">
        <v>10</v>
      </c>
      <c r="D12" s="5">
        <v>2</v>
      </c>
      <c r="E12" s="5"/>
      <c r="F12" s="11"/>
      <c r="M12" s="10" t="s">
        <v>248</v>
      </c>
      <c r="N12" s="5">
        <f>2*SQRT((N7*FS/I8)/N9)</f>
        <v>0.2836543144655877</v>
      </c>
      <c r="O12" s="5"/>
      <c r="P12" s="11"/>
    </row>
    <row r="13" spans="2:16" ht="14.65" thickBot="1" x14ac:dyDescent="0.5">
      <c r="C13" s="10" t="s">
        <v>241</v>
      </c>
      <c r="D13" s="5">
        <f>SS303FatigueStrength</f>
        <v>34800</v>
      </c>
      <c r="E13" s="5"/>
      <c r="F13" s="11"/>
      <c r="M13" s="23" t="s">
        <v>177</v>
      </c>
      <c r="N13" s="34">
        <f>3/8</f>
        <v>0.375</v>
      </c>
      <c r="O13" s="34"/>
      <c r="P13" s="30"/>
    </row>
    <row r="14" spans="2:16" ht="14.65" thickBot="1" x14ac:dyDescent="0.5">
      <c r="C14" s="23" t="s">
        <v>240</v>
      </c>
      <c r="D14" s="34">
        <f>D11*D12/D13</f>
        <v>8.0459770114942528E-2</v>
      </c>
      <c r="E14" s="34"/>
      <c r="F14" s="30"/>
    </row>
    <row r="16" spans="2:16" ht="14.65" thickBot="1" x14ac:dyDescent="0.5">
      <c r="C16" t="s">
        <v>298</v>
      </c>
      <c r="H16" t="s">
        <v>300</v>
      </c>
    </row>
    <row r="17" spans="2:16" x14ac:dyDescent="0.45">
      <c r="C17" s="31" t="s">
        <v>299</v>
      </c>
      <c r="D17" s="32"/>
      <c r="E17" s="32"/>
      <c r="F17" s="33"/>
      <c r="H17" s="31" t="s">
        <v>299</v>
      </c>
      <c r="I17" s="32"/>
      <c r="J17" s="32"/>
      <c r="K17" s="33"/>
    </row>
    <row r="18" spans="2:16" x14ac:dyDescent="0.45">
      <c r="C18" s="10"/>
      <c r="D18" s="5" t="s">
        <v>14</v>
      </c>
      <c r="E18" s="5" t="s">
        <v>5</v>
      </c>
      <c r="F18" s="11" t="s">
        <v>129</v>
      </c>
      <c r="H18" s="10"/>
      <c r="I18" s="5" t="s">
        <v>14</v>
      </c>
      <c r="J18" s="5" t="s">
        <v>5</v>
      </c>
      <c r="K18" s="11" t="s">
        <v>129</v>
      </c>
    </row>
    <row r="19" spans="2:16" x14ac:dyDescent="0.45">
      <c r="C19" s="10" t="s">
        <v>297</v>
      </c>
      <c r="D19" s="5">
        <f>0.125</f>
        <v>0.125</v>
      </c>
      <c r="E19" s="5" t="s">
        <v>71</v>
      </c>
      <c r="F19" s="11"/>
      <c r="H19" s="10" t="s">
        <v>297</v>
      </c>
      <c r="I19" s="5">
        <f>0.125</f>
        <v>0.125</v>
      </c>
      <c r="J19" s="5" t="s">
        <v>71</v>
      </c>
      <c r="K19" s="11"/>
    </row>
    <row r="20" spans="2:16" x14ac:dyDescent="0.45">
      <c r="C20" s="10" t="s">
        <v>172</v>
      </c>
      <c r="D20" s="5">
        <f>SS303FatigueStrength</f>
        <v>34800</v>
      </c>
      <c r="E20" s="5" t="s">
        <v>13</v>
      </c>
      <c r="F20" s="11"/>
      <c r="H20" s="10" t="s">
        <v>172</v>
      </c>
      <c r="I20" s="5">
        <f>SS303FatigueStrength</f>
        <v>34800</v>
      </c>
      <c r="J20" s="5" t="s">
        <v>13</v>
      </c>
      <c r="K20" s="11"/>
    </row>
    <row r="21" spans="2:16" x14ac:dyDescent="0.45">
      <c r="C21" s="10" t="s">
        <v>10</v>
      </c>
      <c r="D21" s="5">
        <v>3</v>
      </c>
      <c r="E21" s="5"/>
      <c r="F21" s="11"/>
      <c r="H21" s="10" t="s">
        <v>10</v>
      </c>
      <c r="I21" s="5">
        <v>3</v>
      </c>
      <c r="J21" s="5"/>
      <c r="K21" s="11"/>
    </row>
    <row r="22" spans="2:16" x14ac:dyDescent="0.45">
      <c r="C22" s="10" t="s">
        <v>174</v>
      </c>
      <c r="D22" s="5">
        <f>AppliedForceNormal/2*D21/(D20*D19)</f>
        <v>0.2413793103448276</v>
      </c>
      <c r="E22" s="5" t="s">
        <v>71</v>
      </c>
      <c r="F22" s="11"/>
      <c r="H22" s="10" t="s">
        <v>302</v>
      </c>
      <c r="I22" s="5">
        <f>I21*AppliedForceNormal*0.5/(2*I19*I20)</f>
        <v>0.1206896551724138</v>
      </c>
      <c r="J22" s="5" t="s">
        <v>71</v>
      </c>
      <c r="K22" s="11"/>
    </row>
    <row r="23" spans="2:16" ht="14.65" thickBot="1" x14ac:dyDescent="0.5">
      <c r="C23" s="23" t="s">
        <v>177</v>
      </c>
      <c r="D23" s="34">
        <v>0.375</v>
      </c>
      <c r="E23" s="34" t="s">
        <v>71</v>
      </c>
      <c r="F23" s="30"/>
      <c r="H23" s="23" t="s">
        <v>303</v>
      </c>
      <c r="I23" s="34">
        <v>0.25</v>
      </c>
      <c r="J23" s="34" t="s">
        <v>71</v>
      </c>
      <c r="K23" s="30"/>
    </row>
    <row r="24" spans="2:16" x14ac:dyDescent="0.45">
      <c r="H24" s="44" t="s">
        <v>304</v>
      </c>
      <c r="I24">
        <f>D23+(2*I23)</f>
        <v>0.875</v>
      </c>
    </row>
    <row r="28" spans="2:16" x14ac:dyDescent="0.45">
      <c r="C28" s="3"/>
    </row>
    <row r="29" spans="2:16" x14ac:dyDescent="0.45">
      <c r="C29" s="3"/>
    </row>
    <row r="30" spans="2:16" ht="14.65" thickBot="1" x14ac:dyDescent="0.5">
      <c r="B30" t="s">
        <v>293</v>
      </c>
      <c r="C30" t="s">
        <v>200</v>
      </c>
    </row>
    <row r="31" spans="2:16" x14ac:dyDescent="0.45">
      <c r="C31" s="31" t="s">
        <v>269</v>
      </c>
      <c r="D31" s="32"/>
      <c r="E31" s="32"/>
      <c r="F31" s="33"/>
      <c r="H31" s="31" t="s">
        <v>267</v>
      </c>
      <c r="I31" s="32"/>
      <c r="J31" s="32"/>
      <c r="K31" s="33"/>
      <c r="M31" s="31" t="s">
        <v>249</v>
      </c>
      <c r="N31" s="32"/>
      <c r="O31" s="32"/>
      <c r="P31" s="33"/>
    </row>
    <row r="32" spans="2:16" x14ac:dyDescent="0.45">
      <c r="C32" s="10"/>
      <c r="D32" s="5" t="s">
        <v>14</v>
      </c>
      <c r="E32" s="5" t="s">
        <v>5</v>
      </c>
      <c r="F32" s="11" t="s">
        <v>129</v>
      </c>
      <c r="H32" s="10"/>
      <c r="I32" s="5" t="s">
        <v>14</v>
      </c>
      <c r="J32" s="5" t="s">
        <v>5</v>
      </c>
      <c r="K32" s="11" t="s">
        <v>129</v>
      </c>
      <c r="M32" s="10"/>
      <c r="N32" s="5" t="s">
        <v>14</v>
      </c>
      <c r="O32" s="5" t="s">
        <v>5</v>
      </c>
      <c r="P32" s="11" t="s">
        <v>129</v>
      </c>
    </row>
    <row r="33" spans="3:16" x14ac:dyDescent="0.45">
      <c r="C33" s="10" t="s">
        <v>271</v>
      </c>
      <c r="D33" s="5">
        <v>200</v>
      </c>
      <c r="E33" s="5" t="s">
        <v>103</v>
      </c>
      <c r="F33" s="11" t="s">
        <v>272</v>
      </c>
      <c r="H33" s="10" t="s">
        <v>238</v>
      </c>
      <c r="I33" s="5">
        <v>0.5</v>
      </c>
      <c r="J33" s="5" t="s">
        <v>71</v>
      </c>
      <c r="K33" s="11"/>
      <c r="M33" s="10" t="s">
        <v>191</v>
      </c>
      <c r="N33" s="5">
        <f>D34</f>
        <v>900</v>
      </c>
      <c r="O33" s="5" t="s">
        <v>103</v>
      </c>
      <c r="P33" s="11"/>
    </row>
    <row r="34" spans="3:16" x14ac:dyDescent="0.45">
      <c r="C34" s="10" t="s">
        <v>191</v>
      </c>
      <c r="D34" s="5">
        <f>AppliedForceNormal+D33</f>
        <v>900</v>
      </c>
      <c r="E34" s="5" t="s">
        <v>103</v>
      </c>
      <c r="F34" s="11"/>
      <c r="H34" s="10" t="s">
        <v>239</v>
      </c>
      <c r="I34" s="5">
        <v>3</v>
      </c>
      <c r="J34" s="5" t="s">
        <v>11</v>
      </c>
      <c r="K34" s="11"/>
      <c r="M34" s="10" t="s">
        <v>246</v>
      </c>
      <c r="N34" s="5">
        <f>I35</f>
        <v>1.5</v>
      </c>
      <c r="O34" s="5"/>
      <c r="P34" s="11"/>
    </row>
    <row r="35" spans="3:16" x14ac:dyDescent="0.45">
      <c r="C35" s="10" t="s">
        <v>192</v>
      </c>
      <c r="D35" s="5">
        <f>MachineWidth</f>
        <v>8.5</v>
      </c>
      <c r="E35" s="5" t="s">
        <v>71</v>
      </c>
      <c r="F35" s="11" t="s">
        <v>245</v>
      </c>
      <c r="H35" s="10" t="s">
        <v>243</v>
      </c>
      <c r="I35" s="5">
        <f>I33*I34</f>
        <v>1.5</v>
      </c>
      <c r="J35" s="5" t="s">
        <v>71</v>
      </c>
      <c r="K35" s="11"/>
      <c r="M35" s="10" t="s">
        <v>172</v>
      </c>
      <c r="N35" s="5">
        <f>SS303FatigueStrength</f>
        <v>34800</v>
      </c>
      <c r="O35" s="5" t="s">
        <v>13</v>
      </c>
      <c r="P35" s="11"/>
    </row>
    <row r="36" spans="3:16" x14ac:dyDescent="0.45">
      <c r="C36" s="10" t="s">
        <v>198</v>
      </c>
      <c r="D36" s="5">
        <f>D34/2</f>
        <v>450</v>
      </c>
      <c r="E36" s="5" t="s">
        <v>103</v>
      </c>
      <c r="F36" s="11"/>
      <c r="H36" s="10" t="s">
        <v>242</v>
      </c>
      <c r="I36" s="5">
        <f>SQRT((6*D40)/I35)</f>
        <v>0.66306498355273824</v>
      </c>
      <c r="J36" s="5" t="s">
        <v>71</v>
      </c>
      <c r="K36" s="11"/>
      <c r="M36" s="10" t="s">
        <v>10</v>
      </c>
      <c r="N36" s="5">
        <v>5</v>
      </c>
      <c r="O36" s="5"/>
      <c r="P36" s="11"/>
    </row>
    <row r="37" spans="3:16" ht="14.65" thickBot="1" x14ac:dyDescent="0.5">
      <c r="C37" s="10" t="s">
        <v>196</v>
      </c>
      <c r="D37" s="5">
        <f>D36*D35/2</f>
        <v>1912.5</v>
      </c>
      <c r="E37" s="5" t="s">
        <v>197</v>
      </c>
      <c r="F37" s="11"/>
      <c r="H37" s="23"/>
      <c r="I37" s="34"/>
      <c r="J37" s="34"/>
      <c r="K37" s="30"/>
      <c r="M37" s="10" t="s">
        <v>247</v>
      </c>
      <c r="N37" s="5">
        <f>N33*N36*FS/(N35*N34)</f>
        <v>0.17241379310344829</v>
      </c>
      <c r="O37" s="5"/>
      <c r="P37" s="11"/>
    </row>
    <row r="38" spans="3:16" x14ac:dyDescent="0.45">
      <c r="C38" s="10" t="s">
        <v>10</v>
      </c>
      <c r="D38" s="5">
        <v>2</v>
      </c>
      <c r="E38" s="5"/>
      <c r="F38" s="11"/>
      <c r="M38" s="10" t="s">
        <v>248</v>
      </c>
      <c r="N38" s="5">
        <f>2*SQRT((N33*FS/I34)/N35)</f>
        <v>0.26261286571944509</v>
      </c>
      <c r="O38" s="5"/>
      <c r="P38" s="11"/>
    </row>
    <row r="39" spans="3:16" ht="14.65" thickBot="1" x14ac:dyDescent="0.5">
      <c r="C39" s="10" t="s">
        <v>241</v>
      </c>
      <c r="D39" s="5">
        <f>SS303FatigueStrength</f>
        <v>34800</v>
      </c>
      <c r="E39" s="5"/>
      <c r="F39" s="11"/>
      <c r="M39" s="23" t="s">
        <v>177</v>
      </c>
      <c r="N39" s="34">
        <f>3/8</f>
        <v>0.375</v>
      </c>
      <c r="O39" s="34"/>
      <c r="P39" s="30"/>
    </row>
    <row r="40" spans="3:16" ht="14.65" thickBot="1" x14ac:dyDescent="0.5">
      <c r="C40" s="23" t="s">
        <v>240</v>
      </c>
      <c r="D40" s="34">
        <f>D37*D38/D39</f>
        <v>0.10991379310344827</v>
      </c>
      <c r="E40" s="34"/>
      <c r="F40" s="30"/>
    </row>
    <row r="54" spans="3:16" ht="14.65" thickBot="1" x14ac:dyDescent="0.5">
      <c r="C54" t="s">
        <v>168</v>
      </c>
    </row>
    <row r="55" spans="3:16" x14ac:dyDescent="0.45">
      <c r="C55" s="31" t="s">
        <v>8</v>
      </c>
      <c r="D55" s="32"/>
      <c r="E55" s="32"/>
      <c r="F55" s="33"/>
      <c r="H55" s="5" t="s">
        <v>184</v>
      </c>
      <c r="I55" s="5"/>
      <c r="J55" s="5"/>
      <c r="K55" s="5"/>
      <c r="M55" s="31" t="s">
        <v>167</v>
      </c>
      <c r="N55" s="32"/>
      <c r="O55" s="32"/>
      <c r="P55" s="33"/>
    </row>
    <row r="56" spans="3:16" x14ac:dyDescent="0.45">
      <c r="C56" s="10"/>
      <c r="D56" s="5" t="s">
        <v>14</v>
      </c>
      <c r="E56" s="5" t="s">
        <v>5</v>
      </c>
      <c r="F56" s="11" t="s">
        <v>129</v>
      </c>
      <c r="H56" s="5"/>
      <c r="I56" s="5" t="s">
        <v>14</v>
      </c>
      <c r="J56" s="5" t="s">
        <v>5</v>
      </c>
      <c r="K56" s="5" t="s">
        <v>129</v>
      </c>
      <c r="M56" s="10"/>
      <c r="N56" s="5" t="s">
        <v>14</v>
      </c>
      <c r="O56" s="5" t="s">
        <v>5</v>
      </c>
      <c r="P56" s="11" t="s">
        <v>129</v>
      </c>
    </row>
    <row r="57" spans="3:16" x14ac:dyDescent="0.45">
      <c r="C57" s="10" t="s">
        <v>18</v>
      </c>
      <c r="D57" s="6">
        <v>2</v>
      </c>
      <c r="E57" s="5" t="s">
        <v>11</v>
      </c>
      <c r="F57" s="11"/>
      <c r="H57" s="5" t="s">
        <v>273</v>
      </c>
      <c r="I57" s="5">
        <f>D65</f>
        <v>0.875</v>
      </c>
      <c r="J57" s="5" t="s">
        <v>71</v>
      </c>
      <c r="K57" s="5"/>
      <c r="M57" s="10" t="s">
        <v>288</v>
      </c>
      <c r="N57" s="5">
        <v>0.75</v>
      </c>
      <c r="O57" s="5" t="s">
        <v>71</v>
      </c>
      <c r="P57" s="11"/>
    </row>
    <row r="58" spans="3:16" x14ac:dyDescent="0.45">
      <c r="C58" s="10" t="s">
        <v>19</v>
      </c>
      <c r="D58" s="7">
        <f>(D60*D62*(D57*D61)^2)/((PI()^2)*D59)</f>
        <v>2.3309064948399362E-3</v>
      </c>
      <c r="E58" s="5"/>
      <c r="F58" s="11"/>
      <c r="H58" s="5" t="s">
        <v>172</v>
      </c>
      <c r="I58" s="5">
        <f>SS303FatigueStrength</f>
        <v>34800</v>
      </c>
      <c r="J58" s="5" t="s">
        <v>13</v>
      </c>
      <c r="K58" s="5"/>
      <c r="M58" s="10" t="s">
        <v>289</v>
      </c>
      <c r="N58" s="5">
        <f>(N57^2)*PI()</f>
        <v>1.7671458676442586</v>
      </c>
      <c r="O58" s="5" t="s">
        <v>162</v>
      </c>
      <c r="P58" s="11"/>
    </row>
    <row r="59" spans="3:16" x14ac:dyDescent="0.45">
      <c r="C59" s="10" t="s">
        <v>20</v>
      </c>
      <c r="D59" s="8">
        <f>SS303YoungsModulus</f>
        <v>28000000</v>
      </c>
      <c r="E59" s="5"/>
      <c r="F59" s="11"/>
      <c r="H59" s="5" t="s">
        <v>10</v>
      </c>
      <c r="I59" s="5">
        <v>5</v>
      </c>
      <c r="J59" s="5"/>
      <c r="K59" s="5"/>
      <c r="M59" s="10" t="s">
        <v>95</v>
      </c>
      <c r="N59" s="5">
        <f>AppliedForceNormal</f>
        <v>700</v>
      </c>
      <c r="O59" s="5" t="s">
        <v>103</v>
      </c>
      <c r="P59" s="11"/>
    </row>
    <row r="60" spans="3:16" ht="14.65" thickBot="1" x14ac:dyDescent="0.5">
      <c r="C60" s="10" t="s">
        <v>21</v>
      </c>
      <c r="D60" s="8">
        <f>AppliedForceNormal</f>
        <v>700</v>
      </c>
      <c r="E60" s="5"/>
      <c r="F60" s="11"/>
      <c r="H60" s="5" t="s">
        <v>174</v>
      </c>
      <c r="I60" s="5">
        <f>AppliedForceNormal*I59/(I58*I57)</f>
        <v>0.11494252873563218</v>
      </c>
      <c r="J60" s="5"/>
      <c r="K60" s="5"/>
      <c r="M60" s="23" t="s">
        <v>290</v>
      </c>
      <c r="N60" s="34">
        <f>N59/N58</f>
        <v>396.11896947316171</v>
      </c>
      <c r="O60" s="34" t="s">
        <v>13</v>
      </c>
      <c r="P60" s="30"/>
    </row>
    <row r="61" spans="3:16" x14ac:dyDescent="0.45">
      <c r="C61" s="10" t="s">
        <v>23</v>
      </c>
      <c r="D61" s="7">
        <f>MachineHeight/2</f>
        <v>10.725</v>
      </c>
      <c r="E61" s="5"/>
      <c r="F61" s="11"/>
      <c r="H61" s="5" t="s">
        <v>177</v>
      </c>
      <c r="I61" s="5">
        <f>3/8</f>
        <v>0.375</v>
      </c>
      <c r="J61" s="5"/>
      <c r="K61" s="5"/>
    </row>
    <row r="62" spans="3:16" x14ac:dyDescent="0.45">
      <c r="C62" s="10" t="s">
        <v>10</v>
      </c>
      <c r="D62" s="8">
        <f>FS</f>
        <v>2</v>
      </c>
      <c r="E62" s="5"/>
      <c r="F62" s="11"/>
      <c r="H62" s="5" t="s">
        <v>175</v>
      </c>
      <c r="I62" s="5">
        <f>(((I57/2)^2)*PI())-(I57*I61)</f>
        <v>0.2731954688511713</v>
      </c>
      <c r="J62" s="5"/>
      <c r="K62" s="5"/>
    </row>
    <row r="63" spans="3:16" x14ac:dyDescent="0.45">
      <c r="C63" s="10" t="s">
        <v>73</v>
      </c>
      <c r="D63" s="7">
        <f>((4*D58)/PI())^0.25</f>
        <v>0.23340424081746836</v>
      </c>
      <c r="E63" s="5"/>
      <c r="F63" s="11"/>
      <c r="H63" s="5" t="s">
        <v>176</v>
      </c>
      <c r="I63" s="5">
        <f>AppliedForceNormal/I62</f>
        <v>2562.2679722456855</v>
      </c>
      <c r="J63" s="5"/>
      <c r="K63" s="5" t="s">
        <v>76</v>
      </c>
    </row>
    <row r="64" spans="3:16" x14ac:dyDescent="0.45">
      <c r="C64" s="10" t="s">
        <v>74</v>
      </c>
      <c r="D64" s="27">
        <f>D63*2</f>
        <v>0.46680848163493671</v>
      </c>
      <c r="E64" s="5"/>
      <c r="F64" s="11"/>
    </row>
    <row r="65" spans="3:26" x14ac:dyDescent="0.45">
      <c r="C65" s="10" t="s">
        <v>75</v>
      </c>
      <c r="D65" s="27">
        <v>0.875</v>
      </c>
      <c r="E65" s="5" t="s">
        <v>71</v>
      </c>
      <c r="F65" s="11"/>
    </row>
    <row r="66" spans="3:26" x14ac:dyDescent="0.45">
      <c r="C66" s="10"/>
      <c r="D66" s="5"/>
      <c r="E66" s="5"/>
      <c r="F66" s="11"/>
      <c r="H66" s="5" t="s">
        <v>178</v>
      </c>
      <c r="I66" s="5" t="s">
        <v>14</v>
      </c>
      <c r="J66" s="5" t="s">
        <v>5</v>
      </c>
      <c r="K66" s="11" t="s">
        <v>129</v>
      </c>
    </row>
    <row r="67" spans="3:26" x14ac:dyDescent="0.45">
      <c r="C67" s="10" t="s">
        <v>160</v>
      </c>
      <c r="D67" s="5">
        <f>((PI()^2)*D59)/((D61/(D65/2))^2)</f>
        <v>459853.28127613547</v>
      </c>
      <c r="E67" s="5" t="s">
        <v>13</v>
      </c>
      <c r="F67" s="11" t="s">
        <v>161</v>
      </c>
      <c r="H67" s="5" t="s">
        <v>179</v>
      </c>
      <c r="I67" s="5">
        <f>WashChamberDiameter</f>
        <v>4</v>
      </c>
      <c r="J67" s="5"/>
      <c r="K67" s="5"/>
    </row>
    <row r="68" spans="3:26" x14ac:dyDescent="0.45">
      <c r="C68" s="35" t="s">
        <v>163</v>
      </c>
      <c r="D68" s="36">
        <f>D67*(((D65/2)^2)*PI())</f>
        <v>276519.19069971534</v>
      </c>
      <c r="E68" s="36" t="s">
        <v>103</v>
      </c>
      <c r="F68" s="37"/>
      <c r="H68" s="5" t="s">
        <v>180</v>
      </c>
      <c r="I68" s="5">
        <v>0.25</v>
      </c>
      <c r="J68" s="5"/>
      <c r="K68" s="5"/>
    </row>
    <row r="69" spans="3:26" ht="14.65" thickBot="1" x14ac:dyDescent="0.5">
      <c r="C69" s="23" t="s">
        <v>87</v>
      </c>
      <c r="D69" s="34"/>
      <c r="E69" s="34"/>
      <c r="F69" s="30"/>
      <c r="H69" s="5" t="s">
        <v>182</v>
      </c>
      <c r="I69" s="5">
        <f>(I67-(2*I68))/I61</f>
        <v>9.3333333333333339</v>
      </c>
      <c r="J69" s="5"/>
      <c r="K69" s="5"/>
    </row>
    <row r="70" spans="3:26" x14ac:dyDescent="0.45">
      <c r="H70" s="5" t="s">
        <v>181</v>
      </c>
      <c r="I70" s="5">
        <v>10</v>
      </c>
      <c r="J70" s="5"/>
      <c r="K70" s="5"/>
    </row>
    <row r="74" spans="3:26" ht="14.65" thickBot="1" x14ac:dyDescent="0.5">
      <c r="C74" t="s">
        <v>169</v>
      </c>
    </row>
    <row r="75" spans="3:26" x14ac:dyDescent="0.45">
      <c r="C75" s="31" t="s">
        <v>167</v>
      </c>
      <c r="D75" s="32"/>
      <c r="E75" s="32"/>
      <c r="F75" s="33"/>
      <c r="H75" s="31" t="s">
        <v>164</v>
      </c>
      <c r="I75" s="32"/>
      <c r="J75" s="32"/>
      <c r="K75" s="33"/>
      <c r="M75" s="5" t="s">
        <v>183</v>
      </c>
      <c r="N75" s="5"/>
      <c r="O75" s="5"/>
      <c r="P75" s="5"/>
      <c r="R75" s="5" t="s">
        <v>188</v>
      </c>
      <c r="S75" s="5"/>
      <c r="T75" s="5"/>
      <c r="U75" s="5"/>
      <c r="W75" s="31" t="s">
        <v>167</v>
      </c>
      <c r="X75" s="32"/>
      <c r="Y75" s="32"/>
      <c r="Z75" s="33"/>
    </row>
    <row r="76" spans="3:26" x14ac:dyDescent="0.45">
      <c r="C76" s="10"/>
      <c r="D76" s="5" t="s">
        <v>14</v>
      </c>
      <c r="E76" s="5" t="s">
        <v>5</v>
      </c>
      <c r="F76" s="11" t="s">
        <v>129</v>
      </c>
      <c r="H76" s="10"/>
      <c r="I76" s="5" t="s">
        <v>14</v>
      </c>
      <c r="J76" s="5" t="s">
        <v>5</v>
      </c>
      <c r="K76" s="11" t="s">
        <v>129</v>
      </c>
      <c r="M76" s="5"/>
      <c r="N76" s="5" t="s">
        <v>14</v>
      </c>
      <c r="O76" s="5" t="s">
        <v>5</v>
      </c>
      <c r="P76" s="5" t="s">
        <v>129</v>
      </c>
      <c r="R76" s="5"/>
      <c r="S76" s="5" t="s">
        <v>14</v>
      </c>
      <c r="T76" s="5" t="s">
        <v>5</v>
      </c>
      <c r="U76" s="5" t="s">
        <v>129</v>
      </c>
      <c r="W76" s="10"/>
      <c r="X76" s="5" t="s">
        <v>14</v>
      </c>
      <c r="Y76" s="5" t="s">
        <v>5</v>
      </c>
      <c r="Z76" s="11" t="s">
        <v>129</v>
      </c>
    </row>
    <row r="77" spans="3:26" x14ac:dyDescent="0.45">
      <c r="C77" s="10" t="s">
        <v>80</v>
      </c>
      <c r="D77" s="5">
        <f>(PI()*WashChamberDiameter^2/4)</f>
        <v>12.566370614359172</v>
      </c>
      <c r="E77" s="5" t="s">
        <v>162</v>
      </c>
      <c r="F77" s="11"/>
      <c r="H77" s="10" t="s">
        <v>82</v>
      </c>
      <c r="I77" s="5"/>
      <c r="J77" s="5"/>
      <c r="K77" s="11"/>
      <c r="M77" s="5" t="s">
        <v>170</v>
      </c>
      <c r="N77" s="5">
        <f>I87</f>
        <v>0.5</v>
      </c>
      <c r="O77" s="5" t="s">
        <v>71</v>
      </c>
      <c r="P77" s="5"/>
      <c r="R77" s="5" t="s">
        <v>189</v>
      </c>
      <c r="S77" s="5">
        <f>I78</f>
        <v>4</v>
      </c>
      <c r="T77" s="5"/>
      <c r="U77" s="5"/>
      <c r="W77" s="10" t="s">
        <v>288</v>
      </c>
      <c r="X77" s="5">
        <f>3/8</f>
        <v>0.375</v>
      </c>
      <c r="Y77" s="5" t="s">
        <v>71</v>
      </c>
      <c r="Z77" s="11"/>
    </row>
    <row r="78" spans="3:26" x14ac:dyDescent="0.45">
      <c r="C78" s="10" t="s">
        <v>78</v>
      </c>
      <c r="D78" s="5">
        <f>AppliedForceNormal/D77</f>
        <v>55.70423008216337</v>
      </c>
      <c r="E78" s="5" t="s">
        <v>13</v>
      </c>
      <c r="F78" s="11"/>
      <c r="H78" s="10" t="s">
        <v>81</v>
      </c>
      <c r="I78" s="6">
        <v>4</v>
      </c>
      <c r="J78" s="5"/>
      <c r="K78" s="11"/>
      <c r="M78" s="5" t="s">
        <v>172</v>
      </c>
      <c r="N78" s="5">
        <f>SS303FatigueStrength</f>
        <v>34800</v>
      </c>
      <c r="O78" s="5" t="s">
        <v>13</v>
      </c>
      <c r="P78" s="5"/>
      <c r="R78" t="s">
        <v>190</v>
      </c>
      <c r="S78" s="5"/>
      <c r="T78" s="5"/>
      <c r="U78" s="5"/>
      <c r="W78" s="10" t="s">
        <v>289</v>
      </c>
      <c r="X78" s="5">
        <f>(X77^2)*PI()</f>
        <v>0.44178646691106466</v>
      </c>
      <c r="Y78" s="5" t="s">
        <v>162</v>
      </c>
      <c r="Z78" s="11"/>
    </row>
    <row r="79" spans="3:26" x14ac:dyDescent="0.45">
      <c r="C79" s="10" t="s">
        <v>79</v>
      </c>
      <c r="D79" s="5">
        <f>D77-(((D65/2)^2)*PI())</f>
        <v>11.965050145508002</v>
      </c>
      <c r="E79" s="5" t="s">
        <v>162</v>
      </c>
      <c r="F79" s="11"/>
      <c r="H79" s="10" t="s">
        <v>18</v>
      </c>
      <c r="I79" s="6">
        <v>2</v>
      </c>
      <c r="J79" s="5"/>
      <c r="K79" s="11"/>
      <c r="M79" s="5" t="s">
        <v>10</v>
      </c>
      <c r="N79" s="5">
        <v>5</v>
      </c>
      <c r="O79" s="5"/>
      <c r="P79" s="5"/>
      <c r="R79" s="5" t="s">
        <v>187</v>
      </c>
      <c r="S79" s="5">
        <f>I87</f>
        <v>0.5</v>
      </c>
      <c r="T79" s="5"/>
      <c r="U79" s="5"/>
      <c r="W79" s="10" t="s">
        <v>95</v>
      </c>
      <c r="X79" s="5">
        <f>AppliedForceNormal/4</f>
        <v>175</v>
      </c>
      <c r="Y79" s="5" t="s">
        <v>103</v>
      </c>
      <c r="Z79" s="11"/>
    </row>
    <row r="80" spans="3:26" ht="14.65" thickBot="1" x14ac:dyDescent="0.5">
      <c r="C80" s="23" t="s">
        <v>77</v>
      </c>
      <c r="D80" s="34">
        <f>D78*D79</f>
        <v>666.50390625</v>
      </c>
      <c r="E80" s="34" t="s">
        <v>103</v>
      </c>
      <c r="F80" s="30"/>
      <c r="H80" s="10" t="s">
        <v>19</v>
      </c>
      <c r="I80" s="7">
        <f>((I82/I78)*I84*(I79*I83)^2)/((PI()^2)*I81)</f>
        <v>5.5484224425511174E-4</v>
      </c>
      <c r="J80" s="5"/>
      <c r="K80" s="11"/>
      <c r="M80" s="5" t="s">
        <v>174</v>
      </c>
      <c r="N80" s="5">
        <f>(I82*N79/I78)/(N78*N77)</f>
        <v>4.7881027747844827E-2</v>
      </c>
      <c r="O80" s="5"/>
      <c r="P80" s="5"/>
      <c r="R80" s="5"/>
      <c r="S80" s="5"/>
      <c r="T80" s="5"/>
      <c r="U80" s="5"/>
      <c r="W80" s="23" t="s">
        <v>290</v>
      </c>
      <c r="X80" s="34">
        <f>X79/X78</f>
        <v>396.11896947316171</v>
      </c>
      <c r="Y80" s="34" t="s">
        <v>13</v>
      </c>
      <c r="Z80" s="30"/>
    </row>
    <row r="81" spans="3:21" x14ac:dyDescent="0.45">
      <c r="H81" s="10" t="s">
        <v>20</v>
      </c>
      <c r="I81" s="8">
        <f>SS303YoungsModulus</f>
        <v>28000000</v>
      </c>
      <c r="J81" s="5"/>
      <c r="K81" s="11"/>
      <c r="M81" s="5" t="s">
        <v>177</v>
      </c>
      <c r="N81" s="27">
        <f>(0.25+0.125)/2</f>
        <v>0.1875</v>
      </c>
      <c r="O81" s="5"/>
      <c r="P81" s="5"/>
      <c r="R81" s="5"/>
      <c r="S81" s="5"/>
      <c r="T81" s="5"/>
      <c r="U81" s="5"/>
    </row>
    <row r="82" spans="3:21" x14ac:dyDescent="0.45">
      <c r="H82" s="10" t="s">
        <v>21</v>
      </c>
      <c r="I82" s="8">
        <f>D80</f>
        <v>666.50390625</v>
      </c>
      <c r="J82" s="5" t="s">
        <v>103</v>
      </c>
      <c r="K82" s="11"/>
      <c r="M82" s="5" t="s">
        <v>175</v>
      </c>
      <c r="N82" s="5">
        <f>(((N77/2)^2)*PI())-(N77*N81)</f>
        <v>0.10259954084936207</v>
      </c>
      <c r="O82" s="5"/>
      <c r="P82" s="5"/>
      <c r="R82" s="5"/>
      <c r="S82" s="5"/>
      <c r="T82" s="5"/>
      <c r="U82" s="5"/>
    </row>
    <row r="83" spans="3:21" x14ac:dyDescent="0.45">
      <c r="H83" s="10" t="s">
        <v>23</v>
      </c>
      <c r="I83" s="7">
        <f>MachineHeight/2</f>
        <v>10.725</v>
      </c>
      <c r="J83" s="5" t="s">
        <v>71</v>
      </c>
      <c r="K83" s="11"/>
      <c r="M83" s="5" t="s">
        <v>176</v>
      </c>
      <c r="N83" s="5">
        <f>(I82/I78)/N82</f>
        <v>1624.0421271196753</v>
      </c>
      <c r="O83" s="5"/>
      <c r="P83" s="5" t="s">
        <v>76</v>
      </c>
      <c r="R83" s="5"/>
      <c r="S83" s="5"/>
      <c r="T83" s="5"/>
      <c r="U83" s="5"/>
    </row>
    <row r="84" spans="3:21" x14ac:dyDescent="0.45">
      <c r="H84" s="10" t="s">
        <v>10</v>
      </c>
      <c r="I84" s="8">
        <v>2</v>
      </c>
      <c r="J84" s="5" t="s">
        <v>11</v>
      </c>
      <c r="K84" s="11"/>
    </row>
    <row r="85" spans="3:21" x14ac:dyDescent="0.45">
      <c r="H85" s="10" t="s">
        <v>73</v>
      </c>
      <c r="I85" s="7">
        <f>((4*I80)/PI())^0.25</f>
        <v>0.16303089382194147</v>
      </c>
      <c r="J85" s="5" t="s">
        <v>162</v>
      </c>
      <c r="K85" s="11"/>
    </row>
    <row r="86" spans="3:21" x14ac:dyDescent="0.45">
      <c r="H86" s="10" t="s">
        <v>74</v>
      </c>
      <c r="I86" s="27">
        <f>SQRT(I85/PI())*2</f>
        <v>0.45560660775236284</v>
      </c>
      <c r="J86" s="5" t="s">
        <v>71</v>
      </c>
      <c r="K86" s="11"/>
      <c r="M86" s="5" t="s">
        <v>178</v>
      </c>
      <c r="N86" s="5" t="s">
        <v>14</v>
      </c>
      <c r="O86" s="5" t="s">
        <v>5</v>
      </c>
      <c r="P86" s="11" t="s">
        <v>129</v>
      </c>
    </row>
    <row r="87" spans="3:21" x14ac:dyDescent="0.45">
      <c r="H87" s="10" t="s">
        <v>75</v>
      </c>
      <c r="I87" s="27">
        <v>0.5</v>
      </c>
      <c r="J87" s="5" t="s">
        <v>71</v>
      </c>
      <c r="K87" s="11"/>
      <c r="M87" s="5" t="s">
        <v>179</v>
      </c>
      <c r="N87" s="5">
        <f>1.29*2</f>
        <v>2.58</v>
      </c>
      <c r="O87" s="5"/>
      <c r="P87" s="5" t="s">
        <v>186</v>
      </c>
    </row>
    <row r="88" spans="3:21" x14ac:dyDescent="0.45">
      <c r="H88" s="10"/>
      <c r="I88" s="5"/>
      <c r="J88" s="5"/>
      <c r="K88" s="11"/>
      <c r="M88" s="5" t="s">
        <v>180</v>
      </c>
      <c r="N88" s="5">
        <v>0.25</v>
      </c>
      <c r="O88" s="5"/>
      <c r="P88" s="5"/>
    </row>
    <row r="89" spans="3:21" x14ac:dyDescent="0.45">
      <c r="H89" s="10" t="s">
        <v>160</v>
      </c>
      <c r="I89" s="5">
        <f>((PI()^2)*I81)/((I83/(I87/2))^2)</f>
        <v>150156.17347792178</v>
      </c>
      <c r="J89" s="5" t="s">
        <v>13</v>
      </c>
      <c r="K89" s="11" t="s">
        <v>161</v>
      </c>
      <c r="M89" s="5" t="s">
        <v>182</v>
      </c>
      <c r="N89" s="5">
        <f>(N87-(2*N88))/N81</f>
        <v>11.093333333333334</v>
      </c>
      <c r="O89" s="5"/>
      <c r="P89" s="5"/>
    </row>
    <row r="90" spans="3:21" x14ac:dyDescent="0.45">
      <c r="H90" s="10" t="s">
        <v>163</v>
      </c>
      <c r="I90" s="5">
        <f>I89*(((I87/2)^2)*PI())</f>
        <v>29483.095718087101</v>
      </c>
      <c r="J90" s="5" t="s">
        <v>103</v>
      </c>
      <c r="K90" s="11"/>
      <c r="M90" s="5" t="s">
        <v>181</v>
      </c>
      <c r="N90" s="5">
        <v>10</v>
      </c>
      <c r="O90" s="5"/>
      <c r="P90" s="5" t="s">
        <v>185</v>
      </c>
    </row>
    <row r="91" spans="3:21" ht="14.65" thickBot="1" x14ac:dyDescent="0.5">
      <c r="H91" s="23" t="s">
        <v>87</v>
      </c>
      <c r="I91" s="34"/>
      <c r="J91" s="34"/>
      <c r="K91" s="30"/>
    </row>
    <row r="93" spans="3:21" x14ac:dyDescent="0.45">
      <c r="C93" t="s">
        <v>296</v>
      </c>
    </row>
    <row r="95" spans="3:21" x14ac:dyDescent="0.45">
      <c r="C95" s="5" t="s">
        <v>200</v>
      </c>
      <c r="D95" s="5"/>
      <c r="E95" s="5"/>
      <c r="F95" s="5"/>
      <c r="H95" s="5" t="s">
        <v>244</v>
      </c>
      <c r="I95" s="5"/>
      <c r="J95" s="5"/>
      <c r="K95" s="5"/>
      <c r="M95" s="5" t="s">
        <v>184</v>
      </c>
      <c r="N95" s="5"/>
      <c r="O95" s="5"/>
      <c r="P95" s="5"/>
    </row>
    <row r="96" spans="3:21" x14ac:dyDescent="0.45">
      <c r="C96" s="5"/>
      <c r="D96" s="5" t="s">
        <v>14</v>
      </c>
      <c r="E96" s="5" t="s">
        <v>5</v>
      </c>
      <c r="F96" s="5" t="s">
        <v>129</v>
      </c>
      <c r="H96" s="5"/>
      <c r="I96" s="5" t="s">
        <v>14</v>
      </c>
      <c r="J96" s="5" t="s">
        <v>5</v>
      </c>
      <c r="K96" s="5" t="s">
        <v>129</v>
      </c>
      <c r="M96" s="5"/>
      <c r="N96" s="5" t="s">
        <v>14</v>
      </c>
      <c r="O96" s="5" t="s">
        <v>5</v>
      </c>
      <c r="P96" s="5" t="s">
        <v>129</v>
      </c>
    </row>
    <row r="97" spans="3:21" x14ac:dyDescent="0.45">
      <c r="C97" s="5" t="s">
        <v>191</v>
      </c>
      <c r="D97" s="5">
        <f>AppliedForceNormal</f>
        <v>700</v>
      </c>
      <c r="E97" s="5" t="s">
        <v>103</v>
      </c>
      <c r="F97" s="5"/>
      <c r="H97" s="5" t="s">
        <v>238</v>
      </c>
      <c r="I97" s="5">
        <v>0.25</v>
      </c>
      <c r="J97" s="5" t="s">
        <v>71</v>
      </c>
      <c r="K97" s="5"/>
      <c r="M97" s="5" t="s">
        <v>274</v>
      </c>
      <c r="N97" s="5">
        <v>1</v>
      </c>
      <c r="O97" s="5" t="s">
        <v>71</v>
      </c>
      <c r="P97" s="5"/>
    </row>
    <row r="98" spans="3:21" x14ac:dyDescent="0.45">
      <c r="C98" s="5" t="s">
        <v>192</v>
      </c>
      <c r="D98" s="5">
        <f>3.725*2</f>
        <v>7.45</v>
      </c>
      <c r="E98" s="5" t="s">
        <v>71</v>
      </c>
      <c r="F98" s="5" t="s">
        <v>295</v>
      </c>
      <c r="H98" s="5" t="s">
        <v>239</v>
      </c>
      <c r="I98" s="5">
        <v>2</v>
      </c>
      <c r="J98" s="5" t="s">
        <v>11</v>
      </c>
      <c r="K98" s="5"/>
      <c r="M98" s="5" t="s">
        <v>172</v>
      </c>
      <c r="N98" s="5">
        <f>SS303FatigueStrength</f>
        <v>34800</v>
      </c>
      <c r="O98" s="5" t="s">
        <v>13</v>
      </c>
      <c r="P98" s="5"/>
    </row>
    <row r="99" spans="3:21" x14ac:dyDescent="0.45">
      <c r="C99" s="5" t="s">
        <v>198</v>
      </c>
      <c r="D99" s="5">
        <f>D97/2</f>
        <v>350</v>
      </c>
      <c r="E99" s="5" t="s">
        <v>103</v>
      </c>
      <c r="F99" s="5"/>
      <c r="H99" s="5" t="s">
        <v>243</v>
      </c>
      <c r="I99" s="5">
        <f>I97*I98</f>
        <v>0.5</v>
      </c>
      <c r="J99" s="5" t="s">
        <v>71</v>
      </c>
      <c r="K99" s="5"/>
      <c r="M99" s="5" t="s">
        <v>10</v>
      </c>
      <c r="N99" s="5">
        <v>5</v>
      </c>
      <c r="O99" s="5"/>
      <c r="P99" s="5"/>
    </row>
    <row r="100" spans="3:21" x14ac:dyDescent="0.45">
      <c r="C100" s="5" t="s">
        <v>196</v>
      </c>
      <c r="D100" s="5">
        <f>D99*D98/2</f>
        <v>1303.75</v>
      </c>
      <c r="E100" s="5" t="s">
        <v>197</v>
      </c>
      <c r="F100" s="5"/>
      <c r="H100" s="5" t="s">
        <v>242</v>
      </c>
      <c r="I100" s="5">
        <f>SQRT((6*D103)/I99)</f>
        <v>0.94822883895950072</v>
      </c>
      <c r="J100" s="5" t="s">
        <v>71</v>
      </c>
      <c r="K100" s="5"/>
      <c r="M100" s="5" t="s">
        <v>174</v>
      </c>
      <c r="N100" s="5">
        <f>AppliedForceNormal*N99/(N98*N97)</f>
        <v>0.10057471264367816</v>
      </c>
      <c r="O100" s="5"/>
      <c r="P100" s="5"/>
    </row>
    <row r="101" spans="3:21" x14ac:dyDescent="0.45">
      <c r="C101" s="5" t="s">
        <v>10</v>
      </c>
      <c r="D101" s="5">
        <v>2</v>
      </c>
      <c r="E101" s="5"/>
      <c r="F101" s="5"/>
      <c r="H101" s="5"/>
      <c r="I101" s="5"/>
      <c r="J101" s="5"/>
      <c r="K101" s="5"/>
      <c r="M101" s="5" t="s">
        <v>177</v>
      </c>
      <c r="N101" s="5">
        <v>0.25</v>
      </c>
      <c r="O101" s="5"/>
      <c r="P101" s="5"/>
    </row>
    <row r="102" spans="3:21" x14ac:dyDescent="0.45">
      <c r="C102" s="5" t="s">
        <v>241</v>
      </c>
      <c r="D102" s="5">
        <f>SS303FatigueStrength</f>
        <v>34800</v>
      </c>
      <c r="E102" s="5"/>
      <c r="F102" s="5"/>
      <c r="M102" s="5" t="s">
        <v>175</v>
      </c>
      <c r="N102" s="5">
        <f>(((N97/2)^2)*PI())-(N97*N101)</f>
        <v>0.53539816339744828</v>
      </c>
      <c r="O102" s="5"/>
      <c r="P102" s="5"/>
    </row>
    <row r="103" spans="3:21" x14ac:dyDescent="0.45">
      <c r="C103" s="5" t="s">
        <v>240</v>
      </c>
      <c r="D103" s="5">
        <f>D100*D101/D102</f>
        <v>7.4928160919540229E-2</v>
      </c>
      <c r="E103" s="5"/>
      <c r="F103" s="5"/>
      <c r="M103" s="5" t="s">
        <v>176</v>
      </c>
      <c r="N103" s="5">
        <f>AppliedForceNormal/N102</f>
        <v>1307.4381793879277</v>
      </c>
      <c r="O103" s="5"/>
      <c r="P103" s="5" t="s">
        <v>76</v>
      </c>
    </row>
    <row r="108" spans="3:21" ht="14.65" thickBot="1" x14ac:dyDescent="0.5"/>
    <row r="109" spans="3:21" x14ac:dyDescent="0.45">
      <c r="C109" s="24" t="s">
        <v>121</v>
      </c>
      <c r="D109" s="25"/>
      <c r="E109" s="25"/>
      <c r="F109" s="26"/>
      <c r="H109" s="38" t="s">
        <v>148</v>
      </c>
      <c r="I109" s="39"/>
      <c r="J109" s="39"/>
      <c r="K109" s="40"/>
      <c r="M109" s="5" t="s">
        <v>171</v>
      </c>
      <c r="N109" s="5"/>
      <c r="O109" s="5"/>
      <c r="P109" s="5"/>
      <c r="R109" t="s">
        <v>264</v>
      </c>
    </row>
    <row r="110" spans="3:21" x14ac:dyDescent="0.45">
      <c r="C110" s="10" t="s">
        <v>131</v>
      </c>
      <c r="D110" s="5" t="s">
        <v>132</v>
      </c>
      <c r="E110" s="5"/>
      <c r="F110" s="11"/>
      <c r="H110" s="10" t="s">
        <v>108</v>
      </c>
      <c r="I110" s="5" t="s">
        <v>14</v>
      </c>
      <c r="J110" s="5" t="s">
        <v>5</v>
      </c>
      <c r="K110" s="11" t="s">
        <v>134</v>
      </c>
      <c r="M110" s="5"/>
      <c r="N110" s="5" t="s">
        <v>14</v>
      </c>
      <c r="O110" s="5" t="s">
        <v>5</v>
      </c>
      <c r="P110" s="5" t="s">
        <v>134</v>
      </c>
      <c r="S110" t="s">
        <v>14</v>
      </c>
      <c r="T110" t="s">
        <v>5</v>
      </c>
      <c r="U110" t="s">
        <v>134</v>
      </c>
    </row>
    <row r="111" spans="3:21" x14ac:dyDescent="0.45">
      <c r="C111" s="10" t="s">
        <v>1</v>
      </c>
      <c r="D111" s="5" t="s">
        <v>130</v>
      </c>
      <c r="E111" s="5"/>
      <c r="F111" s="11"/>
      <c r="H111" s="10" t="s">
        <v>116</v>
      </c>
      <c r="I111" s="5" t="s">
        <v>135</v>
      </c>
      <c r="J111" s="5" t="s">
        <v>11</v>
      </c>
      <c r="K111" s="11"/>
      <c r="M111" s="5" t="s">
        <v>95</v>
      </c>
      <c r="N111" s="8">
        <f>D116</f>
        <v>350</v>
      </c>
      <c r="O111" s="5" t="s">
        <v>103</v>
      </c>
      <c r="P111" s="5"/>
      <c r="R111" t="s">
        <v>265</v>
      </c>
      <c r="S111" s="1">
        <f>N112</f>
        <v>393.91438356324193</v>
      </c>
      <c r="T111" t="s">
        <v>103</v>
      </c>
      <c r="U111" t="s">
        <v>266</v>
      </c>
    </row>
    <row r="112" spans="3:21" x14ac:dyDescent="0.45">
      <c r="C112" s="10" t="s">
        <v>147</v>
      </c>
      <c r="D112" s="5"/>
      <c r="E112" s="5"/>
      <c r="F112" s="11"/>
      <c r="H112" s="10" t="s">
        <v>117</v>
      </c>
      <c r="I112" s="8">
        <f>SS303FatigueStrength</f>
        <v>34800</v>
      </c>
      <c r="J112" s="5"/>
      <c r="K112" s="11"/>
      <c r="M112" s="5" t="s">
        <v>97</v>
      </c>
      <c r="N112" s="7">
        <f>(N111/COS(I123))/COS(RADIANS(27))</f>
        <v>393.91438356324193</v>
      </c>
      <c r="O112" s="5" t="s">
        <v>103</v>
      </c>
      <c r="P112" s="5"/>
    </row>
    <row r="113" spans="3:16" x14ac:dyDescent="0.45">
      <c r="C113" s="13"/>
      <c r="D113" s="5" t="s">
        <v>14</v>
      </c>
      <c r="E113" s="5" t="s">
        <v>5</v>
      </c>
      <c r="F113" s="11" t="s">
        <v>129</v>
      </c>
      <c r="H113" s="10" t="s">
        <v>10</v>
      </c>
      <c r="I113" s="8">
        <f>FS</f>
        <v>2</v>
      </c>
      <c r="J113" s="5"/>
      <c r="K113" s="11"/>
      <c r="M113" s="5" t="s">
        <v>98</v>
      </c>
      <c r="N113" s="7">
        <f>SQRT((N112^2)-(N111^2))</f>
        <v>180.74440953459359</v>
      </c>
      <c r="O113" s="5" t="s">
        <v>103</v>
      </c>
      <c r="P113" s="5"/>
    </row>
    <row r="114" spans="3:16" x14ac:dyDescent="0.45">
      <c r="C114" s="10" t="s">
        <v>85</v>
      </c>
      <c r="D114" s="5" t="s">
        <v>84</v>
      </c>
      <c r="E114" s="5" t="s">
        <v>11</v>
      </c>
      <c r="F114" s="11" t="s">
        <v>11</v>
      </c>
      <c r="H114" s="10" t="s">
        <v>110</v>
      </c>
      <c r="I114" s="6" t="s">
        <v>111</v>
      </c>
      <c r="J114" s="5" t="s">
        <v>11</v>
      </c>
      <c r="K114" s="11"/>
      <c r="M114" s="5" t="s">
        <v>99</v>
      </c>
      <c r="N114" s="7">
        <f>N112*CoeffStaticFrictionBrassonSteelLubricated</f>
        <v>74.843732877015967</v>
      </c>
      <c r="O114" s="5" t="s">
        <v>103</v>
      </c>
      <c r="P114" s="5"/>
    </row>
    <row r="115" spans="3:16" x14ac:dyDescent="0.45">
      <c r="C115" s="10" t="s">
        <v>83</v>
      </c>
      <c r="D115" s="6">
        <v>2</v>
      </c>
      <c r="E115" s="5" t="s">
        <v>11</v>
      </c>
      <c r="F115" s="11" t="s">
        <v>11</v>
      </c>
      <c r="H115" s="10" t="s">
        <v>109</v>
      </c>
      <c r="I115" s="6">
        <v>0.5</v>
      </c>
      <c r="J115" s="5" t="s">
        <v>71</v>
      </c>
      <c r="K115" s="11"/>
      <c r="M115" s="5" t="s">
        <v>100</v>
      </c>
      <c r="N115" s="7">
        <f>N113+COS(I123)*N114</f>
        <v>255.37910433727859</v>
      </c>
      <c r="O115" s="5" t="s">
        <v>103</v>
      </c>
      <c r="P115" s="5"/>
    </row>
    <row r="116" spans="3:16" x14ac:dyDescent="0.45">
      <c r="C116" s="10" t="s">
        <v>86</v>
      </c>
      <c r="D116" s="7">
        <f>AppliedForceNormal/D115</f>
        <v>350</v>
      </c>
      <c r="E116" s="5" t="s">
        <v>103</v>
      </c>
      <c r="F116" s="11"/>
      <c r="H116" s="10" t="s">
        <v>112</v>
      </c>
      <c r="I116" s="6">
        <v>0.35</v>
      </c>
      <c r="J116" s="5" t="s">
        <v>71</v>
      </c>
      <c r="K116" s="11"/>
      <c r="M116" s="5" t="s">
        <v>101</v>
      </c>
      <c r="N116" s="27">
        <f>N115*((I117/2)/12)</f>
        <v>4.5223383059726414</v>
      </c>
      <c r="O116" s="5" t="s">
        <v>102</v>
      </c>
      <c r="P116" s="5"/>
    </row>
    <row r="117" spans="3:16" x14ac:dyDescent="0.45">
      <c r="C117" s="10" t="s">
        <v>89</v>
      </c>
      <c r="D117" s="8">
        <f>SS303FatigueStrength</f>
        <v>34800</v>
      </c>
      <c r="E117" s="5" t="s">
        <v>13</v>
      </c>
      <c r="F117" s="11"/>
      <c r="H117" s="10" t="s">
        <v>113</v>
      </c>
      <c r="I117" s="27">
        <f>(I115+I116)/2</f>
        <v>0.42499999999999999</v>
      </c>
      <c r="J117" s="5" t="s">
        <v>71</v>
      </c>
      <c r="K117" s="11"/>
      <c r="M117" s="5" t="s">
        <v>101</v>
      </c>
      <c r="N117" s="27">
        <f>N116*16*12</f>
        <v>868.28895474674709</v>
      </c>
      <c r="O117" s="5" t="s">
        <v>137</v>
      </c>
      <c r="P117" s="5"/>
    </row>
    <row r="118" spans="3:16" x14ac:dyDescent="0.45">
      <c r="C118" s="10" t="s">
        <v>10</v>
      </c>
      <c r="D118" s="8">
        <f>FS</f>
        <v>2</v>
      </c>
      <c r="E118" s="5" t="s">
        <v>11</v>
      </c>
      <c r="F118" s="11"/>
      <c r="H118" s="10" t="s">
        <v>118</v>
      </c>
      <c r="I118" s="7">
        <f>I117*PI()</f>
        <v>1.3351768777756621</v>
      </c>
      <c r="J118" s="5" t="s">
        <v>71</v>
      </c>
      <c r="K118" s="11"/>
      <c r="M118" s="5" t="s">
        <v>101</v>
      </c>
      <c r="N118" s="27">
        <f>N116*0.4535*30.48</f>
        <v>62.510835255201911</v>
      </c>
      <c r="O118" s="5" t="s">
        <v>138</v>
      </c>
      <c r="P118" s="5"/>
    </row>
    <row r="119" spans="3:16" x14ac:dyDescent="0.45">
      <c r="C119" s="10" t="s">
        <v>90</v>
      </c>
      <c r="D119" s="7">
        <f>SQRT((4*D116*D118)/(D117*PI()))</f>
        <v>0.16003480954986424</v>
      </c>
      <c r="E119" s="5" t="s">
        <v>71</v>
      </c>
      <c r="F119" s="11"/>
      <c r="H119" s="10" t="s">
        <v>120</v>
      </c>
      <c r="I119" s="27">
        <f>((I116/2)^2)*PI()</f>
        <v>9.6211275016187398E-2</v>
      </c>
      <c r="J119" s="5"/>
      <c r="K119" s="11"/>
      <c r="M119" s="5" t="s">
        <v>104</v>
      </c>
      <c r="N119" s="5">
        <f>N116/I120</f>
        <v>3069.6649547141997</v>
      </c>
      <c r="O119" s="5" t="s">
        <v>13</v>
      </c>
      <c r="P119" s="5"/>
    </row>
    <row r="120" spans="3:16" x14ac:dyDescent="0.45">
      <c r="C120" s="10" t="s">
        <v>93</v>
      </c>
      <c r="D120" s="9">
        <v>0.375</v>
      </c>
      <c r="E120" s="5" t="s">
        <v>71</v>
      </c>
      <c r="F120" s="12" t="s">
        <v>133</v>
      </c>
      <c r="H120" s="10" t="s">
        <v>105</v>
      </c>
      <c r="I120" s="27">
        <f>PI()*((I116/2)^4)/2</f>
        <v>1.4732351486853694E-3</v>
      </c>
      <c r="J120" s="5" t="s">
        <v>71</v>
      </c>
      <c r="K120" s="11"/>
    </row>
    <row r="121" spans="3:16" x14ac:dyDescent="0.45">
      <c r="C121" s="13"/>
      <c r="D121" s="21"/>
      <c r="E121" s="21"/>
      <c r="F121" s="22"/>
      <c r="H121" s="10" t="s">
        <v>114</v>
      </c>
      <c r="I121" s="7">
        <f>1/I122</f>
        <v>0.1</v>
      </c>
      <c r="J121" s="5" t="s">
        <v>122</v>
      </c>
      <c r="K121" s="11"/>
    </row>
    <row r="122" spans="3:16" x14ac:dyDescent="0.45">
      <c r="C122" s="14" t="s">
        <v>94</v>
      </c>
      <c r="D122" s="15">
        <f>D120*PI()</f>
        <v>1.1780972450961724</v>
      </c>
      <c r="E122" s="15"/>
      <c r="F122" s="16"/>
      <c r="H122" s="10" t="s">
        <v>115</v>
      </c>
      <c r="I122" s="6">
        <v>10</v>
      </c>
      <c r="J122" s="5" t="s">
        <v>123</v>
      </c>
      <c r="K122" s="11"/>
    </row>
    <row r="123" spans="3:16" x14ac:dyDescent="0.45">
      <c r="C123" s="14" t="s">
        <v>91</v>
      </c>
      <c r="D123" s="17">
        <v>0.16666666666666666</v>
      </c>
      <c r="E123" s="15"/>
      <c r="F123" s="16" t="s">
        <v>92</v>
      </c>
      <c r="H123" s="10" t="s">
        <v>128</v>
      </c>
      <c r="I123" s="27">
        <f>ATAN(I121/I118)</f>
        <v>7.4756869969081929E-2</v>
      </c>
      <c r="J123" s="5" t="s">
        <v>126</v>
      </c>
      <c r="K123" s="11"/>
    </row>
    <row r="124" spans="3:16" ht="14.65" thickBot="1" x14ac:dyDescent="0.5">
      <c r="C124" s="14" t="s">
        <v>96</v>
      </c>
      <c r="D124" s="15">
        <f>ATAN(D123/D122)</f>
        <v>0.14053843111258857</v>
      </c>
      <c r="E124" s="15"/>
      <c r="F124" s="16"/>
      <c r="H124" s="28" t="s">
        <v>128</v>
      </c>
      <c r="I124" s="29">
        <f>DEGREES(I123)</f>
        <v>4.2832531388366837</v>
      </c>
      <c r="J124" s="29" t="s">
        <v>127</v>
      </c>
      <c r="K124" s="30"/>
    </row>
    <row r="125" spans="3:16" ht="14.65" thickBot="1" x14ac:dyDescent="0.5">
      <c r="C125" s="18" t="s">
        <v>105</v>
      </c>
      <c r="D125" s="19">
        <f>PI()*((D120/2)^4)/2</f>
        <v>1.9414444346677645E-3</v>
      </c>
      <c r="E125" s="19"/>
      <c r="F125" s="20"/>
    </row>
    <row r="128" spans="3:16" x14ac:dyDescent="0.45">
      <c r="H128" t="s">
        <v>119</v>
      </c>
      <c r="I128" s="4">
        <v>0.4</v>
      </c>
    </row>
    <row r="129" spans="3:11" x14ac:dyDescent="0.45">
      <c r="C129" s="3" t="s">
        <v>146</v>
      </c>
      <c r="H129" t="s">
        <v>125</v>
      </c>
      <c r="I129" s="4">
        <v>0.98</v>
      </c>
    </row>
    <row r="130" spans="3:11" x14ac:dyDescent="0.45">
      <c r="C130" t="s">
        <v>136</v>
      </c>
    </row>
    <row r="134" spans="3:11" ht="14.65" thickBot="1" x14ac:dyDescent="0.5">
      <c r="C134" t="s">
        <v>173</v>
      </c>
      <c r="H134" t="s">
        <v>157</v>
      </c>
    </row>
    <row r="135" spans="3:11" x14ac:dyDescent="0.45">
      <c r="C135" s="31"/>
      <c r="D135" s="32" t="s">
        <v>14</v>
      </c>
      <c r="E135" s="32" t="s">
        <v>5</v>
      </c>
      <c r="F135" s="33" t="s">
        <v>129</v>
      </c>
      <c r="H135" s="10"/>
      <c r="I135" s="5" t="s">
        <v>14</v>
      </c>
      <c r="J135" s="5" t="s">
        <v>5</v>
      </c>
      <c r="K135" s="11" t="s">
        <v>129</v>
      </c>
    </row>
    <row r="136" spans="3:11" x14ac:dyDescent="0.45">
      <c r="C136" s="10" t="s">
        <v>149</v>
      </c>
      <c r="D136" s="27">
        <f>ROUND(N116*D115,1)</f>
        <v>9</v>
      </c>
      <c r="E136" s="5" t="s">
        <v>102</v>
      </c>
      <c r="F136" s="11" t="s">
        <v>152</v>
      </c>
      <c r="H136" t="s">
        <v>252</v>
      </c>
      <c r="I136">
        <f>D141/(D137/12)</f>
        <v>35.100000000000009</v>
      </c>
    </row>
    <row r="137" spans="3:11" x14ac:dyDescent="0.45">
      <c r="C137" s="10" t="s">
        <v>150</v>
      </c>
      <c r="D137" s="41">
        <f>2</f>
        <v>2</v>
      </c>
      <c r="E137" s="5" t="s">
        <v>71</v>
      </c>
      <c r="F137" s="11" t="s">
        <v>151</v>
      </c>
      <c r="H137" t="s">
        <v>156</v>
      </c>
    </row>
    <row r="138" spans="3:11" x14ac:dyDescent="0.45">
      <c r="C138" s="10" t="s">
        <v>153</v>
      </c>
      <c r="D138" s="5">
        <f>D136/(D137/12)</f>
        <v>54</v>
      </c>
      <c r="E138" s="5" t="s">
        <v>4</v>
      </c>
      <c r="F138" s="11"/>
      <c r="H138" t="s">
        <v>155</v>
      </c>
    </row>
    <row r="139" spans="3:11" x14ac:dyDescent="0.45">
      <c r="C139" s="10" t="s">
        <v>255</v>
      </c>
      <c r="D139" s="5">
        <v>1.25</v>
      </c>
      <c r="E139" s="5" t="s">
        <v>71</v>
      </c>
      <c r="F139" s="11"/>
    </row>
    <row r="140" spans="3:11" x14ac:dyDescent="0.45">
      <c r="C140" s="10" t="s">
        <v>158</v>
      </c>
      <c r="D140" s="42">
        <v>0.96</v>
      </c>
      <c r="E140" s="5"/>
      <c r="F140" s="11"/>
    </row>
    <row r="141" spans="3:11" x14ac:dyDescent="0.45">
      <c r="C141" s="10" t="s">
        <v>159</v>
      </c>
      <c r="D141" s="27">
        <f>D136*(D139/D137)*(1-D140+1)</f>
        <v>5.8500000000000005</v>
      </c>
      <c r="E141" s="5" t="s">
        <v>102</v>
      </c>
      <c r="F141" s="43"/>
      <c r="K141" s="3" t="s">
        <v>154</v>
      </c>
    </row>
    <row r="142" spans="3:11" x14ac:dyDescent="0.45">
      <c r="C142" s="10" t="s">
        <v>159</v>
      </c>
      <c r="D142" s="27">
        <f>D141*16*12</f>
        <v>1123.2</v>
      </c>
      <c r="E142" s="5" t="s">
        <v>137</v>
      </c>
      <c r="F142" s="11"/>
    </row>
    <row r="143" spans="3:11" x14ac:dyDescent="0.45">
      <c r="C143" s="10" t="s">
        <v>159</v>
      </c>
      <c r="D143" s="27">
        <f>D141*0.4535*30.48</f>
        <v>80.862678000000017</v>
      </c>
      <c r="E143" s="5" t="s">
        <v>138</v>
      </c>
      <c r="F143" s="11"/>
    </row>
    <row r="144" spans="3:11" ht="14.65" thickBot="1" x14ac:dyDescent="0.5">
      <c r="C144" s="23" t="s">
        <v>139</v>
      </c>
      <c r="D144" s="34">
        <f>D137/D139</f>
        <v>1.6</v>
      </c>
      <c r="E144" s="34"/>
      <c r="F144" s="30"/>
    </row>
    <row r="147" spans="3:11" ht="14.65" thickBot="1" x14ac:dyDescent="0.5">
      <c r="H147" t="s">
        <v>263</v>
      </c>
    </row>
    <row r="148" spans="3:11" ht="14.65" thickBot="1" x14ac:dyDescent="0.5">
      <c r="C148" t="s">
        <v>124</v>
      </c>
      <c r="H148" s="31"/>
      <c r="I148" s="32" t="s">
        <v>14</v>
      </c>
      <c r="J148" s="32" t="s">
        <v>5</v>
      </c>
      <c r="K148" s="33" t="s">
        <v>129</v>
      </c>
    </row>
    <row r="149" spans="3:11" x14ac:dyDescent="0.45">
      <c r="C149" s="31"/>
      <c r="D149" s="32" t="s">
        <v>14</v>
      </c>
      <c r="E149" s="32" t="s">
        <v>5</v>
      </c>
      <c r="F149" s="33" t="s">
        <v>129</v>
      </c>
      <c r="H149" s="10" t="s">
        <v>230</v>
      </c>
      <c r="I149" s="6">
        <v>19</v>
      </c>
      <c r="J149" s="5" t="s">
        <v>140</v>
      </c>
      <c r="K149" s="11"/>
    </row>
    <row r="150" spans="3:11" x14ac:dyDescent="0.45">
      <c r="C150" s="10" t="s">
        <v>159</v>
      </c>
      <c r="D150" s="27">
        <f>D141</f>
        <v>5.8500000000000005</v>
      </c>
      <c r="E150" s="5" t="s">
        <v>102</v>
      </c>
      <c r="F150" s="11"/>
      <c r="H150" s="10" t="s">
        <v>231</v>
      </c>
      <c r="I150" s="6">
        <v>1</v>
      </c>
      <c r="J150" s="5" t="s">
        <v>11</v>
      </c>
      <c r="K150" s="11"/>
    </row>
    <row r="151" spans="3:11" x14ac:dyDescent="0.45">
      <c r="C151" s="10" t="s">
        <v>159</v>
      </c>
      <c r="D151" s="27">
        <f>D150*16*12</f>
        <v>1123.2</v>
      </c>
      <c r="E151" s="5" t="s">
        <v>137</v>
      </c>
      <c r="F151" s="11"/>
      <c r="H151" s="10" t="s">
        <v>232</v>
      </c>
      <c r="I151" s="8">
        <f>D144</f>
        <v>1.6</v>
      </c>
      <c r="J151" s="5"/>
      <c r="K151" s="11"/>
    </row>
    <row r="152" spans="3:11" x14ac:dyDescent="0.45">
      <c r="C152" s="10" t="s">
        <v>159</v>
      </c>
      <c r="D152" s="27">
        <f>D150*0.4535*30.48</f>
        <v>80.862678000000017</v>
      </c>
      <c r="E152" s="5" t="s">
        <v>138</v>
      </c>
      <c r="F152" s="11"/>
      <c r="H152" s="10" t="s">
        <v>234</v>
      </c>
      <c r="I152" s="8">
        <f>I122</f>
        <v>10</v>
      </c>
      <c r="J152" s="5" t="s">
        <v>233</v>
      </c>
      <c r="K152" s="11"/>
    </row>
    <row r="153" spans="3:11" ht="14.65" thickBot="1" x14ac:dyDescent="0.5">
      <c r="C153" s="23" t="s">
        <v>159</v>
      </c>
      <c r="D153" s="34">
        <f>D150*1.3558179483</f>
        <v>7.9315349975550005</v>
      </c>
      <c r="E153" s="34" t="s">
        <v>256</v>
      </c>
      <c r="F153" s="30"/>
      <c r="H153" s="10" t="s">
        <v>235</v>
      </c>
      <c r="I153" s="7">
        <f>I149/(I150*I151)</f>
        <v>11.875</v>
      </c>
      <c r="J153" s="5" t="s">
        <v>140</v>
      </c>
      <c r="K153" s="11"/>
    </row>
    <row r="154" spans="3:11" ht="14.65" thickBot="1" x14ac:dyDescent="0.5">
      <c r="H154" s="23" t="s">
        <v>236</v>
      </c>
      <c r="I154" s="34">
        <f>I153/I152</f>
        <v>1.1875</v>
      </c>
      <c r="J154" s="34" t="s">
        <v>237</v>
      </c>
      <c r="K154" s="30"/>
    </row>
    <row r="155" spans="3:11" x14ac:dyDescent="0.45">
      <c r="C155" t="s">
        <v>165</v>
      </c>
    </row>
    <row r="156" spans="3:11" x14ac:dyDescent="0.45">
      <c r="C156" t="s">
        <v>166</v>
      </c>
    </row>
    <row r="157" spans="3:11" x14ac:dyDescent="0.45">
      <c r="F157">
        <v>50</v>
      </c>
      <c r="G157" t="s">
        <v>258</v>
      </c>
    </row>
    <row r="158" spans="3:11" x14ac:dyDescent="0.45">
      <c r="F158">
        <f>2*PI()*F157/60</f>
        <v>5.2359877559829888</v>
      </c>
      <c r="G158" t="s">
        <v>259</v>
      </c>
      <c r="H158" t="s">
        <v>257</v>
      </c>
    </row>
    <row r="159" spans="3:11" x14ac:dyDescent="0.45">
      <c r="F159">
        <f>D153</f>
        <v>7.9315349975550005</v>
      </c>
      <c r="G159" t="s">
        <v>256</v>
      </c>
    </row>
    <row r="160" spans="3:11" x14ac:dyDescent="0.45">
      <c r="F160">
        <f>F158*F159</f>
        <v>41.529420133348545</v>
      </c>
      <c r="G160" t="s">
        <v>260</v>
      </c>
      <c r="H160">
        <f>0.105*90*D153</f>
        <v>74.953005726894744</v>
      </c>
    </row>
    <row r="162" spans="6:8" x14ac:dyDescent="0.45">
      <c r="F162">
        <v>24</v>
      </c>
      <c r="G162" t="s">
        <v>261</v>
      </c>
    </row>
    <row r="163" spans="6:8" x14ac:dyDescent="0.45">
      <c r="F163">
        <f>F160/F162</f>
        <v>1.7303925055561893</v>
      </c>
      <c r="G163" t="s">
        <v>262</v>
      </c>
      <c r="H163">
        <f>6000*0.224808943</f>
        <v>1348.853658</v>
      </c>
    </row>
    <row r="182" spans="2:3" x14ac:dyDescent="0.45">
      <c r="B182" t="s">
        <v>292</v>
      </c>
      <c r="C182" t="s">
        <v>291</v>
      </c>
    </row>
  </sheetData>
  <hyperlinks>
    <hyperlink ref="C129" r:id="rId1" location=":~:text=The%20bearing%20pressure%20refers%20to%20the#:~:text=The%20bearing%20pressure%20refers%20to%20the" display="https://engineerexcel.com/acme-thread-calculations/ - :~:text=The%20bearing%20pressure%20refers%20to%20the#:~:text=The%20bearing%20pressure%20refers%20to%20the" xr:uid="{EB560DC3-B69B-4530-B1AF-3637325D1D1F}"/>
    <hyperlink ref="K141" r:id="rId2" location="fig25" display="http://chain-guide.com/basics/2-1-2-engagement-with-sprockets.html - fig25" xr:uid="{80E4AA67-26CD-4E34-8F69-0332D5B7D54D}"/>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40096-3C22-48AC-994A-0768CD3A5344}">
  <dimension ref="A5:C19"/>
  <sheetViews>
    <sheetView topLeftCell="A4" workbookViewId="0">
      <selection activeCell="C10" sqref="C10"/>
    </sheetView>
  </sheetViews>
  <sheetFormatPr defaultRowHeight="14.25" x14ac:dyDescent="0.45"/>
  <cols>
    <col min="1" max="1" width="20.265625" customWidth="1"/>
    <col min="2" max="2" width="33.53125" customWidth="1"/>
  </cols>
  <sheetData>
    <row r="5" spans="1:3" x14ac:dyDescent="0.45">
      <c r="B5" t="s">
        <v>225</v>
      </c>
      <c r="C5" s="3" t="s">
        <v>209</v>
      </c>
    </row>
    <row r="8" spans="1:3" x14ac:dyDescent="0.45">
      <c r="A8" t="s">
        <v>226</v>
      </c>
      <c r="B8" t="s">
        <v>228</v>
      </c>
      <c r="C8" s="3" t="s">
        <v>227</v>
      </c>
    </row>
    <row r="9" spans="1:3" x14ac:dyDescent="0.45">
      <c r="C9" s="3" t="s">
        <v>202</v>
      </c>
    </row>
    <row r="10" spans="1:3" x14ac:dyDescent="0.45">
      <c r="C10" s="3" t="s">
        <v>201</v>
      </c>
    </row>
    <row r="11" spans="1:3" x14ac:dyDescent="0.45">
      <c r="C11" s="3" t="s">
        <v>199</v>
      </c>
    </row>
    <row r="13" spans="1:3" x14ac:dyDescent="0.45">
      <c r="A13" t="s">
        <v>210</v>
      </c>
      <c r="B13" t="s">
        <v>212</v>
      </c>
      <c r="C13" s="3" t="s">
        <v>211</v>
      </c>
    </row>
    <row r="14" spans="1:3" x14ac:dyDescent="0.45">
      <c r="B14" t="s">
        <v>213</v>
      </c>
      <c r="C14" s="3" t="s">
        <v>214</v>
      </c>
    </row>
    <row r="15" spans="1:3" x14ac:dyDescent="0.45">
      <c r="B15" t="s">
        <v>216</v>
      </c>
      <c r="C15" s="3" t="s">
        <v>215</v>
      </c>
    </row>
    <row r="16" spans="1:3" x14ac:dyDescent="0.45">
      <c r="B16" t="s">
        <v>218</v>
      </c>
      <c r="C16" s="3" t="s">
        <v>217</v>
      </c>
    </row>
    <row r="17" spans="2:3" x14ac:dyDescent="0.45">
      <c r="B17" t="s">
        <v>220</v>
      </c>
      <c r="C17" s="3" t="s">
        <v>219</v>
      </c>
    </row>
    <row r="18" spans="2:3" x14ac:dyDescent="0.45">
      <c r="B18" t="s">
        <v>222</v>
      </c>
      <c r="C18" s="3" t="s">
        <v>221</v>
      </c>
    </row>
    <row r="19" spans="2:3" x14ac:dyDescent="0.45">
      <c r="B19" t="s">
        <v>223</v>
      </c>
      <c r="C19" s="3" t="s">
        <v>224</v>
      </c>
    </row>
  </sheetData>
  <hyperlinks>
    <hyperlink ref="C5" r:id="rId1" display="https://s3.amazonaws.com/www.motionusa.com/nook/AcmeScrewsandLeadScrews/PowerAc_Technical_Introduction.pdf" xr:uid="{61E2D891-AD0B-4E5F-B93A-369198A6FC1F}"/>
    <hyperlink ref="C13" r:id="rId2" display="https://www.youtube.com/watch?v=IEURRpiXw0A&amp;ab_channel=KETIVTechnologies" xr:uid="{470CEF69-BA8B-4EDD-9789-758D5116F88C}"/>
    <hyperlink ref="C14" r:id="rId3" display="https://www.youtube.com/watch?v=-boTG63iuU8&amp;ab_channel=InventorTutorials" xr:uid="{171FD47A-297A-4D8A-8E20-E84AA50AB7CF}"/>
    <hyperlink ref="C15" r:id="rId4" display="https://www.youtube.com/watch?v=QqAxnKq4804&amp;ab_channel=CADwave" xr:uid="{C3342291-9C1C-4DA9-8FFB-B1E189BAAF6D}"/>
    <hyperlink ref="C16" r:id="rId5" display="https://www.youtube.com/watch?v=XMdkNPOzI-g&amp;ab_channel=ConstantinStancescu" xr:uid="{CADBB44C-2A51-4A7D-8385-FBC5DF90E8A1}"/>
    <hyperlink ref="C17" r:id="rId6" display="https://help.autodesk.com/view/INVNTOR/2014/ENU/?guid=GUID-77BAE285-4803-4DCA-9AE0-919C7A862D4C" xr:uid="{B77B5351-809E-4441-BC0E-E46B189B3201}"/>
    <hyperlink ref="C18" r:id="rId7" display="https://help.autodesk.com/view/INVNTOR/2022/ENU/?guid=GUID-D96F0063-3813-4EED-98FA-C34D3946265C" xr:uid="{17A6B94A-F2BF-4BA0-BD40-DC9FFCA54C71}"/>
    <hyperlink ref="C19" r:id="rId8" display="https://www.youtube.com/watch?v=qejdeREv4yQ&amp;list=PL992BCE4AB35AD129&amp;index=5&amp;ab_channel=TEDCFPublishing" xr:uid="{CB8EFD32-A070-4DB1-B79D-B2C58CD645FD}"/>
    <hyperlink ref="C8" r:id="rId9" location=":~:text=Equations%20for%20the%20section%20moduli%20of" display="https://www.engineersedge.com/material_science/section_modulus_12893.htm - :~:text=Equations%20for%20the%20section%20moduli%20of" xr:uid="{EEC1E151-1F84-4EE2-B4D9-6F6A2CD98E59}"/>
    <hyperlink ref="C11" r:id="rId10" location=":~:text=The%20bending%20moment,%20M,%20along%20the%20length#:~:text=The%20bending%20moment,%20M,%20along%20the%20length" display="https://mechanicalc.com/reference/beam-analysis - :~:text=The%20bending%20moment,%20M,%20along%20the%20length#:~:text=The%20bending%20moment,%20M,%20along%20the%20length" xr:uid="{759D6FF9-602F-404F-B489-CCCDE2271B97}"/>
    <hyperlink ref="C10" r:id="rId11" location=":~:text=The%20bending%20stress%20in%20a%20bending%20beam%20can" display="https://www.engineeringtoolbox.com/beam-stress-deflection-d_1312.html - :~:text=The%20bending%20stress%20in%20a%20bending%20beam%20can" xr:uid="{296F07B6-648C-474F-9995-60C904037101}"/>
    <hyperlink ref="C9" r:id="rId12" location=":~:text=Introduction.%20Figures%201%20through%2032" display="https://engineering.purdue.edu/~ce474/Docs/DA6-BeamFormulas.pdf - :~:text=Introduction.%20Figures%201%20through%2032" xr:uid="{0B98366A-E9AA-422D-9022-1814824E80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C0A57-75E1-4C82-BEEC-8882CA08F993}">
  <dimension ref="C6:D22"/>
  <sheetViews>
    <sheetView topLeftCell="B1" workbookViewId="0">
      <selection activeCell="D14" sqref="D14"/>
    </sheetView>
  </sheetViews>
  <sheetFormatPr defaultRowHeight="14.25" x14ac:dyDescent="0.45"/>
  <cols>
    <col min="3" max="3" width="95.1328125" customWidth="1"/>
  </cols>
  <sheetData>
    <row r="6" spans="3:4" x14ac:dyDescent="0.45">
      <c r="C6" t="s">
        <v>229</v>
      </c>
    </row>
    <row r="7" spans="3:4" x14ac:dyDescent="0.45">
      <c r="C7" t="s">
        <v>25</v>
      </c>
    </row>
    <row r="9" spans="3:4" x14ac:dyDescent="0.45">
      <c r="C9" s="2" t="s">
        <v>26</v>
      </c>
    </row>
    <row r="10" spans="3:4" x14ac:dyDescent="0.45">
      <c r="C10" s="2" t="s">
        <v>27</v>
      </c>
    </row>
    <row r="12" spans="3:4" x14ac:dyDescent="0.45">
      <c r="C12" t="s">
        <v>28</v>
      </c>
      <c r="D12" t="s">
        <v>29</v>
      </c>
    </row>
    <row r="13" spans="3:4" x14ac:dyDescent="0.45">
      <c r="C13" t="s">
        <v>30</v>
      </c>
      <c r="D13" t="s">
        <v>31</v>
      </c>
    </row>
    <row r="14" spans="3:4" x14ac:dyDescent="0.45">
      <c r="C14" t="s">
        <v>32</v>
      </c>
      <c r="D14" t="s">
        <v>33</v>
      </c>
    </row>
    <row r="18" spans="3:4" x14ac:dyDescent="0.45">
      <c r="C18" t="s">
        <v>34</v>
      </c>
    </row>
    <row r="19" spans="3:4" x14ac:dyDescent="0.45">
      <c r="C19" t="s">
        <v>35</v>
      </c>
      <c r="D19" t="s">
        <v>36</v>
      </c>
    </row>
    <row r="20" spans="3:4" x14ac:dyDescent="0.45">
      <c r="C20" t="s">
        <v>37</v>
      </c>
      <c r="D20" t="s">
        <v>38</v>
      </c>
    </row>
    <row r="21" spans="3:4" x14ac:dyDescent="0.45">
      <c r="C21" t="s">
        <v>39</v>
      </c>
      <c r="D21" t="s">
        <v>40</v>
      </c>
    </row>
    <row r="22" spans="3:4" x14ac:dyDescent="0.45">
      <c r="C22" t="s">
        <v>41</v>
      </c>
      <c r="D2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2221C-5C0B-46B0-85B0-C1695986BBCC}">
  <dimension ref="A1:F14"/>
  <sheetViews>
    <sheetView workbookViewId="0">
      <selection activeCell="A12" sqref="A12"/>
    </sheetView>
  </sheetViews>
  <sheetFormatPr defaultRowHeight="14.25" x14ac:dyDescent="0.45"/>
  <cols>
    <col min="1" max="1" width="33.9296875" customWidth="1"/>
    <col min="4" max="4" width="23.46484375" customWidth="1"/>
  </cols>
  <sheetData>
    <row r="1" spans="1:6" x14ac:dyDescent="0.45">
      <c r="A1" t="s">
        <v>141</v>
      </c>
      <c r="B1">
        <v>0.875</v>
      </c>
    </row>
    <row r="2" spans="1:6" x14ac:dyDescent="0.45">
      <c r="A2" t="s">
        <v>142</v>
      </c>
      <c r="B2">
        <v>4</v>
      </c>
      <c r="E2" t="s">
        <v>33</v>
      </c>
    </row>
    <row r="3" spans="1:6" x14ac:dyDescent="0.45">
      <c r="A3" t="s">
        <v>143</v>
      </c>
      <c r="B3">
        <v>21.45</v>
      </c>
    </row>
    <row r="4" spans="1:6" x14ac:dyDescent="0.45">
      <c r="A4" t="s">
        <v>144</v>
      </c>
      <c r="B4">
        <f>B14</f>
        <v>7.5279999999999996</v>
      </c>
    </row>
    <row r="7" spans="1:6" x14ac:dyDescent="0.45">
      <c r="A7" s="5" t="s">
        <v>275</v>
      </c>
      <c r="B7" s="5"/>
      <c r="D7" t="s">
        <v>281</v>
      </c>
      <c r="E7" cm="1">
        <f t="array" ref="E7">(MMH-PTIH)*(((WCID/2)^2)-((WPRT/2)^2))/((2*((WCID/2)^2))-((WPRT/2)^2))</f>
        <v>6.7903701850925469</v>
      </c>
      <c r="F7" t="s">
        <v>145</v>
      </c>
    </row>
    <row r="8" spans="1:6" x14ac:dyDescent="0.45">
      <c r="A8" s="5" t="s">
        <v>276</v>
      </c>
      <c r="B8" s="5">
        <f>0.938+0.75</f>
        <v>1.6879999999999999</v>
      </c>
      <c r="D8" t="s">
        <v>282</v>
      </c>
      <c r="E8">
        <f>(WPRT^2)*E7/((WCID^2)-(WPRT^2))</f>
        <v>0.34125962981490748</v>
      </c>
    </row>
    <row r="9" spans="1:6" x14ac:dyDescent="0.45">
      <c r="A9" s="5" t="s">
        <v>277</v>
      </c>
      <c r="B9" s="5">
        <v>1.67</v>
      </c>
    </row>
    <row r="10" spans="1:6" x14ac:dyDescent="0.45">
      <c r="A10" s="5" t="s">
        <v>254</v>
      </c>
      <c r="B10" s="5">
        <v>1</v>
      </c>
      <c r="D10" t="s">
        <v>283</v>
      </c>
      <c r="E10">
        <f>E7+E8+B9+B11</f>
        <v>10.471629814907454</v>
      </c>
    </row>
    <row r="11" spans="1:6" x14ac:dyDescent="0.45">
      <c r="A11" s="5" t="s">
        <v>278</v>
      </c>
      <c r="B11" s="5">
        <v>1.67</v>
      </c>
      <c r="D11" t="s">
        <v>284</v>
      </c>
      <c r="E11">
        <f>E7+E8+B11</f>
        <v>8.8016298149074537</v>
      </c>
      <c r="F11" t="s">
        <v>285</v>
      </c>
    </row>
    <row r="12" spans="1:6" x14ac:dyDescent="0.45">
      <c r="A12" s="5" t="s">
        <v>253</v>
      </c>
      <c r="B12" s="5">
        <v>1</v>
      </c>
      <c r="D12" t="s">
        <v>286</v>
      </c>
      <c r="E12">
        <f>E7+E8+B10</f>
        <v>8.1316298149074555</v>
      </c>
    </row>
    <row r="13" spans="1:6" x14ac:dyDescent="0.45">
      <c r="A13" s="5" t="s">
        <v>279</v>
      </c>
      <c r="B13" s="5">
        <v>0.5</v>
      </c>
    </row>
    <row r="14" spans="1:6" x14ac:dyDescent="0.45">
      <c r="A14" s="5" t="s">
        <v>280</v>
      </c>
      <c r="B14" s="5">
        <f>SUM(B8:B13)</f>
        <v>7.5279999999999996</v>
      </c>
      <c r="D14"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17</vt:i4>
      </vt:variant>
    </vt:vector>
  </HeadingPairs>
  <TitlesOfParts>
    <vt:vector size="22" baseType="lpstr">
      <vt:lpstr>Design and Material Specs</vt:lpstr>
      <vt:lpstr>WS Sizing Calculations</vt:lpstr>
      <vt:lpstr>Sources</vt:lpstr>
      <vt:lpstr>Equation Derivation</vt:lpstr>
      <vt:lpstr>Sheet1</vt:lpstr>
      <vt:lpstr>AmbientPressureAbsolute</vt:lpstr>
      <vt:lpstr>AppliedForceNormal</vt:lpstr>
      <vt:lpstr>CoeffStaticFrictionBrassonSteelLubricated</vt:lpstr>
      <vt:lpstr>FS</vt:lpstr>
      <vt:lpstr>lfb2N</vt:lpstr>
      <vt:lpstr>MachineHeight</vt:lpstr>
      <vt:lpstr>MachineLength</vt:lpstr>
      <vt:lpstr>MachineWidth</vt:lpstr>
      <vt:lpstr>MMH</vt:lpstr>
      <vt:lpstr>PistonSpeed</vt:lpstr>
      <vt:lpstr>PTIH</vt:lpstr>
      <vt:lpstr>SS303FatigueStrength</vt:lpstr>
      <vt:lpstr>SS303YieldStrength</vt:lpstr>
      <vt:lpstr>SS303YoungsModulus</vt:lpstr>
      <vt:lpstr>WashChamberDiameter</vt:lpstr>
      <vt:lpstr>WCID</vt:lpstr>
      <vt:lpstr>WPRT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ROHMANN, THOMAS</dc:creator>
  <cp:lastModifiedBy>Tommy Rohmann</cp:lastModifiedBy>
  <dcterms:created xsi:type="dcterms:W3CDTF">2024-03-29T19:26:34Z</dcterms:created>
  <dcterms:modified xsi:type="dcterms:W3CDTF">2025-03-18T23:30:37Z</dcterms:modified>
</cp:coreProperties>
</file>