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mmk_civil_aau_dk/Documents/Sphere decay paper with experiments/Datafile/Descriptions/"/>
    </mc:Choice>
  </mc:AlternateContent>
  <xr:revisionPtr revIDLastSave="119" documentId="8_{9A222EC8-982E-4BB0-930F-E57AF2EBA98A}" xr6:coauthVersionLast="45" xr6:coauthVersionMax="45" xr10:uidLastSave="{E3B16CDE-D705-4D43-925C-F12086571B38}"/>
  <bookViews>
    <workbookView xWindow="3465" yWindow="3465" windowWidth="38700" windowHeight="15300" xr2:uid="{00000000-000D-0000-FFFF-FFFF00000000}"/>
  </bookViews>
  <sheets>
    <sheet name="Weights and ballast" sheetId="2" r:id="rId1"/>
    <sheet name="Densities" sheetId="3" r:id="rId2"/>
    <sheet name="Inertia momen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9" i="2" l="1"/>
  <c r="C49" i="2"/>
  <c r="E64" i="2" l="1"/>
  <c r="E63" i="2"/>
  <c r="C63" i="2"/>
  <c r="C64" i="2"/>
  <c r="E15" i="2" l="1"/>
  <c r="E17" i="2"/>
  <c r="D62" i="2" l="1"/>
  <c r="D61" i="2"/>
  <c r="D60" i="2"/>
  <c r="D59" i="2"/>
  <c r="D58" i="2"/>
  <c r="D57" i="2"/>
  <c r="D56" i="2"/>
  <c r="D55" i="2"/>
  <c r="F22" i="3" l="1"/>
  <c r="H10" i="3" l="1"/>
  <c r="H9" i="3"/>
  <c r="E68" i="2" l="1"/>
  <c r="E27" i="3" l="1"/>
  <c r="F27" i="3" s="1"/>
  <c r="E26" i="3"/>
  <c r="F26" i="3" s="1"/>
  <c r="F21" i="3"/>
  <c r="F23" i="3"/>
  <c r="F24" i="3"/>
  <c r="F25" i="3"/>
  <c r="F28" i="3"/>
  <c r="F17" i="3" l="1"/>
  <c r="F18" i="3"/>
  <c r="F19" i="3"/>
  <c r="F15" i="3"/>
  <c r="F16" i="3"/>
  <c r="F13" i="3"/>
  <c r="F14" i="3"/>
  <c r="E11" i="3" l="1"/>
  <c r="E9" i="3"/>
  <c r="E10" i="3"/>
  <c r="F10" i="3" l="1"/>
  <c r="I10" i="3"/>
  <c r="F9" i="3"/>
  <c r="I9" i="3"/>
  <c r="E12" i="3"/>
  <c r="F11" i="3"/>
  <c r="E16" i="2"/>
  <c r="E14" i="2"/>
  <c r="E20" i="3" l="1"/>
  <c r="E29" i="3" s="1"/>
  <c r="E13" i="2"/>
  <c r="E12" i="2"/>
  <c r="E11" i="2"/>
  <c r="C62" i="2"/>
  <c r="E7" i="2"/>
  <c r="E5" i="2"/>
  <c r="E6" i="2"/>
  <c r="E60" i="2"/>
  <c r="E59" i="2"/>
  <c r="E58" i="2"/>
  <c r="E57" i="2"/>
  <c r="E56" i="2"/>
  <c r="E55" i="2"/>
  <c r="D35" i="2"/>
  <c r="E62" i="2" s="1"/>
  <c r="E61" i="2" l="1"/>
  <c r="C7" i="2"/>
  <c r="C61" i="2"/>
  <c r="C60" i="2"/>
  <c r="C18" i="2"/>
  <c r="E18" i="2" s="1"/>
  <c r="C8" i="2" l="1"/>
  <c r="C75" i="2" s="1"/>
  <c r="C59" i="2"/>
  <c r="C58" i="2"/>
  <c r="C57" i="2"/>
  <c r="C56" i="2"/>
  <c r="C55" i="2"/>
  <c r="C50" i="2"/>
  <c r="D5" i="3"/>
  <c r="H22" i="3" l="1"/>
  <c r="I22" i="3" s="1"/>
  <c r="H28" i="3"/>
  <c r="I28" i="3" s="1"/>
  <c r="H23" i="3"/>
  <c r="I23" i="3" s="1"/>
  <c r="H24" i="3"/>
  <c r="I24" i="3" s="1"/>
  <c r="H25" i="3"/>
  <c r="I25" i="3" s="1"/>
  <c r="H21" i="3"/>
  <c r="I21" i="3" s="1"/>
  <c r="H26" i="3"/>
  <c r="I26" i="3" s="1"/>
  <c r="H27" i="3"/>
  <c r="I27" i="3" s="1"/>
  <c r="E8" i="2"/>
  <c r="I29" i="3" l="1"/>
  <c r="E67" i="2"/>
  <c r="C51" i="2" l="1"/>
  <c r="C52" i="2" l="1"/>
  <c r="C65" i="2" s="1"/>
  <c r="C76" i="2"/>
</calcChain>
</file>

<file path=xl/sharedStrings.xml><?xml version="1.0" encoding="utf-8"?>
<sst xmlns="http://schemas.openxmlformats.org/spreadsheetml/2006/main" count="216" uniqueCount="161">
  <si>
    <t>Material</t>
  </si>
  <si>
    <t>kg</t>
  </si>
  <si>
    <t>Centre rod</t>
  </si>
  <si>
    <t>m</t>
  </si>
  <si>
    <t>Height [mm]</t>
  </si>
  <si>
    <t>Upper shell part</t>
  </si>
  <si>
    <t>Lower shell part</t>
  </si>
  <si>
    <t>O-ring w. grease</t>
  </si>
  <si>
    <t>Weight [g]</t>
  </si>
  <si>
    <t>Water</t>
  </si>
  <si>
    <t>Notes</t>
  </si>
  <si>
    <t>Aluminium</t>
  </si>
  <si>
    <t>Stainless steel</t>
  </si>
  <si>
    <t>Measured average from two big alu blocks (weight and size measured), 20 degree celcius.</t>
  </si>
  <si>
    <t>Measured from a big steel cylinder (weight and size measured), 20 degree celcius.</t>
  </si>
  <si>
    <t>Total shell</t>
  </si>
  <si>
    <t>Diameter [mm]</t>
  </si>
  <si>
    <t>M8 threaded (D~8mm)</t>
  </si>
  <si>
    <t>M8 nut</t>
  </si>
  <si>
    <t>Nut with 6 sides and rounded edges</t>
  </si>
  <si>
    <t>Big washer</t>
  </si>
  <si>
    <t>Top connection nut</t>
  </si>
  <si>
    <t>Bottom connection nut</t>
  </si>
  <si>
    <t>Same as top connection nut</t>
  </si>
  <si>
    <t>Small washer</t>
  </si>
  <si>
    <t>Ballast to half submergence</t>
  </si>
  <si>
    <t>Water density (kg/m^3)</t>
  </si>
  <si>
    <t>Total connection parts</t>
  </si>
  <si>
    <t>Block 4</t>
  </si>
  <si>
    <t>Volume of half sphere [m^3]</t>
  </si>
  <si>
    <t>Block 7</t>
  </si>
  <si>
    <t>Total ballast</t>
  </si>
  <si>
    <t>Block 10</t>
  </si>
  <si>
    <t>Block 11</t>
  </si>
  <si>
    <t>Block 12</t>
  </si>
  <si>
    <t>Total actual weight</t>
  </si>
  <si>
    <t>6 big washers</t>
  </si>
  <si>
    <t>Secondary parts</t>
  </si>
  <si>
    <t>Main parts</t>
  </si>
  <si>
    <t>Marker 1</t>
  </si>
  <si>
    <t>Marker 2</t>
  </si>
  <si>
    <t>Marker 3</t>
  </si>
  <si>
    <t>Marker 4</t>
  </si>
  <si>
    <t>82.4 to centre marker from shell</t>
  </si>
  <si>
    <t>2 small washers</t>
  </si>
  <si>
    <t>D_hole = 8.0 mm (all blocks, no 1-13)</t>
  </si>
  <si>
    <t>D_hole = 8.5 mm</t>
  </si>
  <si>
    <t>CoG_z [mm above bottom]</t>
  </si>
  <si>
    <t>CoG_z [mm from bottom]</t>
  </si>
  <si>
    <t>Actual ballasting</t>
  </si>
  <si>
    <t>CoG value from 3D CAD drawing</t>
  </si>
  <si>
    <t>CoG value from 3D CAD drawing (screw hole at poles makes height &lt;150 mm)</t>
  </si>
  <si>
    <t>Common notes:</t>
  </si>
  <si>
    <t>* All weights are measured with precision of 0.1 g (measured on high precision scale at Aalborg University).</t>
  </si>
  <si>
    <t>* All distances are exact to at least 0.1 mm precision.</t>
  </si>
  <si>
    <t>-</t>
  </si>
  <si>
    <t>CoG_z alues in this table are based on the table above</t>
  </si>
  <si>
    <t>General values for measured weights and CoG</t>
  </si>
  <si>
    <t>General characteristics of ballast blocks, CoG depends on actual ballasting condition and therefore no values are given in the following table</t>
  </si>
  <si>
    <t>Value for checking CAD drawing against Excel calculation</t>
  </si>
  <si>
    <t>Lightest condition</t>
  </si>
  <si>
    <t>Total mass</t>
  </si>
  <si>
    <t>kg (excluding the centre rod, which is not needed)</t>
  </si>
  <si>
    <t>Pre-tension</t>
  </si>
  <si>
    <t>Block no.</t>
  </si>
  <si>
    <t>N (to submerge the sphere to equator)</t>
  </si>
  <si>
    <t>Bottom shell</t>
  </si>
  <si>
    <t>Structure</t>
  </si>
  <si>
    <t>Name in Solidworks</t>
  </si>
  <si>
    <t>Top shell</t>
  </si>
  <si>
    <t>O-ring with grease</t>
  </si>
  <si>
    <t>Top</t>
  </si>
  <si>
    <t>Bottom</t>
  </si>
  <si>
    <t>O-ring</t>
  </si>
  <si>
    <t>Sphere_mainparts</t>
  </si>
  <si>
    <t>Combined shell top + bottom + o-ring</t>
  </si>
  <si>
    <t>Details on 3D CAD file in Solidworks (density is modified to match weights of individual components)</t>
  </si>
  <si>
    <t>TopBotNut</t>
  </si>
  <si>
    <t>CentreRod</t>
  </si>
  <si>
    <t>MarkerShort</t>
  </si>
  <si>
    <t>MarkerLong</t>
  </si>
  <si>
    <t>Total Sphere no ballast</t>
  </si>
  <si>
    <t>BallastBlock4</t>
  </si>
  <si>
    <t>BallastBlock7</t>
  </si>
  <si>
    <t>BallastBlock10</t>
  </si>
  <si>
    <t>BallastBlock11</t>
  </si>
  <si>
    <t>BallastBlock12</t>
  </si>
  <si>
    <t>BigWasher</t>
  </si>
  <si>
    <t>SmallWasher</t>
  </si>
  <si>
    <t>1 big washers</t>
  </si>
  <si>
    <t>1 small washers</t>
  </si>
  <si>
    <t>Total Sphere with ballast</t>
  </si>
  <si>
    <t>Mass properties of Sphere_withBallast</t>
  </si>
  <si>
    <t xml:space="preserve">     Configuration: Default</t>
  </si>
  <si>
    <t xml:space="preserve">     Coordinate system: -- default --</t>
  </si>
  <si>
    <t>Mass = 7055.72 grams</t>
  </si>
  <si>
    <t>Volume = 2181782.94 cubic millimeters</t>
  </si>
  <si>
    <t>Surface area = 673040.03  square millimeters</t>
  </si>
  <si>
    <t>Center of mass: ( millimeters )</t>
  </si>
  <si>
    <t>X = 0.01</t>
  </si>
  <si>
    <t>Y = 0.00</t>
  </si>
  <si>
    <t>Z = -34.79</t>
  </si>
  <si>
    <t>Principal axes of inertia and principal moments of inertia: ( grams *  square millimeters )</t>
  </si>
  <si>
    <t>Taken at the center of mass.</t>
  </si>
  <si>
    <t xml:space="preserve"> Ix = ( 0.00,  0.00,  1.00)   </t>
  </si>
  <si>
    <t>Px = 73051921.19</t>
  </si>
  <si>
    <t xml:space="preserve"> Iy = ( 1.00, -0.01,  0.00)   </t>
  </si>
  <si>
    <t>Py = 89712646.06</t>
  </si>
  <si>
    <t xml:space="preserve"> Iz = ( 0.01,  1.00,  0.00)   </t>
  </si>
  <si>
    <t>Pz = 89716114.42</t>
  </si>
  <si>
    <t>Moments of inertia: ( grams *  square millimeters )</t>
  </si>
  <si>
    <t>Taken at the center of mass and aligned with the output coordinate system.</t>
  </si>
  <si>
    <t>Lxx = 89712638.45</t>
  </si>
  <si>
    <t>Lxy = -29.66</t>
  </si>
  <si>
    <t>Lxz = 11442.51</t>
  </si>
  <si>
    <t>Lyx = -29.66</t>
  </si>
  <si>
    <t>Lyy = 89716114.17</t>
  </si>
  <si>
    <t>Lyz = -130.62</t>
  </si>
  <si>
    <t>Lzx = 11442.51</t>
  </si>
  <si>
    <t>Lzy = -130.62</t>
  </si>
  <si>
    <t>Lzz = 73051929.05</t>
  </si>
  <si>
    <t>Taken at the output coordinate system.</t>
  </si>
  <si>
    <t>Ixx = 98250542.54</t>
  </si>
  <si>
    <t>Ixy = -29.66</t>
  </si>
  <si>
    <t>Ixz = 9946.31</t>
  </si>
  <si>
    <t>Iyx = -29.66</t>
  </si>
  <si>
    <t>Iyy = 98254018.51</t>
  </si>
  <si>
    <t>Iyz = -109.57</t>
  </si>
  <si>
    <t>Izx = 9946.31</t>
  </si>
  <si>
    <t>Izy = -109.57</t>
  </si>
  <si>
    <t>Izz = 73051929.31</t>
  </si>
  <si>
    <t>Sphere_NoBallast</t>
  </si>
  <si>
    <t>Sphere_ballasted</t>
  </si>
  <si>
    <t>Izz</t>
  </si>
  <si>
    <t>Ixy and Iyx</t>
  </si>
  <si>
    <t>Ixx and Iyy</t>
  </si>
  <si>
    <t>Ixz and Izx</t>
  </si>
  <si>
    <t>Izy and I yz</t>
  </si>
  <si>
    <t>Value</t>
  </si>
  <si>
    <t>Unit</t>
  </si>
  <si>
    <t>CoG z</t>
  </si>
  <si>
    <t>Parameter</t>
  </si>
  <si>
    <t>Inertia moments</t>
  </si>
  <si>
    <t>Error in mass [g]</t>
  </si>
  <si>
    <t>Taken from table, fresh water at 20 degrees. Temp was measured to be 20 deg, variation about +/- 2 deg</t>
  </si>
  <si>
    <t>40.8 mm from shell to centre marker</t>
  </si>
  <si>
    <t>* Weights of shere shell are compared to calculated weights based on volume from CAD drawing and density of aluminium, and the weight difference was less than 3g.</t>
  </si>
  <si>
    <t>* As CAD drawing weight is correct, the CoG based on the CAD drawings are correct with accurracy of at least 0.1 mm precision.</t>
  </si>
  <si>
    <t>Target total mass (g)</t>
  </si>
  <si>
    <t>Target ballast weight (g)</t>
  </si>
  <si>
    <t>Difference target VS actual weight:</t>
  </si>
  <si>
    <r>
      <t>Density [kg/m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</si>
  <si>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t>CoG_z (Excel calculation above)</t>
  </si>
  <si>
    <t>CoG_z (from CAD drawing with ballast)</t>
  </si>
  <si>
    <t>Error in Excel calculation of CoG_z</t>
  </si>
  <si>
    <r>
      <t>Density in Solidworks [kg/m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</si>
  <si>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r>
      <t>Volume [mm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</si>
  <si>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t>Weight using volume and measured density [g]</t>
  </si>
  <si>
    <t>The inertia moments for the ballasted sphere are extracted from the 3D CAD model in Solidworks</t>
  </si>
  <si>
    <t>Output from Solidworks (reference to coordinate system at centre of sphere):</t>
  </si>
  <si>
    <t>kgm2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</si>
</sst>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3" xfId="0" applyBorder="1"/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1" fillId="0" borderId="3" xfId="0" applyFont="1" applyFill="1" applyBorder="1"/>
    <xf numFmtId="164" fontId="0" fillId="0" borderId="0" xfId="0" applyNumberFormat="1" applyBorder="1"/>
    <xf numFmtId="164" fontId="0" fillId="0" borderId="8" xfId="0" applyNumberFormat="1" applyBorder="1"/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64" fontId="0" fillId="0" borderId="6" xfId="0" applyNumberFormat="1" applyBorder="1"/>
    <xf numFmtId="164" fontId="0" fillId="0" borderId="9" xfId="0" applyNumberFormat="1" applyBorder="1"/>
    <xf numFmtId="0" fontId="0" fillId="0" borderId="7" xfId="0" applyFill="1" applyBorder="1"/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1" fillId="0" borderId="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0" borderId="15" xfId="0" applyFont="1" applyFill="1" applyBorder="1"/>
    <xf numFmtId="164" fontId="0" fillId="0" borderId="12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0" fontId="0" fillId="0" borderId="15" xfId="0" applyFill="1" applyBorder="1"/>
    <xf numFmtId="0" fontId="0" fillId="0" borderId="13" xfId="0" applyFill="1" applyBorder="1"/>
    <xf numFmtId="0" fontId="1" fillId="0" borderId="15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0" fontId="0" fillId="0" borderId="14" xfId="0" applyFill="1" applyBorder="1"/>
    <xf numFmtId="0" fontId="0" fillId="0" borderId="10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1" fillId="0" borderId="1" xfId="0" quotePrefix="1" applyFont="1" applyBorder="1" applyAlignment="1">
      <alignment horizontal="center"/>
    </xf>
    <xf numFmtId="2" fontId="0" fillId="0" borderId="2" xfId="0" applyNumberFormat="1" applyBorder="1"/>
    <xf numFmtId="2" fontId="0" fillId="0" borderId="9" xfId="0" applyNumberFormat="1" applyBorder="1" applyAlignment="1">
      <alignment horizontal="center"/>
    </xf>
    <xf numFmtId="0" fontId="4" fillId="0" borderId="0" xfId="0" applyFont="1"/>
    <xf numFmtId="164" fontId="0" fillId="0" borderId="0" xfId="0" applyNumberFormat="1"/>
    <xf numFmtId="0" fontId="0" fillId="0" borderId="9" xfId="0" applyFill="1" applyBorder="1" applyAlignment="1">
      <alignment horizontal="right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8" xfId="0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11" fontId="0" fillId="0" borderId="7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2" fontId="5" fillId="0" borderId="12" xfId="0" applyNumberFormat="1" applyFont="1" applyBorder="1"/>
    <xf numFmtId="2" fontId="0" fillId="0" borderId="3" xfId="0" applyNumberFormat="1" applyBorder="1"/>
    <xf numFmtId="0" fontId="0" fillId="0" borderId="1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0" fontId="0" fillId="3" borderId="13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2" xfId="0" applyFill="1" applyBorder="1"/>
    <xf numFmtId="2" fontId="0" fillId="0" borderId="15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textRotation="90"/>
    </xf>
    <xf numFmtId="11" fontId="0" fillId="0" borderId="0" xfId="0" applyNumberFormat="1" applyBorder="1" applyAlignment="1">
      <alignment horizontal="right"/>
    </xf>
    <xf numFmtId="0" fontId="0" fillId="0" borderId="0" xfId="0"/>
    <xf numFmtId="0" fontId="0" fillId="0" borderId="0" xfId="0" applyAlignment="1"/>
    <xf numFmtId="0" fontId="0" fillId="0" borderId="0" xfId="0"/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5" xfId="0" applyBorder="1" applyAlignment="1">
      <alignment horizontal="center" textRotation="90"/>
    </xf>
    <xf numFmtId="0" fontId="0" fillId="0" borderId="7" xfId="0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619125</xdr:colOff>
      <xdr:row>4</xdr:row>
      <xdr:rowOff>19050</xdr:rowOff>
    </xdr:from>
    <xdr:to>
      <xdr:col>13</xdr:col>
      <xdr:colOff>428625</xdr:colOff>
      <xdr:row>18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5A19B-7907-4BB9-830A-2B0861FB052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025" y="781050"/>
          <a:ext cx="3619500" cy="281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76"/>
  <sheetViews>
    <sheetView tabSelected="1" zoomScaleNormal="100" workbookViewId="0">
      <selection activeCell="B1" sqref="B1"/>
    </sheetView>
  </sheetViews>
  <sheetFormatPr defaultRowHeight="15" x14ac:dyDescent="0.25"/>
  <cols>
    <col min="2" max="2" width="35.140625" customWidth="1"/>
    <col min="3" max="3" width="28.28515625" customWidth="1"/>
    <col min="4" max="4" width="42.7109375" bestFit="1" customWidth="1"/>
    <col min="5" max="5" width="32" bestFit="1" customWidth="1"/>
    <col min="6" max="6" width="17.85546875" bestFit="1" customWidth="1"/>
    <col min="7" max="7" width="70.42578125" bestFit="1" customWidth="1"/>
  </cols>
  <sheetData>
    <row r="2" spans="2:7" x14ac:dyDescent="0.25">
      <c r="B2" s="75" t="s">
        <v>57</v>
      </c>
    </row>
    <row r="4" spans="2:7" x14ac:dyDescent="0.25">
      <c r="B4" s="21" t="s">
        <v>38</v>
      </c>
      <c r="C4" s="49" t="s">
        <v>8</v>
      </c>
      <c r="D4" s="49" t="s">
        <v>4</v>
      </c>
      <c r="E4" s="49" t="s">
        <v>47</v>
      </c>
      <c r="F4" s="60" t="s">
        <v>16</v>
      </c>
      <c r="G4" s="56" t="s">
        <v>10</v>
      </c>
    </row>
    <row r="5" spans="2:7" x14ac:dyDescent="0.25">
      <c r="B5" s="15" t="s">
        <v>5</v>
      </c>
      <c r="C5" s="31">
        <v>2530.1</v>
      </c>
      <c r="D5" s="20">
        <v>157.96</v>
      </c>
      <c r="E5" s="62">
        <f>150+64.2012322</f>
        <v>214.20123219999999</v>
      </c>
      <c r="F5" s="69">
        <v>300</v>
      </c>
      <c r="G5" s="64" t="s">
        <v>50</v>
      </c>
    </row>
    <row r="6" spans="2:7" x14ac:dyDescent="0.25">
      <c r="B6" s="15" t="s">
        <v>6</v>
      </c>
      <c r="C6" s="31">
        <v>2773.9</v>
      </c>
      <c r="D6" s="20">
        <v>149.96</v>
      </c>
      <c r="E6" s="63">
        <f>150-80.4992</f>
        <v>69.500799999999998</v>
      </c>
      <c r="F6" s="69">
        <v>300</v>
      </c>
      <c r="G6" s="65" t="s">
        <v>51</v>
      </c>
    </row>
    <row r="7" spans="2:7" x14ac:dyDescent="0.25">
      <c r="B7" s="15" t="s">
        <v>7</v>
      </c>
      <c r="C7" s="31">
        <f>2784.8-C6</f>
        <v>10.900000000000091</v>
      </c>
      <c r="D7" s="20">
        <v>2.2000000000000002</v>
      </c>
      <c r="E7" s="51">
        <f>150-2.2/2</f>
        <v>148.9</v>
      </c>
      <c r="F7" s="69">
        <v>294</v>
      </c>
      <c r="G7" s="47"/>
    </row>
    <row r="8" spans="2:7" x14ac:dyDescent="0.25">
      <c r="B8" s="29" t="s">
        <v>15</v>
      </c>
      <c r="C8" s="9">
        <f>SUM(C5:C7)</f>
        <v>5314.9</v>
      </c>
      <c r="D8" s="48"/>
      <c r="E8" s="55">
        <f>SUMPRODUCT(C5:C7,E5:E7)/C8</f>
        <v>138.54669263941372</v>
      </c>
      <c r="F8" s="9"/>
      <c r="G8" s="47"/>
    </row>
    <row r="10" spans="2:7" x14ac:dyDescent="0.25">
      <c r="B10" s="21" t="s">
        <v>37</v>
      </c>
      <c r="C10" s="49" t="s">
        <v>8</v>
      </c>
      <c r="D10" s="49" t="s">
        <v>4</v>
      </c>
      <c r="E10" s="25" t="s">
        <v>47</v>
      </c>
      <c r="F10" s="49" t="s">
        <v>16</v>
      </c>
      <c r="G10" s="35" t="s">
        <v>10</v>
      </c>
    </row>
    <row r="11" spans="2:7" x14ac:dyDescent="0.25">
      <c r="B11" s="12" t="s">
        <v>2</v>
      </c>
      <c r="C11" s="50">
        <v>41.1</v>
      </c>
      <c r="D11" s="58">
        <v>133.4</v>
      </c>
      <c r="E11" s="50">
        <f>30-(133.4-122.5)+133.4/2</f>
        <v>85.8</v>
      </c>
      <c r="F11" s="58">
        <v>8</v>
      </c>
      <c r="G11" s="14" t="s">
        <v>17</v>
      </c>
    </row>
    <row r="12" spans="2:7" x14ac:dyDescent="0.25">
      <c r="B12" s="15" t="s">
        <v>21</v>
      </c>
      <c r="C12" s="31">
        <v>2.4</v>
      </c>
      <c r="D12" s="31">
        <v>10.7</v>
      </c>
      <c r="E12" s="51">
        <f>300-D12/2</f>
        <v>294.64999999999998</v>
      </c>
      <c r="F12" s="59">
        <v>8</v>
      </c>
      <c r="G12" s="16"/>
    </row>
    <row r="13" spans="2:7" x14ac:dyDescent="0.25">
      <c r="B13" s="12" t="s">
        <v>22</v>
      </c>
      <c r="C13" s="50">
        <v>2.4</v>
      </c>
      <c r="D13" s="50">
        <v>10.7</v>
      </c>
      <c r="E13" s="58">
        <f>D13/2</f>
        <v>5.35</v>
      </c>
      <c r="F13" s="58">
        <v>8</v>
      </c>
      <c r="G13" s="14" t="s">
        <v>23</v>
      </c>
    </row>
    <row r="14" spans="2:7" x14ac:dyDescent="0.25">
      <c r="B14" s="15" t="s">
        <v>39</v>
      </c>
      <c r="C14" s="31">
        <v>1.7</v>
      </c>
      <c r="D14" s="31">
        <v>40.799999999999997</v>
      </c>
      <c r="E14" s="59">
        <f>150+(150+D14/2)*COS(50/150)</f>
        <v>311.02066365203132</v>
      </c>
      <c r="F14" s="59">
        <v>3</v>
      </c>
      <c r="G14" s="16" t="s">
        <v>145</v>
      </c>
    </row>
    <row r="15" spans="2:7" x14ac:dyDescent="0.25">
      <c r="B15" s="15" t="s">
        <v>40</v>
      </c>
      <c r="C15" s="31">
        <v>1.7</v>
      </c>
      <c r="D15" s="31">
        <v>40.799999999999997</v>
      </c>
      <c r="E15" s="59">
        <f t="shared" ref="E15:E17" si="0">150+(150+D15/2)*COS(50/150)</f>
        <v>311.02066365203132</v>
      </c>
      <c r="F15" s="59">
        <v>3</v>
      </c>
      <c r="G15" s="16"/>
    </row>
    <row r="16" spans="2:7" x14ac:dyDescent="0.25">
      <c r="B16" s="15" t="s">
        <v>41</v>
      </c>
      <c r="C16" s="31">
        <v>1.7</v>
      </c>
      <c r="D16" s="31">
        <v>40.799999999999997</v>
      </c>
      <c r="E16" s="59">
        <f t="shared" si="0"/>
        <v>311.02066365203132</v>
      </c>
      <c r="F16" s="59">
        <v>3</v>
      </c>
      <c r="G16" s="16"/>
    </row>
    <row r="17" spans="2:7" x14ac:dyDescent="0.25">
      <c r="B17" s="17" t="s">
        <v>42</v>
      </c>
      <c r="C17" s="32">
        <v>2.2000000000000002</v>
      </c>
      <c r="D17" s="32">
        <v>82.4</v>
      </c>
      <c r="E17" s="59">
        <f t="shared" si="0"/>
        <v>330.67576813537784</v>
      </c>
      <c r="F17" s="51">
        <v>3</v>
      </c>
      <c r="G17" s="19" t="s">
        <v>43</v>
      </c>
    </row>
    <row r="18" spans="2:7" x14ac:dyDescent="0.25">
      <c r="B18" s="44" t="s">
        <v>27</v>
      </c>
      <c r="C18" s="32">
        <f>SUM(C11:C17)</f>
        <v>53.20000000000001</v>
      </c>
      <c r="D18" s="47"/>
      <c r="E18" s="70">
        <f>SUMPRODUCT(C11:C17,E11:E17)/C18</f>
        <v>123.30962546096221</v>
      </c>
      <c r="F18" s="37"/>
      <c r="G18" s="19"/>
    </row>
    <row r="20" spans="2:7" x14ac:dyDescent="0.25">
      <c r="B20" t="s">
        <v>58</v>
      </c>
    </row>
    <row r="21" spans="2:7" x14ac:dyDescent="0.25">
      <c r="B21" s="79" t="s">
        <v>64</v>
      </c>
      <c r="C21" s="49" t="s">
        <v>8</v>
      </c>
      <c r="D21" s="26" t="s">
        <v>4</v>
      </c>
      <c r="E21" s="9" t="s">
        <v>55</v>
      </c>
      <c r="F21" s="49" t="s">
        <v>16</v>
      </c>
      <c r="G21" s="35" t="s">
        <v>10</v>
      </c>
    </row>
    <row r="22" spans="2:7" x14ac:dyDescent="0.25">
      <c r="B22" s="27">
        <v>1</v>
      </c>
      <c r="C22" s="58">
        <v>1780.8</v>
      </c>
      <c r="D22" s="52">
        <v>20</v>
      </c>
      <c r="E22" s="31" t="s">
        <v>55</v>
      </c>
      <c r="F22" s="58">
        <v>120</v>
      </c>
      <c r="G22" s="14" t="s">
        <v>45</v>
      </c>
    </row>
    <row r="23" spans="2:7" x14ac:dyDescent="0.25">
      <c r="B23" s="3">
        <v>2</v>
      </c>
      <c r="C23" s="59">
        <v>1775</v>
      </c>
      <c r="D23" s="53">
        <v>20</v>
      </c>
      <c r="E23" s="31" t="s">
        <v>55</v>
      </c>
      <c r="F23" s="59">
        <v>120</v>
      </c>
      <c r="G23" s="16"/>
    </row>
    <row r="24" spans="2:7" x14ac:dyDescent="0.25">
      <c r="B24" s="3">
        <v>3</v>
      </c>
      <c r="C24" s="59">
        <v>1774.5</v>
      </c>
      <c r="D24" s="53">
        <v>20</v>
      </c>
      <c r="E24" s="31" t="s">
        <v>55</v>
      </c>
      <c r="F24" s="59">
        <v>120</v>
      </c>
      <c r="G24" s="16"/>
    </row>
    <row r="25" spans="2:7" x14ac:dyDescent="0.25">
      <c r="B25" s="3">
        <v>4</v>
      </c>
      <c r="C25" s="59">
        <v>896.7</v>
      </c>
      <c r="D25" s="54">
        <v>10</v>
      </c>
      <c r="E25" s="31" t="s">
        <v>55</v>
      </c>
      <c r="F25" s="63">
        <v>120.4</v>
      </c>
      <c r="G25" s="16"/>
    </row>
    <row r="26" spans="2:7" x14ac:dyDescent="0.25">
      <c r="B26" s="3">
        <v>5</v>
      </c>
      <c r="C26" s="59">
        <v>891.4</v>
      </c>
      <c r="D26" s="54">
        <v>10</v>
      </c>
      <c r="E26" s="31" t="s">
        <v>55</v>
      </c>
      <c r="F26" s="63">
        <v>120.4</v>
      </c>
      <c r="G26" s="16"/>
    </row>
    <row r="27" spans="2:7" x14ac:dyDescent="0.25">
      <c r="B27" s="3">
        <v>6</v>
      </c>
      <c r="C27" s="59">
        <v>886.2</v>
      </c>
      <c r="D27" s="54">
        <v>9.9</v>
      </c>
      <c r="E27" s="31" t="s">
        <v>55</v>
      </c>
      <c r="F27" s="63">
        <v>120.4</v>
      </c>
      <c r="G27" s="16"/>
    </row>
    <row r="28" spans="2:7" x14ac:dyDescent="0.25">
      <c r="B28" s="3">
        <v>7</v>
      </c>
      <c r="C28" s="59">
        <v>447.6</v>
      </c>
      <c r="D28" s="54">
        <v>5</v>
      </c>
      <c r="E28" s="31" t="s">
        <v>55</v>
      </c>
      <c r="F28" s="63">
        <v>120.3</v>
      </c>
      <c r="G28" s="16"/>
    </row>
    <row r="29" spans="2:7" x14ac:dyDescent="0.25">
      <c r="B29" s="3">
        <v>8</v>
      </c>
      <c r="C29" s="59">
        <v>446.1</v>
      </c>
      <c r="D29" s="54">
        <v>5</v>
      </c>
      <c r="E29" s="31" t="s">
        <v>55</v>
      </c>
      <c r="F29" s="63">
        <v>120.3</v>
      </c>
      <c r="G29" s="16"/>
    </row>
    <row r="30" spans="2:7" x14ac:dyDescent="0.25">
      <c r="B30" s="3">
        <v>9</v>
      </c>
      <c r="C30" s="59">
        <v>446.1</v>
      </c>
      <c r="D30" s="54">
        <v>5</v>
      </c>
      <c r="E30" s="31" t="s">
        <v>55</v>
      </c>
      <c r="F30" s="63">
        <v>120.3</v>
      </c>
      <c r="G30" s="16"/>
    </row>
    <row r="31" spans="2:7" x14ac:dyDescent="0.25">
      <c r="B31" s="3">
        <v>10</v>
      </c>
      <c r="C31" s="59">
        <v>151.6</v>
      </c>
      <c r="D31" s="54">
        <v>10</v>
      </c>
      <c r="E31" s="31" t="s">
        <v>55</v>
      </c>
      <c r="F31" s="63">
        <v>50</v>
      </c>
      <c r="G31" s="16"/>
    </row>
    <row r="32" spans="2:7" x14ac:dyDescent="0.25">
      <c r="B32" s="3">
        <v>11</v>
      </c>
      <c r="C32" s="59">
        <v>76</v>
      </c>
      <c r="D32" s="54">
        <v>5</v>
      </c>
      <c r="E32" s="31" t="s">
        <v>55</v>
      </c>
      <c r="F32" s="63">
        <v>50</v>
      </c>
      <c r="G32" s="16"/>
    </row>
    <row r="33" spans="1:7" x14ac:dyDescent="0.25">
      <c r="B33" s="3">
        <v>12</v>
      </c>
      <c r="C33" s="59">
        <v>76</v>
      </c>
      <c r="D33" s="54">
        <v>5</v>
      </c>
      <c r="E33" s="31" t="s">
        <v>55</v>
      </c>
      <c r="F33" s="63">
        <v>50</v>
      </c>
      <c r="G33" s="16"/>
    </row>
    <row r="34" spans="1:7" x14ac:dyDescent="0.25">
      <c r="B34" s="3">
        <v>13</v>
      </c>
      <c r="C34" s="59">
        <v>76</v>
      </c>
      <c r="D34" s="54">
        <v>5</v>
      </c>
      <c r="E34" s="31" t="s">
        <v>55</v>
      </c>
      <c r="F34" s="63">
        <v>50</v>
      </c>
      <c r="G34" s="16"/>
    </row>
    <row r="35" spans="1:7" x14ac:dyDescent="0.25">
      <c r="B35" s="27" t="s">
        <v>20</v>
      </c>
      <c r="C35" s="58">
        <v>5.36</v>
      </c>
      <c r="D35" s="28">
        <f>19.3/10</f>
        <v>1.9300000000000002</v>
      </c>
      <c r="E35" s="50" t="s">
        <v>55</v>
      </c>
      <c r="F35" s="62">
        <v>23.6</v>
      </c>
      <c r="G35" s="14" t="s">
        <v>46</v>
      </c>
    </row>
    <row r="36" spans="1:7" x14ac:dyDescent="0.25">
      <c r="B36" s="6" t="s">
        <v>24</v>
      </c>
      <c r="C36" s="51">
        <v>1.53</v>
      </c>
      <c r="D36" s="7">
        <v>1.49</v>
      </c>
      <c r="E36" s="32" t="s">
        <v>55</v>
      </c>
      <c r="F36" s="71">
        <v>15.8</v>
      </c>
      <c r="G36" s="19" t="s">
        <v>46</v>
      </c>
    </row>
    <row r="37" spans="1:7" x14ac:dyDescent="0.25">
      <c r="B37" s="1" t="s">
        <v>18</v>
      </c>
      <c r="C37" s="9">
        <v>4.5</v>
      </c>
      <c r="D37" s="2">
        <v>6.1</v>
      </c>
      <c r="E37" s="9" t="s">
        <v>55</v>
      </c>
      <c r="F37" s="55">
        <v>13</v>
      </c>
      <c r="G37" s="22" t="s">
        <v>19</v>
      </c>
    </row>
    <row r="38" spans="1:7" x14ac:dyDescent="0.25">
      <c r="B38" s="4"/>
      <c r="C38" s="4"/>
      <c r="D38" s="4"/>
      <c r="E38" s="4"/>
      <c r="F38" s="53"/>
      <c r="G38" s="11"/>
    </row>
    <row r="39" spans="1:7" x14ac:dyDescent="0.25">
      <c r="B39" t="s">
        <v>52</v>
      </c>
      <c r="C39" s="4"/>
      <c r="D39" s="4"/>
      <c r="E39" s="4"/>
      <c r="F39" s="53"/>
      <c r="G39" s="11"/>
    </row>
    <row r="40" spans="1:7" x14ac:dyDescent="0.25">
      <c r="B40" t="s">
        <v>53</v>
      </c>
      <c r="C40" s="4"/>
      <c r="D40" s="4"/>
      <c r="E40" s="4"/>
      <c r="F40" s="53"/>
      <c r="G40" s="11"/>
    </row>
    <row r="41" spans="1:7" x14ac:dyDescent="0.25">
      <c r="B41" t="s">
        <v>146</v>
      </c>
      <c r="C41" s="4"/>
      <c r="D41" s="4"/>
      <c r="E41" s="4"/>
      <c r="F41" s="53"/>
      <c r="G41" s="11"/>
    </row>
    <row r="42" spans="1:7" x14ac:dyDescent="0.25">
      <c r="B42" t="s">
        <v>147</v>
      </c>
      <c r="C42" s="4"/>
      <c r="D42" s="4"/>
      <c r="E42" s="4"/>
      <c r="F42" s="53"/>
      <c r="G42" s="11"/>
    </row>
    <row r="43" spans="1:7" x14ac:dyDescent="0.25">
      <c r="B43" t="s">
        <v>54</v>
      </c>
    </row>
    <row r="45" spans="1:7" s="77" customFormat="1" x14ac:dyDescent="0.25">
      <c r="A45" s="76"/>
    </row>
    <row r="47" spans="1:7" x14ac:dyDescent="0.25">
      <c r="B47" s="75" t="s">
        <v>25</v>
      </c>
    </row>
    <row r="48" spans="1:7" x14ac:dyDescent="0.25">
      <c r="B48" s="75"/>
    </row>
    <row r="49" spans="2:7" x14ac:dyDescent="0.25">
      <c r="B49" s="39" t="s">
        <v>29</v>
      </c>
      <c r="C49" s="14">
        <f>0.5*4/3*PI()*(0.3/2)^3</f>
        <v>7.0685834705770337E-3</v>
      </c>
    </row>
    <row r="50" spans="2:7" x14ac:dyDescent="0.25">
      <c r="B50" s="40" t="s">
        <v>26</v>
      </c>
      <c r="C50" s="16">
        <f>Densities!D3</f>
        <v>998.21</v>
      </c>
    </row>
    <row r="51" spans="2:7" x14ac:dyDescent="0.25">
      <c r="B51" s="40" t="s">
        <v>148</v>
      </c>
      <c r="C51" s="42">
        <f>C50*C49*1000</f>
        <v>7055.9307061647014</v>
      </c>
    </row>
    <row r="52" spans="2:7" x14ac:dyDescent="0.25">
      <c r="B52" s="41" t="s">
        <v>149</v>
      </c>
      <c r="C52" s="43">
        <f>C51-C8-C18</f>
        <v>1687.8307061647017</v>
      </c>
    </row>
    <row r="53" spans="2:7" x14ac:dyDescent="0.25">
      <c r="B53" s="38"/>
      <c r="C53" s="36"/>
    </row>
    <row r="54" spans="2:7" x14ac:dyDescent="0.25">
      <c r="B54" s="66" t="s">
        <v>49</v>
      </c>
      <c r="C54" s="97" t="s">
        <v>8</v>
      </c>
      <c r="D54" s="26" t="s">
        <v>4</v>
      </c>
      <c r="E54" s="99" t="s">
        <v>48</v>
      </c>
      <c r="G54" s="48" t="s">
        <v>10</v>
      </c>
    </row>
    <row r="55" spans="2:7" x14ac:dyDescent="0.25">
      <c r="B55" s="67" t="s">
        <v>28</v>
      </c>
      <c r="C55" s="57">
        <f>C25</f>
        <v>896.7</v>
      </c>
      <c r="D55" s="98">
        <f>D25</f>
        <v>10</v>
      </c>
      <c r="E55" s="58">
        <f>30+D25/2</f>
        <v>35</v>
      </c>
      <c r="G55" s="45" t="s">
        <v>56</v>
      </c>
    </row>
    <row r="56" spans="2:7" x14ac:dyDescent="0.25">
      <c r="B56" s="68" t="s">
        <v>30</v>
      </c>
      <c r="C56" s="33">
        <f>C28</f>
        <v>447.6</v>
      </c>
      <c r="D56" s="87">
        <f>D28</f>
        <v>5</v>
      </c>
      <c r="E56" s="59">
        <f>30+D25+D28/2</f>
        <v>42.5</v>
      </c>
      <c r="G56" s="46"/>
    </row>
    <row r="57" spans="2:7" x14ac:dyDescent="0.25">
      <c r="B57" s="68" t="s">
        <v>32</v>
      </c>
      <c r="C57" s="33">
        <f t="shared" ref="C57:D59" si="1">C31</f>
        <v>151.6</v>
      </c>
      <c r="D57" s="87">
        <f t="shared" si="1"/>
        <v>10</v>
      </c>
      <c r="E57" s="59">
        <f>30+D25+D28+D31/2</f>
        <v>50</v>
      </c>
      <c r="G57" s="46"/>
    </row>
    <row r="58" spans="2:7" x14ac:dyDescent="0.25">
      <c r="B58" s="68" t="s">
        <v>33</v>
      </c>
      <c r="C58" s="33">
        <f t="shared" si="1"/>
        <v>76</v>
      </c>
      <c r="D58" s="87">
        <f t="shared" si="1"/>
        <v>5</v>
      </c>
      <c r="E58" s="59">
        <f>30+D25+D28+D31+D32/2</f>
        <v>57.5</v>
      </c>
      <c r="G58" s="46"/>
    </row>
    <row r="59" spans="2:7" x14ac:dyDescent="0.25">
      <c r="B59" s="68" t="s">
        <v>34</v>
      </c>
      <c r="C59" s="33">
        <f t="shared" si="1"/>
        <v>76</v>
      </c>
      <c r="D59" s="87">
        <f t="shared" si="1"/>
        <v>5</v>
      </c>
      <c r="E59" s="59">
        <f>30+D25+D28+D31+D32+D33/2</f>
        <v>62.5</v>
      </c>
      <c r="G59" s="46"/>
    </row>
    <row r="60" spans="2:7" x14ac:dyDescent="0.25">
      <c r="B60" s="68" t="s">
        <v>36</v>
      </c>
      <c r="C60" s="5">
        <f>6*C35</f>
        <v>32.160000000000004</v>
      </c>
      <c r="D60" s="3">
        <f>6*D35</f>
        <v>11.580000000000002</v>
      </c>
      <c r="E60" s="59">
        <f>30+D25+D28+D31+D32+D33+6*D35/2</f>
        <v>70.790000000000006</v>
      </c>
      <c r="G60" s="46"/>
    </row>
    <row r="61" spans="2:7" x14ac:dyDescent="0.25">
      <c r="B61" s="68" t="s">
        <v>44</v>
      </c>
      <c r="C61" s="5">
        <f>2*C36</f>
        <v>3.06</v>
      </c>
      <c r="D61" s="3">
        <f>2*D36</f>
        <v>2.98</v>
      </c>
      <c r="E61" s="59">
        <f>30+D25+D28+D31+D32+D33+6*D35+2*D36/2</f>
        <v>78.069999999999993</v>
      </c>
      <c r="G61" s="47"/>
    </row>
    <row r="62" spans="2:7" x14ac:dyDescent="0.25">
      <c r="B62" s="61" t="s">
        <v>18</v>
      </c>
      <c r="C62" s="8">
        <f>C37</f>
        <v>4.5</v>
      </c>
      <c r="D62" s="6">
        <f>D37</f>
        <v>6.1</v>
      </c>
      <c r="E62" s="51">
        <f>30+D25+D28+D31+D32+D33+6*D35+2*D36+D37/2</f>
        <v>82.61</v>
      </c>
      <c r="G62" s="46"/>
    </row>
    <row r="63" spans="2:7" x14ac:dyDescent="0.25">
      <c r="B63" s="31" t="s">
        <v>31</v>
      </c>
      <c r="C63" s="33">
        <f>SUM(C55:C62)</f>
        <v>1687.6200000000001</v>
      </c>
      <c r="D63" s="83"/>
      <c r="E63" s="59">
        <f>(SUMPRODUCT(C55:C62,E55:E62))/C63</f>
        <v>41.475418399876745</v>
      </c>
      <c r="G63" s="45"/>
    </row>
    <row r="64" spans="2:7" x14ac:dyDescent="0.25">
      <c r="B64" s="100" t="s">
        <v>35</v>
      </c>
      <c r="C64" s="101">
        <f>C63+C8+C18</f>
        <v>7055.7199999999993</v>
      </c>
      <c r="E64" s="71">
        <f>(C63*E63+C18*E18+C8*E8)/C64</f>
        <v>115.21384555846083</v>
      </c>
      <c r="G64" s="72"/>
    </row>
    <row r="65" spans="2:7" x14ac:dyDescent="0.25">
      <c r="B65" s="9" t="s">
        <v>150</v>
      </c>
      <c r="C65" s="34">
        <f>C52-C63</f>
        <v>0.2107061647016053</v>
      </c>
    </row>
    <row r="67" spans="2:7" x14ac:dyDescent="0.25">
      <c r="C67" s="73" t="s">
        <v>152</v>
      </c>
      <c r="D67" s="13"/>
      <c r="E67" s="102">
        <f>E64</f>
        <v>115.21384555846083</v>
      </c>
      <c r="G67" s="45"/>
    </row>
    <row r="68" spans="2:7" x14ac:dyDescent="0.25">
      <c r="C68" s="74" t="s">
        <v>153</v>
      </c>
      <c r="D68" s="18"/>
      <c r="E68" s="84">
        <f>150-34.79</f>
        <v>115.21000000000001</v>
      </c>
      <c r="G68" s="47" t="s">
        <v>59</v>
      </c>
    </row>
    <row r="69" spans="2:7" x14ac:dyDescent="0.25">
      <c r="C69" s="29" t="s">
        <v>154</v>
      </c>
      <c r="D69" s="30"/>
      <c r="E69" s="103">
        <f>E67-E68</f>
        <v>3.8455584608243498E-3</v>
      </c>
    </row>
    <row r="71" spans="2:7" s="78" customFormat="1" x14ac:dyDescent="0.25"/>
    <row r="73" spans="2:7" x14ac:dyDescent="0.25">
      <c r="B73" s="75" t="s">
        <v>60</v>
      </c>
    </row>
    <row r="75" spans="2:7" x14ac:dyDescent="0.25">
      <c r="B75" s="29" t="s">
        <v>61</v>
      </c>
      <c r="C75" s="30">
        <f>(C8+SUM(C12:C17))/1000</f>
        <v>5.327</v>
      </c>
      <c r="D75" s="22" t="s">
        <v>62</v>
      </c>
    </row>
    <row r="76" spans="2:7" x14ac:dyDescent="0.25">
      <c r="B76" s="29" t="s">
        <v>63</v>
      </c>
      <c r="C76" s="80">
        <f>(C51/1000-C75)*9.82</f>
        <v>16.978099534537364</v>
      </c>
      <c r="D76" s="22" t="s">
        <v>65</v>
      </c>
    </row>
  </sheetData>
  <pageMargins left="0.7" right="0.7" top="0.75" bottom="0.75" header="0.3" footer="0.3"/>
  <pageSetup paperSize="9" orientation="portrait" r:id="rId1"/>
  <ignoredErrors>
    <ignoredError sqref="C7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30"/>
  <sheetViews>
    <sheetView workbookViewId="0">
      <selection activeCell="L12" sqref="L12"/>
    </sheetView>
  </sheetViews>
  <sheetFormatPr defaultRowHeight="15" x14ac:dyDescent="0.25"/>
  <cols>
    <col min="2" max="2" width="36.140625" customWidth="1"/>
    <col min="3" max="3" width="25.42578125" customWidth="1"/>
    <col min="4" max="4" width="17.140625" customWidth="1"/>
    <col min="5" max="5" width="99.28515625" customWidth="1"/>
    <col min="6" max="6" width="28.42578125" customWidth="1"/>
    <col min="7" max="7" width="10.85546875" customWidth="1"/>
    <col min="8" max="8" width="43.85546875" bestFit="1" customWidth="1"/>
    <col min="9" max="9" width="15.28515625" bestFit="1" customWidth="1"/>
  </cols>
  <sheetData>
    <row r="2" spans="2:9" ht="17.25" x14ac:dyDescent="0.25">
      <c r="C2" s="21" t="s">
        <v>0</v>
      </c>
      <c r="D2" s="25" t="s">
        <v>151</v>
      </c>
      <c r="E2" s="23" t="s">
        <v>10</v>
      </c>
    </row>
    <row r="3" spans="2:9" x14ac:dyDescent="0.25">
      <c r="C3" s="15" t="s">
        <v>9</v>
      </c>
      <c r="D3" s="5">
        <v>998.21</v>
      </c>
      <c r="E3" s="16" t="s">
        <v>144</v>
      </c>
    </row>
    <row r="4" spans="2:9" x14ac:dyDescent="0.25">
      <c r="C4" s="15" t="s">
        <v>11</v>
      </c>
      <c r="D4" s="5">
        <v>2718.65</v>
      </c>
      <c r="E4" s="16" t="s">
        <v>13</v>
      </c>
    </row>
    <row r="5" spans="2:9" x14ac:dyDescent="0.25">
      <c r="C5" s="17" t="s">
        <v>12</v>
      </c>
      <c r="D5" s="81">
        <f>10.6156/(PI()*(120.3/1000/2)^2*118.14/1000)</f>
        <v>7905.4472149254443</v>
      </c>
      <c r="E5" s="19" t="s">
        <v>14</v>
      </c>
    </row>
    <row r="7" spans="2:9" ht="15.75" x14ac:dyDescent="0.25">
      <c r="B7" s="82" t="s">
        <v>76</v>
      </c>
    </row>
    <row r="8" spans="2:9" ht="17.25" x14ac:dyDescent="0.25">
      <c r="B8" s="106" t="s">
        <v>67</v>
      </c>
      <c r="C8" s="24" t="s">
        <v>68</v>
      </c>
      <c r="D8" s="26" t="s">
        <v>156</v>
      </c>
      <c r="E8" s="25" t="s">
        <v>8</v>
      </c>
      <c r="F8" s="49" t="s">
        <v>155</v>
      </c>
      <c r="G8" s="135"/>
      <c r="H8" s="131" t="s">
        <v>157</v>
      </c>
      <c r="I8" s="132" t="s">
        <v>143</v>
      </c>
    </row>
    <row r="9" spans="2:9" x14ac:dyDescent="0.25">
      <c r="B9" s="107" t="s">
        <v>69</v>
      </c>
      <c r="C9" s="27" t="s">
        <v>71</v>
      </c>
      <c r="D9" s="85">
        <v>932433.49</v>
      </c>
      <c r="E9" s="86">
        <f>'Weights and ballast'!C5</f>
        <v>2530.1</v>
      </c>
      <c r="F9" s="119">
        <f>E9/1000/(D9/1000000000)</f>
        <v>2713.4375021214651</v>
      </c>
      <c r="G9" s="126"/>
      <c r="H9" s="130">
        <f>D9*$D$4/1000^2</f>
        <v>2534.9603075885002</v>
      </c>
      <c r="I9" s="123">
        <f>E9-H9</f>
        <v>-4.8603075885002909</v>
      </c>
    </row>
    <row r="10" spans="2:9" x14ac:dyDescent="0.25">
      <c r="B10" s="108" t="s">
        <v>66</v>
      </c>
      <c r="C10" s="3" t="s">
        <v>72</v>
      </c>
      <c r="D10" s="126">
        <v>1019513.88</v>
      </c>
      <c r="E10" s="123">
        <f>'Weights and ballast'!C6</f>
        <v>2773.9</v>
      </c>
      <c r="F10" s="120">
        <f>E10/1000/(D10/1000000000)</f>
        <v>2720.8065082939333</v>
      </c>
      <c r="G10" s="126"/>
      <c r="H10" s="130">
        <f>D10*$D$4/1000^2</f>
        <v>2771.7014098619998</v>
      </c>
      <c r="I10" s="123">
        <f>E10-H10</f>
        <v>2.198590138000327</v>
      </c>
    </row>
    <row r="11" spans="2:9" x14ac:dyDescent="0.25">
      <c r="B11" s="109" t="s">
        <v>70</v>
      </c>
      <c r="C11" s="6" t="s">
        <v>73</v>
      </c>
      <c r="D11" s="127">
        <v>6528.74</v>
      </c>
      <c r="E11" s="81">
        <f>'Weights and ballast'!C7</f>
        <v>10.900000000000091</v>
      </c>
      <c r="F11" s="121">
        <f>E11/1000/(D11/1000000000)</f>
        <v>1669.5411365746056</v>
      </c>
      <c r="G11" s="126"/>
      <c r="H11" s="17"/>
      <c r="I11" s="19"/>
    </row>
    <row r="12" spans="2:9" x14ac:dyDescent="0.25">
      <c r="B12" s="113" t="s">
        <v>75</v>
      </c>
      <c r="C12" s="114" t="s">
        <v>74</v>
      </c>
      <c r="D12" s="128">
        <v>1958476.12</v>
      </c>
      <c r="E12" s="124">
        <f>SUM(E9:E11)</f>
        <v>5314.9</v>
      </c>
      <c r="F12" s="119"/>
      <c r="G12" s="126"/>
      <c r="H12" s="29"/>
      <c r="I12" s="22"/>
    </row>
    <row r="13" spans="2:9" x14ac:dyDescent="0.25">
      <c r="B13" s="107" t="s">
        <v>2</v>
      </c>
      <c r="C13" s="104" t="s">
        <v>78</v>
      </c>
      <c r="D13" s="85">
        <v>6705.42</v>
      </c>
      <c r="E13" s="86">
        <v>41.1</v>
      </c>
      <c r="F13" s="119">
        <f t="shared" ref="F13:F19" si="0">E13/1000/(D13/1000000000)</f>
        <v>6129.3699723507261</v>
      </c>
      <c r="G13" s="126"/>
      <c r="H13" s="15"/>
      <c r="I13" s="16"/>
    </row>
    <row r="14" spans="2:9" x14ac:dyDescent="0.25">
      <c r="B14" s="108" t="s">
        <v>21</v>
      </c>
      <c r="C14" s="38" t="s">
        <v>77</v>
      </c>
      <c r="D14" s="126">
        <v>504.23</v>
      </c>
      <c r="E14" s="123">
        <v>2.4</v>
      </c>
      <c r="F14" s="120">
        <f t="shared" si="0"/>
        <v>4759.7326616821674</v>
      </c>
      <c r="G14" s="126"/>
      <c r="H14" s="15"/>
      <c r="I14" s="16"/>
    </row>
    <row r="15" spans="2:9" x14ac:dyDescent="0.25">
      <c r="B15" s="108" t="s">
        <v>22</v>
      </c>
      <c r="C15" s="38" t="s">
        <v>77</v>
      </c>
      <c r="D15" s="126">
        <v>6705.42</v>
      </c>
      <c r="E15" s="123">
        <v>2.4</v>
      </c>
      <c r="F15" s="120">
        <f t="shared" si="0"/>
        <v>357.91941444383792</v>
      </c>
      <c r="G15" s="126"/>
      <c r="H15" s="15"/>
      <c r="I15" s="16"/>
    </row>
    <row r="16" spans="2:9" x14ac:dyDescent="0.25">
      <c r="B16" s="108" t="s">
        <v>39</v>
      </c>
      <c r="C16" s="38" t="s">
        <v>79</v>
      </c>
      <c r="D16" s="126">
        <v>288.39999999999998</v>
      </c>
      <c r="E16" s="123">
        <v>1.7</v>
      </c>
      <c r="F16" s="120">
        <f t="shared" si="0"/>
        <v>5894.5908460471574</v>
      </c>
      <c r="G16" s="126"/>
      <c r="H16" s="15"/>
      <c r="I16" s="16"/>
    </row>
    <row r="17" spans="2:9" x14ac:dyDescent="0.25">
      <c r="B17" s="108" t="s">
        <v>40</v>
      </c>
      <c r="C17" s="38" t="s">
        <v>79</v>
      </c>
      <c r="D17" s="126">
        <v>288.39999999999998</v>
      </c>
      <c r="E17" s="123">
        <v>1.7</v>
      </c>
      <c r="F17" s="120">
        <f t="shared" si="0"/>
        <v>5894.5908460471574</v>
      </c>
      <c r="G17" s="126"/>
      <c r="H17" s="15"/>
      <c r="I17" s="16"/>
    </row>
    <row r="18" spans="2:9" x14ac:dyDescent="0.25">
      <c r="B18" s="108" t="s">
        <v>41</v>
      </c>
      <c r="C18" s="38" t="s">
        <v>79</v>
      </c>
      <c r="D18" s="126">
        <v>288.39999999999998</v>
      </c>
      <c r="E18" s="123">
        <v>1.7</v>
      </c>
      <c r="F18" s="120">
        <f t="shared" si="0"/>
        <v>5894.5908460471574</v>
      </c>
      <c r="G18" s="126"/>
      <c r="H18" s="15"/>
      <c r="I18" s="16"/>
    </row>
    <row r="19" spans="2:9" x14ac:dyDescent="0.25">
      <c r="B19" s="109" t="s">
        <v>42</v>
      </c>
      <c r="C19" s="105" t="s">
        <v>80</v>
      </c>
      <c r="D19" s="127">
        <v>582.45000000000005</v>
      </c>
      <c r="E19" s="81">
        <v>2.2000000000000002</v>
      </c>
      <c r="F19" s="121">
        <f t="shared" si="0"/>
        <v>3777.1482530689332</v>
      </c>
      <c r="G19" s="126"/>
      <c r="H19" s="15"/>
      <c r="I19" s="16"/>
    </row>
    <row r="20" spans="2:9" x14ac:dyDescent="0.25">
      <c r="B20" s="115" t="s">
        <v>81</v>
      </c>
      <c r="C20" s="116" t="s">
        <v>131</v>
      </c>
      <c r="D20" s="129"/>
      <c r="E20" s="125">
        <f>SUM(E12:E19)</f>
        <v>5368.0999999999985</v>
      </c>
      <c r="F20" s="122"/>
      <c r="G20" s="126"/>
      <c r="H20" s="29"/>
      <c r="I20" s="22"/>
    </row>
    <row r="21" spans="2:9" x14ac:dyDescent="0.25">
      <c r="B21" s="110" t="s">
        <v>28</v>
      </c>
      <c r="C21" s="87" t="s">
        <v>82</v>
      </c>
      <c r="D21" s="126">
        <v>113349.92</v>
      </c>
      <c r="E21" s="123">
        <v>896.7</v>
      </c>
      <c r="F21" s="120">
        <f t="shared" ref="F21:F28" si="1">E21/1000/(D21/1000000000)</f>
        <v>7910.9010398948676</v>
      </c>
      <c r="G21" s="126"/>
      <c r="H21" s="133">
        <f t="shared" ref="H21:H28" si="2">D21*$D$5/1000^2</f>
        <v>896.08180937602185</v>
      </c>
      <c r="I21" s="86">
        <f t="shared" ref="I21:I28" si="3">E21-H21</f>
        <v>0.6181906239781938</v>
      </c>
    </row>
    <row r="22" spans="2:9" x14ac:dyDescent="0.25">
      <c r="B22" s="111" t="s">
        <v>30</v>
      </c>
      <c r="C22" s="87" t="s">
        <v>83</v>
      </c>
      <c r="D22" s="126">
        <v>56580.44</v>
      </c>
      <c r="E22" s="123">
        <v>447.6</v>
      </c>
      <c r="F22" s="120">
        <f t="shared" si="1"/>
        <v>7910.8610678884788</v>
      </c>
      <c r="G22" s="126"/>
      <c r="H22" s="130">
        <f t="shared" si="2"/>
        <v>447.29368181725619</v>
      </c>
      <c r="I22" s="123">
        <f t="shared" si="3"/>
        <v>0.30631818274383704</v>
      </c>
    </row>
    <row r="23" spans="2:9" x14ac:dyDescent="0.25">
      <c r="B23" s="111" t="s">
        <v>32</v>
      </c>
      <c r="C23" s="87" t="s">
        <v>84</v>
      </c>
      <c r="D23" s="126">
        <v>19132.3</v>
      </c>
      <c r="E23" s="123">
        <v>151.6</v>
      </c>
      <c r="F23" s="120">
        <f t="shared" si="1"/>
        <v>7923.772886689002</v>
      </c>
      <c r="G23" s="126"/>
      <c r="H23" s="130">
        <f t="shared" si="2"/>
        <v>151.24938775011807</v>
      </c>
      <c r="I23" s="123">
        <f t="shared" si="3"/>
        <v>0.35061224988191952</v>
      </c>
    </row>
    <row r="24" spans="2:9" x14ac:dyDescent="0.25">
      <c r="B24" s="111" t="s">
        <v>33</v>
      </c>
      <c r="C24" s="87" t="s">
        <v>85</v>
      </c>
      <c r="D24" s="126">
        <v>9566.15</v>
      </c>
      <c r="E24" s="123">
        <v>76</v>
      </c>
      <c r="F24" s="120">
        <f t="shared" si="1"/>
        <v>7944.6799391604773</v>
      </c>
      <c r="G24" s="126"/>
      <c r="H24" s="130">
        <f t="shared" si="2"/>
        <v>75.624693875059037</v>
      </c>
      <c r="I24" s="123">
        <f t="shared" si="3"/>
        <v>0.3753061249409626</v>
      </c>
    </row>
    <row r="25" spans="2:9" x14ac:dyDescent="0.25">
      <c r="B25" s="111" t="s">
        <v>34</v>
      </c>
      <c r="C25" s="87" t="s">
        <v>86</v>
      </c>
      <c r="D25" s="126">
        <v>9566.15</v>
      </c>
      <c r="E25" s="123">
        <v>76</v>
      </c>
      <c r="F25" s="120">
        <f t="shared" si="1"/>
        <v>7944.6799391604773</v>
      </c>
      <c r="G25" s="126"/>
      <c r="H25" s="130">
        <f t="shared" si="2"/>
        <v>75.624693875059037</v>
      </c>
      <c r="I25" s="123">
        <f t="shared" si="3"/>
        <v>0.3753061249409626</v>
      </c>
    </row>
    <row r="26" spans="2:9" x14ac:dyDescent="0.25">
      <c r="B26" s="111" t="s">
        <v>89</v>
      </c>
      <c r="C26" s="3" t="s">
        <v>87</v>
      </c>
      <c r="D26" s="126">
        <v>734.73</v>
      </c>
      <c r="E26" s="123">
        <f>32.16/6</f>
        <v>5.3599999999999994</v>
      </c>
      <c r="F26" s="120">
        <f t="shared" si="1"/>
        <v>7295.1968750425312</v>
      </c>
      <c r="G26" s="126"/>
      <c r="H26" s="130">
        <f t="shared" si="2"/>
        <v>5.8083692322221712</v>
      </c>
      <c r="I26" s="123">
        <f t="shared" si="3"/>
        <v>-0.44836923222217173</v>
      </c>
    </row>
    <row r="27" spans="2:9" x14ac:dyDescent="0.25">
      <c r="B27" s="111" t="s">
        <v>90</v>
      </c>
      <c r="C27" s="3" t="s">
        <v>88</v>
      </c>
      <c r="D27" s="126">
        <v>207.59</v>
      </c>
      <c r="E27" s="123">
        <f>3.06/2</f>
        <v>1.53</v>
      </c>
      <c r="F27" s="120">
        <f t="shared" si="1"/>
        <v>7370.2972204826829</v>
      </c>
      <c r="G27" s="126"/>
      <c r="H27" s="130">
        <f t="shared" si="2"/>
        <v>1.6410917873463731</v>
      </c>
      <c r="I27" s="123">
        <f t="shared" si="3"/>
        <v>-0.11109178734637304</v>
      </c>
    </row>
    <row r="28" spans="2:9" x14ac:dyDescent="0.25">
      <c r="B28" s="112" t="s">
        <v>18</v>
      </c>
      <c r="C28" s="6" t="s">
        <v>18</v>
      </c>
      <c r="D28" s="127">
        <v>674.39</v>
      </c>
      <c r="E28" s="81">
        <v>4.5</v>
      </c>
      <c r="F28" s="121">
        <f t="shared" si="1"/>
        <v>6672.696807485283</v>
      </c>
      <c r="G28" s="126"/>
      <c r="H28" s="134">
        <f t="shared" si="2"/>
        <v>5.3313545472735706</v>
      </c>
      <c r="I28" s="81">
        <f t="shared" si="3"/>
        <v>-0.83135454727357061</v>
      </c>
    </row>
    <row r="29" spans="2:9" x14ac:dyDescent="0.25">
      <c r="B29" s="117" t="s">
        <v>91</v>
      </c>
      <c r="C29" s="116" t="s">
        <v>132</v>
      </c>
      <c r="D29" s="118"/>
      <c r="E29" s="125">
        <f>SUM(E20:E25)+6*E26+2*E27+E28</f>
        <v>7055.7199999999993</v>
      </c>
      <c r="F29" s="9"/>
      <c r="G29" s="4"/>
      <c r="H29" s="134"/>
      <c r="I29" s="81">
        <f>SUM(I9:I28)</f>
        <v>-2.0267997108562037</v>
      </c>
    </row>
    <row r="30" spans="2:9" x14ac:dyDescent="0.25">
      <c r="C30" s="20"/>
      <c r="D30" s="20"/>
      <c r="E30" s="20"/>
      <c r="F30" s="20"/>
      <c r="G30" s="20"/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7D738-E233-4A11-A9F3-3484A1234317}">
  <dimension ref="B2:O56"/>
  <sheetViews>
    <sheetView workbookViewId="0">
      <selection activeCell="B1" sqref="B1"/>
    </sheetView>
  </sheetViews>
  <sheetFormatPr defaultRowHeight="15" x14ac:dyDescent="0.25"/>
  <cols>
    <col min="3" max="3" width="11.42578125" customWidth="1"/>
    <col min="4" max="4" width="13" customWidth="1"/>
    <col min="6" max="6" width="22.28515625" bestFit="1" customWidth="1"/>
    <col min="7" max="8" width="11.42578125" customWidth="1"/>
  </cols>
  <sheetData>
    <row r="2" spans="2:15" x14ac:dyDescent="0.25">
      <c r="B2" s="10" t="s">
        <v>158</v>
      </c>
    </row>
    <row r="3" spans="2:15" x14ac:dyDescent="0.25">
      <c r="D3" s="20"/>
      <c r="E3" s="20"/>
      <c r="F3" s="20"/>
      <c r="G3" s="20"/>
      <c r="H3" s="20"/>
      <c r="I3" s="20"/>
      <c r="J3" s="20"/>
      <c r="K3" s="20"/>
    </row>
    <row r="4" spans="2:15" x14ac:dyDescent="0.25">
      <c r="B4" s="143" t="s">
        <v>141</v>
      </c>
      <c r="C4" s="144"/>
      <c r="D4" s="21" t="s">
        <v>138</v>
      </c>
      <c r="E4" s="23" t="s">
        <v>139</v>
      </c>
      <c r="F4" s="20"/>
      <c r="G4" s="20"/>
      <c r="H4" s="20"/>
      <c r="I4" s="20"/>
      <c r="J4" s="20"/>
      <c r="K4" s="20"/>
    </row>
    <row r="5" spans="2:15" x14ac:dyDescent="0.25">
      <c r="B5" s="12"/>
      <c r="C5" s="14" t="s">
        <v>140</v>
      </c>
      <c r="D5" s="90">
        <v>-3.4790000000000001E-2</v>
      </c>
      <c r="E5" s="14" t="s">
        <v>3</v>
      </c>
      <c r="L5" s="142"/>
      <c r="M5" s="142"/>
    </row>
    <row r="6" spans="2:15" x14ac:dyDescent="0.25">
      <c r="B6" s="17"/>
      <c r="C6" s="19" t="s">
        <v>3</v>
      </c>
      <c r="D6" s="91">
        <v>7.0557199999999991</v>
      </c>
      <c r="E6" s="19" t="s">
        <v>1</v>
      </c>
    </row>
    <row r="7" spans="2:15" x14ac:dyDescent="0.25">
      <c r="B7" s="145" t="s">
        <v>142</v>
      </c>
      <c r="C7" s="88" t="s">
        <v>135</v>
      </c>
      <c r="D7" s="92">
        <v>9.8252280524999999E-2</v>
      </c>
      <c r="E7" s="16" t="s">
        <v>160</v>
      </c>
    </row>
    <row r="8" spans="2:15" x14ac:dyDescent="0.25">
      <c r="B8" s="145"/>
      <c r="C8" s="88" t="s">
        <v>133</v>
      </c>
      <c r="D8" s="93">
        <v>7.3051929309999999E-2</v>
      </c>
      <c r="E8" s="16" t="s">
        <v>160</v>
      </c>
      <c r="L8" s="141"/>
    </row>
    <row r="9" spans="2:15" x14ac:dyDescent="0.25">
      <c r="B9" s="145"/>
      <c r="C9" s="88" t="s">
        <v>136</v>
      </c>
      <c r="D9" s="94">
        <v>9.946309999999999E-6</v>
      </c>
      <c r="E9" s="16" t="s">
        <v>160</v>
      </c>
      <c r="L9" s="141"/>
    </row>
    <row r="10" spans="2:15" x14ac:dyDescent="0.25">
      <c r="B10" s="145"/>
      <c r="C10" s="88" t="s">
        <v>137</v>
      </c>
      <c r="D10" s="94">
        <v>-1.0956999999999999E-7</v>
      </c>
      <c r="E10" s="16" t="s">
        <v>160</v>
      </c>
      <c r="L10" s="141"/>
    </row>
    <row r="11" spans="2:15" x14ac:dyDescent="0.25">
      <c r="B11" s="146"/>
      <c r="C11" s="89" t="s">
        <v>134</v>
      </c>
      <c r="D11" s="95">
        <v>-2.9659999999999999E-8</v>
      </c>
      <c r="E11" s="19" t="s">
        <v>160</v>
      </c>
      <c r="L11" s="141"/>
    </row>
    <row r="12" spans="2:15" x14ac:dyDescent="0.25">
      <c r="L12" s="141"/>
    </row>
    <row r="13" spans="2:15" x14ac:dyDescent="0.25">
      <c r="F13" s="136"/>
      <c r="G13" s="11"/>
      <c r="H13" s="137"/>
      <c r="L13" s="138"/>
      <c r="M13" s="136"/>
      <c r="N13" s="139"/>
      <c r="O13" s="11"/>
    </row>
    <row r="15" spans="2:15" x14ac:dyDescent="0.25">
      <c r="B15" s="10" t="s">
        <v>159</v>
      </c>
    </row>
    <row r="16" spans="2:15" x14ac:dyDescent="0.25">
      <c r="B16" t="s">
        <v>92</v>
      </c>
    </row>
    <row r="17" spans="2:14" x14ac:dyDescent="0.25">
      <c r="B17" t="s">
        <v>93</v>
      </c>
    </row>
    <row r="18" spans="2:14" x14ac:dyDescent="0.25">
      <c r="B18" t="s">
        <v>94</v>
      </c>
    </row>
    <row r="22" spans="2:14" x14ac:dyDescent="0.25">
      <c r="B22" t="s">
        <v>95</v>
      </c>
    </row>
    <row r="24" spans="2:14" x14ac:dyDescent="0.25">
      <c r="B24" t="s">
        <v>96</v>
      </c>
    </row>
    <row r="25" spans="2:14" x14ac:dyDescent="0.25">
      <c r="K25" s="140"/>
      <c r="L25" s="140"/>
      <c r="M25" s="140"/>
      <c r="N25" s="140"/>
    </row>
    <row r="26" spans="2:14" x14ac:dyDescent="0.25">
      <c r="B26" t="s">
        <v>97</v>
      </c>
      <c r="K26" s="140"/>
      <c r="L26" s="140"/>
      <c r="M26" s="140"/>
      <c r="N26" s="140"/>
    </row>
    <row r="27" spans="2:14" x14ac:dyDescent="0.25">
      <c r="K27" s="140"/>
      <c r="L27" s="140"/>
      <c r="M27" s="140"/>
      <c r="N27" s="140"/>
    </row>
    <row r="28" spans="2:14" x14ac:dyDescent="0.25">
      <c r="B28" t="s">
        <v>98</v>
      </c>
      <c r="K28" s="140"/>
      <c r="L28" s="140"/>
      <c r="M28" s="140"/>
      <c r="N28" s="140"/>
    </row>
    <row r="29" spans="2:14" x14ac:dyDescent="0.25">
      <c r="C29" t="s">
        <v>99</v>
      </c>
      <c r="K29" s="140"/>
      <c r="L29" s="140"/>
      <c r="M29" s="140"/>
      <c r="N29" s="140"/>
    </row>
    <row r="30" spans="2:14" x14ac:dyDescent="0.25">
      <c r="C30" t="s">
        <v>100</v>
      </c>
      <c r="K30" s="140"/>
      <c r="L30" s="140"/>
      <c r="M30" s="140"/>
      <c r="N30" s="140"/>
    </row>
    <row r="31" spans="2:14" x14ac:dyDescent="0.25">
      <c r="C31" t="s">
        <v>101</v>
      </c>
      <c r="K31" s="140"/>
      <c r="L31" s="140"/>
      <c r="M31" s="140"/>
      <c r="N31" s="140"/>
    </row>
    <row r="32" spans="2:14" x14ac:dyDescent="0.25">
      <c r="K32" s="140"/>
      <c r="L32" s="140"/>
      <c r="M32" s="140"/>
      <c r="N32" s="140"/>
    </row>
    <row r="33" spans="2:14" x14ac:dyDescent="0.25">
      <c r="B33" t="s">
        <v>102</v>
      </c>
      <c r="K33" s="140"/>
      <c r="L33" s="140"/>
      <c r="M33" s="140"/>
      <c r="N33" s="140"/>
    </row>
    <row r="34" spans="2:14" x14ac:dyDescent="0.25">
      <c r="B34" t="s">
        <v>103</v>
      </c>
      <c r="K34" s="140"/>
      <c r="L34" s="140"/>
      <c r="M34" s="140"/>
      <c r="N34" s="140"/>
    </row>
    <row r="35" spans="2:14" x14ac:dyDescent="0.25">
      <c r="C35" t="s">
        <v>104</v>
      </c>
      <c r="D35" t="s">
        <v>105</v>
      </c>
      <c r="K35" s="140"/>
      <c r="L35" s="140"/>
      <c r="M35" s="140"/>
      <c r="N35" s="140"/>
    </row>
    <row r="36" spans="2:14" x14ac:dyDescent="0.25">
      <c r="C36" t="s">
        <v>106</v>
      </c>
      <c r="D36" t="s">
        <v>107</v>
      </c>
      <c r="K36" s="140"/>
      <c r="L36" s="140"/>
      <c r="M36" s="140"/>
      <c r="N36" s="140"/>
    </row>
    <row r="37" spans="2:14" x14ac:dyDescent="0.25">
      <c r="C37" t="s">
        <v>108</v>
      </c>
      <c r="D37" t="s">
        <v>109</v>
      </c>
      <c r="K37" s="140"/>
      <c r="L37" s="140"/>
      <c r="M37" s="140"/>
      <c r="N37" s="140"/>
    </row>
    <row r="38" spans="2:14" x14ac:dyDescent="0.25">
      <c r="K38" s="140"/>
      <c r="L38" s="140"/>
      <c r="M38" s="140"/>
      <c r="N38" s="140"/>
    </row>
    <row r="39" spans="2:14" x14ac:dyDescent="0.25">
      <c r="B39" t="s">
        <v>110</v>
      </c>
      <c r="K39" s="140"/>
      <c r="L39" s="140"/>
      <c r="M39" s="140"/>
      <c r="N39" s="140"/>
    </row>
    <row r="40" spans="2:14" x14ac:dyDescent="0.25">
      <c r="B40" t="s">
        <v>111</v>
      </c>
      <c r="K40" s="140"/>
      <c r="L40" s="140"/>
      <c r="M40" s="140"/>
      <c r="N40" s="140"/>
    </row>
    <row r="41" spans="2:14" x14ac:dyDescent="0.25">
      <c r="C41" t="s">
        <v>112</v>
      </c>
      <c r="D41" t="s">
        <v>113</v>
      </c>
      <c r="E41" t="s">
        <v>114</v>
      </c>
      <c r="K41" s="140"/>
      <c r="L41" s="140"/>
      <c r="M41" s="140"/>
      <c r="N41" s="140"/>
    </row>
    <row r="42" spans="2:14" x14ac:dyDescent="0.25">
      <c r="C42" t="s">
        <v>115</v>
      </c>
      <c r="D42" t="s">
        <v>116</v>
      </c>
      <c r="E42" t="s">
        <v>117</v>
      </c>
      <c r="K42" s="140"/>
      <c r="L42" s="140"/>
      <c r="M42" s="140"/>
      <c r="N42" s="140"/>
    </row>
    <row r="43" spans="2:14" x14ac:dyDescent="0.25">
      <c r="C43" t="s">
        <v>118</v>
      </c>
      <c r="D43" t="s">
        <v>119</v>
      </c>
      <c r="E43" t="s">
        <v>120</v>
      </c>
      <c r="K43" s="140"/>
      <c r="L43" s="140"/>
      <c r="M43" s="140"/>
      <c r="N43" s="140"/>
    </row>
    <row r="44" spans="2:14" x14ac:dyDescent="0.25">
      <c r="K44" s="140"/>
      <c r="L44" s="140"/>
      <c r="M44" s="140"/>
      <c r="N44" s="140"/>
    </row>
    <row r="45" spans="2:14" x14ac:dyDescent="0.25">
      <c r="B45" t="s">
        <v>110</v>
      </c>
      <c r="K45" s="140"/>
      <c r="L45" s="140"/>
      <c r="M45" s="140"/>
      <c r="N45" s="140"/>
    </row>
    <row r="46" spans="2:14" x14ac:dyDescent="0.25">
      <c r="B46" t="s">
        <v>121</v>
      </c>
      <c r="K46" s="140"/>
      <c r="L46" s="140"/>
      <c r="M46" s="140"/>
      <c r="N46" s="140"/>
    </row>
    <row r="47" spans="2:14" x14ac:dyDescent="0.25">
      <c r="C47" t="s">
        <v>122</v>
      </c>
      <c r="D47" t="s">
        <v>123</v>
      </c>
      <c r="E47" t="s">
        <v>124</v>
      </c>
      <c r="K47" s="140"/>
      <c r="L47" s="140"/>
      <c r="M47" s="140"/>
      <c r="N47" s="140"/>
    </row>
    <row r="48" spans="2:14" x14ac:dyDescent="0.25">
      <c r="C48" t="s">
        <v>125</v>
      </c>
      <c r="D48" t="s">
        <v>126</v>
      </c>
      <c r="E48" t="s">
        <v>127</v>
      </c>
      <c r="K48" s="140"/>
      <c r="L48" s="140"/>
      <c r="M48" s="140"/>
      <c r="N48" s="140"/>
    </row>
    <row r="49" spans="3:14" x14ac:dyDescent="0.25">
      <c r="C49" t="s">
        <v>128</v>
      </c>
      <c r="D49" t="s">
        <v>129</v>
      </c>
      <c r="E49" t="s">
        <v>130</v>
      </c>
      <c r="K49" s="140"/>
      <c r="L49" s="140"/>
      <c r="M49" s="140"/>
      <c r="N49" s="140"/>
    </row>
    <row r="50" spans="3:14" x14ac:dyDescent="0.25">
      <c r="K50" s="140"/>
      <c r="L50" s="140"/>
      <c r="M50" s="140"/>
      <c r="N50" s="140"/>
    </row>
    <row r="51" spans="3:14" x14ac:dyDescent="0.25">
      <c r="K51" s="140"/>
      <c r="L51" s="140"/>
      <c r="M51" s="140"/>
      <c r="N51" s="140"/>
    </row>
    <row r="52" spans="3:14" x14ac:dyDescent="0.25">
      <c r="K52" s="140"/>
      <c r="L52" s="140"/>
      <c r="M52" s="140"/>
      <c r="N52" s="140"/>
    </row>
    <row r="53" spans="3:14" x14ac:dyDescent="0.25">
      <c r="K53" s="140"/>
      <c r="L53" s="140"/>
      <c r="M53" s="140"/>
      <c r="N53" s="140"/>
    </row>
    <row r="54" spans="3:14" x14ac:dyDescent="0.25">
      <c r="K54" s="140"/>
      <c r="L54" s="140"/>
      <c r="M54" s="140"/>
      <c r="N54" s="140"/>
    </row>
    <row r="55" spans="3:14" x14ac:dyDescent="0.25">
      <c r="F55" s="96"/>
      <c r="K55" s="140"/>
      <c r="L55" s="140"/>
      <c r="M55" s="140"/>
      <c r="N55" s="140"/>
    </row>
    <row r="56" spans="3:14" x14ac:dyDescent="0.25">
      <c r="K56" s="140"/>
      <c r="L56" s="140"/>
      <c r="M56" s="140"/>
      <c r="N56" s="140"/>
    </row>
  </sheetData>
  <mergeCells count="3">
    <mergeCell ref="L5:M5"/>
    <mergeCell ref="B4:C4"/>
    <mergeCell ref="B7:B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Weights and ballast</vt:lpstr>
      <vt:lpstr>Densities</vt:lpstr>
      <vt:lpstr>Inertia moments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MK_Asus</dc:creator>
  <cp:lastModifiedBy>Morten Bech Kramer</cp:lastModifiedBy>
  <dcterms:created xsi:type="dcterms:W3CDTF">2019-03-12T11:00:11Z</dcterms:created>
  <dcterms:modified xsi:type="dcterms:W3CDTF">2020-11-19T12:10:31Z</dcterms:modified>
</cp:coreProperties>
</file>