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7"/>
  <workbookPr updateLinks="never" codeName="ThisWorkbook" defaultThemeVersion="124226"/>
  <mc:AlternateContent xmlns:mc="http://schemas.openxmlformats.org/markup-compatibility/2006">
    <mc:Choice Requires="x15">
      <x15ac:absPath xmlns:x15ac="http://schemas.microsoft.com/office/spreadsheetml/2010/11/ac" url="D:\資料\ツール\接続枚数\"/>
    </mc:Choice>
  </mc:AlternateContent>
  <xr:revisionPtr revIDLastSave="0" documentId="13_ncr:1_{896336E8-A88A-4AED-BC5B-D799711C3096}" xr6:coauthVersionLast="47" xr6:coauthVersionMax="47" xr10:uidLastSave="{00000000-0000-0000-0000-000000000000}"/>
  <workbookProtection workbookAlgorithmName="SHA-512" workbookHashValue="FK7QrlxKvei/yVYlHe2f5gMkujHkBanMILQbAFXp/+GEZGT5wy/VLHDYhN3duq95bbLM2OFVTCZZp2y8i1NCIQ==" workbookSaltValue="ldh2WkaBGypckEgWOJAENg==" workbookSpinCount="100000" lockStructure="1"/>
  <bookViews>
    <workbookView xWindow="-75" yWindow="-16320" windowWidth="29040" windowHeight="15720" tabRatio="584" xr2:uid="{00000000-000D-0000-FFFF-FFFF00000000}"/>
  </bookViews>
  <sheets>
    <sheet name="使い方" sheetId="25" r:id="rId1"/>
    <sheet name="表の見方" sheetId="19" r:id="rId2"/>
    <sheet name="使い方 " sheetId="24" state="hidden" r:id="rId3"/>
    <sheet name="表の見方 " sheetId="23" state="hidden" r:id="rId4"/>
    <sheet name="HUAWEI製ＰＣＳ接続枚数計算ツール 住宅向け" sheetId="15" state="hidden" r:id="rId5"/>
    <sheet name="太陽電池モジュールリスト" sheetId="2" r:id="rId6"/>
    <sheet name="HUAWEI製ＰＣＳ接続枚数計算ツール" sheetId="4" r:id="rId7"/>
    <sheet name="HUAWEI製ＰＣＳ接続枚数計算ツール 複数直列数" sheetId="20" state="hidden" r:id="rId8"/>
    <sheet name="PCS出力の抑制について" sheetId="33" r:id="rId9"/>
    <sheet name="電流値は超えても問題ないのか" sheetId="29" r:id="rId10"/>
    <sheet name="過積載すると最大動作電圧が変化するのはなぜか " sheetId="30" r:id="rId11"/>
    <sheet name="住宅出力" sheetId="27" state="hidden" r:id="rId12"/>
    <sheet name="高電圧出力" sheetId="17" state="hidden" r:id="rId13"/>
    <sheet name="低電圧接続" sheetId="16" state="hidden" r:id="rId14"/>
    <sheet name="枚数" sheetId="6" state="hidden" r:id="rId15"/>
    <sheet name="標準電圧" sheetId="31" state="hidden" r:id="rId16"/>
    <sheet name="標準可否" sheetId="32" state="hidden" r:id="rId17"/>
    <sheet name="高温電圧" sheetId="11" state="hidden" r:id="rId18"/>
    <sheet name="過積載率" sheetId="7" state="hidden" r:id="rId19"/>
    <sheet name="高温過積載率" sheetId="28" state="hidden" r:id="rId20"/>
    <sheet name="低温電圧" sheetId="9" state="hidden" r:id="rId21"/>
    <sheet name="高温可否" sheetId="12" state="hidden" r:id="rId22"/>
    <sheet name="低温可否" sheetId="10" state="hidden" r:id="rId23"/>
    <sheet name="組み合わせ可否" sheetId="14" state="hidden" r:id="rId24"/>
    <sheet name="集電組み合わせ" sheetId="26" state="hidden" r:id="rId25"/>
  </sheets>
  <externalReferences>
    <externalReference r:id="rId26"/>
  </externalReferences>
  <definedNames>
    <definedName name="_xlnm._FilterDatabase" localSheetId="5" hidden="1">太陽電池モジュールリスト!$A$1:$J$1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8" i="4" l="1"/>
  <c r="P138" i="4"/>
  <c r="N138" i="4"/>
  <c r="I1654" i="2"/>
  <c r="H1654" i="2"/>
  <c r="G1654" i="2"/>
  <c r="F1654" i="2"/>
  <c r="E1654" i="2"/>
  <c r="D1654" i="2"/>
  <c r="C1654" i="2"/>
  <c r="B1654" i="2"/>
  <c r="I1647" i="2"/>
  <c r="H1647" i="2"/>
  <c r="G1647" i="2"/>
  <c r="F1647" i="2"/>
  <c r="E1647" i="2"/>
  <c r="D1647" i="2"/>
  <c r="C1647" i="2"/>
  <c r="B1647" i="2"/>
  <c r="I1643" i="2"/>
  <c r="H1643" i="2"/>
  <c r="G1643" i="2"/>
  <c r="F1643" i="2"/>
  <c r="E1643" i="2"/>
  <c r="D1643" i="2"/>
  <c r="C1643" i="2"/>
  <c r="B1643" i="2"/>
  <c r="I1641" i="2"/>
  <c r="H1641" i="2"/>
  <c r="G1641" i="2"/>
  <c r="F1641" i="2"/>
  <c r="E1641" i="2"/>
  <c r="D1641" i="2"/>
  <c r="C1641" i="2"/>
  <c r="B1641" i="2"/>
  <c r="I1637" i="2"/>
  <c r="H1637" i="2"/>
  <c r="G1637" i="2"/>
  <c r="F1637" i="2"/>
  <c r="E1637" i="2"/>
  <c r="D1637" i="2"/>
  <c r="C1637" i="2"/>
  <c r="B1637" i="2"/>
  <c r="I1623" i="2"/>
  <c r="H1623" i="2"/>
  <c r="G1623" i="2"/>
  <c r="F1623" i="2"/>
  <c r="E1623" i="2"/>
  <c r="D1623" i="2"/>
  <c r="C1623" i="2"/>
  <c r="B1623" i="2"/>
  <c r="I1618" i="2"/>
  <c r="H1618" i="2"/>
  <c r="G1618" i="2"/>
  <c r="F1618" i="2"/>
  <c r="E1618" i="2"/>
  <c r="D1618" i="2"/>
  <c r="C1618" i="2"/>
  <c r="B1618" i="2"/>
  <c r="I1609" i="2"/>
  <c r="H1609" i="2"/>
  <c r="G1609" i="2"/>
  <c r="F1609" i="2"/>
  <c r="E1609" i="2"/>
  <c r="D1609" i="2"/>
  <c r="C1609" i="2"/>
  <c r="B1609" i="2"/>
  <c r="I1605" i="2"/>
  <c r="H1605" i="2"/>
  <c r="G1605" i="2"/>
  <c r="F1605" i="2"/>
  <c r="E1605" i="2"/>
  <c r="D1605" i="2"/>
  <c r="C1605" i="2"/>
  <c r="B1605" i="2"/>
  <c r="I1581" i="2"/>
  <c r="H1581" i="2"/>
  <c r="G1581" i="2"/>
  <c r="F1581" i="2"/>
  <c r="E1581" i="2"/>
  <c r="D1581" i="2"/>
  <c r="C1581" i="2"/>
  <c r="B1581" i="2"/>
  <c r="I1568" i="2"/>
  <c r="H1568" i="2"/>
  <c r="G1568" i="2"/>
  <c r="F1568" i="2"/>
  <c r="E1568" i="2"/>
  <c r="D1568" i="2"/>
  <c r="C1568" i="2"/>
  <c r="B1568" i="2"/>
  <c r="I1566" i="2"/>
  <c r="H1566" i="2"/>
  <c r="G1566" i="2"/>
  <c r="F1566" i="2"/>
  <c r="E1566" i="2"/>
  <c r="D1566" i="2"/>
  <c r="C1566" i="2"/>
  <c r="B1566" i="2"/>
  <c r="I1564" i="2"/>
  <c r="H1564" i="2"/>
  <c r="G1564" i="2"/>
  <c r="F1564" i="2"/>
  <c r="E1564" i="2"/>
  <c r="D1564" i="2"/>
  <c r="C1564" i="2"/>
  <c r="B1564" i="2"/>
  <c r="I1562" i="2"/>
  <c r="H1562" i="2"/>
  <c r="G1562" i="2"/>
  <c r="F1562" i="2"/>
  <c r="E1562" i="2"/>
  <c r="D1562" i="2"/>
  <c r="C1562" i="2"/>
  <c r="B1562" i="2"/>
  <c r="I1491" i="2"/>
  <c r="H1491" i="2"/>
  <c r="G1491" i="2"/>
  <c r="F1491" i="2"/>
  <c r="E1491" i="2"/>
  <c r="D1491" i="2"/>
  <c r="C1491" i="2"/>
  <c r="B1491" i="2"/>
  <c r="I1475" i="2"/>
  <c r="H1475" i="2"/>
  <c r="G1475" i="2"/>
  <c r="F1475" i="2"/>
  <c r="E1475" i="2"/>
  <c r="D1475" i="2"/>
  <c r="C1475" i="2"/>
  <c r="B1475" i="2"/>
  <c r="I1473" i="2"/>
  <c r="H1473" i="2"/>
  <c r="G1473" i="2"/>
  <c r="F1473" i="2"/>
  <c r="E1473" i="2"/>
  <c r="D1473" i="2"/>
  <c r="C1473" i="2"/>
  <c r="B1473" i="2"/>
  <c r="I1470" i="2"/>
  <c r="H1470" i="2"/>
  <c r="G1470" i="2"/>
  <c r="F1470" i="2"/>
  <c r="E1470" i="2"/>
  <c r="D1470" i="2"/>
  <c r="C1470" i="2"/>
  <c r="B1470" i="2"/>
  <c r="I1468" i="2"/>
  <c r="H1468" i="2"/>
  <c r="G1468" i="2"/>
  <c r="F1468" i="2"/>
  <c r="E1468" i="2"/>
  <c r="D1468" i="2"/>
  <c r="C1468" i="2"/>
  <c r="B1468" i="2"/>
  <c r="I1466" i="2"/>
  <c r="H1466" i="2"/>
  <c r="G1466" i="2"/>
  <c r="F1466" i="2"/>
  <c r="E1466" i="2"/>
  <c r="D1466" i="2"/>
  <c r="C1466" i="2"/>
  <c r="B1466" i="2"/>
  <c r="I1463" i="2"/>
  <c r="H1463" i="2"/>
  <c r="G1463" i="2"/>
  <c r="F1463" i="2"/>
  <c r="E1463" i="2"/>
  <c r="D1463" i="2"/>
  <c r="C1463" i="2"/>
  <c r="B1463" i="2"/>
  <c r="I1461" i="2"/>
  <c r="H1461" i="2"/>
  <c r="G1461" i="2"/>
  <c r="F1461" i="2"/>
  <c r="E1461" i="2"/>
  <c r="D1461" i="2"/>
  <c r="C1461" i="2"/>
  <c r="B1461" i="2"/>
  <c r="I1459" i="2"/>
  <c r="H1459" i="2"/>
  <c r="G1459" i="2"/>
  <c r="F1459" i="2"/>
  <c r="E1459" i="2"/>
  <c r="D1459" i="2"/>
  <c r="C1459" i="2"/>
  <c r="B1459" i="2"/>
  <c r="I1457" i="2"/>
  <c r="H1457" i="2"/>
  <c r="G1457" i="2"/>
  <c r="F1457" i="2"/>
  <c r="E1457" i="2"/>
  <c r="D1457" i="2"/>
  <c r="C1457" i="2"/>
  <c r="B1457" i="2"/>
  <c r="I1456" i="2"/>
  <c r="H1456" i="2"/>
  <c r="G1456" i="2"/>
  <c r="F1456" i="2"/>
  <c r="E1456" i="2"/>
  <c r="D1456" i="2"/>
  <c r="C1456" i="2"/>
  <c r="B1456" i="2"/>
  <c r="I1453" i="2"/>
  <c r="H1453" i="2"/>
  <c r="G1453" i="2"/>
  <c r="F1453" i="2"/>
  <c r="E1453" i="2"/>
  <c r="D1453" i="2"/>
  <c r="C1453" i="2"/>
  <c r="B1453" i="2"/>
  <c r="I1452" i="2"/>
  <c r="H1452" i="2"/>
  <c r="G1452" i="2"/>
  <c r="F1452" i="2"/>
  <c r="E1452" i="2"/>
  <c r="D1452" i="2"/>
  <c r="C1452" i="2"/>
  <c r="B1452" i="2"/>
  <c r="I1428" i="2"/>
  <c r="H1428" i="2"/>
  <c r="G1428" i="2"/>
  <c r="F1428" i="2"/>
  <c r="E1428" i="2"/>
  <c r="D1428" i="2"/>
  <c r="B1428" i="2"/>
  <c r="I1426" i="2"/>
  <c r="H1426" i="2"/>
  <c r="G1426" i="2"/>
  <c r="F1426" i="2"/>
  <c r="E1426" i="2"/>
  <c r="D1426" i="2"/>
  <c r="C1426" i="2"/>
  <c r="B1426" i="2"/>
  <c r="I1424" i="2"/>
  <c r="H1424" i="2"/>
  <c r="G1424" i="2"/>
  <c r="F1424" i="2"/>
  <c r="E1424" i="2"/>
  <c r="D1424" i="2"/>
  <c r="C1424" i="2"/>
  <c r="B1424" i="2"/>
  <c r="I1421" i="2"/>
  <c r="H1421" i="2"/>
  <c r="G1421" i="2"/>
  <c r="F1421" i="2"/>
  <c r="E1421" i="2"/>
  <c r="D1421" i="2"/>
  <c r="C1421" i="2"/>
  <c r="B1421" i="2"/>
  <c r="I1417" i="2"/>
  <c r="H1417" i="2"/>
  <c r="G1417" i="2"/>
  <c r="F1417" i="2"/>
  <c r="E1417" i="2"/>
  <c r="D1417" i="2"/>
  <c r="C1417" i="2"/>
  <c r="B1417" i="2"/>
  <c r="I1414" i="2"/>
  <c r="H1414" i="2"/>
  <c r="G1414" i="2"/>
  <c r="F1414" i="2"/>
  <c r="E1414" i="2"/>
  <c r="D1414" i="2"/>
  <c r="C1414" i="2"/>
  <c r="B1414" i="2"/>
  <c r="I1411" i="2"/>
  <c r="H1411" i="2"/>
  <c r="G1411" i="2"/>
  <c r="F1411" i="2"/>
  <c r="E1411" i="2"/>
  <c r="D1411" i="2"/>
  <c r="C1411" i="2"/>
  <c r="B1411" i="2"/>
  <c r="I1408" i="2"/>
  <c r="H1408" i="2"/>
  <c r="G1408" i="2"/>
  <c r="F1408" i="2"/>
  <c r="E1408" i="2"/>
  <c r="D1408" i="2"/>
  <c r="C1408" i="2"/>
  <c r="B1408" i="2"/>
  <c r="I1406" i="2"/>
  <c r="H1406" i="2"/>
  <c r="G1406" i="2"/>
  <c r="F1406" i="2"/>
  <c r="E1406" i="2"/>
  <c r="D1406" i="2"/>
  <c r="C1406" i="2"/>
  <c r="B1406" i="2"/>
  <c r="I1402" i="2"/>
  <c r="H1402" i="2"/>
  <c r="G1402" i="2"/>
  <c r="F1402" i="2"/>
  <c r="E1402" i="2"/>
  <c r="D1402" i="2"/>
  <c r="C1402" i="2"/>
  <c r="B1402" i="2"/>
  <c r="I1399" i="2"/>
  <c r="H1399" i="2"/>
  <c r="G1399" i="2"/>
  <c r="F1399" i="2"/>
  <c r="E1399" i="2"/>
  <c r="D1399" i="2"/>
  <c r="C1399" i="2"/>
  <c r="B1399" i="2"/>
  <c r="I1397" i="2"/>
  <c r="H1397" i="2"/>
  <c r="G1397" i="2"/>
  <c r="F1397" i="2"/>
  <c r="E1397" i="2"/>
  <c r="D1397" i="2"/>
  <c r="C1397" i="2"/>
  <c r="B1397" i="2"/>
  <c r="I1388" i="2"/>
  <c r="H1388" i="2"/>
  <c r="G1388" i="2"/>
  <c r="F1388" i="2"/>
  <c r="E1388" i="2"/>
  <c r="D1388" i="2"/>
  <c r="C1388" i="2"/>
  <c r="B1388" i="2"/>
  <c r="I1379" i="2"/>
  <c r="H1379" i="2"/>
  <c r="G1379" i="2"/>
  <c r="F1379" i="2"/>
  <c r="E1379" i="2"/>
  <c r="D1379" i="2"/>
  <c r="C1379" i="2"/>
  <c r="B1379" i="2"/>
  <c r="I1376" i="2"/>
  <c r="H1376" i="2"/>
  <c r="G1376" i="2"/>
  <c r="F1376" i="2"/>
  <c r="E1376" i="2"/>
  <c r="D1376" i="2"/>
  <c r="C1376" i="2"/>
  <c r="B1376" i="2"/>
  <c r="I1299" i="2"/>
  <c r="H1299" i="2"/>
  <c r="G1299" i="2"/>
  <c r="F1299" i="2"/>
  <c r="E1299" i="2"/>
  <c r="D1299" i="2"/>
  <c r="C1299" i="2"/>
  <c r="B1299" i="2"/>
  <c r="H1297" i="2"/>
  <c r="H1295" i="2"/>
  <c r="C1291" i="2"/>
  <c r="I1290" i="2"/>
  <c r="H1290" i="2"/>
  <c r="G1290" i="2"/>
  <c r="F1290" i="2"/>
  <c r="E1290" i="2"/>
  <c r="D1290" i="2"/>
  <c r="C1290" i="2"/>
  <c r="B1290" i="2"/>
  <c r="I1287" i="2"/>
  <c r="H1287" i="2"/>
  <c r="G1287" i="2"/>
  <c r="F1287" i="2"/>
  <c r="E1287" i="2"/>
  <c r="D1287" i="2"/>
  <c r="C1287" i="2"/>
  <c r="B1287" i="2"/>
  <c r="I1285" i="2"/>
  <c r="H1285" i="2"/>
  <c r="G1285" i="2"/>
  <c r="F1285" i="2"/>
  <c r="E1285" i="2"/>
  <c r="D1285" i="2"/>
  <c r="C1285" i="2"/>
  <c r="B1285" i="2"/>
  <c r="I1275" i="2"/>
  <c r="H1275" i="2"/>
  <c r="G1275" i="2"/>
  <c r="F1275" i="2"/>
  <c r="E1275" i="2"/>
  <c r="D1275" i="2"/>
  <c r="C1275" i="2"/>
  <c r="B1275" i="2"/>
  <c r="I1271" i="2"/>
  <c r="H1271" i="2"/>
  <c r="G1271" i="2"/>
  <c r="F1271" i="2"/>
  <c r="E1271" i="2"/>
  <c r="D1271" i="2"/>
  <c r="C1271" i="2"/>
  <c r="B1271" i="2"/>
  <c r="I1258" i="2"/>
  <c r="H1258" i="2"/>
  <c r="G1258" i="2"/>
  <c r="F1258" i="2"/>
  <c r="E1258" i="2"/>
  <c r="D1258" i="2"/>
  <c r="C1258" i="2"/>
  <c r="B1258" i="2"/>
  <c r="I1256" i="2"/>
  <c r="H1256" i="2"/>
  <c r="G1256" i="2"/>
  <c r="F1256" i="2"/>
  <c r="E1256" i="2"/>
  <c r="D1256" i="2"/>
  <c r="C1256" i="2"/>
  <c r="B1256" i="2"/>
  <c r="I1254" i="2"/>
  <c r="H1254" i="2"/>
  <c r="G1254" i="2"/>
  <c r="F1254" i="2"/>
  <c r="E1254" i="2"/>
  <c r="D1254" i="2"/>
  <c r="C1254" i="2"/>
  <c r="B1254" i="2"/>
  <c r="I1252" i="2"/>
  <c r="H1252" i="2"/>
  <c r="G1252" i="2"/>
  <c r="F1252" i="2"/>
  <c r="E1252" i="2"/>
  <c r="D1252" i="2"/>
  <c r="C1252" i="2"/>
  <c r="B1252" i="2"/>
  <c r="I1250" i="2"/>
  <c r="H1250" i="2"/>
  <c r="G1250" i="2"/>
  <c r="F1250" i="2"/>
  <c r="E1250" i="2"/>
  <c r="D1250" i="2"/>
  <c r="C1250" i="2"/>
  <c r="B1250" i="2"/>
  <c r="I1248" i="2"/>
  <c r="H1248" i="2"/>
  <c r="G1248" i="2"/>
  <c r="F1248" i="2"/>
  <c r="E1248" i="2"/>
  <c r="D1248" i="2"/>
  <c r="C1248" i="2"/>
  <c r="B1248" i="2"/>
  <c r="I1246" i="2"/>
  <c r="H1246" i="2"/>
  <c r="G1246" i="2"/>
  <c r="F1246" i="2"/>
  <c r="E1246" i="2"/>
  <c r="D1246" i="2"/>
  <c r="C1246" i="2"/>
  <c r="B1246" i="2"/>
  <c r="I1244" i="2"/>
  <c r="H1244" i="2"/>
  <c r="G1244" i="2"/>
  <c r="F1244" i="2"/>
  <c r="E1244" i="2"/>
  <c r="D1244" i="2"/>
  <c r="C1244" i="2"/>
  <c r="B1244" i="2"/>
  <c r="I1242" i="2"/>
  <c r="H1242" i="2"/>
  <c r="G1242" i="2"/>
  <c r="F1242" i="2"/>
  <c r="E1242" i="2"/>
  <c r="D1242" i="2"/>
  <c r="C1242" i="2"/>
  <c r="B1242" i="2"/>
  <c r="I1232" i="2"/>
  <c r="H1232" i="2"/>
  <c r="I1231" i="2"/>
  <c r="H1231" i="2"/>
  <c r="H1230" i="2"/>
  <c r="I1220" i="2"/>
  <c r="H1220" i="2"/>
  <c r="G1220" i="2"/>
  <c r="F1220" i="2"/>
  <c r="E1220" i="2"/>
  <c r="D1219" i="2"/>
  <c r="D1220" i="2" s="1"/>
  <c r="C1219" i="2"/>
  <c r="C1220" i="2" s="1"/>
  <c r="B1219" i="2"/>
  <c r="B1220" i="2" s="1"/>
  <c r="H1213" i="2"/>
  <c r="I1208" i="2"/>
  <c r="H1208" i="2"/>
  <c r="G1208" i="2"/>
  <c r="F1208" i="2"/>
  <c r="E1208" i="2"/>
  <c r="D1208" i="2"/>
  <c r="C1208" i="2"/>
  <c r="B1208" i="2"/>
  <c r="I1196" i="2"/>
  <c r="H1196" i="2"/>
  <c r="G1196" i="2"/>
  <c r="F1196" i="2"/>
  <c r="E1196" i="2"/>
  <c r="D1196" i="2"/>
  <c r="C1196" i="2"/>
  <c r="B1196" i="2"/>
  <c r="I1194" i="2"/>
  <c r="H1194" i="2"/>
  <c r="G1194" i="2"/>
  <c r="F1194" i="2"/>
  <c r="E1194" i="2"/>
  <c r="D1194" i="2"/>
  <c r="C1194" i="2"/>
  <c r="B1194" i="2"/>
  <c r="I1187" i="2"/>
  <c r="H1187" i="2"/>
  <c r="G1187" i="2"/>
  <c r="F1187" i="2"/>
  <c r="E1187" i="2"/>
  <c r="D1187" i="2"/>
  <c r="C1187" i="2"/>
  <c r="B1187" i="2"/>
  <c r="I1173" i="2"/>
  <c r="H1173" i="2"/>
  <c r="G1173" i="2"/>
  <c r="F1173" i="2"/>
  <c r="E1173" i="2"/>
  <c r="D1173" i="2"/>
  <c r="C1173" i="2"/>
  <c r="B1173" i="2"/>
  <c r="I1171" i="2"/>
  <c r="H1171" i="2"/>
  <c r="G1171" i="2"/>
  <c r="D1171" i="2"/>
  <c r="C1171" i="2"/>
  <c r="F1170" i="2"/>
  <c r="F1171" i="2" s="1"/>
  <c r="E1170" i="2"/>
  <c r="E1171" i="2" s="1"/>
  <c r="B1170" i="2"/>
  <c r="B1171" i="2" s="1"/>
  <c r="I1168" i="2"/>
  <c r="H1168" i="2"/>
  <c r="G1168" i="2"/>
  <c r="F1168" i="2"/>
  <c r="E1168" i="2"/>
  <c r="D1168" i="2"/>
  <c r="C1168" i="2"/>
  <c r="B1168" i="2"/>
  <c r="I1166" i="2"/>
  <c r="H1166" i="2"/>
  <c r="G1166" i="2"/>
  <c r="F1166" i="2"/>
  <c r="E1166" i="2"/>
  <c r="D1166" i="2"/>
  <c r="C1166" i="2"/>
  <c r="B1166" i="2"/>
  <c r="I1157" i="2"/>
  <c r="H1157" i="2"/>
  <c r="G1157" i="2"/>
  <c r="F1157" i="2"/>
  <c r="E1157" i="2"/>
  <c r="D1157" i="2"/>
  <c r="C1157" i="2"/>
  <c r="B1157" i="2"/>
  <c r="I1117" i="2"/>
  <c r="H1117" i="2"/>
  <c r="G1117" i="2"/>
  <c r="F1117" i="2"/>
  <c r="E1117" i="2"/>
  <c r="D1117" i="2"/>
  <c r="C1117" i="2"/>
  <c r="B1117" i="2"/>
  <c r="I1108" i="2"/>
  <c r="H1108" i="2"/>
  <c r="G1108" i="2"/>
  <c r="F1108" i="2"/>
  <c r="E1108" i="2"/>
  <c r="D1108" i="2"/>
  <c r="C1108" i="2"/>
  <c r="B1108" i="2"/>
  <c r="I1076" i="2"/>
  <c r="H1076" i="2"/>
  <c r="G1076" i="2"/>
  <c r="F1076" i="2"/>
  <c r="E1076" i="2"/>
  <c r="D1076" i="2"/>
  <c r="C1076" i="2"/>
  <c r="B1076" i="2"/>
  <c r="F1074" i="2"/>
  <c r="E1074" i="2"/>
  <c r="H1072" i="2"/>
  <c r="H1071" i="2"/>
  <c r="H1070" i="2"/>
  <c r="H1069" i="2"/>
  <c r="H1067" i="2"/>
  <c r="I1066" i="2"/>
  <c r="H1066" i="2"/>
  <c r="G1066" i="2"/>
  <c r="F1066" i="2"/>
  <c r="E1066" i="2"/>
  <c r="D1066" i="2"/>
  <c r="C1066" i="2"/>
  <c r="B1066" i="2"/>
  <c r="H1064" i="2"/>
  <c r="H1063" i="2"/>
  <c r="H1062" i="2"/>
  <c r="H1061" i="2"/>
  <c r="H1060" i="2"/>
  <c r="H1059" i="2"/>
  <c r="H1058" i="2"/>
  <c r="H1057" i="2"/>
  <c r="H1056" i="2"/>
  <c r="H1055" i="2"/>
  <c r="H1054" i="2"/>
  <c r="H1052" i="2"/>
  <c r="H1051" i="2"/>
  <c r="H1049" i="2"/>
  <c r="E1027" i="2"/>
  <c r="C1027" i="2"/>
  <c r="I1009" i="2"/>
  <c r="H1009" i="2"/>
  <c r="G1009" i="2"/>
  <c r="F1009" i="2"/>
  <c r="E1009" i="2"/>
  <c r="D1009" i="2"/>
  <c r="C1009" i="2"/>
  <c r="B1009" i="2"/>
  <c r="I1003" i="2"/>
  <c r="H1003" i="2"/>
  <c r="G1003" i="2"/>
  <c r="F1003" i="2"/>
  <c r="E1003" i="2"/>
  <c r="D1003" i="2"/>
  <c r="C1003" i="2"/>
  <c r="B1003" i="2"/>
  <c r="I999" i="2"/>
  <c r="H999" i="2"/>
  <c r="G999" i="2"/>
  <c r="F999" i="2"/>
  <c r="E999" i="2"/>
  <c r="D999" i="2"/>
  <c r="C999" i="2"/>
  <c r="B999" i="2"/>
  <c r="I993" i="2"/>
  <c r="H993" i="2"/>
  <c r="G993" i="2"/>
  <c r="F993" i="2"/>
  <c r="E993" i="2"/>
  <c r="D993" i="2"/>
  <c r="C993" i="2"/>
  <c r="B993" i="2"/>
  <c r="I990" i="2"/>
  <c r="H990" i="2"/>
  <c r="G990" i="2"/>
  <c r="F990" i="2"/>
  <c r="E990" i="2"/>
  <c r="D990" i="2"/>
  <c r="C990" i="2"/>
  <c r="B990" i="2"/>
  <c r="I984" i="2"/>
  <c r="H984" i="2"/>
  <c r="G984" i="2"/>
  <c r="F984" i="2"/>
  <c r="E984" i="2"/>
  <c r="D984" i="2"/>
  <c r="C984" i="2"/>
  <c r="B984" i="2"/>
  <c r="I973" i="2"/>
  <c r="H973" i="2"/>
  <c r="G973" i="2"/>
  <c r="F973" i="2"/>
  <c r="E973" i="2"/>
  <c r="D973" i="2"/>
  <c r="C973" i="2"/>
  <c r="B973" i="2"/>
  <c r="I970" i="2"/>
  <c r="H970" i="2"/>
  <c r="G970" i="2"/>
  <c r="F970" i="2"/>
  <c r="E970" i="2"/>
  <c r="D970" i="2"/>
  <c r="C970" i="2"/>
  <c r="B970" i="2"/>
  <c r="I968" i="2"/>
  <c r="H968" i="2"/>
  <c r="G968" i="2"/>
  <c r="F968" i="2"/>
  <c r="E968" i="2"/>
  <c r="D968" i="2"/>
  <c r="C968" i="2"/>
  <c r="B968" i="2"/>
  <c r="H964" i="2"/>
  <c r="E954" i="2"/>
  <c r="C954" i="2"/>
  <c r="I945" i="2"/>
  <c r="H945" i="2"/>
  <c r="G945" i="2"/>
  <c r="F945" i="2"/>
  <c r="E945" i="2"/>
  <c r="D945" i="2"/>
  <c r="C945" i="2"/>
  <c r="B945" i="2"/>
  <c r="I940" i="2"/>
  <c r="H940" i="2"/>
  <c r="G940" i="2"/>
  <c r="F940" i="2"/>
  <c r="E940" i="2"/>
  <c r="D940" i="2"/>
  <c r="C940" i="2"/>
  <c r="B940" i="2"/>
  <c r="I938" i="2"/>
  <c r="H938" i="2"/>
  <c r="G938" i="2"/>
  <c r="F938" i="2"/>
  <c r="E938" i="2"/>
  <c r="D938" i="2"/>
  <c r="C938" i="2"/>
  <c r="B938" i="2"/>
  <c r="I934" i="2"/>
  <c r="H934" i="2"/>
  <c r="G934" i="2"/>
  <c r="F934" i="2"/>
  <c r="E934" i="2"/>
  <c r="D934" i="2"/>
  <c r="C934" i="2"/>
  <c r="B934" i="2"/>
  <c r="I932" i="2"/>
  <c r="H932" i="2"/>
  <c r="G932" i="2"/>
  <c r="F932" i="2"/>
  <c r="E932" i="2"/>
  <c r="D932" i="2"/>
  <c r="C932" i="2"/>
  <c r="B932" i="2"/>
  <c r="I929" i="2"/>
  <c r="H929" i="2"/>
  <c r="G929" i="2"/>
  <c r="F929" i="2"/>
  <c r="E929" i="2"/>
  <c r="D929" i="2"/>
  <c r="C929" i="2"/>
  <c r="B929" i="2"/>
  <c r="F924" i="2"/>
  <c r="E924" i="2"/>
  <c r="B924" i="2"/>
  <c r="F916" i="2"/>
  <c r="E916" i="2"/>
  <c r="B916" i="2"/>
  <c r="I913" i="2"/>
  <c r="H913" i="2"/>
  <c r="F913" i="2"/>
  <c r="E913" i="2"/>
  <c r="B913" i="2"/>
  <c r="I900" i="2"/>
  <c r="H900" i="2"/>
  <c r="G900" i="2"/>
  <c r="F900" i="2"/>
  <c r="E900" i="2"/>
  <c r="D900" i="2"/>
  <c r="C900" i="2"/>
  <c r="B900" i="2"/>
  <c r="I898" i="2"/>
  <c r="H898" i="2"/>
  <c r="G898" i="2"/>
  <c r="F898" i="2"/>
  <c r="E898" i="2"/>
  <c r="D898" i="2"/>
  <c r="C898" i="2"/>
  <c r="B898" i="2"/>
  <c r="I896" i="2"/>
  <c r="H896" i="2"/>
  <c r="G896" i="2"/>
  <c r="F896" i="2"/>
  <c r="E896" i="2"/>
  <c r="D896" i="2"/>
  <c r="C896" i="2"/>
  <c r="B896" i="2"/>
  <c r="I894" i="2"/>
  <c r="H894" i="2"/>
  <c r="G894" i="2"/>
  <c r="F894" i="2"/>
  <c r="E894" i="2"/>
  <c r="D894" i="2"/>
  <c r="C894" i="2"/>
  <c r="B894" i="2"/>
  <c r="I876" i="2"/>
  <c r="H876" i="2"/>
  <c r="G876" i="2"/>
  <c r="F876" i="2"/>
  <c r="E876" i="2"/>
  <c r="D876" i="2"/>
  <c r="C876" i="2"/>
  <c r="B876" i="2"/>
  <c r="I874" i="2"/>
  <c r="H874" i="2"/>
  <c r="F874" i="2"/>
  <c r="E874" i="2"/>
  <c r="B874" i="2"/>
  <c r="I872" i="2"/>
  <c r="H872" i="2"/>
  <c r="F872" i="2"/>
  <c r="E872" i="2"/>
  <c r="B872" i="2"/>
  <c r="I869" i="2"/>
  <c r="H869" i="2"/>
  <c r="G869" i="2"/>
  <c r="F869" i="2"/>
  <c r="E869" i="2"/>
  <c r="D869" i="2"/>
  <c r="C869" i="2"/>
  <c r="B869" i="2"/>
  <c r="I863" i="2"/>
  <c r="H863" i="2"/>
  <c r="F863" i="2"/>
  <c r="E863" i="2"/>
  <c r="B863" i="2"/>
  <c r="F859" i="2"/>
  <c r="E859" i="2"/>
  <c r="B859" i="2"/>
  <c r="F855" i="2"/>
  <c r="E855" i="2"/>
  <c r="D855" i="2"/>
  <c r="C855" i="2"/>
  <c r="B855" i="2"/>
  <c r="I851" i="2"/>
  <c r="H851" i="2"/>
  <c r="G851" i="2"/>
  <c r="F851" i="2"/>
  <c r="E851" i="2"/>
  <c r="D851" i="2"/>
  <c r="C851" i="2"/>
  <c r="B851" i="2"/>
  <c r="F840" i="2"/>
  <c r="E840" i="2"/>
  <c r="B840" i="2"/>
  <c r="I828" i="2"/>
  <c r="H828" i="2"/>
  <c r="G828" i="2"/>
  <c r="F828" i="2"/>
  <c r="E828" i="2"/>
  <c r="D828" i="2"/>
  <c r="C828" i="2"/>
  <c r="B828" i="2"/>
  <c r="I826" i="2"/>
  <c r="H826" i="2"/>
  <c r="G826" i="2"/>
  <c r="F826" i="2"/>
  <c r="E826" i="2"/>
  <c r="D826" i="2"/>
  <c r="C826" i="2"/>
  <c r="B826" i="2"/>
  <c r="I824" i="2"/>
  <c r="H824" i="2"/>
  <c r="G824" i="2"/>
  <c r="F824" i="2"/>
  <c r="E824" i="2"/>
  <c r="D824" i="2"/>
  <c r="C824" i="2"/>
  <c r="B824" i="2"/>
  <c r="I818" i="2"/>
  <c r="H818" i="2"/>
  <c r="G818" i="2"/>
  <c r="F818" i="2"/>
  <c r="E818" i="2"/>
  <c r="D818" i="2"/>
  <c r="C818" i="2"/>
  <c r="B818" i="2"/>
  <c r="I816" i="2"/>
  <c r="H816" i="2"/>
  <c r="G816" i="2"/>
  <c r="F816" i="2"/>
  <c r="E816" i="2"/>
  <c r="D816" i="2"/>
  <c r="C816" i="2"/>
  <c r="B816" i="2"/>
  <c r="I813" i="2"/>
  <c r="F813" i="2"/>
  <c r="E813" i="2"/>
  <c r="D813" i="2"/>
  <c r="C813" i="2"/>
  <c r="B813" i="2"/>
  <c r="I811" i="2"/>
  <c r="H811" i="2"/>
  <c r="G811" i="2"/>
  <c r="F811" i="2"/>
  <c r="E811" i="2"/>
  <c r="D811" i="2"/>
  <c r="C811" i="2"/>
  <c r="B811" i="2"/>
  <c r="A811" i="2"/>
  <c r="I809" i="2"/>
  <c r="H809" i="2"/>
  <c r="G809" i="2"/>
  <c r="F809" i="2"/>
  <c r="E809" i="2"/>
  <c r="D809" i="2"/>
  <c r="C809" i="2"/>
  <c r="B809" i="2"/>
  <c r="I807" i="2"/>
  <c r="H807" i="2"/>
  <c r="G807" i="2"/>
  <c r="F807" i="2"/>
  <c r="E807" i="2"/>
  <c r="D807" i="2"/>
  <c r="C807" i="2"/>
  <c r="B807" i="2"/>
  <c r="I805" i="2"/>
  <c r="H805" i="2"/>
  <c r="G805" i="2"/>
  <c r="F805" i="2"/>
  <c r="E805" i="2"/>
  <c r="D805" i="2"/>
  <c r="C805" i="2"/>
  <c r="B805" i="2"/>
  <c r="I803" i="2"/>
  <c r="H803" i="2"/>
  <c r="G803" i="2"/>
  <c r="F803" i="2"/>
  <c r="E803" i="2"/>
  <c r="D803" i="2"/>
  <c r="C803" i="2"/>
  <c r="B803" i="2"/>
  <c r="A803" i="2"/>
  <c r="I801" i="2"/>
  <c r="H801" i="2"/>
  <c r="G801" i="2"/>
  <c r="F801" i="2"/>
  <c r="E801" i="2"/>
  <c r="D801" i="2"/>
  <c r="C801" i="2"/>
  <c r="B801" i="2"/>
  <c r="A801" i="2"/>
  <c r="I799" i="2"/>
  <c r="H799" i="2"/>
  <c r="G799" i="2"/>
  <c r="F799" i="2"/>
  <c r="E799" i="2"/>
  <c r="D799" i="2"/>
  <c r="C799" i="2"/>
  <c r="B799" i="2"/>
  <c r="A799" i="2"/>
  <c r="I797" i="2"/>
  <c r="H797" i="2"/>
  <c r="G797" i="2"/>
  <c r="F797" i="2"/>
  <c r="E797" i="2"/>
  <c r="D797" i="2"/>
  <c r="C797" i="2"/>
  <c r="B797" i="2"/>
  <c r="A797" i="2"/>
  <c r="I795" i="2"/>
  <c r="H795" i="2"/>
  <c r="G795" i="2"/>
  <c r="F795" i="2"/>
  <c r="E795" i="2"/>
  <c r="D795" i="2"/>
  <c r="C795" i="2"/>
  <c r="B795" i="2"/>
  <c r="F794" i="2"/>
  <c r="E794" i="2"/>
  <c r="D794" i="2"/>
  <c r="C794" i="2"/>
  <c r="I793" i="2"/>
  <c r="H793" i="2"/>
  <c r="G793" i="2"/>
  <c r="F793" i="2"/>
  <c r="E793" i="2"/>
  <c r="D793" i="2"/>
  <c r="C793" i="2"/>
  <c r="B793" i="2"/>
  <c r="I791" i="2"/>
  <c r="F791" i="2"/>
  <c r="E791" i="2"/>
  <c r="D791" i="2"/>
  <c r="C791" i="2"/>
  <c r="B791" i="2"/>
  <c r="I789" i="2"/>
  <c r="H789" i="2"/>
  <c r="G789" i="2"/>
  <c r="F789" i="2"/>
  <c r="E789" i="2"/>
  <c r="D789" i="2"/>
  <c r="C789" i="2"/>
  <c r="B789" i="2"/>
  <c r="I787" i="2"/>
  <c r="H787" i="2"/>
  <c r="G787" i="2"/>
  <c r="F787" i="2"/>
  <c r="E787" i="2"/>
  <c r="D787" i="2"/>
  <c r="C787" i="2"/>
  <c r="B787" i="2"/>
  <c r="I785" i="2"/>
  <c r="H785" i="2"/>
  <c r="G785" i="2"/>
  <c r="F785" i="2"/>
  <c r="E785" i="2"/>
  <c r="D785" i="2"/>
  <c r="C785" i="2"/>
  <c r="B785" i="2"/>
  <c r="A785" i="2"/>
  <c r="I783" i="2"/>
  <c r="H783" i="2"/>
  <c r="G783" i="2"/>
  <c r="F783" i="2"/>
  <c r="E783" i="2"/>
  <c r="D783" i="2"/>
  <c r="C783" i="2"/>
  <c r="B783" i="2"/>
  <c r="I776" i="2"/>
  <c r="H776" i="2"/>
  <c r="G776" i="2"/>
  <c r="F776" i="2"/>
  <c r="E776" i="2"/>
  <c r="D776" i="2"/>
  <c r="C776" i="2"/>
  <c r="B776" i="2"/>
  <c r="I774" i="2"/>
  <c r="H774" i="2"/>
  <c r="G774" i="2"/>
  <c r="F774" i="2"/>
  <c r="E774" i="2"/>
  <c r="D774" i="2"/>
  <c r="C774" i="2"/>
  <c r="B774" i="2"/>
  <c r="I771" i="2"/>
  <c r="H771" i="2"/>
  <c r="G771" i="2"/>
  <c r="F771" i="2"/>
  <c r="E771" i="2"/>
  <c r="D771" i="2"/>
  <c r="C771" i="2"/>
  <c r="B771" i="2"/>
  <c r="I765" i="2"/>
  <c r="H765" i="2"/>
  <c r="G765" i="2"/>
  <c r="H762" i="2"/>
  <c r="G762" i="2"/>
  <c r="H759" i="2"/>
  <c r="G759" i="2"/>
  <c r="I758" i="2"/>
  <c r="H758" i="2"/>
  <c r="H757" i="2"/>
  <c r="G757" i="2"/>
  <c r="H756" i="2"/>
  <c r="G756" i="2"/>
  <c r="H755" i="2"/>
  <c r="G755" i="2"/>
  <c r="I754" i="2"/>
  <c r="H754" i="2"/>
  <c r="G754" i="2"/>
  <c r="F754" i="2"/>
  <c r="E754" i="2"/>
  <c r="D754" i="2"/>
  <c r="C754" i="2"/>
  <c r="B754" i="2"/>
  <c r="I753" i="2"/>
  <c r="H753" i="2"/>
  <c r="G753" i="2"/>
  <c r="H752" i="2"/>
  <c r="G752" i="2"/>
  <c r="I751" i="2"/>
  <c r="H751" i="2"/>
  <c r="G751" i="2"/>
  <c r="I745" i="2"/>
  <c r="H745" i="2"/>
  <c r="G745" i="2"/>
  <c r="I732" i="2"/>
  <c r="H732" i="2"/>
  <c r="G732" i="2"/>
  <c r="F732" i="2"/>
  <c r="E732" i="2"/>
  <c r="D732" i="2"/>
  <c r="C732" i="2"/>
  <c r="B732" i="2"/>
  <c r="I723" i="2"/>
  <c r="H723" i="2"/>
  <c r="G723" i="2"/>
  <c r="I721" i="2"/>
  <c r="H721" i="2"/>
  <c r="G721" i="2"/>
  <c r="I716" i="2"/>
  <c r="H716" i="2"/>
  <c r="G716" i="2"/>
  <c r="F716" i="2"/>
  <c r="E716" i="2"/>
  <c r="D716" i="2"/>
  <c r="C716" i="2"/>
  <c r="B716" i="2"/>
  <c r="I713" i="2"/>
  <c r="H713" i="2"/>
  <c r="G713" i="2"/>
  <c r="F713" i="2"/>
  <c r="E713" i="2"/>
  <c r="D713" i="2"/>
  <c r="C713" i="2"/>
  <c r="B713" i="2"/>
  <c r="I711" i="2"/>
  <c r="H711" i="2"/>
  <c r="G711" i="2"/>
  <c r="F711" i="2"/>
  <c r="E711" i="2"/>
  <c r="D711" i="2"/>
  <c r="C711" i="2"/>
  <c r="B711" i="2"/>
  <c r="I709" i="2"/>
  <c r="H709" i="2"/>
  <c r="G709" i="2"/>
  <c r="F709" i="2"/>
  <c r="E709" i="2"/>
  <c r="D709" i="2"/>
  <c r="C709" i="2"/>
  <c r="B709" i="2"/>
  <c r="I707" i="2"/>
  <c r="H707" i="2"/>
  <c r="G707" i="2"/>
  <c r="F707" i="2"/>
  <c r="E707" i="2"/>
  <c r="D707" i="2"/>
  <c r="C707" i="2"/>
  <c r="B707" i="2"/>
  <c r="I704" i="2"/>
  <c r="H704" i="2"/>
  <c r="G704" i="2"/>
  <c r="F704" i="2"/>
  <c r="E704" i="2"/>
  <c r="D704" i="2"/>
  <c r="C704" i="2"/>
  <c r="B704" i="2"/>
  <c r="I702" i="2"/>
  <c r="H702" i="2"/>
  <c r="G702" i="2"/>
  <c r="F702" i="2"/>
  <c r="E702" i="2"/>
  <c r="D702" i="2"/>
  <c r="C702" i="2"/>
  <c r="B702" i="2"/>
  <c r="I699" i="2"/>
  <c r="H699" i="2"/>
  <c r="G699" i="2"/>
  <c r="F699" i="2"/>
  <c r="E699" i="2"/>
  <c r="D699" i="2"/>
  <c r="C699" i="2"/>
  <c r="B699" i="2"/>
  <c r="I697" i="2"/>
  <c r="H697" i="2"/>
  <c r="G697" i="2"/>
  <c r="F697" i="2"/>
  <c r="E697" i="2"/>
  <c r="D697" i="2"/>
  <c r="C697" i="2"/>
  <c r="B697" i="2"/>
  <c r="I694" i="2"/>
  <c r="H694" i="2"/>
  <c r="G694" i="2"/>
  <c r="F694" i="2"/>
  <c r="E694" i="2"/>
  <c r="D694" i="2"/>
  <c r="C694" i="2"/>
  <c r="B694" i="2"/>
  <c r="I691" i="2"/>
  <c r="H691" i="2"/>
  <c r="G691" i="2"/>
  <c r="F691" i="2"/>
  <c r="E691" i="2"/>
  <c r="D691" i="2"/>
  <c r="C691" i="2"/>
  <c r="B691" i="2"/>
  <c r="I685" i="2"/>
  <c r="H685" i="2"/>
  <c r="G685" i="2"/>
  <c r="F685" i="2"/>
  <c r="E685" i="2"/>
  <c r="D685" i="2"/>
  <c r="C685" i="2"/>
  <c r="B685" i="2"/>
  <c r="I681" i="2"/>
  <c r="H681" i="2"/>
  <c r="G681" i="2"/>
  <c r="F681" i="2"/>
  <c r="E681" i="2"/>
  <c r="D681" i="2"/>
  <c r="C681" i="2"/>
  <c r="B681" i="2"/>
  <c r="I677" i="2"/>
  <c r="H677" i="2"/>
  <c r="G677" i="2"/>
  <c r="F677" i="2"/>
  <c r="E677" i="2"/>
  <c r="D677" i="2"/>
  <c r="C677" i="2"/>
  <c r="B677" i="2"/>
  <c r="I673" i="2"/>
  <c r="H673" i="2"/>
  <c r="G673" i="2"/>
  <c r="F673" i="2"/>
  <c r="E673" i="2"/>
  <c r="D673" i="2"/>
  <c r="C673" i="2"/>
  <c r="B673" i="2"/>
  <c r="F670" i="2"/>
  <c r="E670" i="2"/>
  <c r="B670" i="2"/>
  <c r="G667" i="2"/>
  <c r="F667" i="2"/>
  <c r="E667" i="2"/>
  <c r="D667" i="2"/>
  <c r="C667" i="2"/>
  <c r="B667" i="2"/>
  <c r="I666" i="2"/>
  <c r="I667" i="2" s="1"/>
  <c r="H666" i="2"/>
  <c r="H667" i="2" s="1"/>
  <c r="G666" i="2"/>
  <c r="F664" i="2"/>
  <c r="E664" i="2"/>
  <c r="B664" i="2"/>
  <c r="I663" i="2"/>
  <c r="I664" i="2" s="1"/>
  <c r="H663" i="2"/>
  <c r="H664" i="2" s="1"/>
  <c r="I660" i="2"/>
  <c r="H660" i="2"/>
  <c r="G660" i="2"/>
  <c r="F660" i="2"/>
  <c r="E660" i="2"/>
  <c r="D660" i="2"/>
  <c r="C660" i="2"/>
  <c r="B660" i="2"/>
  <c r="F658" i="2"/>
  <c r="E658" i="2"/>
  <c r="D658" i="2"/>
  <c r="C658" i="2"/>
  <c r="B658" i="2"/>
  <c r="I657" i="2"/>
  <c r="I658" i="2" s="1"/>
  <c r="H657" i="2"/>
  <c r="H658" i="2" s="1"/>
  <c r="G657" i="2"/>
  <c r="G658" i="2" s="1"/>
  <c r="I652" i="2"/>
  <c r="H652" i="2"/>
  <c r="G652" i="2"/>
  <c r="F652" i="2"/>
  <c r="E652" i="2"/>
  <c r="D652" i="2"/>
  <c r="C652" i="2"/>
  <c r="B652" i="2"/>
  <c r="I650" i="2"/>
  <c r="H650" i="2"/>
  <c r="G650" i="2"/>
  <c r="F650" i="2"/>
  <c r="E650" i="2"/>
  <c r="D650" i="2"/>
  <c r="C650" i="2"/>
  <c r="B650" i="2"/>
  <c r="I648" i="2"/>
  <c r="H648" i="2"/>
  <c r="G648" i="2"/>
  <c r="F648" i="2"/>
  <c r="E648" i="2"/>
  <c r="D648" i="2"/>
  <c r="C648" i="2"/>
  <c r="B648" i="2"/>
  <c r="I646" i="2"/>
  <c r="H646" i="2"/>
  <c r="G646" i="2"/>
  <c r="F646" i="2"/>
  <c r="E646" i="2"/>
  <c r="D646" i="2"/>
  <c r="C646" i="2"/>
  <c r="B646" i="2"/>
  <c r="I644" i="2"/>
  <c r="H644" i="2"/>
  <c r="G644" i="2"/>
  <c r="F644" i="2"/>
  <c r="E644" i="2"/>
  <c r="D644" i="2"/>
  <c r="C644" i="2"/>
  <c r="B644" i="2"/>
  <c r="I641" i="2"/>
  <c r="H641" i="2"/>
  <c r="G641" i="2"/>
  <c r="F641" i="2"/>
  <c r="E641" i="2"/>
  <c r="D641" i="2"/>
  <c r="C641" i="2"/>
  <c r="B641" i="2"/>
  <c r="I637" i="2"/>
  <c r="H637" i="2"/>
  <c r="G637" i="2"/>
  <c r="F637" i="2"/>
  <c r="E637" i="2"/>
  <c r="D637" i="2"/>
  <c r="C637" i="2"/>
  <c r="B637" i="2"/>
  <c r="D636" i="2"/>
  <c r="C636" i="2"/>
  <c r="B636" i="2"/>
  <c r="I634" i="2"/>
  <c r="I636" i="2" s="1"/>
  <c r="H634" i="2"/>
  <c r="H636" i="2" s="1"/>
  <c r="G634" i="2"/>
  <c r="G636" i="2" s="1"/>
  <c r="F634" i="2"/>
  <c r="F636" i="2" s="1"/>
  <c r="E634" i="2"/>
  <c r="E636" i="2" s="1"/>
  <c r="D634" i="2"/>
  <c r="C634" i="2"/>
  <c r="B634" i="2"/>
  <c r="F630" i="2"/>
  <c r="E630" i="2"/>
  <c r="B630" i="2"/>
  <c r="I628" i="2"/>
  <c r="H628" i="2"/>
  <c r="G628" i="2"/>
  <c r="F628" i="2"/>
  <c r="E628" i="2"/>
  <c r="D628" i="2"/>
  <c r="C628" i="2"/>
  <c r="B628" i="2"/>
  <c r="I625" i="2"/>
  <c r="H625" i="2"/>
  <c r="F625" i="2"/>
  <c r="E625" i="2"/>
  <c r="B625" i="2"/>
  <c r="I623" i="2"/>
  <c r="H623" i="2"/>
  <c r="F623" i="2"/>
  <c r="E623" i="2"/>
  <c r="B623" i="2"/>
  <c r="F621" i="2"/>
  <c r="E621" i="2"/>
  <c r="B621" i="2"/>
  <c r="F609" i="2"/>
  <c r="E609" i="2"/>
  <c r="D609" i="2"/>
  <c r="C609" i="2"/>
  <c r="B609" i="2"/>
  <c r="F603" i="2"/>
  <c r="E603" i="2"/>
  <c r="D603" i="2"/>
  <c r="C603" i="2"/>
  <c r="B603" i="2"/>
  <c r="F594" i="2"/>
  <c r="E594" i="2"/>
  <c r="F593" i="2"/>
  <c r="E593" i="2"/>
  <c r="I579" i="2"/>
  <c r="H579" i="2"/>
  <c r="F579" i="2"/>
  <c r="E579" i="2"/>
  <c r="B579" i="2"/>
  <c r="I575" i="2"/>
  <c r="H575" i="2"/>
  <c r="G575" i="2"/>
  <c r="F575" i="2"/>
  <c r="E575" i="2"/>
  <c r="D575" i="2"/>
  <c r="C575" i="2"/>
  <c r="B575" i="2"/>
  <c r="I570" i="2"/>
  <c r="H570" i="2"/>
  <c r="G570" i="2"/>
  <c r="F570" i="2"/>
  <c r="E570" i="2"/>
  <c r="B570" i="2"/>
  <c r="F547" i="2"/>
  <c r="E547" i="2"/>
  <c r="B547" i="2"/>
  <c r="I542" i="2"/>
  <c r="H542" i="2"/>
  <c r="F542" i="2"/>
  <c r="E542" i="2"/>
  <c r="B542" i="2"/>
  <c r="I530" i="2"/>
  <c r="H530" i="2"/>
  <c r="G530" i="2"/>
  <c r="F530" i="2"/>
  <c r="E530" i="2"/>
  <c r="D530" i="2"/>
  <c r="C530" i="2"/>
  <c r="B530" i="2"/>
  <c r="I496" i="2"/>
  <c r="H496" i="2"/>
  <c r="G496" i="2"/>
  <c r="F496" i="2"/>
  <c r="E496" i="2"/>
  <c r="D496" i="2"/>
  <c r="C496" i="2"/>
  <c r="B496" i="2"/>
  <c r="I479" i="2"/>
  <c r="H479" i="2"/>
  <c r="G479" i="2"/>
  <c r="F479" i="2"/>
  <c r="E479" i="2"/>
  <c r="D479" i="2"/>
  <c r="C479" i="2"/>
  <c r="B479" i="2"/>
  <c r="I475" i="2"/>
  <c r="H475" i="2"/>
  <c r="G475" i="2"/>
  <c r="F475" i="2"/>
  <c r="E475" i="2"/>
  <c r="D475" i="2"/>
  <c r="C475" i="2"/>
  <c r="B475" i="2"/>
  <c r="I470" i="2"/>
  <c r="H470" i="2"/>
  <c r="G470" i="2"/>
  <c r="F470" i="2"/>
  <c r="E470" i="2"/>
  <c r="D470" i="2"/>
  <c r="C470" i="2"/>
  <c r="B470" i="2"/>
  <c r="I468" i="2"/>
  <c r="H468" i="2"/>
  <c r="G468" i="2"/>
  <c r="F468" i="2"/>
  <c r="E468" i="2"/>
  <c r="D468" i="2"/>
  <c r="C468" i="2"/>
  <c r="B468" i="2"/>
  <c r="B460" i="2"/>
  <c r="I454" i="2"/>
  <c r="H454" i="2"/>
  <c r="G454" i="2"/>
  <c r="F454" i="2"/>
  <c r="E454" i="2"/>
  <c r="D454" i="2"/>
  <c r="C454" i="2"/>
  <c r="B454" i="2"/>
  <c r="I446" i="2"/>
  <c r="H446" i="2"/>
  <c r="F446" i="2"/>
  <c r="E446" i="2"/>
  <c r="B446" i="2"/>
  <c r="I440" i="2"/>
  <c r="H440" i="2"/>
  <c r="G440" i="2"/>
  <c r="F440" i="2"/>
  <c r="E440" i="2"/>
  <c r="D440" i="2"/>
  <c r="C440" i="2"/>
  <c r="B440" i="2"/>
  <c r="I438" i="2"/>
  <c r="H438" i="2"/>
  <c r="G438" i="2"/>
  <c r="F438" i="2"/>
  <c r="E438" i="2"/>
  <c r="D438" i="2"/>
  <c r="C438" i="2"/>
  <c r="B438" i="2"/>
  <c r="I436" i="2"/>
  <c r="H436" i="2"/>
  <c r="G436" i="2"/>
  <c r="F436" i="2"/>
  <c r="E436" i="2"/>
  <c r="D436" i="2"/>
  <c r="C436" i="2"/>
  <c r="B436" i="2"/>
  <c r="I434" i="2"/>
  <c r="H434" i="2"/>
  <c r="G434" i="2"/>
  <c r="F434" i="2"/>
  <c r="E434" i="2"/>
  <c r="D434" i="2"/>
  <c r="C434" i="2"/>
  <c r="B434" i="2"/>
  <c r="I432" i="2"/>
  <c r="H432" i="2"/>
  <c r="G432" i="2"/>
  <c r="F432" i="2"/>
  <c r="E432" i="2"/>
  <c r="D432" i="2"/>
  <c r="C432" i="2"/>
  <c r="B432" i="2"/>
  <c r="I430" i="2"/>
  <c r="H430" i="2"/>
  <c r="G430" i="2"/>
  <c r="F430" i="2"/>
  <c r="E430" i="2"/>
  <c r="D430" i="2"/>
  <c r="C430" i="2"/>
  <c r="B430" i="2"/>
  <c r="I428" i="2"/>
  <c r="H428" i="2"/>
  <c r="G428" i="2"/>
  <c r="F428" i="2"/>
  <c r="E428" i="2"/>
  <c r="D428" i="2"/>
  <c r="C428" i="2"/>
  <c r="B428" i="2"/>
  <c r="I426" i="2"/>
  <c r="H426" i="2"/>
  <c r="G426" i="2"/>
  <c r="F426" i="2"/>
  <c r="E426" i="2"/>
  <c r="D426" i="2"/>
  <c r="C426" i="2"/>
  <c r="B426" i="2"/>
  <c r="I423" i="2"/>
  <c r="H423" i="2"/>
  <c r="G423" i="2"/>
  <c r="F423" i="2"/>
  <c r="E423" i="2"/>
  <c r="D423" i="2"/>
  <c r="C423" i="2"/>
  <c r="B423" i="2"/>
  <c r="I421" i="2"/>
  <c r="H421" i="2"/>
  <c r="G421" i="2"/>
  <c r="F421" i="2"/>
  <c r="E421" i="2"/>
  <c r="D421" i="2"/>
  <c r="C421" i="2"/>
  <c r="B421" i="2"/>
  <c r="I419" i="2"/>
  <c r="H419" i="2"/>
  <c r="G419" i="2"/>
  <c r="F419" i="2"/>
  <c r="E419" i="2"/>
  <c r="D419" i="2"/>
  <c r="C419" i="2"/>
  <c r="B419" i="2"/>
  <c r="I417" i="2"/>
  <c r="H417" i="2"/>
  <c r="G417" i="2"/>
  <c r="F417" i="2"/>
  <c r="E417" i="2"/>
  <c r="D417" i="2"/>
  <c r="C417" i="2"/>
  <c r="B417" i="2"/>
  <c r="I415" i="2"/>
  <c r="H415" i="2"/>
  <c r="G415" i="2"/>
  <c r="F415" i="2"/>
  <c r="E415" i="2"/>
  <c r="D415" i="2"/>
  <c r="C415" i="2"/>
  <c r="B415" i="2"/>
  <c r="I402" i="2"/>
  <c r="H402" i="2"/>
  <c r="G402" i="2"/>
  <c r="F402" i="2"/>
  <c r="E402" i="2"/>
  <c r="D402" i="2"/>
  <c r="C402" i="2"/>
  <c r="B402" i="2"/>
  <c r="I397" i="2"/>
  <c r="H397" i="2"/>
  <c r="G397" i="2"/>
  <c r="F397" i="2"/>
  <c r="E397" i="2"/>
  <c r="D397" i="2"/>
  <c r="C397" i="2"/>
  <c r="B397" i="2"/>
  <c r="I383" i="2"/>
  <c r="H383" i="2"/>
  <c r="G383" i="2"/>
  <c r="F383" i="2"/>
  <c r="E383" i="2"/>
  <c r="D383" i="2"/>
  <c r="C383" i="2"/>
  <c r="B383" i="2"/>
  <c r="I381" i="2"/>
  <c r="H381" i="2"/>
  <c r="G381" i="2"/>
  <c r="F381" i="2"/>
  <c r="E381" i="2"/>
  <c r="D381" i="2"/>
  <c r="C381" i="2"/>
  <c r="B381" i="2"/>
  <c r="I379" i="2"/>
  <c r="H379" i="2"/>
  <c r="G379" i="2"/>
  <c r="F379" i="2"/>
  <c r="E379" i="2"/>
  <c r="D379" i="2"/>
  <c r="C379" i="2"/>
  <c r="B379" i="2"/>
  <c r="I362" i="2"/>
  <c r="H362" i="2"/>
  <c r="G362" i="2"/>
  <c r="F362" i="2"/>
  <c r="E362" i="2"/>
  <c r="D362" i="2"/>
  <c r="C362" i="2"/>
  <c r="B362" i="2"/>
  <c r="I359" i="2"/>
  <c r="H359" i="2"/>
  <c r="G359" i="2"/>
  <c r="F359" i="2"/>
  <c r="E359" i="2"/>
  <c r="D359" i="2"/>
  <c r="C359" i="2"/>
  <c r="B359" i="2"/>
  <c r="I355" i="2"/>
  <c r="H355" i="2"/>
  <c r="G355" i="2"/>
  <c r="F355" i="2"/>
  <c r="E355" i="2"/>
  <c r="D355" i="2"/>
  <c r="C355" i="2"/>
  <c r="B355" i="2"/>
  <c r="I344" i="2"/>
  <c r="H344" i="2"/>
  <c r="G344" i="2"/>
  <c r="F344" i="2"/>
  <c r="E344" i="2"/>
  <c r="D344" i="2"/>
  <c r="C344" i="2"/>
  <c r="B344" i="2"/>
  <c r="I330" i="2"/>
  <c r="H330" i="2"/>
  <c r="G330" i="2"/>
  <c r="I329" i="2"/>
  <c r="H329" i="2"/>
  <c r="G329" i="2"/>
  <c r="F329" i="2"/>
  <c r="E329" i="2"/>
  <c r="D329" i="2"/>
  <c r="C329" i="2"/>
  <c r="B329" i="2"/>
  <c r="F315" i="2"/>
  <c r="E315" i="2"/>
  <c r="B315" i="2"/>
  <c r="F314" i="2"/>
  <c r="E314" i="2"/>
  <c r="B314" i="2"/>
  <c r="I292" i="2"/>
  <c r="H292" i="2"/>
  <c r="G292" i="2"/>
  <c r="F292" i="2"/>
  <c r="E292" i="2"/>
  <c r="D292" i="2"/>
  <c r="C292" i="2"/>
  <c r="B292" i="2"/>
  <c r="I289" i="2"/>
  <c r="H289" i="2"/>
  <c r="G289" i="2"/>
  <c r="F289" i="2"/>
  <c r="E289" i="2"/>
  <c r="D289" i="2"/>
  <c r="C289" i="2"/>
  <c r="B289" i="2"/>
  <c r="I284" i="2"/>
  <c r="H284" i="2"/>
  <c r="G284" i="2"/>
  <c r="F284" i="2"/>
  <c r="E284" i="2"/>
  <c r="D284" i="2"/>
  <c r="C284" i="2"/>
  <c r="B284" i="2"/>
  <c r="F274" i="2"/>
  <c r="E274" i="2"/>
  <c r="B274" i="2"/>
  <c r="I270" i="2"/>
  <c r="H270" i="2"/>
  <c r="G270" i="2"/>
  <c r="F270" i="2"/>
  <c r="E270" i="2"/>
  <c r="D270" i="2"/>
  <c r="C270" i="2"/>
  <c r="B270" i="2"/>
  <c r="I268" i="2"/>
  <c r="H268" i="2"/>
  <c r="G268" i="2"/>
  <c r="F268" i="2"/>
  <c r="E268" i="2"/>
  <c r="D268" i="2"/>
  <c r="C268" i="2"/>
  <c r="B268" i="2"/>
  <c r="I261" i="2"/>
  <c r="H261" i="2"/>
  <c r="G261" i="2"/>
  <c r="F261" i="2"/>
  <c r="E261" i="2"/>
  <c r="D261" i="2"/>
  <c r="C261" i="2"/>
  <c r="B261" i="2"/>
  <c r="I256" i="2"/>
  <c r="H256" i="2"/>
  <c r="G256" i="2"/>
  <c r="F256" i="2"/>
  <c r="E256" i="2"/>
  <c r="D256" i="2"/>
  <c r="C256" i="2"/>
  <c r="B256" i="2"/>
  <c r="I254" i="2"/>
  <c r="H254" i="2"/>
  <c r="G254" i="2"/>
  <c r="F254" i="2"/>
  <c r="E254" i="2"/>
  <c r="D254" i="2"/>
  <c r="C254" i="2"/>
  <c r="B254" i="2"/>
  <c r="I239" i="2"/>
  <c r="H239" i="2"/>
  <c r="G239" i="2"/>
  <c r="F239" i="2"/>
  <c r="E239" i="2"/>
  <c r="D239" i="2"/>
  <c r="C239" i="2"/>
  <c r="B239" i="2"/>
  <c r="I237" i="2"/>
  <c r="H237" i="2"/>
  <c r="G237" i="2"/>
  <c r="F237" i="2"/>
  <c r="E237" i="2"/>
  <c r="D237" i="2"/>
  <c r="C237" i="2"/>
  <c r="B237" i="2"/>
  <c r="I235" i="2"/>
  <c r="H235" i="2"/>
  <c r="G235" i="2"/>
  <c r="F235" i="2"/>
  <c r="E235" i="2"/>
  <c r="D235" i="2"/>
  <c r="C235" i="2"/>
  <c r="B235" i="2"/>
  <c r="I233" i="2"/>
  <c r="H233" i="2"/>
  <c r="G233" i="2"/>
  <c r="F233" i="2"/>
  <c r="E233" i="2"/>
  <c r="D233" i="2"/>
  <c r="C233" i="2"/>
  <c r="B233" i="2"/>
  <c r="I231" i="2"/>
  <c r="H231" i="2"/>
  <c r="G231" i="2"/>
  <c r="F231" i="2"/>
  <c r="E231" i="2"/>
  <c r="D231" i="2"/>
  <c r="C231" i="2"/>
  <c r="B231" i="2"/>
  <c r="I229" i="2"/>
  <c r="H229" i="2"/>
  <c r="G229" i="2"/>
  <c r="F229" i="2"/>
  <c r="E229" i="2"/>
  <c r="D229" i="2"/>
  <c r="C229" i="2"/>
  <c r="B229" i="2"/>
  <c r="I227" i="2"/>
  <c r="H227" i="2"/>
  <c r="G227" i="2"/>
  <c r="F227" i="2"/>
  <c r="E227" i="2"/>
  <c r="D227" i="2"/>
  <c r="C227" i="2"/>
  <c r="B227" i="2"/>
  <c r="I225" i="2"/>
  <c r="H225" i="2"/>
  <c r="G225" i="2"/>
  <c r="F225" i="2"/>
  <c r="E225" i="2"/>
  <c r="D225" i="2"/>
  <c r="C225" i="2"/>
  <c r="B225" i="2"/>
  <c r="I222" i="2"/>
  <c r="H222" i="2"/>
  <c r="G222" i="2"/>
  <c r="F222" i="2"/>
  <c r="E222" i="2"/>
  <c r="D222" i="2"/>
  <c r="C222" i="2"/>
  <c r="B222" i="2"/>
  <c r="I219" i="2"/>
  <c r="H219" i="2"/>
  <c r="G219" i="2"/>
  <c r="F219" i="2"/>
  <c r="E219" i="2"/>
  <c r="D219" i="2"/>
  <c r="C219" i="2"/>
  <c r="B219" i="2"/>
  <c r="I217" i="2"/>
  <c r="H217" i="2"/>
  <c r="G217" i="2"/>
  <c r="F217" i="2"/>
  <c r="E217" i="2"/>
  <c r="D217" i="2"/>
  <c r="C217" i="2"/>
  <c r="B217" i="2"/>
  <c r="I215" i="2"/>
  <c r="H215" i="2"/>
  <c r="G215" i="2"/>
  <c r="F215" i="2"/>
  <c r="E215" i="2"/>
  <c r="D215" i="2"/>
  <c r="C215" i="2"/>
  <c r="B215" i="2"/>
  <c r="I210" i="2"/>
  <c r="H210" i="2"/>
  <c r="G210" i="2"/>
  <c r="F210" i="2"/>
  <c r="E210" i="2"/>
  <c r="D210" i="2"/>
  <c r="C210" i="2"/>
  <c r="B210" i="2"/>
  <c r="I207" i="2"/>
  <c r="H207" i="2"/>
  <c r="G207" i="2"/>
  <c r="F207" i="2"/>
  <c r="E207" i="2"/>
  <c r="D207" i="2"/>
  <c r="C207" i="2"/>
  <c r="B207" i="2"/>
  <c r="I205" i="2"/>
  <c r="H205" i="2"/>
  <c r="G205" i="2"/>
  <c r="F205" i="2"/>
  <c r="E205" i="2"/>
  <c r="D205" i="2"/>
  <c r="C205" i="2"/>
  <c r="B205" i="2"/>
  <c r="I201" i="2"/>
  <c r="H201" i="2"/>
  <c r="G201" i="2"/>
  <c r="F201" i="2"/>
  <c r="E201" i="2"/>
  <c r="D201" i="2"/>
  <c r="C201" i="2"/>
  <c r="B201" i="2"/>
  <c r="I199" i="2"/>
  <c r="H199" i="2"/>
  <c r="G199" i="2"/>
  <c r="F199" i="2"/>
  <c r="E199" i="2"/>
  <c r="D199" i="2"/>
  <c r="C199" i="2"/>
  <c r="B199" i="2"/>
  <c r="I197" i="2"/>
  <c r="H197" i="2"/>
  <c r="G197" i="2"/>
  <c r="F197" i="2"/>
  <c r="E197" i="2"/>
  <c r="D197" i="2"/>
  <c r="C197" i="2"/>
  <c r="B197" i="2"/>
  <c r="I194" i="2"/>
  <c r="H194" i="2"/>
  <c r="G194" i="2"/>
  <c r="F194" i="2"/>
  <c r="E194" i="2"/>
  <c r="D194" i="2"/>
  <c r="C194" i="2"/>
  <c r="B194" i="2"/>
  <c r="I191" i="2"/>
  <c r="H191" i="2"/>
  <c r="G191" i="2"/>
  <c r="F191" i="2"/>
  <c r="E191" i="2"/>
  <c r="D191" i="2"/>
  <c r="C191" i="2"/>
  <c r="B191" i="2"/>
  <c r="I172" i="2"/>
  <c r="H172" i="2"/>
  <c r="G172" i="2"/>
  <c r="F172" i="2"/>
  <c r="E172" i="2"/>
  <c r="D172" i="2"/>
  <c r="C172" i="2"/>
  <c r="B172" i="2"/>
  <c r="I168" i="2"/>
  <c r="H168" i="2"/>
  <c r="G168" i="2"/>
  <c r="F168" i="2"/>
  <c r="E168" i="2"/>
  <c r="D168" i="2"/>
  <c r="C168" i="2"/>
  <c r="B168" i="2"/>
  <c r="I162" i="2"/>
  <c r="H162" i="2"/>
  <c r="G162" i="2"/>
  <c r="F162" i="2"/>
  <c r="E162" i="2"/>
  <c r="D162" i="2"/>
  <c r="C162" i="2"/>
  <c r="B162" i="2"/>
  <c r="I160" i="2"/>
  <c r="H160" i="2"/>
  <c r="G160" i="2"/>
  <c r="F160" i="2"/>
  <c r="E160" i="2"/>
  <c r="D160" i="2"/>
  <c r="C160" i="2"/>
  <c r="B160" i="2"/>
  <c r="I158" i="2"/>
  <c r="H158" i="2"/>
  <c r="G158" i="2"/>
  <c r="F158" i="2"/>
  <c r="E158" i="2"/>
  <c r="D158" i="2"/>
  <c r="C158" i="2"/>
  <c r="B158" i="2"/>
  <c r="I156" i="2"/>
  <c r="H156" i="2"/>
  <c r="G156" i="2"/>
  <c r="F156" i="2"/>
  <c r="E156" i="2"/>
  <c r="D156" i="2"/>
  <c r="C156" i="2"/>
  <c r="B156" i="2"/>
  <c r="I154" i="2"/>
  <c r="H154" i="2"/>
  <c r="G154" i="2"/>
  <c r="F154" i="2"/>
  <c r="E154" i="2"/>
  <c r="D154" i="2"/>
  <c r="C154" i="2"/>
  <c r="B154" i="2"/>
  <c r="I140" i="2"/>
  <c r="H140" i="2"/>
  <c r="G140" i="2"/>
  <c r="F140" i="2"/>
  <c r="E140" i="2"/>
  <c r="D140" i="2"/>
  <c r="C140" i="2"/>
  <c r="B140" i="2"/>
  <c r="I138" i="2"/>
  <c r="H138" i="2"/>
  <c r="G138" i="2"/>
  <c r="F138" i="2"/>
  <c r="E138" i="2"/>
  <c r="D138" i="2"/>
  <c r="C138" i="2"/>
  <c r="B138" i="2"/>
  <c r="I136" i="2"/>
  <c r="H136" i="2"/>
  <c r="G136" i="2"/>
  <c r="F136" i="2"/>
  <c r="E136" i="2"/>
  <c r="D136" i="2"/>
  <c r="C136" i="2"/>
  <c r="B136" i="2"/>
  <c r="I123" i="2"/>
  <c r="H123" i="2"/>
  <c r="G123" i="2"/>
  <c r="F123" i="2"/>
  <c r="E123" i="2"/>
  <c r="D123" i="2"/>
  <c r="C123" i="2"/>
  <c r="B123" i="2"/>
  <c r="I76" i="2"/>
  <c r="H76" i="2"/>
  <c r="G76" i="2"/>
  <c r="F76" i="2"/>
  <c r="E76" i="2"/>
  <c r="D76" i="2"/>
  <c r="C76" i="2"/>
  <c r="B76" i="2"/>
  <c r="I74" i="2"/>
  <c r="H74" i="2"/>
  <c r="G74" i="2"/>
  <c r="F74" i="2"/>
  <c r="E74" i="2"/>
  <c r="D74" i="2"/>
  <c r="C74" i="2"/>
  <c r="B74" i="2"/>
  <c r="I44" i="2"/>
  <c r="H44" i="2"/>
  <c r="G44" i="2"/>
  <c r="F44" i="2"/>
  <c r="E44" i="2"/>
  <c r="D44" i="2"/>
  <c r="C44" i="2"/>
  <c r="B44" i="2"/>
  <c r="I42" i="2"/>
  <c r="H42" i="2"/>
  <c r="G42" i="2"/>
  <c r="F42" i="2"/>
  <c r="E42" i="2"/>
  <c r="D42" i="2"/>
  <c r="C42" i="2"/>
  <c r="B42" i="2"/>
  <c r="I40" i="2"/>
  <c r="H40" i="2"/>
  <c r="G40" i="2"/>
  <c r="F40" i="2"/>
  <c r="E40" i="2"/>
  <c r="D40" i="2"/>
  <c r="C40" i="2"/>
  <c r="B40" i="2"/>
  <c r="I34" i="2"/>
  <c r="H34" i="2"/>
  <c r="G34" i="2"/>
  <c r="F34" i="2"/>
  <c r="E34" i="2"/>
  <c r="D34" i="2"/>
  <c r="C34" i="2"/>
  <c r="B34" i="2"/>
  <c r="I32" i="2"/>
  <c r="H32" i="2"/>
  <c r="G32" i="2"/>
  <c r="F32" i="2"/>
  <c r="E32" i="2"/>
  <c r="D32" i="2"/>
  <c r="C32" i="2"/>
  <c r="B32" i="2"/>
  <c r="I26" i="2"/>
  <c r="H26" i="2"/>
  <c r="G26" i="2"/>
  <c r="F26" i="2"/>
  <c r="E26" i="2"/>
  <c r="D26" i="2"/>
  <c r="C26" i="2"/>
  <c r="B26" i="2"/>
  <c r="H7" i="2"/>
  <c r="G7" i="2"/>
  <c r="C11" i="4"/>
  <c r="I3" i="2"/>
  <c r="I4" i="2" s="1"/>
  <c r="H3" i="2"/>
  <c r="H4" i="2" s="1"/>
  <c r="G3" i="2"/>
  <c r="G4" i="2" s="1"/>
  <c r="F3" i="2"/>
  <c r="F4" i="2" s="1"/>
  <c r="E3" i="2"/>
  <c r="E4" i="2" s="1"/>
  <c r="D3" i="2"/>
  <c r="D4" i="2" s="1"/>
  <c r="C3" i="2"/>
  <c r="C4" i="2" s="1"/>
  <c r="B3" i="2"/>
  <c r="B4" i="2" s="1"/>
  <c r="Q138" i="4" l="1"/>
  <c r="T120" i="4"/>
  <c r="N120" i="4"/>
  <c r="Q120" i="4" s="1"/>
  <c r="T119" i="4"/>
  <c r="N119" i="4"/>
  <c r="Q119" i="4" s="1"/>
  <c r="T122" i="4"/>
  <c r="P122" i="4"/>
  <c r="N122" i="4"/>
  <c r="T121" i="4"/>
  <c r="N121" i="4"/>
  <c r="Q121" i="4" s="1"/>
  <c r="G10" i="4"/>
  <c r="D31" i="4" s="1"/>
  <c r="D30" i="4"/>
  <c r="T123" i="4"/>
  <c r="T124" i="4"/>
  <c r="T125" i="4"/>
  <c r="T126" i="4"/>
  <c r="T127" i="4"/>
  <c r="T128" i="4"/>
  <c r="T129" i="4"/>
  <c r="T130" i="4"/>
  <c r="T131" i="4"/>
  <c r="T132" i="4"/>
  <c r="T133" i="4"/>
  <c r="T137" i="4"/>
  <c r="T139" i="4"/>
  <c r="T140" i="4"/>
  <c r="T141" i="4"/>
  <c r="T142" i="4"/>
  <c r="T143" i="4"/>
  <c r="T144" i="4"/>
  <c r="T134" i="4"/>
  <c r="T135" i="4"/>
  <c r="T136" i="4"/>
  <c r="T145" i="4"/>
  <c r="T146" i="4"/>
  <c r="D32" i="4" l="1"/>
  <c r="Q122" i="4"/>
  <c r="D33" i="4"/>
  <c r="P134" i="4" l="1"/>
  <c r="Q134" i="4" s="1"/>
  <c r="P135" i="4" l="1"/>
  <c r="Q135" i="4" l="1"/>
  <c r="P144" i="4" l="1"/>
  <c r="N144" i="4"/>
  <c r="G144" i="4"/>
  <c r="Q144" i="4" l="1"/>
  <c r="M106" i="4" l="1"/>
  <c r="Z113" i="4"/>
  <c r="Y113" i="4" s="1"/>
  <c r="I107" i="4"/>
  <c r="G107" i="4"/>
  <c r="C107" i="4"/>
  <c r="E107" i="4"/>
  <c r="C10" i="4"/>
  <c r="D46" i="4" s="1"/>
  <c r="P136" i="4"/>
  <c r="N136" i="4"/>
  <c r="G9" i="4"/>
  <c r="C71" i="4"/>
  <c r="G143" i="4"/>
  <c r="P146" i="4"/>
  <c r="N146" i="4"/>
  <c r="P143" i="4"/>
  <c r="N143" i="4"/>
  <c r="N139" i="4"/>
  <c r="Q139" i="4" s="1"/>
  <c r="Q137" i="4"/>
  <c r="P133" i="4"/>
  <c r="N133" i="4"/>
  <c r="P132" i="4"/>
  <c r="N132" i="4"/>
  <c r="P131" i="4"/>
  <c r="N131" i="4"/>
  <c r="P130" i="4"/>
  <c r="N130" i="4"/>
  <c r="N129" i="4"/>
  <c r="Q129" i="4" s="1"/>
  <c r="P128" i="4"/>
  <c r="N128" i="4"/>
  <c r="P127" i="4"/>
  <c r="N127" i="4"/>
  <c r="N126" i="4"/>
  <c r="P125" i="4"/>
  <c r="N125" i="4"/>
  <c r="P124" i="4"/>
  <c r="N124" i="4"/>
  <c r="P123" i="4"/>
  <c r="N123" i="4"/>
  <c r="K31" i="4"/>
  <c r="AH32" i="4"/>
  <c r="AF32" i="4"/>
  <c r="E30" i="4"/>
  <c r="F30" i="4"/>
  <c r="G30" i="4"/>
  <c r="H30" i="4"/>
  <c r="I30" i="4"/>
  <c r="J30" i="4"/>
  <c r="K30" i="4"/>
  <c r="L30" i="4"/>
  <c r="M30" i="4"/>
  <c r="G71" i="4"/>
  <c r="J58" i="4"/>
  <c r="C3" i="27"/>
  <c r="D6" i="27"/>
  <c r="N2" i="27"/>
  <c r="B9" i="27"/>
  <c r="B10" i="27"/>
  <c r="B11" i="27"/>
  <c r="B12" i="27"/>
  <c r="B13" i="27"/>
  <c r="B14" i="27"/>
  <c r="B15" i="27"/>
  <c r="B16" i="27"/>
  <c r="B17" i="27"/>
  <c r="B18" i="27"/>
  <c r="B19" i="27"/>
  <c r="B20" i="27"/>
  <c r="B21" i="27"/>
  <c r="B22" i="27"/>
  <c r="B23" i="27"/>
  <c r="B24" i="27"/>
  <c r="B25" i="27"/>
  <c r="B26" i="27"/>
  <c r="B27" i="27"/>
  <c r="B28" i="27"/>
  <c r="B29" i="27"/>
  <c r="B30" i="27"/>
  <c r="B31" i="27"/>
  <c r="B32" i="27"/>
  <c r="B33" i="27"/>
  <c r="B34" i="27"/>
  <c r="B35" i="27"/>
  <c r="B36" i="27"/>
  <c r="B37"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B64" i="27"/>
  <c r="B65" i="27"/>
  <c r="B66" i="27"/>
  <c r="B67" i="27"/>
  <c r="B68" i="27"/>
  <c r="B8" i="27"/>
  <c r="D153" i="4"/>
  <c r="Y114" i="4"/>
  <c r="AA52" i="4"/>
  <c r="AA51" i="4" s="1"/>
  <c r="M10" i="4"/>
  <c r="J10" i="4"/>
  <c r="E10" i="4"/>
  <c r="M9" i="4"/>
  <c r="J9" i="4"/>
  <c r="K107" i="4"/>
  <c r="AC72" i="4"/>
  <c r="E6" i="15"/>
  <c r="AB72" i="4"/>
  <c r="Z72" i="4"/>
  <c r="AG32" i="4"/>
  <c r="C1" i="25"/>
  <c r="C1" i="24"/>
  <c r="F51" i="4"/>
  <c r="D40" i="20"/>
  <c r="E40" i="20"/>
  <c r="F40" i="20"/>
  <c r="G40" i="20"/>
  <c r="H40" i="20"/>
  <c r="I40" i="20"/>
  <c r="J40" i="20"/>
  <c r="K40" i="20"/>
  <c r="L40" i="20"/>
  <c r="C40" i="20"/>
  <c r="M40" i="20"/>
  <c r="C45" i="20"/>
  <c r="D111" i="20"/>
  <c r="D110" i="20"/>
  <c r="D109" i="20"/>
  <c r="D108" i="20"/>
  <c r="D107" i="20"/>
  <c r="D106" i="20"/>
  <c r="D105" i="20"/>
  <c r="D104" i="20"/>
  <c r="D103" i="20"/>
  <c r="D102" i="20"/>
  <c r="D101" i="20"/>
  <c r="D100" i="20"/>
  <c r="Q92" i="20"/>
  <c r="Q91" i="20"/>
  <c r="Q90" i="20"/>
  <c r="Q89" i="20"/>
  <c r="Q88" i="20"/>
  <c r="Q87" i="20"/>
  <c r="Q86" i="20"/>
  <c r="Q85" i="20"/>
  <c r="Q84" i="20"/>
  <c r="Q83" i="20"/>
  <c r="Q81" i="20"/>
  <c r="Q80" i="20"/>
  <c r="Q79" i="20"/>
  <c r="K68" i="20"/>
  <c r="I68" i="20"/>
  <c r="G68" i="20"/>
  <c r="E68" i="20"/>
  <c r="C68" i="20"/>
  <c r="M67" i="20"/>
  <c r="O54" i="20"/>
  <c r="O53" i="20"/>
  <c r="J19" i="20"/>
  <c r="J15" i="20"/>
  <c r="K10" i="20"/>
  <c r="I10" i="20"/>
  <c r="G10" i="20"/>
  <c r="E10" i="20"/>
  <c r="C10" i="20"/>
  <c r="K9" i="20"/>
  <c r="I9" i="20"/>
  <c r="G9" i="20"/>
  <c r="D158" i="4"/>
  <c r="D154" i="4"/>
  <c r="D156" i="4"/>
  <c r="D161" i="4"/>
  <c r="D160" i="4"/>
  <c r="D159" i="4"/>
  <c r="D150" i="4"/>
  <c r="D152" i="4"/>
  <c r="D157" i="4"/>
  <c r="D155" i="4"/>
  <c r="D151" i="4"/>
  <c r="M31" i="15"/>
  <c r="C32" i="15"/>
  <c r="E32" i="15"/>
  <c r="G32" i="15"/>
  <c r="I32" i="15"/>
  <c r="K32" i="15"/>
  <c r="O32" i="15"/>
  <c r="J14" i="15"/>
  <c r="H19" i="4"/>
  <c r="G5" i="4"/>
  <c r="L5" i="4"/>
  <c r="J24" i="4"/>
  <c r="C104" i="4" l="1"/>
  <c r="O52" i="4" s="1"/>
  <c r="I6" i="20"/>
  <c r="E6" i="20"/>
  <c r="I6" i="15"/>
  <c r="G5" i="15"/>
  <c r="L5" i="20"/>
  <c r="C6" i="15"/>
  <c r="C40" i="15" s="1"/>
  <c r="K6" i="15"/>
  <c r="K5" i="15"/>
  <c r="I5" i="20"/>
  <c r="Q124" i="4"/>
  <c r="Q127" i="4"/>
  <c r="Q131" i="4"/>
  <c r="Q128" i="4"/>
  <c r="Q125" i="4"/>
  <c r="Q132" i="4"/>
  <c r="Q133" i="4"/>
  <c r="Q146" i="4"/>
  <c r="Q143" i="4"/>
  <c r="Q130" i="4"/>
  <c r="Q123" i="4"/>
  <c r="B32" i="10"/>
  <c r="J32" i="10"/>
  <c r="R32" i="10"/>
  <c r="Z32" i="10"/>
  <c r="AH32" i="10"/>
  <c r="U32" i="10"/>
  <c r="AK32" i="10"/>
  <c r="V32" i="10"/>
  <c r="G32" i="10"/>
  <c r="AE32" i="10"/>
  <c r="P32" i="10"/>
  <c r="AN32" i="10"/>
  <c r="I32" i="10"/>
  <c r="AG32" i="10"/>
  <c r="C32" i="10"/>
  <c r="K32" i="10"/>
  <c r="S32" i="10"/>
  <c r="AA32" i="10"/>
  <c r="AI32" i="10"/>
  <c r="E32" i="10"/>
  <c r="AC32" i="10"/>
  <c r="N32" i="10"/>
  <c r="AD32" i="10"/>
  <c r="O32" i="10"/>
  <c r="AM32" i="10"/>
  <c r="X32" i="10"/>
  <c r="Y32" i="10"/>
  <c r="AO32" i="10"/>
  <c r="D32" i="10"/>
  <c r="L32" i="10"/>
  <c r="T32" i="10"/>
  <c r="AB32" i="10"/>
  <c r="AJ32" i="10"/>
  <c r="M32" i="10"/>
  <c r="F32" i="10"/>
  <c r="AL32" i="10"/>
  <c r="W32" i="10"/>
  <c r="H32" i="10"/>
  <c r="AF32" i="10"/>
  <c r="Q32" i="10"/>
  <c r="AD72" i="4"/>
  <c r="AC73" i="4"/>
  <c r="Y72" i="4"/>
  <c r="X72" i="4"/>
  <c r="C6" i="20"/>
  <c r="D76" i="20" s="1"/>
  <c r="AD73" i="4"/>
  <c r="X73" i="4"/>
  <c r="C6" i="4"/>
  <c r="G6" i="15"/>
  <c r="G6" i="20"/>
  <c r="AA72" i="4"/>
  <c r="I5" i="15"/>
  <c r="L6" i="20"/>
  <c r="Y73" i="4"/>
  <c r="G5" i="20"/>
  <c r="Z73" i="4"/>
  <c r="AA73" i="4"/>
  <c r="W72" i="4"/>
  <c r="AB73" i="4"/>
  <c r="W73" i="4"/>
  <c r="AB71" i="4"/>
  <c r="I6" i="4"/>
  <c r="L6" i="4"/>
  <c r="G6" i="4"/>
  <c r="E6" i="4"/>
  <c r="L3" i="27"/>
  <c r="I5" i="4"/>
  <c r="Q136" i="4"/>
  <c r="Q126" i="4"/>
  <c r="H31" i="4"/>
  <c r="H34" i="4" s="1"/>
  <c r="J31" i="4"/>
  <c r="J34" i="4" s="1"/>
  <c r="F31" i="4"/>
  <c r="F32" i="4" s="1"/>
  <c r="L31" i="4"/>
  <c r="L32" i="4" s="1"/>
  <c r="K33" i="4"/>
  <c r="K34" i="4"/>
  <c r="K32" i="4"/>
  <c r="M31" i="4"/>
  <c r="E31" i="4"/>
  <c r="G31" i="4"/>
  <c r="G33" i="4" s="1"/>
  <c r="I31" i="4"/>
  <c r="L4" i="27"/>
  <c r="I3" i="27"/>
  <c r="I4" i="27"/>
  <c r="E4" i="27"/>
  <c r="G3" i="27"/>
  <c r="C4" i="27"/>
  <c r="G4" i="27"/>
  <c r="X71" i="4"/>
  <c r="Y71" i="4"/>
  <c r="W71" i="4"/>
  <c r="AD71" i="4"/>
  <c r="Z71" i="4"/>
  <c r="AA71" i="4"/>
  <c r="AC71" i="4"/>
  <c r="C103" i="4"/>
  <c r="H29" i="20" l="1"/>
  <c r="C29" i="15"/>
  <c r="E29" i="15"/>
  <c r="M32" i="15" s="1"/>
  <c r="D115" i="4"/>
  <c r="C28" i="15"/>
  <c r="E28" i="15"/>
  <c r="C33" i="15" s="1"/>
  <c r="C34" i="15" s="1"/>
  <c r="E104" i="4"/>
  <c r="O51" i="4" s="1"/>
  <c r="D41" i="4"/>
  <c r="P60" i="4"/>
  <c r="E65" i="20"/>
  <c r="L38" i="20" s="1"/>
  <c r="C64" i="20"/>
  <c r="H28" i="15"/>
  <c r="D37" i="15" s="1"/>
  <c r="D38" i="15" s="1"/>
  <c r="D39" i="15" s="1"/>
  <c r="J21" i="15"/>
  <c r="D40" i="15"/>
  <c r="H7" i="15"/>
  <c r="N29" i="15" s="1"/>
  <c r="AT23" i="9"/>
  <c r="AS26" i="9"/>
  <c r="AQ27" i="9"/>
  <c r="AS30" i="9"/>
  <c r="AQ31" i="9"/>
  <c r="AP24" i="9"/>
  <c r="AT26" i="9"/>
  <c r="AR27" i="9"/>
  <c r="AP28" i="9"/>
  <c r="AT30" i="9"/>
  <c r="AR31" i="9"/>
  <c r="AQ24" i="9"/>
  <c r="AS27" i="9"/>
  <c r="AQ28" i="9"/>
  <c r="AS31" i="9"/>
  <c r="AR24" i="9"/>
  <c r="AP25" i="9"/>
  <c r="AT27" i="9"/>
  <c r="AR28" i="9"/>
  <c r="AP29" i="9"/>
  <c r="AT31" i="9"/>
  <c r="AP23" i="9"/>
  <c r="AS24" i="9"/>
  <c r="AQ25" i="9"/>
  <c r="AS28" i="9"/>
  <c r="AQ29" i="9"/>
  <c r="AQ23" i="9"/>
  <c r="AT24" i="9"/>
  <c r="AR25" i="9"/>
  <c r="AP26" i="9"/>
  <c r="AT28" i="9"/>
  <c r="AR29" i="9"/>
  <c r="AP30" i="9"/>
  <c r="AS23" i="9"/>
  <c r="AT25" i="9"/>
  <c r="AR26" i="9"/>
  <c r="AP27" i="9"/>
  <c r="AT29" i="9"/>
  <c r="AR30" i="9"/>
  <c r="AS29" i="9"/>
  <c r="AR23" i="9"/>
  <c r="AQ30" i="9"/>
  <c r="AQ26" i="9"/>
  <c r="AP31" i="9"/>
  <c r="AS25" i="9"/>
  <c r="J57" i="4"/>
  <c r="M57" i="4" s="1"/>
  <c r="H35" i="20"/>
  <c r="J33" i="20"/>
  <c r="K25" i="20"/>
  <c r="C34" i="20"/>
  <c r="L34" i="20"/>
  <c r="H26" i="20"/>
  <c r="C35" i="20"/>
  <c r="M58" i="20"/>
  <c r="J41" i="20"/>
  <c r="K34" i="20"/>
  <c r="J28" i="20"/>
  <c r="D25" i="20"/>
  <c r="J26" i="20"/>
  <c r="E33" i="20"/>
  <c r="G41" i="20"/>
  <c r="C41" i="20"/>
  <c r="C46" i="20"/>
  <c r="E41" i="20"/>
  <c r="E29" i="20"/>
  <c r="I27" i="20"/>
  <c r="G29" i="20"/>
  <c r="J27" i="20"/>
  <c r="E26" i="20"/>
  <c r="L29" i="20"/>
  <c r="K41" i="20"/>
  <c r="G27" i="20"/>
  <c r="D41" i="20"/>
  <c r="E25" i="20"/>
  <c r="C76" i="20"/>
  <c r="H27" i="20"/>
  <c r="I34" i="20"/>
  <c r="I33" i="20"/>
  <c r="L27" i="20"/>
  <c r="F25" i="20"/>
  <c r="I41" i="20"/>
  <c r="D30" i="20"/>
  <c r="K29" i="20"/>
  <c r="E30" i="20"/>
  <c r="I25" i="20"/>
  <c r="H7" i="20"/>
  <c r="L41" i="20"/>
  <c r="J29" i="20"/>
  <c r="C26" i="20"/>
  <c r="G30" i="20"/>
  <c r="Q53" i="20"/>
  <c r="I54" i="20" s="1"/>
  <c r="D28" i="20"/>
  <c r="G28" i="20"/>
  <c r="K28" i="20"/>
  <c r="H28" i="20"/>
  <c r="K35" i="20"/>
  <c r="H41" i="20"/>
  <c r="C25" i="20"/>
  <c r="F33" i="20"/>
  <c r="K26" i="20"/>
  <c r="D29" i="20"/>
  <c r="J35" i="20"/>
  <c r="E35" i="20"/>
  <c r="F41" i="20"/>
  <c r="D34" i="20"/>
  <c r="E64" i="20"/>
  <c r="C69" i="20" s="1"/>
  <c r="L75" i="20" s="1"/>
  <c r="J30" i="20"/>
  <c r="J25" i="20"/>
  <c r="C29" i="20"/>
  <c r="D33" i="20"/>
  <c r="F34" i="20"/>
  <c r="I26" i="20"/>
  <c r="H25" i="20"/>
  <c r="G26" i="20"/>
  <c r="I35" i="20"/>
  <c r="I28" i="20"/>
  <c r="F26" i="20"/>
  <c r="H64" i="20"/>
  <c r="F54" i="20" s="1"/>
  <c r="L33" i="20"/>
  <c r="G33" i="20"/>
  <c r="H30" i="20"/>
  <c r="D27" i="20"/>
  <c r="C28" i="20"/>
  <c r="C30" i="20"/>
  <c r="K30" i="20"/>
  <c r="L30" i="20"/>
  <c r="L28" i="20"/>
  <c r="K27" i="20"/>
  <c r="H34" i="20"/>
  <c r="F35" i="20"/>
  <c r="L35" i="20"/>
  <c r="E27" i="20"/>
  <c r="F30" i="20"/>
  <c r="K33" i="20"/>
  <c r="D26" i="20"/>
  <c r="C33" i="20"/>
  <c r="G25" i="20"/>
  <c r="G35" i="20"/>
  <c r="L26" i="20"/>
  <c r="F29" i="20"/>
  <c r="J34" i="20"/>
  <c r="H33" i="20"/>
  <c r="G34" i="20"/>
  <c r="F27" i="20"/>
  <c r="I30" i="20"/>
  <c r="E34" i="20"/>
  <c r="I29" i="20"/>
  <c r="F28" i="20"/>
  <c r="L25" i="20"/>
  <c r="C27" i="20"/>
  <c r="E28" i="20"/>
  <c r="D35" i="20"/>
  <c r="Z114" i="4"/>
  <c r="G104" i="4" s="1"/>
  <c r="L51" i="4" s="1"/>
  <c r="F52" i="4"/>
  <c r="F53" i="4"/>
  <c r="H7" i="4"/>
  <c r="J116" i="4"/>
  <c r="C65" i="20"/>
  <c r="L54" i="20" s="1"/>
  <c r="M107" i="4"/>
  <c r="G23" i="4" s="1"/>
  <c r="C115" i="4"/>
  <c r="AR17" i="9"/>
  <c r="AQ9" i="9"/>
  <c r="J104" i="4"/>
  <c r="P59" i="4" s="1"/>
  <c r="L113" i="4" s="1"/>
  <c r="AT16" i="9"/>
  <c r="AP4" i="9"/>
  <c r="AS7" i="9"/>
  <c r="AP11" i="9"/>
  <c r="AS19" i="9"/>
  <c r="AP7" i="9"/>
  <c r="AS5" i="9"/>
  <c r="AT10" i="9"/>
  <c r="AR18" i="9"/>
  <c r="AT15" i="9"/>
  <c r="AS21" i="9"/>
  <c r="AQ7" i="9"/>
  <c r="AP10" i="9"/>
  <c r="AQ22" i="9"/>
  <c r="AR14" i="9"/>
  <c r="AS20" i="9"/>
  <c r="AT17" i="9"/>
  <c r="AR13" i="9"/>
  <c r="AR3" i="9"/>
  <c r="AR19" i="9"/>
  <c r="AR7" i="9"/>
  <c r="AQ17" i="9"/>
  <c r="H103" i="4"/>
  <c r="AP5" i="9"/>
  <c r="AQ8" i="9"/>
  <c r="AQ20" i="9"/>
  <c r="AP22" i="9"/>
  <c r="AT8" i="9"/>
  <c r="AT4" i="9"/>
  <c r="AR21" i="9"/>
  <c r="AP8" i="9"/>
  <c r="AQ15" i="9"/>
  <c r="AP9" i="9"/>
  <c r="AS17" i="9"/>
  <c r="E103" i="4"/>
  <c r="AQ13" i="9"/>
  <c r="AT9" i="9"/>
  <c r="AT7" i="9"/>
  <c r="AP18" i="9"/>
  <c r="AQ18" i="9"/>
  <c r="AR6" i="9"/>
  <c r="AS18" i="9"/>
  <c r="AQ21" i="9"/>
  <c r="AS14" i="9"/>
  <c r="AS8" i="9"/>
  <c r="AS9" i="9"/>
  <c r="AR4" i="9"/>
  <c r="AP15" i="9"/>
  <c r="AP13" i="9"/>
  <c r="AR5" i="9"/>
  <c r="AS4" i="9"/>
  <c r="AT11" i="9"/>
  <c r="AS6" i="9"/>
  <c r="AP16" i="9"/>
  <c r="AR8" i="9"/>
  <c r="AP21" i="9"/>
  <c r="AT18" i="9"/>
  <c r="AT14" i="9"/>
  <c r="AR20" i="9"/>
  <c r="AP19" i="9"/>
  <c r="AQ19" i="9"/>
  <c r="AR11" i="9"/>
  <c r="AR22" i="9"/>
  <c r="AQ3" i="9"/>
  <c r="AS22" i="9"/>
  <c r="AP14" i="9"/>
  <c r="AT3" i="9"/>
  <c r="AP6" i="9"/>
  <c r="AQ11" i="9"/>
  <c r="AT12" i="9"/>
  <c r="AT6" i="9"/>
  <c r="AS12" i="9"/>
  <c r="AR10" i="9"/>
  <c r="AT19" i="9"/>
  <c r="AT21" i="9"/>
  <c r="AR15" i="9"/>
  <c r="AT22" i="9"/>
  <c r="AQ12" i="9"/>
  <c r="AQ10" i="9"/>
  <c r="AS11" i="9"/>
  <c r="AT5" i="9"/>
  <c r="AQ4" i="9"/>
  <c r="AQ14" i="9"/>
  <c r="AS16" i="9"/>
  <c r="AP17" i="9"/>
  <c r="AR12" i="9"/>
  <c r="AT20" i="9"/>
  <c r="AP12" i="9"/>
  <c r="AR16" i="9"/>
  <c r="AR9" i="9"/>
  <c r="AS13" i="9"/>
  <c r="AP3" i="9"/>
  <c r="AS10" i="9"/>
  <c r="AT13" i="9"/>
  <c r="AP20" i="9"/>
  <c r="AQ5" i="9"/>
  <c r="AQ6" i="9"/>
  <c r="AQ16" i="9"/>
  <c r="AS3" i="9"/>
  <c r="AS15" i="9"/>
  <c r="K41" i="4"/>
  <c r="E105" i="4"/>
  <c r="L34" i="4"/>
  <c r="H33" i="4"/>
  <c r="H41" i="4" s="1"/>
  <c r="F33" i="4"/>
  <c r="F41" i="4" s="1"/>
  <c r="J32" i="4"/>
  <c r="F34" i="4"/>
  <c r="H32" i="4"/>
  <c r="L33" i="4"/>
  <c r="L42" i="4" s="1"/>
  <c r="J33" i="4"/>
  <c r="J41" i="4" s="1"/>
  <c r="G41" i="4"/>
  <c r="G34" i="4"/>
  <c r="G32" i="4"/>
  <c r="D34" i="4"/>
  <c r="D42" i="4"/>
  <c r="E33" i="4"/>
  <c r="E41" i="4" s="1"/>
  <c r="E34" i="4"/>
  <c r="E32" i="4"/>
  <c r="I32" i="4"/>
  <c r="I33" i="4"/>
  <c r="I41" i="4" s="1"/>
  <c r="I34" i="4"/>
  <c r="M37" i="4"/>
  <c r="M33" i="4"/>
  <c r="M41" i="4" s="1"/>
  <c r="M34" i="4"/>
  <c r="M32" i="4"/>
  <c r="C34" i="27"/>
  <c r="D34" i="27" s="1"/>
  <c r="E34" i="27" s="1"/>
  <c r="F34" i="27" s="1"/>
  <c r="G34" i="27" s="1"/>
  <c r="C68" i="27"/>
  <c r="D68" i="27" s="1"/>
  <c r="E68" i="27" s="1"/>
  <c r="F68" i="27" s="1"/>
  <c r="G68" i="27" s="1"/>
  <c r="C64" i="27"/>
  <c r="D64" i="27" s="1"/>
  <c r="E64" i="27" s="1"/>
  <c r="F64" i="27" s="1"/>
  <c r="G64" i="27" s="1"/>
  <c r="C12" i="27"/>
  <c r="D12" i="27" s="1"/>
  <c r="E12" i="27" s="1"/>
  <c r="F12" i="27" s="1"/>
  <c r="G12" i="27" s="1"/>
  <c r="C29" i="27"/>
  <c r="D29" i="27" s="1"/>
  <c r="E29" i="27" s="1"/>
  <c r="F29" i="27" s="1"/>
  <c r="G29" i="27" s="1"/>
  <c r="C55" i="27"/>
  <c r="D55" i="27" s="1"/>
  <c r="E55" i="27" s="1"/>
  <c r="F55" i="27" s="1"/>
  <c r="G55" i="27" s="1"/>
  <c r="C63" i="27"/>
  <c r="D63" i="27" s="1"/>
  <c r="E63" i="27" s="1"/>
  <c r="F63" i="27" s="1"/>
  <c r="G63" i="27" s="1"/>
  <c r="C33" i="27"/>
  <c r="D33" i="27" s="1"/>
  <c r="E33" i="27" s="1"/>
  <c r="F33" i="27" s="1"/>
  <c r="G33" i="27" s="1"/>
  <c r="C47" i="27"/>
  <c r="D47" i="27" s="1"/>
  <c r="E47" i="27" s="1"/>
  <c r="F47" i="27" s="1"/>
  <c r="G47" i="27" s="1"/>
  <c r="C11" i="27"/>
  <c r="D11" i="27" s="1"/>
  <c r="E11" i="27" s="1"/>
  <c r="F11" i="27" s="1"/>
  <c r="G11" i="27" s="1"/>
  <c r="C14" i="27"/>
  <c r="D14" i="27" s="1"/>
  <c r="E14" i="27" s="1"/>
  <c r="F14" i="27" s="1"/>
  <c r="G14" i="27" s="1"/>
  <c r="C54" i="27"/>
  <c r="D54" i="27" s="1"/>
  <c r="E54" i="27" s="1"/>
  <c r="F54" i="27" s="1"/>
  <c r="G54" i="27" s="1"/>
  <c r="C60" i="27"/>
  <c r="D60" i="27" s="1"/>
  <c r="E60" i="27" s="1"/>
  <c r="F60" i="27" s="1"/>
  <c r="G60" i="27" s="1"/>
  <c r="C46" i="27"/>
  <c r="D46" i="27" s="1"/>
  <c r="E46" i="27" s="1"/>
  <c r="F46" i="27" s="1"/>
  <c r="G46" i="27" s="1"/>
  <c r="C31" i="27"/>
  <c r="D31" i="27" s="1"/>
  <c r="E31" i="27" s="1"/>
  <c r="F31" i="27" s="1"/>
  <c r="G31" i="27" s="1"/>
  <c r="C30" i="27"/>
  <c r="D30" i="27" s="1"/>
  <c r="E30" i="27" s="1"/>
  <c r="F30" i="27" s="1"/>
  <c r="G30" i="27" s="1"/>
  <c r="C20" i="27"/>
  <c r="D20" i="27" s="1"/>
  <c r="E20" i="27" s="1"/>
  <c r="F20" i="27" s="1"/>
  <c r="G20" i="27" s="1"/>
  <c r="C32" i="27"/>
  <c r="D32" i="27" s="1"/>
  <c r="E32" i="27" s="1"/>
  <c r="F32" i="27" s="1"/>
  <c r="G32" i="27" s="1"/>
  <c r="C43" i="27"/>
  <c r="D43" i="27" s="1"/>
  <c r="E43" i="27" s="1"/>
  <c r="F43" i="27" s="1"/>
  <c r="G43" i="27" s="1"/>
  <c r="C59" i="27"/>
  <c r="D59" i="27" s="1"/>
  <c r="E59" i="27" s="1"/>
  <c r="F59" i="27" s="1"/>
  <c r="G59" i="27" s="1"/>
  <c r="C62" i="27"/>
  <c r="D62" i="27" s="1"/>
  <c r="E62" i="27" s="1"/>
  <c r="F62" i="27" s="1"/>
  <c r="G62" i="27" s="1"/>
  <c r="C23" i="27"/>
  <c r="D23" i="27" s="1"/>
  <c r="E23" i="27" s="1"/>
  <c r="F23" i="27" s="1"/>
  <c r="G23" i="27" s="1"/>
  <c r="C67" i="27"/>
  <c r="D67" i="27" s="1"/>
  <c r="E67" i="27" s="1"/>
  <c r="F67" i="27" s="1"/>
  <c r="G67" i="27" s="1"/>
  <c r="C41" i="27"/>
  <c r="D41" i="27" s="1"/>
  <c r="E41" i="27" s="1"/>
  <c r="F41" i="27" s="1"/>
  <c r="G41" i="27" s="1"/>
  <c r="C48" i="27"/>
  <c r="D48" i="27" s="1"/>
  <c r="E48" i="27" s="1"/>
  <c r="F48" i="27" s="1"/>
  <c r="G48" i="27" s="1"/>
  <c r="C19" i="27"/>
  <c r="D19" i="27" s="1"/>
  <c r="E19" i="27" s="1"/>
  <c r="F19" i="27" s="1"/>
  <c r="G19" i="27" s="1"/>
  <c r="C28" i="27"/>
  <c r="D28" i="27" s="1"/>
  <c r="E28" i="27" s="1"/>
  <c r="F28" i="27" s="1"/>
  <c r="G28" i="27" s="1"/>
  <c r="C17" i="27"/>
  <c r="D17" i="27" s="1"/>
  <c r="E17" i="27" s="1"/>
  <c r="F17" i="27" s="1"/>
  <c r="G17" i="27" s="1"/>
  <c r="C53" i="27"/>
  <c r="D53" i="27" s="1"/>
  <c r="E53" i="27" s="1"/>
  <c r="F53" i="27" s="1"/>
  <c r="G53" i="27" s="1"/>
  <c r="C37" i="27"/>
  <c r="D37" i="27" s="1"/>
  <c r="E37" i="27" s="1"/>
  <c r="F37" i="27" s="1"/>
  <c r="G37" i="27" s="1"/>
  <c r="C42" i="27"/>
  <c r="D42" i="27" s="1"/>
  <c r="E42" i="27" s="1"/>
  <c r="F42" i="27" s="1"/>
  <c r="G42" i="27" s="1"/>
  <c r="C10" i="27"/>
  <c r="D10" i="27" s="1"/>
  <c r="E10" i="27" s="1"/>
  <c r="F10" i="27" s="1"/>
  <c r="G10" i="27" s="1"/>
  <c r="C44" i="27"/>
  <c r="D44" i="27" s="1"/>
  <c r="E44" i="27" s="1"/>
  <c r="F44" i="27" s="1"/>
  <c r="G44" i="27" s="1"/>
  <c r="C13" i="27"/>
  <c r="D13" i="27" s="1"/>
  <c r="E13" i="27" s="1"/>
  <c r="F13" i="27" s="1"/>
  <c r="G13" i="27" s="1"/>
  <c r="C9" i="27"/>
  <c r="D9" i="27" s="1"/>
  <c r="E9" i="27" s="1"/>
  <c r="F9" i="27" s="1"/>
  <c r="G9" i="27" s="1"/>
  <c r="C15" i="27"/>
  <c r="D15" i="27" s="1"/>
  <c r="E15" i="27" s="1"/>
  <c r="F15" i="27" s="1"/>
  <c r="G15" i="27" s="1"/>
  <c r="C16" i="27"/>
  <c r="D16" i="27" s="1"/>
  <c r="E16" i="27" s="1"/>
  <c r="F16" i="27" s="1"/>
  <c r="G16" i="27" s="1"/>
  <c r="C21" i="27"/>
  <c r="D21" i="27" s="1"/>
  <c r="E21" i="27" s="1"/>
  <c r="F21" i="27" s="1"/>
  <c r="G21" i="27" s="1"/>
  <c r="C56" i="27"/>
  <c r="D56" i="27" s="1"/>
  <c r="E56" i="27" s="1"/>
  <c r="F56" i="27" s="1"/>
  <c r="G56" i="27" s="1"/>
  <c r="C24" i="27"/>
  <c r="D24" i="27" s="1"/>
  <c r="E24" i="27" s="1"/>
  <c r="F24" i="27" s="1"/>
  <c r="G24" i="27" s="1"/>
  <c r="K38" i="15"/>
  <c r="C57" i="27"/>
  <c r="D57" i="27" s="1"/>
  <c r="E57" i="27" s="1"/>
  <c r="F57" i="27" s="1"/>
  <c r="G57" i="27" s="1"/>
  <c r="C39" i="27"/>
  <c r="D39" i="27" s="1"/>
  <c r="E39" i="27" s="1"/>
  <c r="F39" i="27" s="1"/>
  <c r="G39" i="27" s="1"/>
  <c r="G75" i="20"/>
  <c r="J38" i="20"/>
  <c r="G38" i="20"/>
  <c r="C38" i="20"/>
  <c r="C45" i="27"/>
  <c r="D45" i="27" s="1"/>
  <c r="E45" i="27" s="1"/>
  <c r="F45" i="27" s="1"/>
  <c r="G45" i="27" s="1"/>
  <c r="C66" i="27"/>
  <c r="D66" i="27" s="1"/>
  <c r="E66" i="27" s="1"/>
  <c r="F66" i="27" s="1"/>
  <c r="G66" i="27" s="1"/>
  <c r="C18" i="27"/>
  <c r="D18" i="27" s="1"/>
  <c r="E18" i="27" s="1"/>
  <c r="F18" i="27" s="1"/>
  <c r="G18" i="27" s="1"/>
  <c r="C49" i="27"/>
  <c r="D49" i="27" s="1"/>
  <c r="E49" i="27" s="1"/>
  <c r="F49" i="27" s="1"/>
  <c r="G49" i="27" s="1"/>
  <c r="C27" i="27"/>
  <c r="D27" i="27" s="1"/>
  <c r="E27" i="27" s="1"/>
  <c r="F27" i="27" s="1"/>
  <c r="G27" i="27" s="1"/>
  <c r="M60" i="4"/>
  <c r="K42" i="4"/>
  <c r="C50" i="27"/>
  <c r="D50" i="27" s="1"/>
  <c r="E50" i="27" s="1"/>
  <c r="F50" i="27" s="1"/>
  <c r="G50" i="27" s="1"/>
  <c r="C52" i="27"/>
  <c r="D52" i="27" s="1"/>
  <c r="E52" i="27" s="1"/>
  <c r="F52" i="27" s="1"/>
  <c r="G52" i="27" s="1"/>
  <c r="C40" i="27"/>
  <c r="D40" i="27" s="1"/>
  <c r="E40" i="27" s="1"/>
  <c r="F40" i="27" s="1"/>
  <c r="G40" i="27" s="1"/>
  <c r="C8" i="27"/>
  <c r="D8" i="27" s="1"/>
  <c r="E8" i="27" s="1"/>
  <c r="F8" i="27" s="1"/>
  <c r="G8" i="27" s="1"/>
  <c r="C26" i="27"/>
  <c r="D26" i="27" s="1"/>
  <c r="E26" i="27" s="1"/>
  <c r="F26" i="27" s="1"/>
  <c r="G26" i="27" s="1"/>
  <c r="C58" i="27"/>
  <c r="D58" i="27" s="1"/>
  <c r="E58" i="27" s="1"/>
  <c r="F58" i="27" s="1"/>
  <c r="G58" i="27" s="1"/>
  <c r="C36" i="27"/>
  <c r="D36" i="27" s="1"/>
  <c r="E36" i="27" s="1"/>
  <c r="F36" i="27" s="1"/>
  <c r="G36" i="27" s="1"/>
  <c r="C61" i="27"/>
  <c r="D61" i="27" s="1"/>
  <c r="E61" i="27" s="1"/>
  <c r="F61" i="27" s="1"/>
  <c r="G61" i="27" s="1"/>
  <c r="C35" i="27"/>
  <c r="D35" i="27" s="1"/>
  <c r="E35" i="27" s="1"/>
  <c r="F35" i="27" s="1"/>
  <c r="G35" i="27" s="1"/>
  <c r="C22" i="27"/>
  <c r="D22" i="27" s="1"/>
  <c r="E22" i="27" s="1"/>
  <c r="F22" i="27" s="1"/>
  <c r="G22" i="27" s="1"/>
  <c r="C25" i="27"/>
  <c r="D25" i="27" s="1"/>
  <c r="E25" i="27" s="1"/>
  <c r="F25" i="27" s="1"/>
  <c r="G25" i="27" s="1"/>
  <c r="C65" i="27"/>
  <c r="D65" i="27" s="1"/>
  <c r="E65" i="27" s="1"/>
  <c r="F65" i="27" s="1"/>
  <c r="G65" i="27" s="1"/>
  <c r="C38" i="27"/>
  <c r="D38" i="27" s="1"/>
  <c r="E38" i="27" s="1"/>
  <c r="F38" i="27" s="1"/>
  <c r="G38" i="27" s="1"/>
  <c r="C51" i="27"/>
  <c r="D51" i="27" s="1"/>
  <c r="E51" i="27" s="1"/>
  <c r="F51" i="27" s="1"/>
  <c r="G51" i="27" s="1"/>
  <c r="AE72" i="4"/>
  <c r="AF72" i="4" s="1"/>
  <c r="AE73" i="4"/>
  <c r="AF73" i="4" s="1"/>
  <c r="M34" i="15"/>
  <c r="G18" i="15" s="1"/>
  <c r="M33" i="15"/>
  <c r="G17" i="15"/>
  <c r="C70" i="20"/>
  <c r="I51" i="4" l="1"/>
  <c r="D37" i="4"/>
  <c r="C112" i="4"/>
  <c r="C113" i="4" s="1"/>
  <c r="C114" i="4" s="1"/>
  <c r="D38" i="4"/>
  <c r="M68" i="20"/>
  <c r="M69" i="20" s="1"/>
  <c r="G65" i="20"/>
  <c r="I53" i="20" s="1"/>
  <c r="K38" i="20"/>
  <c r="L53" i="20"/>
  <c r="F38" i="20"/>
  <c r="E38" i="20"/>
  <c r="D38" i="20"/>
  <c r="H38" i="20"/>
  <c r="I38" i="20"/>
  <c r="G33" i="15"/>
  <c r="G34" i="15" s="1"/>
  <c r="R28" i="15"/>
  <c r="G31" i="15" s="1"/>
  <c r="K28" i="15" s="1"/>
  <c r="N28" i="15"/>
  <c r="U28" i="15" s="1"/>
  <c r="U29" i="15" s="1"/>
  <c r="E33" i="15"/>
  <c r="E34" i="15" s="1"/>
  <c r="M59" i="4"/>
  <c r="G114" i="4"/>
  <c r="C19" i="20"/>
  <c r="C37" i="15"/>
  <c r="I38" i="15" s="1"/>
  <c r="I39" i="15" s="1"/>
  <c r="G6" i="27"/>
  <c r="H62" i="27" s="1"/>
  <c r="I62" i="27" s="1"/>
  <c r="J62" i="27" s="1"/>
  <c r="F53" i="20"/>
  <c r="C73" i="20"/>
  <c r="C74" i="20" s="1"/>
  <c r="C75" i="20" s="1"/>
  <c r="J58" i="20"/>
  <c r="J59" i="20"/>
  <c r="E69" i="20"/>
  <c r="C18" i="20" s="1"/>
  <c r="D73" i="20"/>
  <c r="D74" i="20" s="1"/>
  <c r="D75" i="20" s="1"/>
  <c r="M41" i="20"/>
  <c r="P41" i="20" s="1"/>
  <c r="M30" i="20" s="1"/>
  <c r="L52" i="4"/>
  <c r="I37" i="4"/>
  <c r="K38" i="4"/>
  <c r="K35" i="4" s="1"/>
  <c r="K36" i="4" s="1"/>
  <c r="G37" i="4"/>
  <c r="J37" i="4"/>
  <c r="L37" i="4"/>
  <c r="K37" i="4"/>
  <c r="F37" i="4"/>
  <c r="H37" i="4"/>
  <c r="M38" i="4"/>
  <c r="M35" i="4" s="1"/>
  <c r="M36" i="4" s="1"/>
  <c r="L38" i="4"/>
  <c r="L35" i="4" s="1"/>
  <c r="L36" i="4" s="1"/>
  <c r="J38" i="4"/>
  <c r="J35" i="4" s="1"/>
  <c r="J36" i="4" s="1"/>
  <c r="M108" i="4"/>
  <c r="M109" i="4"/>
  <c r="G38" i="4"/>
  <c r="G35" i="4" s="1"/>
  <c r="G36" i="4" s="1"/>
  <c r="F38" i="4"/>
  <c r="F35" i="4" s="1"/>
  <c r="F36" i="4" s="1"/>
  <c r="H38" i="4"/>
  <c r="H35" i="4" s="1"/>
  <c r="H36" i="4" s="1"/>
  <c r="I38" i="4"/>
  <c r="I35" i="4" s="1"/>
  <c r="I36" i="4" s="1"/>
  <c r="E38" i="4"/>
  <c r="E35" i="4" s="1"/>
  <c r="E36" i="4" s="1"/>
  <c r="D112" i="4"/>
  <c r="D113" i="4" s="1"/>
  <c r="D114" i="4" s="1"/>
  <c r="J115" i="4"/>
  <c r="P57" i="4"/>
  <c r="I52" i="4"/>
  <c r="D35" i="4"/>
  <c r="D36" i="4" s="1"/>
  <c r="E108" i="4"/>
  <c r="P58" i="4"/>
  <c r="P61" i="4"/>
  <c r="C108" i="4"/>
  <c r="L114" i="4" s="1"/>
  <c r="E37" i="4"/>
  <c r="H42" i="4"/>
  <c r="F42" i="4"/>
  <c r="M42" i="4"/>
  <c r="L41" i="4"/>
  <c r="E42" i="4"/>
  <c r="J42" i="4"/>
  <c r="G18" i="20"/>
  <c r="M70" i="20"/>
  <c r="G19" i="20" s="1"/>
  <c r="I42" i="4"/>
  <c r="G42" i="4"/>
  <c r="D44" i="4"/>
  <c r="D45" i="4" s="1"/>
  <c r="D47" i="4" s="1"/>
  <c r="X31" i="4"/>
  <c r="Z31" i="4" s="1"/>
  <c r="AD32" i="4"/>
  <c r="AG73" i="4"/>
  <c r="G73" i="4" s="1"/>
  <c r="AG72" i="4"/>
  <c r="G72" i="4" s="1"/>
  <c r="C116" i="4" l="1"/>
  <c r="T53" i="20"/>
  <c r="T54" i="20" s="1"/>
  <c r="C17" i="15"/>
  <c r="I31" i="15"/>
  <c r="K29" i="15" s="1"/>
  <c r="I33" i="15" s="1"/>
  <c r="I34" i="15" s="1"/>
  <c r="C18" i="15"/>
  <c r="AA28" i="15" s="1"/>
  <c r="J18" i="15" s="1"/>
  <c r="R29" i="15"/>
  <c r="G39" i="15"/>
  <c r="X28" i="15"/>
  <c r="K31" i="15" s="1"/>
  <c r="C38" i="15"/>
  <c r="C39" i="15" s="1"/>
  <c r="J22" i="15" s="1"/>
  <c r="G38" i="15" s="1"/>
  <c r="C53" i="4"/>
  <c r="C54" i="4"/>
  <c r="AD52" i="4"/>
  <c r="AD51" i="4" s="1"/>
  <c r="H37" i="27"/>
  <c r="I37" i="27" s="1"/>
  <c r="J37" i="27" s="1"/>
  <c r="H61" i="27"/>
  <c r="I61" i="27" s="1"/>
  <c r="J61" i="27" s="1"/>
  <c r="H11" i="27"/>
  <c r="I11" i="27" s="1"/>
  <c r="J11" i="27" s="1"/>
  <c r="H36" i="27"/>
  <c r="I36" i="27" s="1"/>
  <c r="J36" i="27" s="1"/>
  <c r="H15" i="27"/>
  <c r="I15" i="27" s="1"/>
  <c r="J15" i="27" s="1"/>
  <c r="H18" i="27"/>
  <c r="I18" i="27" s="1"/>
  <c r="J18" i="27" s="1"/>
  <c r="H46" i="27"/>
  <c r="I46" i="27" s="1"/>
  <c r="J46" i="27" s="1"/>
  <c r="H35" i="27"/>
  <c r="I35" i="27" s="1"/>
  <c r="J35" i="27" s="1"/>
  <c r="H55" i="27"/>
  <c r="I55" i="27" s="1"/>
  <c r="J55" i="27" s="1"/>
  <c r="H10" i="27"/>
  <c r="I10" i="27" s="1"/>
  <c r="J10" i="27" s="1"/>
  <c r="H43" i="27"/>
  <c r="I43" i="27" s="1"/>
  <c r="J43" i="27" s="1"/>
  <c r="H41" i="27"/>
  <c r="I41" i="27" s="1"/>
  <c r="J41" i="27" s="1"/>
  <c r="H58" i="27"/>
  <c r="I58" i="27" s="1"/>
  <c r="J58" i="27" s="1"/>
  <c r="H54" i="27"/>
  <c r="I54" i="27" s="1"/>
  <c r="J54" i="27" s="1"/>
  <c r="H17" i="27"/>
  <c r="I17" i="27" s="1"/>
  <c r="J17" i="27" s="1"/>
  <c r="H19" i="27"/>
  <c r="I19" i="27" s="1"/>
  <c r="J19" i="27" s="1"/>
  <c r="H30" i="27"/>
  <c r="I30" i="27" s="1"/>
  <c r="J30" i="27" s="1"/>
  <c r="H8" i="27"/>
  <c r="I8" i="27" s="1"/>
  <c r="J8" i="27" s="1"/>
  <c r="H45" i="27"/>
  <c r="I45" i="27" s="1"/>
  <c r="J45" i="27" s="1"/>
  <c r="H68" i="27"/>
  <c r="I68" i="27" s="1"/>
  <c r="J68" i="27" s="1"/>
  <c r="H60" i="27"/>
  <c r="I60" i="27" s="1"/>
  <c r="J60" i="27" s="1"/>
  <c r="H65" i="27"/>
  <c r="I65" i="27" s="1"/>
  <c r="J65" i="27" s="1"/>
  <c r="H39" i="27"/>
  <c r="I39" i="27" s="1"/>
  <c r="J39" i="27" s="1"/>
  <c r="H53" i="27"/>
  <c r="I53" i="27" s="1"/>
  <c r="J53" i="27" s="1"/>
  <c r="H67" i="27"/>
  <c r="I67" i="27" s="1"/>
  <c r="J67" i="27" s="1"/>
  <c r="H57" i="27"/>
  <c r="I57" i="27" s="1"/>
  <c r="J57" i="27" s="1"/>
  <c r="H50" i="27"/>
  <c r="I50" i="27" s="1"/>
  <c r="J50" i="27" s="1"/>
  <c r="H64" i="27"/>
  <c r="I64" i="27" s="1"/>
  <c r="J64" i="27" s="1"/>
  <c r="H13" i="27"/>
  <c r="I13" i="27" s="1"/>
  <c r="J13" i="27" s="1"/>
  <c r="H12" i="27"/>
  <c r="I12" i="27" s="1"/>
  <c r="J12" i="27" s="1"/>
  <c r="H40" i="27"/>
  <c r="I40" i="27" s="1"/>
  <c r="J40" i="27" s="1"/>
  <c r="H16" i="27"/>
  <c r="I16" i="27" s="1"/>
  <c r="J16" i="27" s="1"/>
  <c r="H44" i="27"/>
  <c r="I44" i="27" s="1"/>
  <c r="J44" i="27" s="1"/>
  <c r="H22" i="27"/>
  <c r="I22" i="27" s="1"/>
  <c r="J22" i="27" s="1"/>
  <c r="H51" i="27"/>
  <c r="I51" i="27" s="1"/>
  <c r="J51" i="27" s="1"/>
  <c r="H9" i="27"/>
  <c r="I9" i="27" s="1"/>
  <c r="J9" i="27" s="1"/>
  <c r="H42" i="27"/>
  <c r="I42" i="27" s="1"/>
  <c r="J42" i="27" s="1"/>
  <c r="H23" i="27"/>
  <c r="I23" i="27" s="1"/>
  <c r="J23" i="27" s="1"/>
  <c r="H52" i="27"/>
  <c r="I52" i="27" s="1"/>
  <c r="J52" i="27" s="1"/>
  <c r="H66" i="27"/>
  <c r="I66" i="27" s="1"/>
  <c r="J66" i="27" s="1"/>
  <c r="H21" i="27"/>
  <c r="I21" i="27" s="1"/>
  <c r="J21" i="27" s="1"/>
  <c r="H31" i="27"/>
  <c r="I31" i="27" s="1"/>
  <c r="J31" i="27" s="1"/>
  <c r="H24" i="27"/>
  <c r="I24" i="27" s="1"/>
  <c r="J24" i="27" s="1"/>
  <c r="H26" i="27"/>
  <c r="I26" i="27" s="1"/>
  <c r="J26" i="27" s="1"/>
  <c r="H14" i="27"/>
  <c r="I14" i="27" s="1"/>
  <c r="J14" i="27" s="1"/>
  <c r="H29" i="27"/>
  <c r="I29" i="27" s="1"/>
  <c r="J29" i="27" s="1"/>
  <c r="H33" i="27"/>
  <c r="I33" i="27" s="1"/>
  <c r="J33" i="27" s="1"/>
  <c r="H49" i="27"/>
  <c r="I49" i="27" s="1"/>
  <c r="J49" i="27" s="1"/>
  <c r="H34" i="27"/>
  <c r="I34" i="27" s="1"/>
  <c r="J34" i="27" s="1"/>
  <c r="H56" i="27"/>
  <c r="I56" i="27" s="1"/>
  <c r="J56" i="27" s="1"/>
  <c r="H48" i="27"/>
  <c r="I48" i="27" s="1"/>
  <c r="J48" i="27" s="1"/>
  <c r="H38" i="27"/>
  <c r="I38" i="27" s="1"/>
  <c r="J38" i="27" s="1"/>
  <c r="H20" i="27"/>
  <c r="I20" i="27" s="1"/>
  <c r="J20" i="27" s="1"/>
  <c r="H63" i="27"/>
  <c r="I63" i="27" s="1"/>
  <c r="J63" i="27" s="1"/>
  <c r="H47" i="27"/>
  <c r="I47" i="27" s="1"/>
  <c r="J47" i="27" s="1"/>
  <c r="H59" i="27"/>
  <c r="I59" i="27" s="1"/>
  <c r="J59" i="27" s="1"/>
  <c r="H32" i="27"/>
  <c r="I32" i="27" s="1"/>
  <c r="J32" i="27" s="1"/>
  <c r="H25" i="27"/>
  <c r="I25" i="27" s="1"/>
  <c r="J25" i="27" s="1"/>
  <c r="H28" i="27"/>
  <c r="I28" i="27" s="1"/>
  <c r="J28" i="27" s="1"/>
  <c r="H27" i="27"/>
  <c r="I27" i="27" s="1"/>
  <c r="J27" i="27" s="1"/>
  <c r="AM20" i="6"/>
  <c r="AM20" i="7" s="1"/>
  <c r="AM20" i="31" s="1"/>
  <c r="AM20" i="32" s="1"/>
  <c r="G23" i="6"/>
  <c r="O23" i="6"/>
  <c r="W23" i="6"/>
  <c r="AE23" i="6"/>
  <c r="AM23" i="6"/>
  <c r="G24" i="6"/>
  <c r="O24" i="6"/>
  <c r="W24" i="6"/>
  <c r="AE24" i="6"/>
  <c r="AM24" i="6"/>
  <c r="G25" i="6"/>
  <c r="O25" i="6"/>
  <c r="W25" i="6"/>
  <c r="AE25" i="6"/>
  <c r="AM25" i="6"/>
  <c r="G26" i="6"/>
  <c r="O26" i="6"/>
  <c r="W26" i="6"/>
  <c r="AE26" i="6"/>
  <c r="AM26" i="6"/>
  <c r="G27" i="6"/>
  <c r="H23" i="6"/>
  <c r="P23" i="6"/>
  <c r="X23" i="6"/>
  <c r="AF23" i="6"/>
  <c r="AN23" i="6"/>
  <c r="H24" i="6"/>
  <c r="P24" i="6"/>
  <c r="X24" i="6"/>
  <c r="AF24" i="6"/>
  <c r="AN24" i="6"/>
  <c r="H25" i="6"/>
  <c r="P25" i="6"/>
  <c r="X25" i="6"/>
  <c r="AF25" i="6"/>
  <c r="AN25" i="6"/>
  <c r="H26" i="6"/>
  <c r="P26" i="6"/>
  <c r="X26" i="6"/>
  <c r="AF26" i="6"/>
  <c r="AN26" i="6"/>
  <c r="H27" i="6"/>
  <c r="I23" i="6"/>
  <c r="Q23" i="6"/>
  <c r="Y23" i="6"/>
  <c r="AG23" i="6"/>
  <c r="AO23" i="6"/>
  <c r="I24" i="6"/>
  <c r="Q24" i="6"/>
  <c r="Y24" i="6"/>
  <c r="AG24" i="6"/>
  <c r="AO24" i="6"/>
  <c r="I25" i="6"/>
  <c r="Q25" i="6"/>
  <c r="Y25" i="6"/>
  <c r="AG25" i="6"/>
  <c r="AO25" i="6"/>
  <c r="I26" i="6"/>
  <c r="Q26" i="6"/>
  <c r="Y26" i="6"/>
  <c r="AG26" i="6"/>
  <c r="AO26" i="6"/>
  <c r="I27" i="6"/>
  <c r="B23" i="6"/>
  <c r="J23" i="6"/>
  <c r="R23" i="6"/>
  <c r="Z23" i="6"/>
  <c r="AH23" i="6"/>
  <c r="B24" i="6"/>
  <c r="J24" i="6"/>
  <c r="R24" i="6"/>
  <c r="Z24" i="6"/>
  <c r="AH24" i="6"/>
  <c r="B25" i="6"/>
  <c r="J25" i="6"/>
  <c r="R25" i="6"/>
  <c r="Z25" i="6"/>
  <c r="AH25" i="6"/>
  <c r="B26" i="6"/>
  <c r="J26" i="6"/>
  <c r="R26" i="6"/>
  <c r="Z26" i="6"/>
  <c r="AH26" i="6"/>
  <c r="B27" i="6"/>
  <c r="J27" i="6"/>
  <c r="C23" i="6"/>
  <c r="K23" i="6"/>
  <c r="S23" i="6"/>
  <c r="AA23" i="6"/>
  <c r="AI23" i="6"/>
  <c r="C24" i="6"/>
  <c r="K24" i="6"/>
  <c r="S24" i="6"/>
  <c r="AA24" i="6"/>
  <c r="AI24" i="6"/>
  <c r="C25" i="6"/>
  <c r="K25" i="6"/>
  <c r="S25" i="6"/>
  <c r="AA25" i="6"/>
  <c r="AI25" i="6"/>
  <c r="C26" i="6"/>
  <c r="K26" i="6"/>
  <c r="S26" i="6"/>
  <c r="AA26" i="6"/>
  <c r="AI26" i="6"/>
  <c r="C27" i="6"/>
  <c r="K27" i="6"/>
  <c r="D23" i="6"/>
  <c r="L23" i="6"/>
  <c r="T23" i="6"/>
  <c r="AB23" i="6"/>
  <c r="AJ23" i="6"/>
  <c r="D24" i="6"/>
  <c r="L24" i="6"/>
  <c r="T24" i="6"/>
  <c r="AB24" i="6"/>
  <c r="AJ24" i="6"/>
  <c r="D25" i="6"/>
  <c r="L25" i="6"/>
  <c r="T25" i="6"/>
  <c r="AB25" i="6"/>
  <c r="AJ25" i="6"/>
  <c r="D26" i="6"/>
  <c r="L26" i="6"/>
  <c r="T26" i="6"/>
  <c r="AB26" i="6"/>
  <c r="AJ26" i="6"/>
  <c r="D27" i="6"/>
  <c r="F23" i="6"/>
  <c r="N23" i="6"/>
  <c r="V23" i="6"/>
  <c r="AD23" i="6"/>
  <c r="AL23" i="6"/>
  <c r="F24" i="6"/>
  <c r="N24" i="6"/>
  <c r="V24" i="6"/>
  <c r="AD24" i="6"/>
  <c r="AL24" i="6"/>
  <c r="F25" i="6"/>
  <c r="N25" i="6"/>
  <c r="V25" i="6"/>
  <c r="AD25" i="6"/>
  <c r="AL25" i="6"/>
  <c r="F26" i="6"/>
  <c r="N26" i="6"/>
  <c r="V26" i="6"/>
  <c r="AD26" i="6"/>
  <c r="M23" i="6"/>
  <c r="AK24" i="6"/>
  <c r="U26" i="6"/>
  <c r="N27" i="6"/>
  <c r="V27" i="6"/>
  <c r="AD27" i="6"/>
  <c r="AL27" i="6"/>
  <c r="F28" i="6"/>
  <c r="N28" i="6"/>
  <c r="V28" i="6"/>
  <c r="AD28" i="6"/>
  <c r="AL28" i="6"/>
  <c r="F29" i="6"/>
  <c r="N29" i="6"/>
  <c r="V29" i="6"/>
  <c r="AD29" i="6"/>
  <c r="AL29" i="6"/>
  <c r="F30" i="6"/>
  <c r="N30" i="6"/>
  <c r="V30" i="6"/>
  <c r="AD30" i="6"/>
  <c r="AL30" i="6"/>
  <c r="F31" i="6"/>
  <c r="N31" i="6"/>
  <c r="V31" i="6"/>
  <c r="AD31" i="6"/>
  <c r="AL31" i="6"/>
  <c r="F32" i="6"/>
  <c r="N32" i="6"/>
  <c r="V32" i="6"/>
  <c r="AD32" i="6"/>
  <c r="AL32" i="6"/>
  <c r="F33" i="6"/>
  <c r="N33" i="6"/>
  <c r="V33" i="6"/>
  <c r="AD33" i="6"/>
  <c r="AL33" i="6"/>
  <c r="F34" i="6"/>
  <c r="N34" i="6"/>
  <c r="V34" i="6"/>
  <c r="AD34" i="6"/>
  <c r="AL34" i="6"/>
  <c r="F35" i="6"/>
  <c r="N35" i="6"/>
  <c r="V35" i="6"/>
  <c r="AD35" i="6"/>
  <c r="AL35" i="6"/>
  <c r="F36" i="6"/>
  <c r="N36" i="6"/>
  <c r="V36" i="6"/>
  <c r="AD36" i="6"/>
  <c r="AL36" i="6"/>
  <c r="U23" i="6"/>
  <c r="E25" i="6"/>
  <c r="AC26" i="6"/>
  <c r="O27" i="6"/>
  <c r="W27" i="6"/>
  <c r="AE27" i="6"/>
  <c r="AM27" i="6"/>
  <c r="G28" i="6"/>
  <c r="O28" i="6"/>
  <c r="W28" i="6"/>
  <c r="AE28" i="6"/>
  <c r="AM28" i="6"/>
  <c r="G29" i="6"/>
  <c r="O29" i="6"/>
  <c r="W29" i="6"/>
  <c r="AE29" i="6"/>
  <c r="AM29" i="6"/>
  <c r="G30" i="6"/>
  <c r="O30" i="6"/>
  <c r="W30" i="6"/>
  <c r="AE30" i="6"/>
  <c r="AM30" i="6"/>
  <c r="G31" i="6"/>
  <c r="O31" i="6"/>
  <c r="W31" i="6"/>
  <c r="AE31" i="6"/>
  <c r="AM31" i="6"/>
  <c r="G32" i="6"/>
  <c r="O32" i="6"/>
  <c r="W32" i="6"/>
  <c r="AE32" i="6"/>
  <c r="AM32" i="6"/>
  <c r="G33" i="6"/>
  <c r="O33" i="6"/>
  <c r="W33" i="6"/>
  <c r="AE33" i="6"/>
  <c r="AM33" i="6"/>
  <c r="G34" i="6"/>
  <c r="O34" i="6"/>
  <c r="W34" i="6"/>
  <c r="AE34" i="6"/>
  <c r="AM34" i="6"/>
  <c r="G35" i="6"/>
  <c r="O35" i="6"/>
  <c r="W35" i="6"/>
  <c r="AE35" i="6"/>
  <c r="AM35" i="6"/>
  <c r="G36" i="6"/>
  <c r="O36" i="6"/>
  <c r="W36" i="6"/>
  <c r="AE36" i="6"/>
  <c r="AM36" i="6"/>
  <c r="AC23" i="6"/>
  <c r="M25" i="6"/>
  <c r="AK26" i="6"/>
  <c r="P27" i="6"/>
  <c r="X27" i="6"/>
  <c r="AF27" i="6"/>
  <c r="AN27" i="6"/>
  <c r="H28" i="6"/>
  <c r="P28" i="6"/>
  <c r="X28" i="6"/>
  <c r="AF28" i="6"/>
  <c r="AN28" i="6"/>
  <c r="H29" i="6"/>
  <c r="P29" i="6"/>
  <c r="X29" i="6"/>
  <c r="AF29" i="6"/>
  <c r="AN29" i="6"/>
  <c r="H30" i="6"/>
  <c r="P30" i="6"/>
  <c r="X30" i="6"/>
  <c r="AF30" i="6"/>
  <c r="AN30" i="6"/>
  <c r="H31" i="6"/>
  <c r="P31" i="6"/>
  <c r="X31" i="6"/>
  <c r="AF31" i="6"/>
  <c r="AN31" i="6"/>
  <c r="H32" i="6"/>
  <c r="P32" i="6"/>
  <c r="X32" i="6"/>
  <c r="AF32" i="6"/>
  <c r="AN32" i="6"/>
  <c r="H33" i="6"/>
  <c r="P33" i="6"/>
  <c r="X33" i="6"/>
  <c r="AF33" i="6"/>
  <c r="AN33" i="6"/>
  <c r="H34" i="6"/>
  <c r="P34" i="6"/>
  <c r="X34" i="6"/>
  <c r="AF34" i="6"/>
  <c r="AN34" i="6"/>
  <c r="H35" i="6"/>
  <c r="P35" i="6"/>
  <c r="X35" i="6"/>
  <c r="AF35" i="6"/>
  <c r="AN35" i="6"/>
  <c r="H36" i="6"/>
  <c r="P36" i="6"/>
  <c r="X36" i="6"/>
  <c r="AF36" i="6"/>
  <c r="AN36" i="6"/>
  <c r="AK23" i="6"/>
  <c r="U25" i="6"/>
  <c r="AL26" i="6"/>
  <c r="Q27" i="6"/>
  <c r="Y27" i="6"/>
  <c r="AG27" i="6"/>
  <c r="AO27" i="6"/>
  <c r="I28" i="6"/>
  <c r="Q28" i="6"/>
  <c r="Y28" i="6"/>
  <c r="AG28" i="6"/>
  <c r="AO28" i="6"/>
  <c r="I29" i="6"/>
  <c r="Q29" i="6"/>
  <c r="Y29" i="6"/>
  <c r="AG29" i="6"/>
  <c r="AO29" i="6"/>
  <c r="I30" i="6"/>
  <c r="Q30" i="6"/>
  <c r="Y30" i="6"/>
  <c r="AG30" i="6"/>
  <c r="AO30" i="6"/>
  <c r="I31" i="6"/>
  <c r="Q31" i="6"/>
  <c r="Y31" i="6"/>
  <c r="AG31" i="6"/>
  <c r="AO31" i="6"/>
  <c r="I32" i="6"/>
  <c r="Q32" i="6"/>
  <c r="Y32" i="6"/>
  <c r="AG32" i="6"/>
  <c r="AO32" i="6"/>
  <c r="I33" i="6"/>
  <c r="Q33" i="6"/>
  <c r="Y33" i="6"/>
  <c r="AG33" i="6"/>
  <c r="AO33" i="6"/>
  <c r="I34" i="6"/>
  <c r="Q34" i="6"/>
  <c r="Y34" i="6"/>
  <c r="AG34" i="6"/>
  <c r="AO34" i="6"/>
  <c r="I35" i="6"/>
  <c r="Q35" i="6"/>
  <c r="Y35" i="6"/>
  <c r="AG35" i="6"/>
  <c r="AO35" i="6"/>
  <c r="I36" i="6"/>
  <c r="Q36" i="6"/>
  <c r="Y36" i="6"/>
  <c r="AG36" i="6"/>
  <c r="AO36" i="6"/>
  <c r="E24" i="6"/>
  <c r="AC25" i="6"/>
  <c r="E27" i="6"/>
  <c r="R27" i="6"/>
  <c r="Z27" i="6"/>
  <c r="AH27" i="6"/>
  <c r="B28" i="6"/>
  <c r="J28" i="6"/>
  <c r="R28" i="6"/>
  <c r="Z28" i="6"/>
  <c r="AH28" i="6"/>
  <c r="B29" i="6"/>
  <c r="J29" i="6"/>
  <c r="R29" i="6"/>
  <c r="Z29" i="6"/>
  <c r="AH29" i="6"/>
  <c r="B30" i="6"/>
  <c r="J30" i="6"/>
  <c r="R30" i="6"/>
  <c r="Z30" i="6"/>
  <c r="AH30" i="6"/>
  <c r="B31" i="6"/>
  <c r="J31" i="6"/>
  <c r="R31" i="6"/>
  <c r="Z31" i="6"/>
  <c r="AH31" i="6"/>
  <c r="B32" i="6"/>
  <c r="J32" i="6"/>
  <c r="R32" i="6"/>
  <c r="Z32" i="6"/>
  <c r="AH32" i="6"/>
  <c r="B33" i="6"/>
  <c r="J33" i="6"/>
  <c r="R33" i="6"/>
  <c r="Z33" i="6"/>
  <c r="AH33" i="6"/>
  <c r="B34" i="6"/>
  <c r="J34" i="6"/>
  <c r="R34" i="6"/>
  <c r="Z34" i="6"/>
  <c r="AH34" i="6"/>
  <c r="B35" i="6"/>
  <c r="J35" i="6"/>
  <c r="R35" i="6"/>
  <c r="Z35" i="6"/>
  <c r="AH35" i="6"/>
  <c r="B36" i="6"/>
  <c r="J36" i="6"/>
  <c r="R36" i="6"/>
  <c r="Z36" i="6"/>
  <c r="AH36" i="6"/>
  <c r="M24" i="6"/>
  <c r="AK25" i="6"/>
  <c r="F27" i="6"/>
  <c r="S27" i="6"/>
  <c r="AA27" i="6"/>
  <c r="AI27" i="6"/>
  <c r="C28" i="6"/>
  <c r="K28" i="6"/>
  <c r="S28" i="6"/>
  <c r="AA28" i="6"/>
  <c r="AI28" i="6"/>
  <c r="C29" i="6"/>
  <c r="K29" i="6"/>
  <c r="S29" i="6"/>
  <c r="AA29" i="6"/>
  <c r="AI29" i="6"/>
  <c r="C30" i="6"/>
  <c r="K30" i="6"/>
  <c r="S30" i="6"/>
  <c r="AA30" i="6"/>
  <c r="AI30" i="6"/>
  <c r="C31" i="6"/>
  <c r="K31" i="6"/>
  <c r="S31" i="6"/>
  <c r="AA31" i="6"/>
  <c r="AI31" i="6"/>
  <c r="C32" i="6"/>
  <c r="K32" i="6"/>
  <c r="S32" i="6"/>
  <c r="AA32" i="6"/>
  <c r="AI32" i="6"/>
  <c r="C33" i="6"/>
  <c r="K33" i="6"/>
  <c r="S33" i="6"/>
  <c r="AA33" i="6"/>
  <c r="AI33" i="6"/>
  <c r="C34" i="6"/>
  <c r="K34" i="6"/>
  <c r="S34" i="6"/>
  <c r="AA34" i="6"/>
  <c r="AI34" i="6"/>
  <c r="C35" i="6"/>
  <c r="K35" i="6"/>
  <c r="S35" i="6"/>
  <c r="AA35" i="6"/>
  <c r="AI35" i="6"/>
  <c r="C36" i="6"/>
  <c r="K36" i="6"/>
  <c r="S36" i="6"/>
  <c r="AA36" i="6"/>
  <c r="AI36" i="6"/>
  <c r="E23" i="6"/>
  <c r="AC24" i="6"/>
  <c r="M26" i="6"/>
  <c r="M27" i="6"/>
  <c r="U27" i="6"/>
  <c r="AC27" i="6"/>
  <c r="AK27" i="6"/>
  <c r="E28" i="6"/>
  <c r="M28" i="6"/>
  <c r="U28" i="6"/>
  <c r="AC28" i="6"/>
  <c r="AK28" i="6"/>
  <c r="E29" i="6"/>
  <c r="M29" i="6"/>
  <c r="U29" i="6"/>
  <c r="AC29" i="6"/>
  <c r="AK29" i="6"/>
  <c r="E30" i="6"/>
  <c r="M30" i="6"/>
  <c r="U30" i="6"/>
  <c r="AC30" i="6"/>
  <c r="AK30" i="6"/>
  <c r="E31" i="6"/>
  <c r="M31" i="6"/>
  <c r="U31" i="6"/>
  <c r="AC31" i="6"/>
  <c r="AK31" i="6"/>
  <c r="E32" i="6"/>
  <c r="M32" i="6"/>
  <c r="U32" i="6"/>
  <c r="AC32" i="6"/>
  <c r="AK32" i="6"/>
  <c r="E33" i="6"/>
  <c r="M33" i="6"/>
  <c r="U33" i="6"/>
  <c r="AC33" i="6"/>
  <c r="AK33" i="6"/>
  <c r="E34" i="6"/>
  <c r="M34" i="6"/>
  <c r="U34" i="6"/>
  <c r="AC34" i="6"/>
  <c r="AK34" i="6"/>
  <c r="E35" i="6"/>
  <c r="M35" i="6"/>
  <c r="U35" i="6"/>
  <c r="AC35" i="6"/>
  <c r="AK35" i="6"/>
  <c r="E36" i="6"/>
  <c r="M36" i="6"/>
  <c r="U36" i="6"/>
  <c r="AC36" i="6"/>
  <c r="AK36" i="6"/>
  <c r="U24" i="6"/>
  <c r="T28" i="6"/>
  <c r="D30" i="6"/>
  <c r="AB31" i="6"/>
  <c r="L33" i="6"/>
  <c r="AJ34" i="6"/>
  <c r="T36" i="6"/>
  <c r="E26" i="6"/>
  <c r="AB28" i="6"/>
  <c r="L30" i="6"/>
  <c r="AJ31" i="6"/>
  <c r="T33" i="6"/>
  <c r="D35" i="6"/>
  <c r="AB36" i="6"/>
  <c r="L27" i="6"/>
  <c r="AJ28" i="6"/>
  <c r="T30" i="6"/>
  <c r="D32" i="6"/>
  <c r="AB33" i="6"/>
  <c r="L35" i="6"/>
  <c r="AJ36" i="6"/>
  <c r="T27" i="6"/>
  <c r="D29" i="6"/>
  <c r="AB30" i="6"/>
  <c r="L32" i="6"/>
  <c r="AJ33" i="6"/>
  <c r="T35" i="6"/>
  <c r="AB27" i="6"/>
  <c r="L29" i="6"/>
  <c r="AJ30" i="6"/>
  <c r="T32" i="6"/>
  <c r="D34" i="6"/>
  <c r="AB35" i="6"/>
  <c r="AJ27" i="6"/>
  <c r="T29" i="6"/>
  <c r="D31" i="6"/>
  <c r="AB32" i="6"/>
  <c r="L34" i="6"/>
  <c r="AJ35" i="6"/>
  <c r="L28" i="6"/>
  <c r="AJ29" i="6"/>
  <c r="T31" i="6"/>
  <c r="D33" i="6"/>
  <c r="AB34" i="6"/>
  <c r="L36" i="6"/>
  <c r="D28" i="6"/>
  <c r="AB29" i="6"/>
  <c r="L31" i="6"/>
  <c r="AJ32" i="6"/>
  <c r="T34" i="6"/>
  <c r="D36" i="6"/>
  <c r="E70" i="20"/>
  <c r="M59" i="20"/>
  <c r="G74" i="20" s="1"/>
  <c r="Q54" i="20"/>
  <c r="Q55" i="20"/>
  <c r="J74" i="20"/>
  <c r="J75" i="20" s="1"/>
  <c r="P60" i="20" s="1"/>
  <c r="M29" i="20"/>
  <c r="M28" i="20"/>
  <c r="M34" i="20"/>
  <c r="M35" i="20"/>
  <c r="M25" i="20"/>
  <c r="M33" i="20"/>
  <c r="C47" i="20"/>
  <c r="M26" i="20"/>
  <c r="M27" i="20"/>
  <c r="F4" i="6"/>
  <c r="F4" i="28" s="1"/>
  <c r="AM14" i="6"/>
  <c r="AM14" i="7" s="1"/>
  <c r="AM14" i="31" s="1"/>
  <c r="AM14" i="32" s="1"/>
  <c r="AI12" i="6"/>
  <c r="AI12" i="28" s="1"/>
  <c r="W7" i="6"/>
  <c r="W7" i="7" s="1"/>
  <c r="W7" i="9" s="1"/>
  <c r="W7" i="10" s="1"/>
  <c r="AG15" i="6"/>
  <c r="AG15" i="7" s="1"/>
  <c r="AG15" i="9" s="1"/>
  <c r="AG15" i="10" s="1"/>
  <c r="AB21" i="6"/>
  <c r="H12" i="6"/>
  <c r="H12" i="7" s="1"/>
  <c r="H12" i="9" s="1"/>
  <c r="H12" i="10" s="1"/>
  <c r="V21" i="6"/>
  <c r="Z20" i="6"/>
  <c r="Z20" i="7" s="1"/>
  <c r="Z20" i="11" s="1"/>
  <c r="L8" i="6"/>
  <c r="L8" i="7" s="1"/>
  <c r="L8" i="31" s="1"/>
  <c r="L8" i="32" s="1"/>
  <c r="R20" i="6"/>
  <c r="R20" i="28" s="1"/>
  <c r="V15" i="6"/>
  <c r="V15" i="7" s="1"/>
  <c r="V15" i="31" s="1"/>
  <c r="V15" i="32" s="1"/>
  <c r="AM4" i="6"/>
  <c r="AM4" i="7" s="1"/>
  <c r="AM4" i="11" s="1"/>
  <c r="AE17" i="6"/>
  <c r="AE17" i="7" s="1"/>
  <c r="AE17" i="31" s="1"/>
  <c r="AE17" i="32" s="1"/>
  <c r="AC21" i="6"/>
  <c r="L10" i="6"/>
  <c r="L10" i="28" s="1"/>
  <c r="R10" i="6"/>
  <c r="R10" i="7" s="1"/>
  <c r="R10" i="31" s="1"/>
  <c r="R10" i="32" s="1"/>
  <c r="C12" i="6"/>
  <c r="C12" i="28" s="1"/>
  <c r="AN13" i="6"/>
  <c r="AN13" i="7" s="1"/>
  <c r="AN13" i="31" s="1"/>
  <c r="AN13" i="32" s="1"/>
  <c r="AK7" i="6"/>
  <c r="AK7" i="7" s="1"/>
  <c r="AK7" i="11" s="1"/>
  <c r="AK20" i="6"/>
  <c r="AK20" i="28" s="1"/>
  <c r="Q13" i="6"/>
  <c r="Q13" i="7" s="1"/>
  <c r="Q13" i="11" s="1"/>
  <c r="Z7" i="6"/>
  <c r="Z7" i="7" s="1"/>
  <c r="Z7" i="11" s="1"/>
  <c r="B15" i="6"/>
  <c r="B15" i="7" s="1"/>
  <c r="B15" i="31" s="1"/>
  <c r="B15" i="32" s="1"/>
  <c r="Z18" i="6"/>
  <c r="Z18" i="28" s="1"/>
  <c r="B22" i="6"/>
  <c r="AL21" i="6"/>
  <c r="N22" i="6"/>
  <c r="K12" i="6"/>
  <c r="K12" i="28" s="1"/>
  <c r="R22" i="6"/>
  <c r="N6" i="6"/>
  <c r="N6" i="28" s="1"/>
  <c r="H3" i="6"/>
  <c r="H3" i="28" s="1"/>
  <c r="AD15" i="6"/>
  <c r="AD15" i="7" s="1"/>
  <c r="AD15" i="31" s="1"/>
  <c r="AD15" i="32" s="1"/>
  <c r="H10" i="6"/>
  <c r="H10" i="7" s="1"/>
  <c r="H10" i="9" s="1"/>
  <c r="H10" i="10" s="1"/>
  <c r="G21" i="6"/>
  <c r="G8" i="6"/>
  <c r="G8" i="7" s="1"/>
  <c r="G8" i="11" s="1"/>
  <c r="F13" i="6"/>
  <c r="F13" i="28" s="1"/>
  <c r="W5" i="6"/>
  <c r="W5" i="28" s="1"/>
  <c r="AE12" i="6"/>
  <c r="AE12" i="7" s="1"/>
  <c r="AE12" i="9" s="1"/>
  <c r="AE12" i="10" s="1"/>
  <c r="AB12" i="6"/>
  <c r="AB12" i="7" s="1"/>
  <c r="AB12" i="11" s="1"/>
  <c r="M18" i="6"/>
  <c r="M18" i="7" s="1"/>
  <c r="M18" i="31" s="1"/>
  <c r="M18" i="32" s="1"/>
  <c r="Y12" i="6"/>
  <c r="Y12" i="28" s="1"/>
  <c r="AC5" i="6"/>
  <c r="AC5" i="28" s="1"/>
  <c r="E12" i="6"/>
  <c r="E12" i="7" s="1"/>
  <c r="E12" i="11" s="1"/>
  <c r="P6" i="6"/>
  <c r="P6" i="7" s="1"/>
  <c r="P6" i="9" s="1"/>
  <c r="P6" i="10" s="1"/>
  <c r="AA21" i="6"/>
  <c r="AF17" i="6"/>
  <c r="AF17" i="7" s="1"/>
  <c r="AF17" i="9" s="1"/>
  <c r="AF17" i="10" s="1"/>
  <c r="AF14" i="6"/>
  <c r="AF14" i="28" s="1"/>
  <c r="AI21" i="6"/>
  <c r="M4" i="6"/>
  <c r="M4" i="28" s="1"/>
  <c r="J12" i="6"/>
  <c r="J12" i="7" s="1"/>
  <c r="J12" i="11" s="1"/>
  <c r="S9" i="6"/>
  <c r="S9" i="28" s="1"/>
  <c r="E8" i="6"/>
  <c r="E8" i="7" s="1"/>
  <c r="E8" i="9" s="1"/>
  <c r="E8" i="10" s="1"/>
  <c r="AK19" i="6"/>
  <c r="AK19" i="28" s="1"/>
  <c r="AF21" i="6"/>
  <c r="AB18" i="6"/>
  <c r="AB18" i="28" s="1"/>
  <c r="AN18" i="6"/>
  <c r="AN18" i="28" s="1"/>
  <c r="AE4" i="6"/>
  <c r="AE4" i="7" s="1"/>
  <c r="AE4" i="9" s="1"/>
  <c r="AE4" i="10" s="1"/>
  <c r="S13" i="6"/>
  <c r="S13" i="7" s="1"/>
  <c r="S13" i="9" s="1"/>
  <c r="S13" i="10" s="1"/>
  <c r="I22" i="6"/>
  <c r="C14" i="6"/>
  <c r="C14" i="28" s="1"/>
  <c r="AI22" i="6"/>
  <c r="W18" i="6"/>
  <c r="W18" i="28" s="1"/>
  <c r="J18" i="6"/>
  <c r="J18" i="7" s="1"/>
  <c r="J18" i="11" s="1"/>
  <c r="X17" i="6"/>
  <c r="X17" i="7" s="1"/>
  <c r="X17" i="11" s="1"/>
  <c r="AD8" i="6"/>
  <c r="AD8" i="28" s="1"/>
  <c r="Y8" i="6"/>
  <c r="Y8" i="28" s="1"/>
  <c r="D11" i="6"/>
  <c r="D11" i="7" s="1"/>
  <c r="D11" i="11" s="1"/>
  <c r="B10" i="6"/>
  <c r="B10" i="28" s="1"/>
  <c r="Z8" i="6"/>
  <c r="Z8" i="28" s="1"/>
  <c r="X6" i="6"/>
  <c r="X6" i="7" s="1"/>
  <c r="X6" i="31" s="1"/>
  <c r="X6" i="32" s="1"/>
  <c r="T14" i="6"/>
  <c r="T14" i="28" s="1"/>
  <c r="AF9" i="6"/>
  <c r="AF9" i="7" s="1"/>
  <c r="AF9" i="11" s="1"/>
  <c r="P7" i="6"/>
  <c r="P7" i="7" s="1"/>
  <c r="P7" i="31" s="1"/>
  <c r="P7" i="32" s="1"/>
  <c r="R17" i="6"/>
  <c r="R17" i="7" s="1"/>
  <c r="R17" i="11" s="1"/>
  <c r="L12" i="6"/>
  <c r="L12" i="7" s="1"/>
  <c r="L12" i="9" s="1"/>
  <c r="L12" i="10" s="1"/>
  <c r="J7" i="6"/>
  <c r="J7" i="28" s="1"/>
  <c r="AJ19" i="6"/>
  <c r="AJ19" i="28" s="1"/>
  <c r="AJ21" i="6"/>
  <c r="Q20" i="6"/>
  <c r="Q20" i="28" s="1"/>
  <c r="AM16" i="6"/>
  <c r="AM16" i="7" s="1"/>
  <c r="AM16" i="9" s="1"/>
  <c r="AM16" i="10" s="1"/>
  <c r="H16" i="6"/>
  <c r="H16" i="28" s="1"/>
  <c r="AA19" i="6"/>
  <c r="AA19" i="7" s="1"/>
  <c r="AA19" i="31" s="1"/>
  <c r="AA19" i="32" s="1"/>
  <c r="I3" i="6"/>
  <c r="I3" i="28" s="1"/>
  <c r="R19" i="6"/>
  <c r="R19" i="7" s="1"/>
  <c r="R19" i="31" s="1"/>
  <c r="R19" i="32" s="1"/>
  <c r="R12" i="6"/>
  <c r="R12" i="28" s="1"/>
  <c r="AI19" i="6"/>
  <c r="AI19" i="7" s="1"/>
  <c r="AI19" i="31" s="1"/>
  <c r="AI19" i="32" s="1"/>
  <c r="AJ3" i="6"/>
  <c r="AJ3" i="7" s="1"/>
  <c r="AJ3" i="31" s="1"/>
  <c r="AJ3" i="32" s="1"/>
  <c r="AO19" i="6"/>
  <c r="AO19" i="7" s="1"/>
  <c r="AO19" i="9" s="1"/>
  <c r="AO19" i="10" s="1"/>
  <c r="C4" i="6"/>
  <c r="C4" i="28" s="1"/>
  <c r="AE16" i="6"/>
  <c r="AE16" i="7" s="1"/>
  <c r="AE16" i="31" s="1"/>
  <c r="AE16" i="32" s="1"/>
  <c r="W17" i="6"/>
  <c r="W17" i="7" s="1"/>
  <c r="W17" i="11" s="1"/>
  <c r="AN20" i="6"/>
  <c r="AN20" i="7" s="1"/>
  <c r="AN20" i="11" s="1"/>
  <c r="AA7" i="6"/>
  <c r="AA7" i="7" s="1"/>
  <c r="AA7" i="11" s="1"/>
  <c r="AK5" i="6"/>
  <c r="AK5" i="7" s="1"/>
  <c r="AK5" i="11" s="1"/>
  <c r="H8" i="6"/>
  <c r="H8" i="28" s="1"/>
  <c r="AJ12" i="6"/>
  <c r="AJ12" i="7" s="1"/>
  <c r="AJ12" i="11" s="1"/>
  <c r="AA12" i="6"/>
  <c r="AA12" i="7" s="1"/>
  <c r="AA12" i="11" s="1"/>
  <c r="AC20" i="6"/>
  <c r="AC20" i="7" s="1"/>
  <c r="AC20" i="11" s="1"/>
  <c r="Y15" i="6"/>
  <c r="Y15" i="7" s="1"/>
  <c r="Y15" i="11" s="1"/>
  <c r="AN8" i="6"/>
  <c r="AN8" i="28" s="1"/>
  <c r="AH19" i="6"/>
  <c r="AH19" i="7" s="1"/>
  <c r="AH19" i="9" s="1"/>
  <c r="AH19" i="10" s="1"/>
  <c r="Y14" i="6"/>
  <c r="Y14" i="7" s="1"/>
  <c r="Y14" i="31" s="1"/>
  <c r="Y14" i="32" s="1"/>
  <c r="K22" i="6"/>
  <c r="AD5" i="6"/>
  <c r="AD5" i="28" s="1"/>
  <c r="H21" i="6"/>
  <c r="AC12" i="6"/>
  <c r="AC12" i="28" s="1"/>
  <c r="AE13" i="6"/>
  <c r="AE13" i="7" s="1"/>
  <c r="AE13" i="31" s="1"/>
  <c r="AE13" i="32" s="1"/>
  <c r="AB7" i="6"/>
  <c r="AB7" i="28" s="1"/>
  <c r="AF18" i="6"/>
  <c r="AF18" i="28" s="1"/>
  <c r="N19" i="6"/>
  <c r="N19" i="7" s="1"/>
  <c r="N19" i="9" s="1"/>
  <c r="N19" i="10" s="1"/>
  <c r="G10" i="6"/>
  <c r="G10" i="7" s="1"/>
  <c r="G10" i="9" s="1"/>
  <c r="G10" i="10" s="1"/>
  <c r="AN19" i="6"/>
  <c r="AN19" i="7" s="1"/>
  <c r="AN19" i="11" s="1"/>
  <c r="W4" i="6"/>
  <c r="W4" i="28" s="1"/>
  <c r="AG6" i="6"/>
  <c r="AG6" i="28" s="1"/>
  <c r="G14" i="6"/>
  <c r="G14" i="7" s="1"/>
  <c r="G14" i="11" s="1"/>
  <c r="N7" i="6"/>
  <c r="N7" i="28" s="1"/>
  <c r="Y6" i="6"/>
  <c r="Y6" i="28" s="1"/>
  <c r="E14" i="6"/>
  <c r="E14" i="7" s="1"/>
  <c r="E14" i="9" s="1"/>
  <c r="E14" i="10" s="1"/>
  <c r="F3" i="6"/>
  <c r="F3" i="7" s="1"/>
  <c r="F3" i="9" s="1"/>
  <c r="F3" i="10" s="1"/>
  <c r="AK6" i="6"/>
  <c r="AK6" i="28" s="1"/>
  <c r="V20" i="6"/>
  <c r="V20" i="28" s="1"/>
  <c r="C20" i="6"/>
  <c r="C20" i="7" s="1"/>
  <c r="C20" i="9" s="1"/>
  <c r="C20" i="10" s="1"/>
  <c r="M19" i="6"/>
  <c r="M19" i="7" s="1"/>
  <c r="M19" i="31" s="1"/>
  <c r="M19" i="32" s="1"/>
  <c r="AE19" i="6"/>
  <c r="AE19" i="7" s="1"/>
  <c r="AE19" i="9" s="1"/>
  <c r="AE19" i="10" s="1"/>
  <c r="T10" i="6"/>
  <c r="T10" i="28" s="1"/>
  <c r="AL14" i="6"/>
  <c r="AL14" i="28" s="1"/>
  <c r="V6" i="6"/>
  <c r="V6" i="28" s="1"/>
  <c r="S19" i="6"/>
  <c r="S19" i="28" s="1"/>
  <c r="AL18" i="6"/>
  <c r="AL18" i="7" s="1"/>
  <c r="AL18" i="9" s="1"/>
  <c r="AL18" i="10" s="1"/>
  <c r="AL17" i="6"/>
  <c r="AL17" i="7" s="1"/>
  <c r="AL17" i="31" s="1"/>
  <c r="AL17" i="32" s="1"/>
  <c r="O19" i="6"/>
  <c r="O19" i="7" s="1"/>
  <c r="O19" i="9" s="1"/>
  <c r="O19" i="10" s="1"/>
  <c r="M22" i="6"/>
  <c r="P5" i="6"/>
  <c r="P5" i="28" s="1"/>
  <c r="E20" i="6"/>
  <c r="E20" i="28" s="1"/>
  <c r="K17" i="6"/>
  <c r="K17" i="28" s="1"/>
  <c r="I9" i="6"/>
  <c r="I9" i="7" s="1"/>
  <c r="I9" i="31" s="1"/>
  <c r="I9" i="32" s="1"/>
  <c r="AF22" i="6"/>
  <c r="AD22" i="6"/>
  <c r="B13" i="6"/>
  <c r="B13" i="28" s="1"/>
  <c r="AK4" i="6"/>
  <c r="AK4" i="7" s="1"/>
  <c r="AK4" i="31" s="1"/>
  <c r="AK4" i="32" s="1"/>
  <c r="AN3" i="6"/>
  <c r="AN3" i="7" s="1"/>
  <c r="AN3" i="11" s="1"/>
  <c r="T5" i="6"/>
  <c r="T5" i="7" s="1"/>
  <c r="T5" i="9" s="1"/>
  <c r="T5" i="10" s="1"/>
  <c r="O10" i="6"/>
  <c r="O10" i="7" s="1"/>
  <c r="O10" i="9" s="1"/>
  <c r="O10" i="10" s="1"/>
  <c r="O11" i="6"/>
  <c r="O11" i="7" s="1"/>
  <c r="O11" i="31" s="1"/>
  <c r="O11" i="32" s="1"/>
  <c r="J14" i="6"/>
  <c r="J14" i="7" s="1"/>
  <c r="J14" i="11" s="1"/>
  <c r="AK15" i="6"/>
  <c r="AK15" i="7" s="1"/>
  <c r="AK15" i="9" s="1"/>
  <c r="AK15" i="10" s="1"/>
  <c r="V10" i="6"/>
  <c r="V10" i="7" s="1"/>
  <c r="V10" i="9" s="1"/>
  <c r="V10" i="10" s="1"/>
  <c r="Z14" i="6"/>
  <c r="Z14" i="7" s="1"/>
  <c r="Z14" i="31" s="1"/>
  <c r="Z14" i="32" s="1"/>
  <c r="H18" i="6"/>
  <c r="H18" i="7" s="1"/>
  <c r="H18" i="31" s="1"/>
  <c r="H18" i="32" s="1"/>
  <c r="N9" i="6"/>
  <c r="N9" i="7" s="1"/>
  <c r="N9" i="9" s="1"/>
  <c r="N9" i="10" s="1"/>
  <c r="O16" i="6"/>
  <c r="O16" i="28" s="1"/>
  <c r="U16" i="6"/>
  <c r="U16" i="7" s="1"/>
  <c r="U16" i="11" s="1"/>
  <c r="V5" i="6"/>
  <c r="V5" i="7" s="1"/>
  <c r="V5" i="9" s="1"/>
  <c r="V5" i="10" s="1"/>
  <c r="I18" i="6"/>
  <c r="I18" i="28" s="1"/>
  <c r="E10" i="6"/>
  <c r="E10" i="7" s="1"/>
  <c r="E10" i="31" s="1"/>
  <c r="E10" i="32" s="1"/>
  <c r="Z22" i="6"/>
  <c r="AG9" i="6"/>
  <c r="AG9" i="7" s="1"/>
  <c r="AG9" i="11" s="1"/>
  <c r="AI16" i="6"/>
  <c r="AI16" i="28" s="1"/>
  <c r="Z9" i="6"/>
  <c r="Z9" i="28" s="1"/>
  <c r="AH10" i="6"/>
  <c r="AH10" i="7" s="1"/>
  <c r="AH10" i="31" s="1"/>
  <c r="AH10" i="32" s="1"/>
  <c r="J21" i="6"/>
  <c r="AA4" i="6"/>
  <c r="AA4" i="28" s="1"/>
  <c r="AE21" i="6"/>
  <c r="L5" i="6"/>
  <c r="L5" i="28" s="1"/>
  <c r="AI10" i="6"/>
  <c r="AI10" i="7" s="1"/>
  <c r="AI10" i="11" s="1"/>
  <c r="AH12" i="6"/>
  <c r="AH12" i="28" s="1"/>
  <c r="AK22" i="6"/>
  <c r="V12" i="6"/>
  <c r="V12" i="28" s="1"/>
  <c r="S10" i="6"/>
  <c r="S10" i="7" s="1"/>
  <c r="S10" i="31" s="1"/>
  <c r="S10" i="32" s="1"/>
  <c r="B18" i="6"/>
  <c r="B18" i="7" s="1"/>
  <c r="B18" i="31" s="1"/>
  <c r="B18" i="32" s="1"/>
  <c r="AB17" i="6"/>
  <c r="AB17" i="28" s="1"/>
  <c r="AE6" i="6"/>
  <c r="AE6" i="7" s="1"/>
  <c r="AE6" i="31" s="1"/>
  <c r="AE6" i="32" s="1"/>
  <c r="M11" i="6"/>
  <c r="M11" i="28" s="1"/>
  <c r="AH5" i="6"/>
  <c r="AH5" i="28" s="1"/>
  <c r="I17" i="6"/>
  <c r="I17" i="7" s="1"/>
  <c r="I17" i="9" s="1"/>
  <c r="I17" i="10" s="1"/>
  <c r="AA15" i="6"/>
  <c r="AA15" i="28" s="1"/>
  <c r="B4" i="6"/>
  <c r="B4" i="28" s="1"/>
  <c r="AJ8" i="6"/>
  <c r="AJ8" i="7" s="1"/>
  <c r="AJ8" i="9" s="1"/>
  <c r="AJ8" i="10" s="1"/>
  <c r="AJ17" i="6"/>
  <c r="AJ17" i="7" s="1"/>
  <c r="AJ17" i="9" s="1"/>
  <c r="AJ17" i="10" s="1"/>
  <c r="AC16" i="6"/>
  <c r="AC16" i="7" s="1"/>
  <c r="AC16" i="11" s="1"/>
  <c r="Y19" i="6"/>
  <c r="Y19" i="7" s="1"/>
  <c r="Y19" i="31" s="1"/>
  <c r="Y19" i="32" s="1"/>
  <c r="AN9" i="6"/>
  <c r="AN9" i="7" s="1"/>
  <c r="AN9" i="11" s="1"/>
  <c r="AJ22" i="6"/>
  <c r="AO6" i="6"/>
  <c r="AO6" i="7" s="1"/>
  <c r="AO6" i="9" s="1"/>
  <c r="AO6" i="10" s="1"/>
  <c r="J16" i="6"/>
  <c r="J16" i="7" s="1"/>
  <c r="J16" i="11" s="1"/>
  <c r="C18" i="6"/>
  <c r="C18" i="7" s="1"/>
  <c r="C18" i="9" s="1"/>
  <c r="C18" i="10" s="1"/>
  <c r="N11" i="6"/>
  <c r="N11" i="7" s="1"/>
  <c r="N11" i="9" s="1"/>
  <c r="N11" i="10" s="1"/>
  <c r="R9" i="6"/>
  <c r="R9" i="28" s="1"/>
  <c r="F20" i="6"/>
  <c r="F20" i="7" s="1"/>
  <c r="F20" i="11" s="1"/>
  <c r="W13" i="6"/>
  <c r="W13" i="7" s="1"/>
  <c r="W13" i="31" s="1"/>
  <c r="W13" i="32" s="1"/>
  <c r="AC17" i="6"/>
  <c r="AC17" i="28" s="1"/>
  <c r="AD20" i="6"/>
  <c r="AD20" i="7" s="1"/>
  <c r="AD20" i="9" s="1"/>
  <c r="AD20" i="10" s="1"/>
  <c r="L4" i="6"/>
  <c r="L4" i="28" s="1"/>
  <c r="E16" i="6"/>
  <c r="E16" i="28" s="1"/>
  <c r="AO22" i="6"/>
  <c r="R5" i="6"/>
  <c r="R5" i="7" s="1"/>
  <c r="R5" i="9" s="1"/>
  <c r="R5" i="10" s="1"/>
  <c r="AK14" i="6"/>
  <c r="AK14" i="28" s="1"/>
  <c r="AH11" i="6"/>
  <c r="AH11" i="7" s="1"/>
  <c r="AH11" i="11" s="1"/>
  <c r="AE20" i="6"/>
  <c r="AE20" i="7" s="1"/>
  <c r="AE20" i="31" s="1"/>
  <c r="AE20" i="32" s="1"/>
  <c r="AK10" i="6"/>
  <c r="AK10" i="7" s="1"/>
  <c r="AK10" i="31" s="1"/>
  <c r="AK10" i="32" s="1"/>
  <c r="G18" i="6"/>
  <c r="G18" i="7" s="1"/>
  <c r="G18" i="9" s="1"/>
  <c r="G18" i="10" s="1"/>
  <c r="O14" i="6"/>
  <c r="O14" i="28" s="1"/>
  <c r="AH4" i="6"/>
  <c r="AH4" i="28" s="1"/>
  <c r="V13" i="6"/>
  <c r="V13" i="7" s="1"/>
  <c r="V13" i="31" s="1"/>
  <c r="V13" i="32" s="1"/>
  <c r="AJ11" i="6"/>
  <c r="AJ11" i="28" s="1"/>
  <c r="D17" i="6"/>
  <c r="D17" i="28" s="1"/>
  <c r="T21" i="6"/>
  <c r="B8" i="6"/>
  <c r="B8" i="7" s="1"/>
  <c r="B8" i="11" s="1"/>
  <c r="AJ5" i="6"/>
  <c r="AJ5" i="7" s="1"/>
  <c r="AJ5" i="31" s="1"/>
  <c r="AJ5" i="32" s="1"/>
  <c r="Y7" i="6"/>
  <c r="Y7" i="28" s="1"/>
  <c r="T8" i="6"/>
  <c r="T8" i="28" s="1"/>
  <c r="R15" i="6"/>
  <c r="R15" i="7" s="1"/>
  <c r="R15" i="31" s="1"/>
  <c r="R15" i="32" s="1"/>
  <c r="F17" i="6"/>
  <c r="F17" i="28" s="1"/>
  <c r="AE10" i="6"/>
  <c r="AE10" i="7" s="1"/>
  <c r="AE10" i="11" s="1"/>
  <c r="K7" i="6"/>
  <c r="K7" i="7" s="1"/>
  <c r="K7" i="9" s="1"/>
  <c r="K7" i="10" s="1"/>
  <c r="G11" i="6"/>
  <c r="G11" i="28" s="1"/>
  <c r="I19" i="6"/>
  <c r="I19" i="7" s="1"/>
  <c r="I19" i="9" s="1"/>
  <c r="I19" i="10" s="1"/>
  <c r="AN17" i="6"/>
  <c r="AN17" i="7" s="1"/>
  <c r="AN17" i="9" s="1"/>
  <c r="AN17" i="10" s="1"/>
  <c r="W19" i="6"/>
  <c r="W19" i="28" s="1"/>
  <c r="K15" i="6"/>
  <c r="K15" i="7" s="1"/>
  <c r="K15" i="11" s="1"/>
  <c r="AD19" i="6"/>
  <c r="AD19" i="7" s="1"/>
  <c r="AD19" i="11" s="1"/>
  <c r="C6" i="6"/>
  <c r="C6" i="28" s="1"/>
  <c r="AL8" i="6"/>
  <c r="AL8" i="7" s="1"/>
  <c r="AL8" i="11" s="1"/>
  <c r="Q22" i="6"/>
  <c r="L20" i="6"/>
  <c r="L20" i="7" s="1"/>
  <c r="L20" i="11" s="1"/>
  <c r="L7" i="6"/>
  <c r="L7" i="7" s="1"/>
  <c r="L7" i="9" s="1"/>
  <c r="L7" i="10" s="1"/>
  <c r="N13" i="6"/>
  <c r="N13" i="7" s="1"/>
  <c r="N13" i="9" s="1"/>
  <c r="N13" i="10" s="1"/>
  <c r="B3" i="6"/>
  <c r="B3" i="7" s="1"/>
  <c r="B3" i="11" s="1"/>
  <c r="AO15" i="6"/>
  <c r="AO15" i="7" s="1"/>
  <c r="AO15" i="31" s="1"/>
  <c r="AO15" i="32" s="1"/>
  <c r="W12" i="6"/>
  <c r="W12" i="28" s="1"/>
  <c r="P4" i="6"/>
  <c r="P4" i="28" s="1"/>
  <c r="X19" i="6"/>
  <c r="X19" i="28" s="1"/>
  <c r="Z17" i="6"/>
  <c r="Z17" i="7" s="1"/>
  <c r="Z17" i="11" s="1"/>
  <c r="X20" i="6"/>
  <c r="X20" i="28" s="1"/>
  <c r="N3" i="6"/>
  <c r="N3" i="28" s="1"/>
  <c r="AF13" i="6"/>
  <c r="AF13" i="28" s="1"/>
  <c r="AA18" i="6"/>
  <c r="AA18" i="7" s="1"/>
  <c r="AA18" i="11" s="1"/>
  <c r="AG13" i="6"/>
  <c r="AG13" i="28" s="1"/>
  <c r="D7" i="6"/>
  <c r="D7" i="7" s="1"/>
  <c r="D7" i="9" s="1"/>
  <c r="D7" i="10" s="1"/>
  <c r="J11" i="6"/>
  <c r="J11" i="7" s="1"/>
  <c r="J11" i="31" s="1"/>
  <c r="J11" i="32" s="1"/>
  <c r="AH6" i="6"/>
  <c r="AH6" i="28" s="1"/>
  <c r="W3" i="6"/>
  <c r="W3" i="7" s="1"/>
  <c r="W3" i="11" s="1"/>
  <c r="AC11" i="6"/>
  <c r="AC11" i="28" s="1"/>
  <c r="W21" i="6"/>
  <c r="AA5" i="6"/>
  <c r="AA5" i="28" s="1"/>
  <c r="X5" i="6"/>
  <c r="X5" i="7" s="1"/>
  <c r="X5" i="9" s="1"/>
  <c r="X5" i="10" s="1"/>
  <c r="G13" i="6"/>
  <c r="G13" i="28" s="1"/>
  <c r="AE15" i="6"/>
  <c r="AE15" i="28" s="1"/>
  <c r="AN22" i="6"/>
  <c r="AA17" i="6"/>
  <c r="AA17" i="7" s="1"/>
  <c r="AA17" i="9" s="1"/>
  <c r="AA17" i="10" s="1"/>
  <c r="AJ9" i="6"/>
  <c r="AJ9" i="7" s="1"/>
  <c r="AJ9" i="9" s="1"/>
  <c r="AJ9" i="10" s="1"/>
  <c r="AN10" i="6"/>
  <c r="AN10" i="28" s="1"/>
  <c r="N12" i="6"/>
  <c r="N12" i="7" s="1"/>
  <c r="N12" i="9" s="1"/>
  <c r="N12" i="10" s="1"/>
  <c r="J19" i="6"/>
  <c r="J19" i="28" s="1"/>
  <c r="K11" i="6"/>
  <c r="K11" i="7" s="1"/>
  <c r="K11" i="9" s="1"/>
  <c r="K11" i="10" s="1"/>
  <c r="AB19" i="6"/>
  <c r="AB19" i="7" s="1"/>
  <c r="AB19" i="11" s="1"/>
  <c r="O4" i="6"/>
  <c r="O4" i="28" s="1"/>
  <c r="AA8" i="6"/>
  <c r="AA8" i="7" s="1"/>
  <c r="AA8" i="9" s="1"/>
  <c r="AA8" i="10" s="1"/>
  <c r="O15" i="6"/>
  <c r="O15" i="7" s="1"/>
  <c r="O15" i="9" s="1"/>
  <c r="O15" i="10" s="1"/>
  <c r="AE3" i="6"/>
  <c r="AE3" i="28" s="1"/>
  <c r="O13" i="6"/>
  <c r="O13" i="7" s="1"/>
  <c r="O13" i="31" s="1"/>
  <c r="O13" i="32" s="1"/>
  <c r="AJ18" i="6"/>
  <c r="AJ18" i="28" s="1"/>
  <c r="AA11" i="6"/>
  <c r="AA11" i="7" s="1"/>
  <c r="AA11" i="31" s="1"/>
  <c r="AA11" i="32" s="1"/>
  <c r="AD14" i="6"/>
  <c r="AD14" i="7" s="1"/>
  <c r="AD14" i="11" s="1"/>
  <c r="AG16" i="6"/>
  <c r="AG16" i="7" s="1"/>
  <c r="AG16" i="11" s="1"/>
  <c r="E15" i="6"/>
  <c r="E15" i="28" s="1"/>
  <c r="AO4" i="6"/>
  <c r="AO4" i="28" s="1"/>
  <c r="F14" i="6"/>
  <c r="F14" i="7" s="1"/>
  <c r="F14" i="31" s="1"/>
  <c r="F14" i="32" s="1"/>
  <c r="K9" i="6"/>
  <c r="K9" i="28" s="1"/>
  <c r="AC10" i="6"/>
  <c r="AC10" i="7" s="1"/>
  <c r="AC10" i="31" s="1"/>
  <c r="AC10" i="32" s="1"/>
  <c r="Q6" i="6"/>
  <c r="Q6" i="7" s="1"/>
  <c r="Q6" i="9" s="1"/>
  <c r="Q6" i="10" s="1"/>
  <c r="K18" i="6"/>
  <c r="K18" i="28" s="1"/>
  <c r="AH22" i="6"/>
  <c r="C15" i="6"/>
  <c r="C15" i="7" s="1"/>
  <c r="C15" i="9" s="1"/>
  <c r="C15" i="10" s="1"/>
  <c r="U22" i="6"/>
  <c r="E6" i="6"/>
  <c r="E6" i="7" s="1"/>
  <c r="E6" i="9" s="1"/>
  <c r="E6" i="10" s="1"/>
  <c r="AC15" i="6"/>
  <c r="AC15" i="7" s="1"/>
  <c r="AC15" i="11" s="1"/>
  <c r="K6" i="6"/>
  <c r="K6" i="7" s="1"/>
  <c r="K6" i="11" s="1"/>
  <c r="L21" i="6"/>
  <c r="O20" i="6"/>
  <c r="O20" i="7" s="1"/>
  <c r="O20" i="9" s="1"/>
  <c r="O20" i="10" s="1"/>
  <c r="T22" i="6"/>
  <c r="Q7" i="6"/>
  <c r="Q7" i="28" s="1"/>
  <c r="X22" i="6"/>
  <c r="AB22" i="6"/>
  <c r="S11" i="6"/>
  <c r="S11" i="7" s="1"/>
  <c r="S11" i="31" s="1"/>
  <c r="S11" i="32" s="1"/>
  <c r="B19" i="6"/>
  <c r="B19" i="7" s="1"/>
  <c r="B19" i="31" s="1"/>
  <c r="B19" i="32" s="1"/>
  <c r="P16" i="6"/>
  <c r="P16" i="7" s="1"/>
  <c r="P16" i="31" s="1"/>
  <c r="P16" i="32" s="1"/>
  <c r="D9" i="6"/>
  <c r="D9" i="7" s="1"/>
  <c r="D9" i="31" s="1"/>
  <c r="D9" i="32" s="1"/>
  <c r="L14" i="6"/>
  <c r="L14" i="7" s="1"/>
  <c r="L14" i="31" s="1"/>
  <c r="L14" i="32" s="1"/>
  <c r="Z19" i="6"/>
  <c r="Z19" i="7" s="1"/>
  <c r="Z19" i="9" s="1"/>
  <c r="Z19" i="10" s="1"/>
  <c r="AB13" i="6"/>
  <c r="AB13" i="7" s="1"/>
  <c r="AB13" i="31" s="1"/>
  <c r="AB13" i="32" s="1"/>
  <c r="W10" i="6"/>
  <c r="W10" i="28" s="1"/>
  <c r="AC8" i="6"/>
  <c r="AC8" i="28" s="1"/>
  <c r="T15" i="6"/>
  <c r="T15" i="7" s="1"/>
  <c r="T15" i="11" s="1"/>
  <c r="N8" i="6"/>
  <c r="N8" i="28" s="1"/>
  <c r="Y20" i="6"/>
  <c r="Y20" i="7" s="1"/>
  <c r="Y20" i="9" s="1"/>
  <c r="Y20" i="10" s="1"/>
  <c r="G15" i="6"/>
  <c r="G15" i="28" s="1"/>
  <c r="Q18" i="6"/>
  <c r="Q18" i="7" s="1"/>
  <c r="Q18" i="31" s="1"/>
  <c r="Q18" i="32" s="1"/>
  <c r="I11" i="6"/>
  <c r="I11" i="7" s="1"/>
  <c r="I11" i="9" s="1"/>
  <c r="I11" i="10" s="1"/>
  <c r="AI6" i="6"/>
  <c r="AI6" i="7" s="1"/>
  <c r="AI6" i="11" s="1"/>
  <c r="S14" i="6"/>
  <c r="S14" i="28" s="1"/>
  <c r="AA6" i="6"/>
  <c r="AA6" i="28" s="1"/>
  <c r="Y11" i="6"/>
  <c r="Y11" i="28" s="1"/>
  <c r="F18" i="6"/>
  <c r="F18" i="7" s="1"/>
  <c r="F18" i="11" s="1"/>
  <c r="K13" i="6"/>
  <c r="K13" i="28" s="1"/>
  <c r="U3" i="6"/>
  <c r="U3" i="28" s="1"/>
  <c r="O5" i="6"/>
  <c r="O5" i="28" s="1"/>
  <c r="Q9" i="6"/>
  <c r="Q9" i="7" s="1"/>
  <c r="Q9" i="31" s="1"/>
  <c r="Q9" i="32" s="1"/>
  <c r="P12" i="6"/>
  <c r="P12" i="28" s="1"/>
  <c r="F6" i="6"/>
  <c r="F6" i="28" s="1"/>
  <c r="AK3" i="6"/>
  <c r="AK3" i="7" s="1"/>
  <c r="AK3" i="11" s="1"/>
  <c r="K16" i="6"/>
  <c r="K16" i="7" s="1"/>
  <c r="K16" i="31" s="1"/>
  <c r="K16" i="32" s="1"/>
  <c r="AL19" i="6"/>
  <c r="AL19" i="7" s="1"/>
  <c r="AL19" i="31" s="1"/>
  <c r="AL19" i="32" s="1"/>
  <c r="W20" i="6"/>
  <c r="W20" i="28" s="1"/>
  <c r="Z21" i="6"/>
  <c r="AB4" i="6"/>
  <c r="AB4" i="7" s="1"/>
  <c r="AB4" i="11" s="1"/>
  <c r="U11" i="6"/>
  <c r="U11" i="7" s="1"/>
  <c r="U11" i="11" s="1"/>
  <c r="AI17" i="6"/>
  <c r="AI17" i="7" s="1"/>
  <c r="AI17" i="11" s="1"/>
  <c r="M9" i="6"/>
  <c r="M9" i="7" s="1"/>
  <c r="M9" i="11" s="1"/>
  <c r="AF10" i="6"/>
  <c r="AF10" i="28" s="1"/>
  <c r="Z13" i="6"/>
  <c r="Z13" i="28" s="1"/>
  <c r="AO9" i="6"/>
  <c r="AO9" i="7" s="1"/>
  <c r="AO9" i="31" s="1"/>
  <c r="AO9" i="32" s="1"/>
  <c r="Q17" i="6"/>
  <c r="Q17" i="7" s="1"/>
  <c r="Q17" i="31" s="1"/>
  <c r="Q17" i="32" s="1"/>
  <c r="Z3" i="6"/>
  <c r="Z3" i="7" s="1"/>
  <c r="Z3" i="11" s="1"/>
  <c r="AM18" i="6"/>
  <c r="AM18" i="7" s="1"/>
  <c r="AM18" i="9" s="1"/>
  <c r="AM18" i="10" s="1"/>
  <c r="N21" i="6"/>
  <c r="AG22" i="6"/>
  <c r="AM6" i="6"/>
  <c r="AM6" i="7" s="1"/>
  <c r="AM6" i="9" s="1"/>
  <c r="AM6" i="10" s="1"/>
  <c r="W6" i="6"/>
  <c r="W6" i="7" s="1"/>
  <c r="W6" i="9" s="1"/>
  <c r="W6" i="10" s="1"/>
  <c r="W8" i="6"/>
  <c r="W8" i="7" s="1"/>
  <c r="W8" i="31" s="1"/>
  <c r="W8" i="32" s="1"/>
  <c r="AJ14" i="6"/>
  <c r="AJ14" i="7" s="1"/>
  <c r="AJ14" i="31" s="1"/>
  <c r="AJ14" i="32" s="1"/>
  <c r="U5" i="6"/>
  <c r="U5" i="7" s="1"/>
  <c r="U5" i="9" s="1"/>
  <c r="U5" i="10" s="1"/>
  <c r="AN6" i="6"/>
  <c r="AN6" i="7" s="1"/>
  <c r="AN6" i="9" s="1"/>
  <c r="AN6" i="10" s="1"/>
  <c r="AD13" i="6"/>
  <c r="AD13" i="7" s="1"/>
  <c r="AD13" i="31" s="1"/>
  <c r="AD13" i="32" s="1"/>
  <c r="M20" i="6"/>
  <c r="M20" i="7" s="1"/>
  <c r="M20" i="9" s="1"/>
  <c r="M20" i="10" s="1"/>
  <c r="I12" i="6"/>
  <c r="I12" i="7" s="1"/>
  <c r="I12" i="11" s="1"/>
  <c r="R8" i="6"/>
  <c r="R8" i="7" s="1"/>
  <c r="R8" i="31" s="1"/>
  <c r="R8" i="32" s="1"/>
  <c r="T4" i="6"/>
  <c r="T4" i="7" s="1"/>
  <c r="T4" i="11" s="1"/>
  <c r="F15" i="6"/>
  <c r="F15" i="7" s="1"/>
  <c r="F15" i="9" s="1"/>
  <c r="F15" i="10" s="1"/>
  <c r="H7" i="6"/>
  <c r="H7" i="7" s="1"/>
  <c r="H7" i="31" s="1"/>
  <c r="H7" i="32" s="1"/>
  <c r="AB3" i="6"/>
  <c r="AB3" i="28" s="1"/>
  <c r="G19" i="6"/>
  <c r="G19" i="28" s="1"/>
  <c r="X7" i="6"/>
  <c r="X7" i="28" s="1"/>
  <c r="M12" i="6"/>
  <c r="M12" i="7" s="1"/>
  <c r="M12" i="11" s="1"/>
  <c r="AD4" i="6"/>
  <c r="AD4" i="7" s="1"/>
  <c r="AD4" i="31" s="1"/>
  <c r="AD4" i="32" s="1"/>
  <c r="Z6" i="6"/>
  <c r="Z6" i="28" s="1"/>
  <c r="E19" i="6"/>
  <c r="E19" i="28" s="1"/>
  <c r="AB20" i="6"/>
  <c r="AB20" i="7" s="1"/>
  <c r="AB20" i="31" s="1"/>
  <c r="AB20" i="32" s="1"/>
  <c r="Z16" i="6"/>
  <c r="Z16" i="7" s="1"/>
  <c r="Z16" i="31" s="1"/>
  <c r="Z16" i="32" s="1"/>
  <c r="U21" i="6"/>
  <c r="L22" i="6"/>
  <c r="J3" i="6"/>
  <c r="J3" i="7" s="1"/>
  <c r="J3" i="31" s="1"/>
  <c r="J3" i="32" s="1"/>
  <c r="S7" i="6"/>
  <c r="S7" i="28" s="1"/>
  <c r="AG17" i="6"/>
  <c r="AG17" i="7" s="1"/>
  <c r="AG17" i="9" s="1"/>
  <c r="AG17" i="10" s="1"/>
  <c r="K21" i="6"/>
  <c r="T16" i="6"/>
  <c r="T16" i="7" s="1"/>
  <c r="T16" i="11" s="1"/>
  <c r="U19" i="6"/>
  <c r="U19" i="7" s="1"/>
  <c r="U19" i="9" s="1"/>
  <c r="U19" i="10" s="1"/>
  <c r="X15" i="6"/>
  <c r="X15" i="28" s="1"/>
  <c r="J22" i="6"/>
  <c r="AA20" i="6"/>
  <c r="AA20" i="7" s="1"/>
  <c r="AA20" i="31" s="1"/>
  <c r="AA20" i="32" s="1"/>
  <c r="M5" i="6"/>
  <c r="M5" i="28" s="1"/>
  <c r="G4" i="6"/>
  <c r="G4" i="7" s="1"/>
  <c r="G4" i="31" s="1"/>
  <c r="G4" i="32" s="1"/>
  <c r="N14" i="6"/>
  <c r="N14" i="7" s="1"/>
  <c r="N14" i="31" s="1"/>
  <c r="N14" i="32" s="1"/>
  <c r="C10" i="6"/>
  <c r="C10" i="7" s="1"/>
  <c r="C10" i="31" s="1"/>
  <c r="C10" i="32" s="1"/>
  <c r="I21" i="6"/>
  <c r="I16" i="6"/>
  <c r="I16" i="28" s="1"/>
  <c r="E5" i="6"/>
  <c r="E5" i="7" s="1"/>
  <c r="E5" i="31" s="1"/>
  <c r="E5" i="32" s="1"/>
  <c r="AJ20" i="6"/>
  <c r="AJ20" i="7" s="1"/>
  <c r="AJ20" i="9" s="1"/>
  <c r="AJ20" i="10" s="1"/>
  <c r="AN21" i="6"/>
  <c r="AH15" i="6"/>
  <c r="AH15" i="7" s="1"/>
  <c r="AH15" i="9" s="1"/>
  <c r="AH15" i="10" s="1"/>
  <c r="AG19" i="6"/>
  <c r="AG19" i="7" s="1"/>
  <c r="AG19" i="9" s="1"/>
  <c r="AG19" i="10" s="1"/>
  <c r="Y5" i="6"/>
  <c r="Y5" i="7" s="1"/>
  <c r="Y5" i="11" s="1"/>
  <c r="AK11" i="6"/>
  <c r="AK11" i="7" s="1"/>
  <c r="AK11" i="9" s="1"/>
  <c r="AK11" i="10" s="1"/>
  <c r="AN4" i="6"/>
  <c r="AN4" i="7" s="1"/>
  <c r="AN4" i="11" s="1"/>
  <c r="X18" i="6"/>
  <c r="X18" i="7" s="1"/>
  <c r="X18" i="11" s="1"/>
  <c r="AA3" i="6"/>
  <c r="AA3" i="7" s="1"/>
  <c r="AA3" i="31" s="1"/>
  <c r="AA3" i="32" s="1"/>
  <c r="X16" i="6"/>
  <c r="X16" i="7" s="1"/>
  <c r="X16" i="9" s="1"/>
  <c r="X16" i="10" s="1"/>
  <c r="G12" i="6"/>
  <c r="G12" i="7" s="1"/>
  <c r="G12" i="9" s="1"/>
  <c r="G12" i="10" s="1"/>
  <c r="V16" i="6"/>
  <c r="V16" i="28" s="1"/>
  <c r="J15" i="6"/>
  <c r="J15" i="28" s="1"/>
  <c r="S17" i="6"/>
  <c r="S17" i="28" s="1"/>
  <c r="O3" i="6"/>
  <c r="O3" i="28" s="1"/>
  <c r="AC7" i="6"/>
  <c r="AC7" i="28" s="1"/>
  <c r="AH9" i="6"/>
  <c r="AH9" i="7" s="1"/>
  <c r="AH9" i="9" s="1"/>
  <c r="AH9" i="10" s="1"/>
  <c r="X3" i="6"/>
  <c r="X3" i="7" s="1"/>
  <c r="X3" i="11" s="1"/>
  <c r="W9" i="6"/>
  <c r="W9" i="7" s="1"/>
  <c r="W9" i="11" s="1"/>
  <c r="P10" i="6"/>
  <c r="P10" i="7" s="1"/>
  <c r="P10" i="31" s="1"/>
  <c r="P10" i="32" s="1"/>
  <c r="AH20" i="6"/>
  <c r="AH20" i="28" s="1"/>
  <c r="Q3" i="6"/>
  <c r="Q3" i="7" s="1"/>
  <c r="Q3" i="9" s="1"/>
  <c r="Q3" i="10" s="1"/>
  <c r="X8" i="6"/>
  <c r="X8" i="7" s="1"/>
  <c r="X8" i="31" s="1"/>
  <c r="X8" i="32" s="1"/>
  <c r="M14" i="6"/>
  <c r="M14" i="7" s="1"/>
  <c r="M14" i="11" s="1"/>
  <c r="N15" i="6"/>
  <c r="N15" i="7" s="1"/>
  <c r="N15" i="9" s="1"/>
  <c r="N15" i="10" s="1"/>
  <c r="F8" i="6"/>
  <c r="F8" i="7" s="1"/>
  <c r="F8" i="11" s="1"/>
  <c r="AK13" i="6"/>
  <c r="AK13" i="7" s="1"/>
  <c r="AK13" i="11" s="1"/>
  <c r="E7" i="6"/>
  <c r="E7" i="7" s="1"/>
  <c r="E7" i="11" s="1"/>
  <c r="AE9" i="6"/>
  <c r="AE9" i="7" s="1"/>
  <c r="AE9" i="11" s="1"/>
  <c r="AA22" i="6"/>
  <c r="J9" i="6"/>
  <c r="J9" i="28" s="1"/>
  <c r="AH7" i="6"/>
  <c r="AH7" i="7" s="1"/>
  <c r="AH7" i="9" s="1"/>
  <c r="AH7" i="10" s="1"/>
  <c r="AJ15" i="6"/>
  <c r="AJ15" i="7" s="1"/>
  <c r="AJ15" i="9" s="1"/>
  <c r="AJ15" i="10" s="1"/>
  <c r="G7" i="6"/>
  <c r="G7" i="28" s="1"/>
  <c r="D3" i="6"/>
  <c r="D3" i="28" s="1"/>
  <c r="T20" i="6"/>
  <c r="T20" i="7" s="1"/>
  <c r="T20" i="31" s="1"/>
  <c r="T20" i="32" s="1"/>
  <c r="O8" i="6"/>
  <c r="O8" i="28" s="1"/>
  <c r="Z4" i="6"/>
  <c r="Z4" i="7" s="1"/>
  <c r="Z4" i="9" s="1"/>
  <c r="Z4" i="10" s="1"/>
  <c r="H5" i="6"/>
  <c r="H5" i="7" s="1"/>
  <c r="H5" i="31" s="1"/>
  <c r="H5" i="32" s="1"/>
  <c r="I7" i="6"/>
  <c r="I7" i="28" s="1"/>
  <c r="U6" i="6"/>
  <c r="U6" i="7" s="1"/>
  <c r="U6" i="31" s="1"/>
  <c r="U6" i="32" s="1"/>
  <c r="S15" i="6"/>
  <c r="S15" i="7" s="1"/>
  <c r="S15" i="31" s="1"/>
  <c r="S15" i="32" s="1"/>
  <c r="AM22" i="6"/>
  <c r="L15" i="6"/>
  <c r="L15" i="7" s="1"/>
  <c r="L15" i="11" s="1"/>
  <c r="AD3" i="6"/>
  <c r="AD3" i="7" s="1"/>
  <c r="AD3" i="11" s="1"/>
  <c r="AA14" i="6"/>
  <c r="AA14" i="28" s="1"/>
  <c r="AK12" i="6"/>
  <c r="AK12" i="7" s="1"/>
  <c r="AK12" i="31" s="1"/>
  <c r="AK12" i="32" s="1"/>
  <c r="AC3" i="6"/>
  <c r="AC3" i="7" s="1"/>
  <c r="AC3" i="31" s="1"/>
  <c r="AC3" i="32" s="1"/>
  <c r="AD6" i="6"/>
  <c r="AD6" i="7" s="1"/>
  <c r="AD6" i="31" s="1"/>
  <c r="AD6" i="32" s="1"/>
  <c r="AL4" i="6"/>
  <c r="AL4" i="28" s="1"/>
  <c r="AB10" i="6"/>
  <c r="AB10" i="28" s="1"/>
  <c r="D12" i="6"/>
  <c r="D12" i="7" s="1"/>
  <c r="D12" i="31" s="1"/>
  <c r="D12" i="32" s="1"/>
  <c r="AD10" i="6"/>
  <c r="AD10" i="7" s="1"/>
  <c r="AD10" i="11" s="1"/>
  <c r="J8" i="6"/>
  <c r="J8" i="7" s="1"/>
  <c r="J8" i="9" s="1"/>
  <c r="J8" i="10" s="1"/>
  <c r="R7" i="6"/>
  <c r="R7" i="7" s="1"/>
  <c r="R7" i="31" s="1"/>
  <c r="R7" i="32" s="1"/>
  <c r="AL22" i="6"/>
  <c r="AE8" i="6"/>
  <c r="AE8" i="7" s="1"/>
  <c r="AE8" i="9" s="1"/>
  <c r="AE8" i="10" s="1"/>
  <c r="L9" i="6"/>
  <c r="L9" i="7" s="1"/>
  <c r="L9" i="31" s="1"/>
  <c r="L9" i="32" s="1"/>
  <c r="AL15" i="6"/>
  <c r="AL15" i="28" s="1"/>
  <c r="L17" i="6"/>
  <c r="L17" i="7" s="1"/>
  <c r="L17" i="11" s="1"/>
  <c r="T9" i="6"/>
  <c r="T9" i="7" s="1"/>
  <c r="T9" i="11" s="1"/>
  <c r="AH8" i="6"/>
  <c r="AH8" i="7" s="1"/>
  <c r="AH8" i="11" s="1"/>
  <c r="V18" i="6"/>
  <c r="V18" i="28" s="1"/>
  <c r="P18" i="6"/>
  <c r="P18" i="7" s="1"/>
  <c r="P18" i="11" s="1"/>
  <c r="F21" i="6"/>
  <c r="AO18" i="6"/>
  <c r="AO18" i="7" s="1"/>
  <c r="AO18" i="31" s="1"/>
  <c r="AO18" i="32" s="1"/>
  <c r="J20" i="6"/>
  <c r="J20" i="7" s="1"/>
  <c r="J20" i="9" s="1"/>
  <c r="J20" i="10" s="1"/>
  <c r="G22" i="6"/>
  <c r="M3" i="6"/>
  <c r="M3" i="28" s="1"/>
  <c r="B14" i="6"/>
  <c r="B14" i="7" s="1"/>
  <c r="B14" i="9" s="1"/>
  <c r="B14" i="10" s="1"/>
  <c r="C5" i="6"/>
  <c r="C5" i="7" s="1"/>
  <c r="C5" i="9" s="1"/>
  <c r="C5" i="10" s="1"/>
  <c r="AG5" i="6"/>
  <c r="AG5" i="7" s="1"/>
  <c r="AG5" i="31" s="1"/>
  <c r="AG5" i="32" s="1"/>
  <c r="N16" i="6"/>
  <c r="N16" i="7" s="1"/>
  <c r="N16" i="31" s="1"/>
  <c r="N16" i="32" s="1"/>
  <c r="M15" i="6"/>
  <c r="M15" i="28" s="1"/>
  <c r="AF6" i="6"/>
  <c r="AF6" i="28" s="1"/>
  <c r="F9" i="6"/>
  <c r="F9" i="7" s="1"/>
  <c r="F9" i="31" s="1"/>
  <c r="F9" i="32" s="1"/>
  <c r="AA16" i="6"/>
  <c r="AA16" i="28" s="1"/>
  <c r="AG11" i="6"/>
  <c r="AG11" i="28" s="1"/>
  <c r="T17" i="6"/>
  <c r="T17" i="7" s="1"/>
  <c r="T17" i="11" s="1"/>
  <c r="E11" i="6"/>
  <c r="E11" i="7" s="1"/>
  <c r="E11" i="9" s="1"/>
  <c r="E11" i="10" s="1"/>
  <c r="M7" i="6"/>
  <c r="M7" i="7" s="1"/>
  <c r="M7" i="11" s="1"/>
  <c r="AM21" i="6"/>
  <c r="AO21" i="6"/>
  <c r="B6" i="6"/>
  <c r="B6" i="7" s="1"/>
  <c r="B6" i="9" s="1"/>
  <c r="B6" i="10" s="1"/>
  <c r="AE22" i="6"/>
  <c r="AL6" i="6"/>
  <c r="AL6" i="28" s="1"/>
  <c r="AO17" i="6"/>
  <c r="AO17" i="7" s="1"/>
  <c r="AO17" i="9" s="1"/>
  <c r="AO17" i="10" s="1"/>
  <c r="N4" i="6"/>
  <c r="N4" i="28" s="1"/>
  <c r="AO20" i="6"/>
  <c r="AO20" i="7" s="1"/>
  <c r="AO20" i="11" s="1"/>
  <c r="T3" i="6"/>
  <c r="T3" i="7" s="1"/>
  <c r="T3" i="9" s="1"/>
  <c r="T3" i="10" s="1"/>
  <c r="AL16" i="6"/>
  <c r="AL16" i="28" s="1"/>
  <c r="E22" i="6"/>
  <c r="Y10" i="6"/>
  <c r="Y10" i="28" s="1"/>
  <c r="Z5" i="6"/>
  <c r="Z5" i="7" s="1"/>
  <c r="Z5" i="11" s="1"/>
  <c r="L3" i="6"/>
  <c r="L3" i="28" s="1"/>
  <c r="AA13" i="6"/>
  <c r="AA13" i="7" s="1"/>
  <c r="AA13" i="11" s="1"/>
  <c r="D16" i="6"/>
  <c r="D16" i="28" s="1"/>
  <c r="C9" i="6"/>
  <c r="C9" i="7" s="1"/>
  <c r="C9" i="31" s="1"/>
  <c r="C9" i="32" s="1"/>
  <c r="I10" i="6"/>
  <c r="I10" i="28" s="1"/>
  <c r="AF3" i="6"/>
  <c r="AF3" i="7" s="1"/>
  <c r="AF3" i="11" s="1"/>
  <c r="AK8" i="6"/>
  <c r="AK8" i="7" s="1"/>
  <c r="AK8" i="9" s="1"/>
  <c r="AK8" i="10" s="1"/>
  <c r="V22" i="6"/>
  <c r="T11" i="6"/>
  <c r="T11" i="7" s="1"/>
  <c r="T11" i="9" s="1"/>
  <c r="T11" i="10" s="1"/>
  <c r="AC4" i="6"/>
  <c r="AC4" i="28" s="1"/>
  <c r="AN12" i="6"/>
  <c r="AN12" i="7" s="1"/>
  <c r="AN12" i="11" s="1"/>
  <c r="G20" i="6"/>
  <c r="G20" i="28" s="1"/>
  <c r="AJ13" i="6"/>
  <c r="AJ13" i="7" s="1"/>
  <c r="AJ13" i="11" s="1"/>
  <c r="AA10" i="6"/>
  <c r="AA10" i="7" s="1"/>
  <c r="AA10" i="31" s="1"/>
  <c r="AA10" i="32" s="1"/>
  <c r="T7" i="6"/>
  <c r="T7" i="28" s="1"/>
  <c r="X13" i="6"/>
  <c r="X13" i="28" s="1"/>
  <c r="Z11" i="6"/>
  <c r="Z11" i="7" s="1"/>
  <c r="Z11" i="11" s="1"/>
  <c r="S4" i="6"/>
  <c r="S4" i="7" s="1"/>
  <c r="S4" i="31" s="1"/>
  <c r="S4" i="32" s="1"/>
  <c r="AN11" i="6"/>
  <c r="AN11" i="28" s="1"/>
  <c r="V19" i="6"/>
  <c r="V19" i="28" s="1"/>
  <c r="U13" i="6"/>
  <c r="U13" i="7" s="1"/>
  <c r="U13" i="31" s="1"/>
  <c r="U13" i="32" s="1"/>
  <c r="AB16" i="6"/>
  <c r="AB16" i="7" s="1"/>
  <c r="AB16" i="9" s="1"/>
  <c r="AB16" i="10" s="1"/>
  <c r="F12" i="6"/>
  <c r="F12" i="7" s="1"/>
  <c r="F12" i="9" s="1"/>
  <c r="F12" i="10" s="1"/>
  <c r="Q4" i="6"/>
  <c r="Q4" i="28" s="1"/>
  <c r="I8" i="6"/>
  <c r="I8" i="7" s="1"/>
  <c r="I8" i="11" s="1"/>
  <c r="Q14" i="6"/>
  <c r="Q14" i="7" s="1"/>
  <c r="Q14" i="9" s="1"/>
  <c r="Q14" i="10" s="1"/>
  <c r="W11" i="6"/>
  <c r="W11" i="7" s="1"/>
  <c r="W11" i="31" s="1"/>
  <c r="W11" i="32" s="1"/>
  <c r="J5" i="6"/>
  <c r="J5" i="7" s="1"/>
  <c r="J5" i="9" s="1"/>
  <c r="J5" i="10" s="1"/>
  <c r="AO3" i="6"/>
  <c r="AO3" i="28" s="1"/>
  <c r="D6" i="6"/>
  <c r="D6" i="7" s="1"/>
  <c r="D6" i="31" s="1"/>
  <c r="D6" i="32" s="1"/>
  <c r="H22" i="6"/>
  <c r="AC13" i="6"/>
  <c r="AC13" i="28" s="1"/>
  <c r="K20" i="6"/>
  <c r="K20" i="7" s="1"/>
  <c r="K20" i="31" s="1"/>
  <c r="K20" i="32" s="1"/>
  <c r="L16" i="6"/>
  <c r="L16" i="7" s="1"/>
  <c r="L16" i="11" s="1"/>
  <c r="E13" i="6"/>
  <c r="E13" i="7" s="1"/>
  <c r="E13" i="11" s="1"/>
  <c r="AL10" i="6"/>
  <c r="AL10" i="7" s="1"/>
  <c r="AL10" i="11" s="1"/>
  <c r="J10" i="6"/>
  <c r="J10" i="7" s="1"/>
  <c r="J10" i="11" s="1"/>
  <c r="O12" i="6"/>
  <c r="O12" i="7" s="1"/>
  <c r="O12" i="31" s="1"/>
  <c r="O12" i="32" s="1"/>
  <c r="Y22" i="6"/>
  <c r="D15" i="6"/>
  <c r="D15" i="7" s="1"/>
  <c r="D15" i="11" s="1"/>
  <c r="AL13" i="6"/>
  <c r="AL13" i="28" s="1"/>
  <c r="F11" i="6"/>
  <c r="F11" i="7" s="1"/>
  <c r="F11" i="31" s="1"/>
  <c r="F11" i="32" s="1"/>
  <c r="H17" i="6"/>
  <c r="H17" i="28" s="1"/>
  <c r="C21" i="6"/>
  <c r="AF12" i="6"/>
  <c r="AF12" i="7" s="1"/>
  <c r="AF12" i="31" s="1"/>
  <c r="AF12" i="32" s="1"/>
  <c r="J13" i="6"/>
  <c r="J13" i="28" s="1"/>
  <c r="G9" i="6"/>
  <c r="G9" i="7" s="1"/>
  <c r="G9" i="11" s="1"/>
  <c r="P3" i="6"/>
  <c r="P3" i="28" s="1"/>
  <c r="I4" i="6"/>
  <c r="I4" i="7" s="1"/>
  <c r="I4" i="9" s="1"/>
  <c r="I4" i="10" s="1"/>
  <c r="AI4" i="6"/>
  <c r="AI4" i="7" s="1"/>
  <c r="AI4" i="9" s="1"/>
  <c r="AI4" i="10" s="1"/>
  <c r="E18" i="6"/>
  <c r="E18" i="7" s="1"/>
  <c r="E18" i="31" s="1"/>
  <c r="E18" i="32" s="1"/>
  <c r="AD17" i="6"/>
  <c r="AD17" i="7" s="1"/>
  <c r="AD17" i="9" s="1"/>
  <c r="AD17" i="10" s="1"/>
  <c r="S12" i="6"/>
  <c r="S12" i="28" s="1"/>
  <c r="X11" i="6"/>
  <c r="X11" i="28" s="1"/>
  <c r="V11" i="6"/>
  <c r="V11" i="28" s="1"/>
  <c r="M10" i="6"/>
  <c r="M10" i="28" s="1"/>
  <c r="H19" i="6"/>
  <c r="H19" i="28" s="1"/>
  <c r="AN7" i="6"/>
  <c r="AN7" i="28" s="1"/>
  <c r="K19" i="6"/>
  <c r="K19" i="28" s="1"/>
  <c r="AF5" i="6"/>
  <c r="AF5" i="7" s="1"/>
  <c r="AF5" i="9" s="1"/>
  <c r="AF5" i="10" s="1"/>
  <c r="Q8" i="6"/>
  <c r="Q8" i="7" s="1"/>
  <c r="Q8" i="31" s="1"/>
  <c r="Q8" i="32" s="1"/>
  <c r="AG7" i="6"/>
  <c r="AG7" i="7" s="1"/>
  <c r="AG7" i="11" s="1"/>
  <c r="W16" i="6"/>
  <c r="W16" i="28" s="1"/>
  <c r="AK21" i="6"/>
  <c r="O9" i="6"/>
  <c r="O9" i="7" s="1"/>
  <c r="O9" i="9" s="1"/>
  <c r="O9" i="10" s="1"/>
  <c r="AH18" i="6"/>
  <c r="AH18" i="28" s="1"/>
  <c r="B7" i="6"/>
  <c r="B7" i="28" s="1"/>
  <c r="AL9" i="6"/>
  <c r="AL9" i="28" s="1"/>
  <c r="AH16" i="6"/>
  <c r="AH16" i="7" s="1"/>
  <c r="AH16" i="31" s="1"/>
  <c r="AH16" i="32" s="1"/>
  <c r="B21" i="6"/>
  <c r="AA9" i="6"/>
  <c r="AA9" i="7" s="1"/>
  <c r="AA9" i="31" s="1"/>
  <c r="AA9" i="32" s="1"/>
  <c r="H13" i="6"/>
  <c r="H13" i="7" s="1"/>
  <c r="H13" i="11" s="1"/>
  <c r="F16" i="6"/>
  <c r="F16" i="7" s="1"/>
  <c r="F16" i="31" s="1"/>
  <c r="F16" i="32" s="1"/>
  <c r="Q15" i="6"/>
  <c r="Q15" i="7" s="1"/>
  <c r="Q15" i="11" s="1"/>
  <c r="AD11" i="6"/>
  <c r="AD11" i="28" s="1"/>
  <c r="AD21" i="6"/>
  <c r="G5" i="6"/>
  <c r="G5" i="7" s="1"/>
  <c r="G5" i="9" s="1"/>
  <c r="G5" i="10" s="1"/>
  <c r="E3" i="6"/>
  <c r="E3" i="7" s="1"/>
  <c r="E3" i="11" s="1"/>
  <c r="V17" i="6"/>
  <c r="V17" i="7" s="1"/>
  <c r="V17" i="31" s="1"/>
  <c r="V17" i="32" s="1"/>
  <c r="P15" i="6"/>
  <c r="P15" i="7" s="1"/>
  <c r="P15" i="31" s="1"/>
  <c r="P15" i="32" s="1"/>
  <c r="C16" i="6"/>
  <c r="C16" i="7" s="1"/>
  <c r="C16" i="11" s="1"/>
  <c r="I15" i="6"/>
  <c r="I15" i="7" s="1"/>
  <c r="I15" i="31" s="1"/>
  <c r="I15" i="32" s="1"/>
  <c r="W15" i="6"/>
  <c r="W15" i="28" s="1"/>
  <c r="Y16" i="6"/>
  <c r="Y16" i="7" s="1"/>
  <c r="Y16" i="11" s="1"/>
  <c r="T18" i="6"/>
  <c r="T18" i="28" s="1"/>
  <c r="F22" i="6"/>
  <c r="AB11" i="6"/>
  <c r="AB11" i="7" s="1"/>
  <c r="AB11" i="11" s="1"/>
  <c r="AF7" i="6"/>
  <c r="AF7" i="28" s="1"/>
  <c r="AM15" i="6"/>
  <c r="AM15" i="28" s="1"/>
  <c r="AB15" i="6"/>
  <c r="AB15" i="7" s="1"/>
  <c r="AB15" i="31" s="1"/>
  <c r="AB15" i="32" s="1"/>
  <c r="AO14" i="6"/>
  <c r="AO14" i="28" s="1"/>
  <c r="AD18" i="6"/>
  <c r="AD18" i="28" s="1"/>
  <c r="AL5" i="6"/>
  <c r="AL5" i="28" s="1"/>
  <c r="AH14" i="6"/>
  <c r="AH14" i="28" s="1"/>
  <c r="R18" i="6"/>
  <c r="R18" i="7" s="1"/>
  <c r="R18" i="11" s="1"/>
  <c r="O22" i="6"/>
  <c r="P19" i="6"/>
  <c r="P19" i="7" s="1"/>
  <c r="P19" i="11" s="1"/>
  <c r="AB5" i="6"/>
  <c r="AB5" i="28" s="1"/>
  <c r="L11" i="6"/>
  <c r="L11" i="7" s="1"/>
  <c r="L11" i="9" s="1"/>
  <c r="L11" i="10" s="1"/>
  <c r="AI5" i="6"/>
  <c r="AI5" i="28" s="1"/>
  <c r="AO10" i="6"/>
  <c r="AO10" i="7" s="1"/>
  <c r="AO10" i="31" s="1"/>
  <c r="AO10" i="32" s="1"/>
  <c r="U4" i="6"/>
  <c r="U4" i="28" s="1"/>
  <c r="R14" i="6"/>
  <c r="R14" i="28" s="1"/>
  <c r="P21" i="6"/>
  <c r="T12" i="6"/>
  <c r="T12" i="28" s="1"/>
  <c r="F10" i="6"/>
  <c r="F10" i="28" s="1"/>
  <c r="AK16" i="6"/>
  <c r="AK16" i="7" s="1"/>
  <c r="AK16" i="31" s="1"/>
  <c r="AK16" i="32" s="1"/>
  <c r="Q11" i="6"/>
  <c r="Q11" i="7" s="1"/>
  <c r="Q11" i="11" s="1"/>
  <c r="C7" i="6"/>
  <c r="C7" i="28" s="1"/>
  <c r="B12" i="6"/>
  <c r="B12" i="28" s="1"/>
  <c r="D14" i="6"/>
  <c r="D14" i="7" s="1"/>
  <c r="D14" i="9" s="1"/>
  <c r="D14" i="10" s="1"/>
  <c r="R16" i="6"/>
  <c r="R16" i="28" s="1"/>
  <c r="N10" i="6"/>
  <c r="N10" i="7" s="1"/>
  <c r="N10" i="31" s="1"/>
  <c r="N10" i="32" s="1"/>
  <c r="D22" i="6"/>
  <c r="B11" i="6"/>
  <c r="B11" i="7" s="1"/>
  <c r="B11" i="9" s="1"/>
  <c r="B11" i="10" s="1"/>
  <c r="AG10" i="6"/>
  <c r="AG10" i="28" s="1"/>
  <c r="AD16" i="6"/>
  <c r="AD16" i="7" s="1"/>
  <c r="AD16" i="11" s="1"/>
  <c r="Q12" i="6"/>
  <c r="Q12" i="7" s="1"/>
  <c r="Q12" i="11" s="1"/>
  <c r="U12" i="6"/>
  <c r="U12" i="28" s="1"/>
  <c r="J4" i="6"/>
  <c r="J4" i="28" s="1"/>
  <c r="F7" i="6"/>
  <c r="F7" i="7" s="1"/>
  <c r="F7" i="11" s="1"/>
  <c r="AF11" i="6"/>
  <c r="AF11" i="7" s="1"/>
  <c r="AF11" i="9" s="1"/>
  <c r="AF11" i="10" s="1"/>
  <c r="S5" i="6"/>
  <c r="S5" i="28" s="1"/>
  <c r="AL3" i="6"/>
  <c r="AL3" i="28" s="1"/>
  <c r="K3" i="6"/>
  <c r="K3" i="7" s="1"/>
  <c r="K3" i="11" s="1"/>
  <c r="U17" i="6"/>
  <c r="U17" i="28" s="1"/>
  <c r="Z12" i="6"/>
  <c r="Z12" i="7" s="1"/>
  <c r="Z12" i="31" s="1"/>
  <c r="Z12" i="32" s="1"/>
  <c r="AC18" i="6"/>
  <c r="AC18" i="7" s="1"/>
  <c r="AC18" i="31" s="1"/>
  <c r="AC18" i="32" s="1"/>
  <c r="Y18" i="6"/>
  <c r="Y18" i="7" s="1"/>
  <c r="Y18" i="31" s="1"/>
  <c r="Y18" i="32" s="1"/>
  <c r="J6" i="6"/>
  <c r="J6" i="28" s="1"/>
  <c r="R6" i="6"/>
  <c r="R6" i="28" s="1"/>
  <c r="Z10" i="6"/>
  <c r="Z10" i="7" s="1"/>
  <c r="Z10" i="11" s="1"/>
  <c r="D18" i="6"/>
  <c r="D18" i="7" s="1"/>
  <c r="D18" i="9" s="1"/>
  <c r="D18" i="10" s="1"/>
  <c r="AJ6" i="6"/>
  <c r="AJ6" i="7" s="1"/>
  <c r="AJ6" i="11" s="1"/>
  <c r="AH17" i="6"/>
  <c r="AH17" i="7" s="1"/>
  <c r="AH17" i="31" s="1"/>
  <c r="AH17" i="32" s="1"/>
  <c r="Y13" i="6"/>
  <c r="Y13" i="7" s="1"/>
  <c r="Y13" i="31" s="1"/>
  <c r="Y13" i="32" s="1"/>
  <c r="C11" i="6"/>
  <c r="C11" i="7" s="1"/>
  <c r="C11" i="11" s="1"/>
  <c r="H4" i="6"/>
  <c r="H4" i="28" s="1"/>
  <c r="U14" i="6"/>
  <c r="U14" i="7" s="1"/>
  <c r="U14" i="31" s="1"/>
  <c r="U14" i="32" s="1"/>
  <c r="G24" i="4"/>
  <c r="AI11" i="6"/>
  <c r="AI11" i="7" s="1"/>
  <c r="AI11" i="31" s="1"/>
  <c r="AI11" i="32" s="1"/>
  <c r="T13" i="6"/>
  <c r="T13" i="7" s="1"/>
  <c r="T13" i="11" s="1"/>
  <c r="S3" i="6"/>
  <c r="S3" i="7" s="1"/>
  <c r="S3" i="31" s="1"/>
  <c r="S3" i="32" s="1"/>
  <c r="N17" i="6"/>
  <c r="N17" i="28" s="1"/>
  <c r="U20" i="6"/>
  <c r="U20" i="7" s="1"/>
  <c r="U20" i="11" s="1"/>
  <c r="B17" i="6"/>
  <c r="B17" i="28" s="1"/>
  <c r="P8" i="6"/>
  <c r="P8" i="28" s="1"/>
  <c r="E4" i="6"/>
  <c r="E4" i="7" s="1"/>
  <c r="E4" i="9" s="1"/>
  <c r="E4" i="10" s="1"/>
  <c r="U15" i="6"/>
  <c r="U15" i="28" s="1"/>
  <c r="X21" i="6"/>
  <c r="AC19" i="6"/>
  <c r="AC19" i="7" s="1"/>
  <c r="AC19" i="11" s="1"/>
  <c r="Y21" i="6"/>
  <c r="AN15" i="6"/>
  <c r="AN15" i="7" s="1"/>
  <c r="AN15" i="31" s="1"/>
  <c r="AN15" i="32" s="1"/>
  <c r="Q16" i="6"/>
  <c r="Q16" i="7" s="1"/>
  <c r="Q16" i="31" s="1"/>
  <c r="Q16" i="32" s="1"/>
  <c r="AI18" i="6"/>
  <c r="AI18" i="28" s="1"/>
  <c r="AK17" i="6"/>
  <c r="AK17" i="7" s="1"/>
  <c r="AK17" i="11" s="1"/>
  <c r="L13" i="6"/>
  <c r="L13" i="7" s="1"/>
  <c r="L13" i="9" s="1"/>
  <c r="L13" i="10" s="1"/>
  <c r="P14" i="6"/>
  <c r="P14" i="7" s="1"/>
  <c r="P14" i="31" s="1"/>
  <c r="P14" i="32" s="1"/>
  <c r="S18" i="6"/>
  <c r="S18" i="7" s="1"/>
  <c r="S18" i="9" s="1"/>
  <c r="S18" i="10" s="1"/>
  <c r="AI3" i="6"/>
  <c r="AI3" i="7" s="1"/>
  <c r="AI3" i="11" s="1"/>
  <c r="AF15" i="6"/>
  <c r="AF15" i="7" s="1"/>
  <c r="AF15" i="9" s="1"/>
  <c r="AF15" i="10" s="1"/>
  <c r="AM10" i="6"/>
  <c r="AM10" i="28" s="1"/>
  <c r="R21" i="6"/>
  <c r="D10" i="6"/>
  <c r="D10" i="7" s="1"/>
  <c r="D10" i="11" s="1"/>
  <c r="AE7" i="6"/>
  <c r="AE7" i="28" s="1"/>
  <c r="G17" i="6"/>
  <c r="G17" i="7" s="1"/>
  <c r="G17" i="31" s="1"/>
  <c r="G17" i="32" s="1"/>
  <c r="AJ16" i="6"/>
  <c r="AJ16" i="7" s="1"/>
  <c r="AJ16" i="11" s="1"/>
  <c r="AD9" i="6"/>
  <c r="AD9" i="7" s="1"/>
  <c r="AD9" i="9" s="1"/>
  <c r="AD9" i="10" s="1"/>
  <c r="M17" i="6"/>
  <c r="M17" i="28" s="1"/>
  <c r="AN14" i="6"/>
  <c r="AN14" i="7" s="1"/>
  <c r="AN14" i="11" s="1"/>
  <c r="X4" i="6"/>
  <c r="X4" i="28" s="1"/>
  <c r="AG14" i="6"/>
  <c r="AG14" i="7" s="1"/>
  <c r="AG14" i="11" s="1"/>
  <c r="O18" i="6"/>
  <c r="O18" i="28" s="1"/>
  <c r="G6" i="6"/>
  <c r="G6" i="7" s="1"/>
  <c r="G6" i="31" s="1"/>
  <c r="G6" i="32" s="1"/>
  <c r="D13" i="6"/>
  <c r="D13" i="7" s="1"/>
  <c r="D13" i="11" s="1"/>
  <c r="Q5" i="6"/>
  <c r="Q5" i="7" s="1"/>
  <c r="Q5" i="9" s="1"/>
  <c r="Q5" i="10" s="1"/>
  <c r="R11" i="6"/>
  <c r="R11" i="28" s="1"/>
  <c r="V8" i="6"/>
  <c r="V8" i="7" s="1"/>
  <c r="V8" i="9" s="1"/>
  <c r="V8" i="10" s="1"/>
  <c r="C22" i="6"/>
  <c r="V7" i="6"/>
  <c r="V7" i="7" s="1"/>
  <c r="V7" i="31" s="1"/>
  <c r="V7" i="32" s="1"/>
  <c r="AG21" i="6"/>
  <c r="H20" i="6"/>
  <c r="H20" i="7" s="1"/>
  <c r="H20" i="31" s="1"/>
  <c r="H20" i="32" s="1"/>
  <c r="AM17" i="6"/>
  <c r="AM17" i="7" s="1"/>
  <c r="AM17" i="9" s="1"/>
  <c r="AM17" i="10" s="1"/>
  <c r="AG18" i="6"/>
  <c r="AG18" i="7" s="1"/>
  <c r="AG18" i="11" s="1"/>
  <c r="H9" i="6"/>
  <c r="H9" i="7" s="1"/>
  <c r="H9" i="31" s="1"/>
  <c r="H9" i="32" s="1"/>
  <c r="AC6" i="6"/>
  <c r="AC6" i="28" s="1"/>
  <c r="AM13" i="6"/>
  <c r="AM13" i="7" s="1"/>
  <c r="AM13" i="31" s="1"/>
  <c r="AM13" i="32" s="1"/>
  <c r="AC22" i="6"/>
  <c r="E21" i="6"/>
  <c r="AL12" i="6"/>
  <c r="AL12" i="28" s="1"/>
  <c r="X10" i="6"/>
  <c r="X10" i="7" s="1"/>
  <c r="X10" i="9" s="1"/>
  <c r="X10" i="10" s="1"/>
  <c r="X12" i="6"/>
  <c r="X12" i="7" s="1"/>
  <c r="X12" i="9" s="1"/>
  <c r="X12" i="10" s="1"/>
  <c r="Y4" i="6"/>
  <c r="Y4" i="7" s="1"/>
  <c r="Y4" i="31" s="1"/>
  <c r="Y4" i="32" s="1"/>
  <c r="S6" i="6"/>
  <c r="S6" i="7" s="1"/>
  <c r="S6" i="9" s="1"/>
  <c r="S6" i="10" s="1"/>
  <c r="T19" i="6"/>
  <c r="T19" i="7" s="1"/>
  <c r="T19" i="31" s="1"/>
  <c r="T19" i="32" s="1"/>
  <c r="AI20" i="6"/>
  <c r="AI20" i="7" s="1"/>
  <c r="AI20" i="31" s="1"/>
  <c r="AI20" i="32" s="1"/>
  <c r="C13" i="6"/>
  <c r="C13" i="7" s="1"/>
  <c r="C13" i="31" s="1"/>
  <c r="C13" i="32" s="1"/>
  <c r="I14" i="6"/>
  <c r="I14" i="7" s="1"/>
  <c r="I14" i="31" s="1"/>
  <c r="I14" i="32" s="1"/>
  <c r="P13" i="6"/>
  <c r="P13" i="7" s="1"/>
  <c r="P13" i="31" s="1"/>
  <c r="P13" i="32" s="1"/>
  <c r="X14" i="6"/>
  <c r="X14" i="7" s="1"/>
  <c r="X14" i="31" s="1"/>
  <c r="X14" i="32" s="1"/>
  <c r="D4" i="6"/>
  <c r="D4" i="7" s="1"/>
  <c r="D4" i="31" s="1"/>
  <c r="D4" i="32" s="1"/>
  <c r="AN16" i="6"/>
  <c r="AN16" i="28" s="1"/>
  <c r="H14" i="6"/>
  <c r="H14" i="28" s="1"/>
  <c r="C3" i="6"/>
  <c r="C3" i="7" s="1"/>
  <c r="C3" i="9" s="1"/>
  <c r="C3" i="10" s="1"/>
  <c r="AF16" i="6"/>
  <c r="AF16" i="28" s="1"/>
  <c r="C19" i="6"/>
  <c r="C19" i="7" s="1"/>
  <c r="C19" i="31" s="1"/>
  <c r="C19" i="32" s="1"/>
  <c r="AM9" i="6"/>
  <c r="AM9" i="7" s="1"/>
  <c r="AM9" i="11" s="1"/>
  <c r="Y3" i="6"/>
  <c r="Y3" i="28" s="1"/>
  <c r="L19" i="6"/>
  <c r="L19" i="7" s="1"/>
  <c r="L19" i="9" s="1"/>
  <c r="L19" i="10" s="1"/>
  <c r="V4" i="6"/>
  <c r="V4" i="7" s="1"/>
  <c r="V4" i="9" s="1"/>
  <c r="V4" i="10" s="1"/>
  <c r="AB8" i="6"/>
  <c r="AB8" i="28" s="1"/>
  <c r="AG4" i="6"/>
  <c r="AG4" i="28" s="1"/>
  <c r="AO16" i="6"/>
  <c r="AO16" i="28" s="1"/>
  <c r="AJ7" i="6"/>
  <c r="AJ7" i="28" s="1"/>
  <c r="AB9" i="6"/>
  <c r="AB9" i="7" s="1"/>
  <c r="AB9" i="11" s="1"/>
  <c r="AM7" i="6"/>
  <c r="AM7" i="28" s="1"/>
  <c r="B5" i="6"/>
  <c r="B5" i="28" s="1"/>
  <c r="AM12" i="6"/>
  <c r="AM12" i="28" s="1"/>
  <c r="H15" i="6"/>
  <c r="H15" i="7" s="1"/>
  <c r="H15" i="31" s="1"/>
  <c r="H15" i="32" s="1"/>
  <c r="Y17" i="6"/>
  <c r="Y17" i="7" s="1"/>
  <c r="Y17" i="31" s="1"/>
  <c r="Y17" i="32" s="1"/>
  <c r="N18" i="6"/>
  <c r="N18" i="7" s="1"/>
  <c r="N18" i="9" s="1"/>
  <c r="N18" i="10" s="1"/>
  <c r="S20" i="6"/>
  <c r="S20" i="28" s="1"/>
  <c r="AE18" i="6"/>
  <c r="AE18" i="28" s="1"/>
  <c r="AD12" i="6"/>
  <c r="AD12" i="7" s="1"/>
  <c r="AD12" i="9" s="1"/>
  <c r="AD12" i="10" s="1"/>
  <c r="P20" i="6"/>
  <c r="P20" i="7" s="1"/>
  <c r="P20" i="11" s="1"/>
  <c r="D8" i="6"/>
  <c r="D8" i="7" s="1"/>
  <c r="D8" i="9" s="1"/>
  <c r="D8" i="10" s="1"/>
  <c r="I20" i="6"/>
  <c r="I20" i="7" s="1"/>
  <c r="I20" i="31" s="1"/>
  <c r="I20" i="32" s="1"/>
  <c r="M6" i="6"/>
  <c r="M6" i="7" s="1"/>
  <c r="M6" i="11" s="1"/>
  <c r="M21" i="6"/>
  <c r="AM11" i="6"/>
  <c r="AM11" i="7" s="1"/>
  <c r="AM11" i="31" s="1"/>
  <c r="AM11" i="32" s="1"/>
  <c r="C8" i="6"/>
  <c r="C8" i="28" s="1"/>
  <c r="AO11" i="6"/>
  <c r="AO11" i="7" s="1"/>
  <c r="AO11" i="9" s="1"/>
  <c r="AO11" i="10" s="1"/>
  <c r="Y9" i="6"/>
  <c r="Y9" i="7" s="1"/>
  <c r="Y9" i="11" s="1"/>
  <c r="L6" i="6"/>
  <c r="L6" i="7" s="1"/>
  <c r="L6" i="9" s="1"/>
  <c r="L6" i="10" s="1"/>
  <c r="X9" i="6"/>
  <c r="X9" i="28" s="1"/>
  <c r="B16" i="6"/>
  <c r="B16" i="7" s="1"/>
  <c r="B16" i="31" s="1"/>
  <c r="B16" i="32" s="1"/>
  <c r="AI15" i="6"/>
  <c r="AI15" i="28" s="1"/>
  <c r="AE5" i="6"/>
  <c r="AE5" i="7" s="1"/>
  <c r="AE5" i="11" s="1"/>
  <c r="U9" i="6"/>
  <c r="U9" i="28" s="1"/>
  <c r="AL11" i="6"/>
  <c r="AL11" i="7" s="1"/>
  <c r="AL11" i="11" s="1"/>
  <c r="U18" i="6"/>
  <c r="U18" i="7" s="1"/>
  <c r="U18" i="11" s="1"/>
  <c r="AM19" i="6"/>
  <c r="AM19" i="7" s="1"/>
  <c r="AM19" i="11" s="1"/>
  <c r="AI9" i="6"/>
  <c r="AI9" i="28" s="1"/>
  <c r="Q21" i="6"/>
  <c r="AG20" i="6"/>
  <c r="AG20" i="7" s="1"/>
  <c r="AG20" i="9" s="1"/>
  <c r="AG20" i="10" s="1"/>
  <c r="AH13" i="6"/>
  <c r="AH13" i="7" s="1"/>
  <c r="AH13" i="11" s="1"/>
  <c r="AI8" i="6"/>
  <c r="AI8" i="7" s="1"/>
  <c r="AI8" i="9" s="1"/>
  <c r="AI8" i="10" s="1"/>
  <c r="AK9" i="6"/>
  <c r="AK9" i="28" s="1"/>
  <c r="B20" i="6"/>
  <c r="B20" i="7" s="1"/>
  <c r="B20" i="11" s="1"/>
  <c r="L18" i="6"/>
  <c r="L18" i="7" s="1"/>
  <c r="L18" i="9" s="1"/>
  <c r="L18" i="10" s="1"/>
  <c r="U8" i="6"/>
  <c r="U8" i="7" s="1"/>
  <c r="U8" i="11" s="1"/>
  <c r="T6" i="6"/>
  <c r="T6" i="28" s="1"/>
  <c r="AK18" i="6"/>
  <c r="AK18" i="28" s="1"/>
  <c r="AF8" i="6"/>
  <c r="AF8" i="7" s="1"/>
  <c r="AF8" i="11" s="1"/>
  <c r="V9" i="6"/>
  <c r="V9" i="7" s="1"/>
  <c r="V9" i="9" s="1"/>
  <c r="V9" i="10" s="1"/>
  <c r="AG12" i="6"/>
  <c r="AG12" i="7" s="1"/>
  <c r="AG12" i="9" s="1"/>
  <c r="AG12" i="10" s="1"/>
  <c r="H11" i="6"/>
  <c r="H11" i="7" s="1"/>
  <c r="H11" i="9" s="1"/>
  <c r="H11" i="10" s="1"/>
  <c r="R4" i="6"/>
  <c r="R4" i="7" s="1"/>
  <c r="R4" i="11" s="1"/>
  <c r="O17" i="6"/>
  <c r="O17" i="7" s="1"/>
  <c r="O17" i="31" s="1"/>
  <c r="O17" i="32" s="1"/>
  <c r="V3" i="6"/>
  <c r="V3" i="28" s="1"/>
  <c r="P22" i="6"/>
  <c r="J17" i="6"/>
  <c r="J17" i="28" s="1"/>
  <c r="AO12" i="6"/>
  <c r="AO12" i="28" s="1"/>
  <c r="AI13" i="6"/>
  <c r="AI13" i="7" s="1"/>
  <c r="AI13" i="31" s="1"/>
  <c r="AI13" i="32" s="1"/>
  <c r="AH3" i="6"/>
  <c r="AH3" i="7" s="1"/>
  <c r="AH3" i="31" s="1"/>
  <c r="AH3" i="32" s="1"/>
  <c r="E17" i="6"/>
  <c r="E17" i="7" s="1"/>
  <c r="E17" i="9" s="1"/>
  <c r="E17" i="10" s="1"/>
  <c r="G16" i="6"/>
  <c r="G16" i="28" s="1"/>
  <c r="S21" i="6"/>
  <c r="B9" i="6"/>
  <c r="B9" i="7" s="1"/>
  <c r="B9" i="31" s="1"/>
  <c r="B9" i="32" s="1"/>
  <c r="O6" i="6"/>
  <c r="O6" i="28" s="1"/>
  <c r="M8" i="6"/>
  <c r="M8" i="28" s="1"/>
  <c r="W14" i="6"/>
  <c r="W14" i="7" s="1"/>
  <c r="W14" i="11" s="1"/>
  <c r="Q19" i="6"/>
  <c r="Q19" i="7" s="1"/>
  <c r="Q19" i="31" s="1"/>
  <c r="Q19" i="32" s="1"/>
  <c r="R13" i="6"/>
  <c r="R13" i="7" s="1"/>
  <c r="R13" i="31" s="1"/>
  <c r="R13" i="32" s="1"/>
  <c r="AF20" i="6"/>
  <c r="AF20" i="7" s="1"/>
  <c r="AF20" i="31" s="1"/>
  <c r="AF20" i="32" s="1"/>
  <c r="AH21" i="6"/>
  <c r="K4" i="6"/>
  <c r="K4" i="28" s="1"/>
  <c r="W22" i="6"/>
  <c r="AO13" i="6"/>
  <c r="AO13" i="28" s="1"/>
  <c r="AE11" i="6"/>
  <c r="AE11" i="28" s="1"/>
  <c r="U10" i="6"/>
  <c r="U10" i="7" s="1"/>
  <c r="U10" i="11" s="1"/>
  <c r="K5" i="6"/>
  <c r="K5" i="7" s="1"/>
  <c r="K5" i="9" s="1"/>
  <c r="K5" i="10" s="1"/>
  <c r="P17" i="6"/>
  <c r="P17" i="28" s="1"/>
  <c r="AB14" i="6"/>
  <c r="AB14" i="7" s="1"/>
  <c r="AB14" i="11" s="1"/>
  <c r="AL20" i="6"/>
  <c r="AL20" i="7" s="1"/>
  <c r="AL20" i="11" s="1"/>
  <c r="AL7" i="6"/>
  <c r="AL7" i="7" s="1"/>
  <c r="AL7" i="11" s="1"/>
  <c r="AC14" i="6"/>
  <c r="AC14" i="7" s="1"/>
  <c r="AC14" i="11" s="1"/>
  <c r="O21" i="6"/>
  <c r="AG3" i="6"/>
  <c r="AG3" i="7" s="1"/>
  <c r="AG3" i="31" s="1"/>
  <c r="AG3" i="32" s="1"/>
  <c r="F19" i="6"/>
  <c r="F19" i="28" s="1"/>
  <c r="I5" i="6"/>
  <c r="I5" i="28" s="1"/>
  <c r="AM3" i="6"/>
  <c r="AM3" i="7" s="1"/>
  <c r="AM3" i="11" s="1"/>
  <c r="C17" i="6"/>
  <c r="C17" i="7" s="1"/>
  <c r="C17" i="31" s="1"/>
  <c r="C17" i="32" s="1"/>
  <c r="Z15" i="6"/>
  <c r="Z15" i="28" s="1"/>
  <c r="AI7" i="6"/>
  <c r="AI7" i="28" s="1"/>
  <c r="N20" i="6"/>
  <c r="N20" i="28" s="1"/>
  <c r="AM8" i="6"/>
  <c r="AM8" i="7" s="1"/>
  <c r="AM8" i="9" s="1"/>
  <c r="AM8" i="10" s="1"/>
  <c r="D19" i="6"/>
  <c r="D19" i="7" s="1"/>
  <c r="D19" i="11" s="1"/>
  <c r="K14" i="6"/>
  <c r="K14" i="7" s="1"/>
  <c r="K14" i="11" s="1"/>
  <c r="E9" i="6"/>
  <c r="E9" i="28" s="1"/>
  <c r="O7" i="6"/>
  <c r="O7" i="7" s="1"/>
  <c r="O7" i="11" s="1"/>
  <c r="AB6" i="6"/>
  <c r="AB6" i="7" s="1"/>
  <c r="AB6" i="9" s="1"/>
  <c r="AB6" i="10" s="1"/>
  <c r="I6" i="6"/>
  <c r="I6" i="7" s="1"/>
  <c r="I6" i="31" s="1"/>
  <c r="I6" i="32" s="1"/>
  <c r="AO7" i="6"/>
  <c r="AO7" i="7" s="1"/>
  <c r="AO7" i="31" s="1"/>
  <c r="AO7" i="32" s="1"/>
  <c r="D20" i="6"/>
  <c r="D20" i="28" s="1"/>
  <c r="K8" i="6"/>
  <c r="K8" i="7" s="1"/>
  <c r="K8" i="11" s="1"/>
  <c r="R3" i="6"/>
  <c r="R3" i="7" s="1"/>
  <c r="R3" i="31" s="1"/>
  <c r="R3" i="32" s="1"/>
  <c r="P9" i="6"/>
  <c r="P9" i="28" s="1"/>
  <c r="AO5" i="6"/>
  <c r="AO5" i="7" s="1"/>
  <c r="AO5" i="11" s="1"/>
  <c r="AC9" i="6"/>
  <c r="AC9" i="28" s="1"/>
  <c r="S8" i="6"/>
  <c r="S8" i="7" s="1"/>
  <c r="S8" i="11" s="1"/>
  <c r="AO8" i="6"/>
  <c r="AO8" i="28" s="1"/>
  <c r="AJ10" i="6"/>
  <c r="AJ10" i="7" s="1"/>
  <c r="AJ10" i="9" s="1"/>
  <c r="AJ10" i="10" s="1"/>
  <c r="AM5" i="6"/>
  <c r="AM5" i="7" s="1"/>
  <c r="AM5" i="9" s="1"/>
  <c r="AM5" i="10" s="1"/>
  <c r="K10" i="6"/>
  <c r="K10" i="28" s="1"/>
  <c r="P11" i="6"/>
  <c r="P11" i="7" s="1"/>
  <c r="P11" i="9" s="1"/>
  <c r="P11" i="10" s="1"/>
  <c r="AE14" i="6"/>
  <c r="AE14" i="7" s="1"/>
  <c r="AE14" i="11" s="1"/>
  <c r="AD7" i="6"/>
  <c r="AD7" i="7" s="1"/>
  <c r="AD7" i="11" s="1"/>
  <c r="S22" i="6"/>
  <c r="AI14" i="6"/>
  <c r="AI14" i="28" s="1"/>
  <c r="F5" i="6"/>
  <c r="F5" i="28" s="1"/>
  <c r="AF4" i="6"/>
  <c r="AF4" i="7" s="1"/>
  <c r="AF4" i="11" s="1"/>
  <c r="AG8" i="6"/>
  <c r="AG8" i="7" s="1"/>
  <c r="AG8" i="31" s="1"/>
  <c r="AG8" i="32" s="1"/>
  <c r="AN5" i="6"/>
  <c r="AN5" i="7" s="1"/>
  <c r="AN5" i="9" s="1"/>
  <c r="AN5" i="10" s="1"/>
  <c r="D21" i="6"/>
  <c r="N5" i="6"/>
  <c r="N5" i="7" s="1"/>
  <c r="N5" i="11" s="1"/>
  <c r="G3" i="6"/>
  <c r="G3" i="7" s="1"/>
  <c r="G3" i="31" s="1"/>
  <c r="G3" i="32" s="1"/>
  <c r="S16" i="6"/>
  <c r="S16" i="7" s="1"/>
  <c r="S16" i="11" s="1"/>
  <c r="AJ4" i="6"/>
  <c r="AJ4" i="7" s="1"/>
  <c r="AJ4" i="11" s="1"/>
  <c r="D5" i="6"/>
  <c r="D5" i="7" s="1"/>
  <c r="D5" i="11" s="1"/>
  <c r="V14" i="6"/>
  <c r="V14" i="28" s="1"/>
  <c r="I13" i="6"/>
  <c r="I13" i="28" s="1"/>
  <c r="M16" i="6"/>
  <c r="M16" i="28" s="1"/>
  <c r="M13" i="6"/>
  <c r="M13" i="7" s="1"/>
  <c r="M13" i="9" s="1"/>
  <c r="M13" i="10" s="1"/>
  <c r="Q10" i="6"/>
  <c r="Q10" i="7" s="1"/>
  <c r="Q10" i="9" s="1"/>
  <c r="Q10" i="10" s="1"/>
  <c r="U7" i="6"/>
  <c r="U7" i="7" s="1"/>
  <c r="U7" i="11" s="1"/>
  <c r="H6" i="6"/>
  <c r="H6" i="28" s="1"/>
  <c r="AF19" i="6"/>
  <c r="AF19" i="28" s="1"/>
  <c r="AB31" i="4"/>
  <c r="AI32" i="4"/>
  <c r="AJ32" i="4" s="1"/>
  <c r="Z33" i="4"/>
  <c r="AB33" i="4"/>
  <c r="AB32" i="4"/>
  <c r="C109" i="4"/>
  <c r="C24" i="4"/>
  <c r="J113" i="4"/>
  <c r="J114" i="4" s="1"/>
  <c r="V32" i="4"/>
  <c r="M22" i="15"/>
  <c r="M23" i="15" s="1"/>
  <c r="C23" i="4"/>
  <c r="E109" i="4"/>
  <c r="O33" i="15"/>
  <c r="O34" i="15" s="1"/>
  <c r="AD33" i="4"/>
  <c r="V33" i="4"/>
  <c r="V31" i="4"/>
  <c r="AB34" i="4"/>
  <c r="I71" i="4"/>
  <c r="D40" i="4" l="1"/>
  <c r="X32" i="4" s="1"/>
  <c r="D39" i="4"/>
  <c r="G47" i="4"/>
  <c r="K33" i="15"/>
  <c r="K34" i="15" s="1"/>
  <c r="P59" i="20"/>
  <c r="X29" i="15"/>
  <c r="AM20" i="11"/>
  <c r="AM20" i="12" s="1"/>
  <c r="AM20" i="9"/>
  <c r="AM20" i="10" s="1"/>
  <c r="AM20" i="28"/>
  <c r="G115" i="4"/>
  <c r="M58" i="4" s="1"/>
  <c r="G113" i="4" s="1"/>
  <c r="U21" i="7"/>
  <c r="U21" i="9" s="1"/>
  <c r="U21" i="10" s="1"/>
  <c r="N21" i="7"/>
  <c r="N21" i="11" s="1"/>
  <c r="AJ21" i="7"/>
  <c r="AJ21" i="11" s="1"/>
  <c r="AF21" i="28"/>
  <c r="AF21" i="7"/>
  <c r="AF21" i="31" s="1"/>
  <c r="AF21" i="32" s="1"/>
  <c r="AC21" i="7"/>
  <c r="AC21" i="9" s="1"/>
  <c r="AC21" i="10" s="1"/>
  <c r="T31" i="7"/>
  <c r="T31" i="28"/>
  <c r="AJ27" i="7"/>
  <c r="AJ27" i="28"/>
  <c r="D32" i="7"/>
  <c r="D32" i="11" s="1"/>
  <c r="D32" i="28"/>
  <c r="L30" i="7"/>
  <c r="L30" i="28"/>
  <c r="T28" i="7"/>
  <c r="T28" i="28"/>
  <c r="U32" i="7"/>
  <c r="U32" i="11" s="1"/>
  <c r="U32" i="28"/>
  <c r="AK30" i="7"/>
  <c r="AK30" i="28"/>
  <c r="M29" i="7"/>
  <c r="M29" i="28"/>
  <c r="AC27" i="7"/>
  <c r="AC27" i="28"/>
  <c r="AA31" i="7"/>
  <c r="AA31" i="28"/>
  <c r="C30" i="7"/>
  <c r="C30" i="28"/>
  <c r="S28" i="7"/>
  <c r="S28" i="28"/>
  <c r="M24" i="7"/>
  <c r="M24" i="28"/>
  <c r="J32" i="7"/>
  <c r="J32" i="11" s="1"/>
  <c r="J32" i="28"/>
  <c r="Z30" i="7"/>
  <c r="Z30" i="28"/>
  <c r="B29" i="7"/>
  <c r="B29" i="28"/>
  <c r="R27" i="7"/>
  <c r="R27" i="28"/>
  <c r="AO32" i="7"/>
  <c r="AO32" i="11" s="1"/>
  <c r="AO32" i="28"/>
  <c r="Q31" i="7"/>
  <c r="Q31" i="28"/>
  <c r="AG29" i="7"/>
  <c r="AG29" i="28"/>
  <c r="I28" i="7"/>
  <c r="I28" i="28"/>
  <c r="H32" i="7"/>
  <c r="H32" i="11" s="1"/>
  <c r="H32" i="28"/>
  <c r="X30" i="7"/>
  <c r="X30" i="28"/>
  <c r="AN28" i="7"/>
  <c r="AN28" i="28"/>
  <c r="P27" i="7"/>
  <c r="P27" i="28"/>
  <c r="AM32" i="7"/>
  <c r="AM32" i="11" s="1"/>
  <c r="AM32" i="28"/>
  <c r="O31" i="7"/>
  <c r="O31" i="28"/>
  <c r="AE29" i="7"/>
  <c r="AE29" i="28"/>
  <c r="G28" i="7"/>
  <c r="G28" i="28"/>
  <c r="F32" i="7"/>
  <c r="F32" i="11" s="1"/>
  <c r="F32" i="28"/>
  <c r="V30" i="7"/>
  <c r="V30" i="28"/>
  <c r="AL28" i="7"/>
  <c r="AL28" i="28"/>
  <c r="N27" i="7"/>
  <c r="N27" i="28"/>
  <c r="AL25" i="7"/>
  <c r="AL25" i="28"/>
  <c r="N24" i="7"/>
  <c r="N24" i="28"/>
  <c r="AJ26" i="7"/>
  <c r="AJ26" i="28"/>
  <c r="L25" i="7"/>
  <c r="L25" i="28"/>
  <c r="AB23" i="7"/>
  <c r="AB23" i="28"/>
  <c r="S26" i="7"/>
  <c r="S26" i="28"/>
  <c r="AI24" i="7"/>
  <c r="AI24" i="28"/>
  <c r="K23" i="7"/>
  <c r="K23" i="28"/>
  <c r="B26" i="7"/>
  <c r="B26" i="28"/>
  <c r="R24" i="7"/>
  <c r="R24" i="28"/>
  <c r="I27" i="7"/>
  <c r="I27" i="28"/>
  <c r="Y25" i="7"/>
  <c r="Y25" i="28"/>
  <c r="AO23" i="7"/>
  <c r="AO23" i="28"/>
  <c r="X26" i="7"/>
  <c r="X26" i="28"/>
  <c r="AN24" i="7"/>
  <c r="AN24" i="28"/>
  <c r="P23" i="7"/>
  <c r="P23" i="28"/>
  <c r="AM25" i="7"/>
  <c r="AM25" i="28"/>
  <c r="O24" i="7"/>
  <c r="O24" i="28"/>
  <c r="O21" i="7"/>
  <c r="O21" i="11" s="1"/>
  <c r="Y21" i="7"/>
  <c r="Y21" i="9" s="1"/>
  <c r="Y21" i="10" s="1"/>
  <c r="P21" i="7"/>
  <c r="P21" i="9" s="1"/>
  <c r="P21" i="10" s="1"/>
  <c r="O22" i="7"/>
  <c r="O22" i="9" s="1"/>
  <c r="O22" i="10" s="1"/>
  <c r="AK21" i="28"/>
  <c r="AK21" i="7"/>
  <c r="AK21" i="31" s="1"/>
  <c r="AK21" i="32" s="1"/>
  <c r="V22" i="28"/>
  <c r="V22" i="7"/>
  <c r="V22" i="31" s="1"/>
  <c r="V22" i="32" s="1"/>
  <c r="AA22" i="7"/>
  <c r="AA22" i="31" s="1"/>
  <c r="AA22" i="32" s="1"/>
  <c r="I21" i="7"/>
  <c r="I21" i="31" s="1"/>
  <c r="I21" i="32" s="1"/>
  <c r="AI22" i="7"/>
  <c r="AI22" i="11" s="1"/>
  <c r="AA21" i="28"/>
  <c r="AA21" i="7"/>
  <c r="AA21" i="11" s="1"/>
  <c r="AA21" i="17" s="1"/>
  <c r="R22" i="7"/>
  <c r="R22" i="11" s="1"/>
  <c r="AJ32" i="7"/>
  <c r="AJ32" i="11" s="1"/>
  <c r="AJ32" i="28"/>
  <c r="AJ29" i="7"/>
  <c r="AJ29" i="28"/>
  <c r="L32" i="7"/>
  <c r="L32" i="11" s="1"/>
  <c r="L32" i="28"/>
  <c r="T30" i="7"/>
  <c r="T30" i="28"/>
  <c r="AB28" i="7"/>
  <c r="AB28" i="28"/>
  <c r="U24" i="7"/>
  <c r="U24" i="28"/>
  <c r="M32" i="7"/>
  <c r="M32" i="11" s="1"/>
  <c r="M32" i="28"/>
  <c r="AC30" i="7"/>
  <c r="AC30" i="28"/>
  <c r="E29" i="7"/>
  <c r="E29" i="28"/>
  <c r="U27" i="7"/>
  <c r="U27" i="28"/>
  <c r="S31" i="7"/>
  <c r="S31" i="28"/>
  <c r="AI29" i="7"/>
  <c r="AI29" i="28"/>
  <c r="K28" i="7"/>
  <c r="K28" i="28"/>
  <c r="B32" i="7"/>
  <c r="B32" i="11" s="1"/>
  <c r="B32" i="28"/>
  <c r="R30" i="7"/>
  <c r="R30" i="28"/>
  <c r="AH28" i="7"/>
  <c r="AH28" i="28"/>
  <c r="E27" i="7"/>
  <c r="E27" i="28"/>
  <c r="AG32" i="7"/>
  <c r="AG32" i="11" s="1"/>
  <c r="AG32" i="28"/>
  <c r="I31" i="7"/>
  <c r="I31" i="28"/>
  <c r="Y29" i="7"/>
  <c r="Y29" i="28"/>
  <c r="AO27" i="7"/>
  <c r="AO27" i="28"/>
  <c r="AN31" i="7"/>
  <c r="AN31" i="28"/>
  <c r="P30" i="7"/>
  <c r="P30" i="28"/>
  <c r="AF28" i="7"/>
  <c r="AF28" i="28"/>
  <c r="AK26" i="7"/>
  <c r="AK26" i="28"/>
  <c r="AE32" i="7"/>
  <c r="AE32" i="11" s="1"/>
  <c r="AE32" i="28"/>
  <c r="G31" i="7"/>
  <c r="G31" i="28"/>
  <c r="W29" i="7"/>
  <c r="W29" i="28"/>
  <c r="AM27" i="7"/>
  <c r="AM27" i="28"/>
  <c r="AL31" i="7"/>
  <c r="AL31" i="28"/>
  <c r="N30" i="7"/>
  <c r="N30" i="28"/>
  <c r="AD28" i="7"/>
  <c r="AD28" i="28"/>
  <c r="U26" i="7"/>
  <c r="U26" i="28"/>
  <c r="AD25" i="7"/>
  <c r="AD25" i="28"/>
  <c r="F24" i="7"/>
  <c r="F24" i="28"/>
  <c r="AB26" i="7"/>
  <c r="AB26" i="28"/>
  <c r="D25" i="7"/>
  <c r="D25" i="28"/>
  <c r="T23" i="7"/>
  <c r="T23" i="28"/>
  <c r="K26" i="7"/>
  <c r="K26" i="28"/>
  <c r="AA24" i="7"/>
  <c r="AA24" i="28"/>
  <c r="C23" i="7"/>
  <c r="C23" i="28"/>
  <c r="AH25" i="7"/>
  <c r="AH25" i="28"/>
  <c r="J24" i="7"/>
  <c r="J24" i="28"/>
  <c r="AO26" i="7"/>
  <c r="AO26" i="28"/>
  <c r="Q25" i="7"/>
  <c r="Q25" i="28"/>
  <c r="AG23" i="7"/>
  <c r="AG23" i="28"/>
  <c r="P26" i="7"/>
  <c r="P26" i="28"/>
  <c r="AF24" i="7"/>
  <c r="AF24" i="28"/>
  <c r="H23" i="7"/>
  <c r="H23" i="28"/>
  <c r="AE25" i="7"/>
  <c r="AE25" i="28"/>
  <c r="G24" i="7"/>
  <c r="G24" i="28"/>
  <c r="S22" i="28"/>
  <c r="S22" i="7"/>
  <c r="S22" i="9" s="1"/>
  <c r="S22" i="10" s="1"/>
  <c r="Y22" i="7"/>
  <c r="Y22" i="9" s="1"/>
  <c r="Y22" i="10" s="1"/>
  <c r="H22" i="7"/>
  <c r="H22" i="31" s="1"/>
  <c r="H22" i="32" s="1"/>
  <c r="AE22" i="28"/>
  <c r="AE22" i="7"/>
  <c r="AE22" i="31" s="1"/>
  <c r="AE22" i="32" s="1"/>
  <c r="AB22" i="28"/>
  <c r="AB22" i="7"/>
  <c r="AB22" i="31" s="1"/>
  <c r="AB22" i="32" s="1"/>
  <c r="W21" i="28"/>
  <c r="W21" i="7"/>
  <c r="W21" i="9" s="1"/>
  <c r="W21" i="10" s="1"/>
  <c r="Z22" i="7"/>
  <c r="Z22" i="31" s="1"/>
  <c r="Z22" i="32" s="1"/>
  <c r="M22" i="7"/>
  <c r="M22" i="9" s="1"/>
  <c r="M22" i="10" s="1"/>
  <c r="AB21" i="7"/>
  <c r="AB21" i="9" s="1"/>
  <c r="AB21" i="10" s="1"/>
  <c r="L31" i="7"/>
  <c r="L31" i="28"/>
  <c r="L28" i="7"/>
  <c r="L28" i="28"/>
  <c r="AB30" i="7"/>
  <c r="AB30" i="28"/>
  <c r="AJ28" i="7"/>
  <c r="AJ28" i="28"/>
  <c r="E26" i="7"/>
  <c r="E26" i="28"/>
  <c r="E32" i="7"/>
  <c r="E32" i="11" s="1"/>
  <c r="E32" i="28"/>
  <c r="U30" i="7"/>
  <c r="U30" i="28"/>
  <c r="AK28" i="7"/>
  <c r="AK28" i="28"/>
  <c r="M27" i="7"/>
  <c r="M27" i="28"/>
  <c r="AI32" i="7"/>
  <c r="AI32" i="11" s="1"/>
  <c r="AI32" i="28"/>
  <c r="K31" i="7"/>
  <c r="K31" i="28"/>
  <c r="AA29" i="7"/>
  <c r="AA29" i="28"/>
  <c r="C28" i="7"/>
  <c r="C28" i="28"/>
  <c r="AH31" i="7"/>
  <c r="AH31" i="28"/>
  <c r="J30" i="7"/>
  <c r="J30" i="28"/>
  <c r="Z28" i="7"/>
  <c r="Z28" i="28"/>
  <c r="AC25" i="7"/>
  <c r="AC25" i="28"/>
  <c r="Y32" i="7"/>
  <c r="Y32" i="11" s="1"/>
  <c r="Y32" i="28"/>
  <c r="AO30" i="7"/>
  <c r="AO30" i="28"/>
  <c r="Q29" i="7"/>
  <c r="Q29" i="28"/>
  <c r="AG27" i="7"/>
  <c r="AG27" i="28"/>
  <c r="AF31" i="7"/>
  <c r="AF31" i="28"/>
  <c r="H30" i="7"/>
  <c r="H30" i="28"/>
  <c r="X28" i="7"/>
  <c r="X28" i="28"/>
  <c r="M25" i="7"/>
  <c r="M25" i="28"/>
  <c r="W32" i="7"/>
  <c r="W32" i="11" s="1"/>
  <c r="W32" i="28"/>
  <c r="AM30" i="7"/>
  <c r="AM30" i="28"/>
  <c r="O29" i="7"/>
  <c r="O29" i="28"/>
  <c r="AE27" i="7"/>
  <c r="AE27" i="28"/>
  <c r="AD31" i="7"/>
  <c r="AD31" i="28"/>
  <c r="F30" i="7"/>
  <c r="F30" i="28"/>
  <c r="V28" i="7"/>
  <c r="V28" i="28"/>
  <c r="AK24" i="7"/>
  <c r="AK24" i="28"/>
  <c r="V25" i="7"/>
  <c r="V25" i="28"/>
  <c r="AL23" i="7"/>
  <c r="AL23" i="28"/>
  <c r="T26" i="7"/>
  <c r="T26" i="28"/>
  <c r="AJ24" i="7"/>
  <c r="AJ24" i="28"/>
  <c r="L23" i="7"/>
  <c r="L23" i="28"/>
  <c r="C26" i="7"/>
  <c r="C26" i="28"/>
  <c r="S24" i="7"/>
  <c r="S24" i="28"/>
  <c r="J27" i="7"/>
  <c r="J27" i="28"/>
  <c r="Z25" i="7"/>
  <c r="Z25" i="28"/>
  <c r="B24" i="7"/>
  <c r="B24" i="28"/>
  <c r="AG26" i="7"/>
  <c r="AG26" i="28"/>
  <c r="I25" i="7"/>
  <c r="I25" i="28"/>
  <c r="Y23" i="7"/>
  <c r="Y23" i="28"/>
  <c r="H26" i="7"/>
  <c r="H26" i="28"/>
  <c r="X24" i="7"/>
  <c r="X24" i="28"/>
  <c r="G27" i="7"/>
  <c r="G27" i="28"/>
  <c r="W25" i="7"/>
  <c r="W25" i="28"/>
  <c r="AM23" i="7"/>
  <c r="AM23" i="28"/>
  <c r="W22" i="7"/>
  <c r="W22" i="31" s="1"/>
  <c r="W22" i="32" s="1"/>
  <c r="X21" i="7"/>
  <c r="X21" i="9" s="1"/>
  <c r="X21" i="10" s="1"/>
  <c r="F22" i="28"/>
  <c r="F22" i="7"/>
  <c r="F22" i="11" s="1"/>
  <c r="F22" i="17" s="1"/>
  <c r="B21" i="7"/>
  <c r="B21" i="11" s="1"/>
  <c r="E22" i="7"/>
  <c r="E22" i="9" s="1"/>
  <c r="E22" i="10" s="1"/>
  <c r="G22" i="28"/>
  <c r="G22" i="7"/>
  <c r="G22" i="31" s="1"/>
  <c r="G22" i="32" s="1"/>
  <c r="K21" i="7"/>
  <c r="K21" i="31" s="1"/>
  <c r="K21" i="32" s="1"/>
  <c r="Z21" i="28"/>
  <c r="Z21" i="7"/>
  <c r="Z21" i="11" s="1"/>
  <c r="Z21" i="12" s="1"/>
  <c r="X22" i="28"/>
  <c r="X22" i="7"/>
  <c r="X22" i="9" s="1"/>
  <c r="X22" i="10" s="1"/>
  <c r="U22" i="7"/>
  <c r="U22" i="11" s="1"/>
  <c r="AO22" i="7"/>
  <c r="AO22" i="31" s="1"/>
  <c r="AO22" i="32" s="1"/>
  <c r="AE21" i="7"/>
  <c r="AE21" i="11" s="1"/>
  <c r="I22" i="7"/>
  <c r="I22" i="11" s="1"/>
  <c r="N22" i="7"/>
  <c r="N22" i="11" s="1"/>
  <c r="AB29" i="7"/>
  <c r="AB29" i="28"/>
  <c r="T32" i="7"/>
  <c r="T32" i="11" s="1"/>
  <c r="T32" i="28"/>
  <c r="D29" i="7"/>
  <c r="D29" i="28"/>
  <c r="L27" i="7"/>
  <c r="L27" i="28"/>
  <c r="AK31" i="7"/>
  <c r="AK31" i="28"/>
  <c r="M30" i="7"/>
  <c r="M30" i="28"/>
  <c r="AC28" i="7"/>
  <c r="AC28" i="28"/>
  <c r="M26" i="7"/>
  <c r="M26" i="28"/>
  <c r="AA32" i="7"/>
  <c r="AA32" i="11" s="1"/>
  <c r="AA32" i="28"/>
  <c r="C31" i="7"/>
  <c r="C31" i="28"/>
  <c r="S29" i="7"/>
  <c r="S29" i="28"/>
  <c r="AI27" i="7"/>
  <c r="AI27" i="28"/>
  <c r="Z31" i="7"/>
  <c r="Z31" i="28"/>
  <c r="B30" i="7"/>
  <c r="B30" i="28"/>
  <c r="R28" i="7"/>
  <c r="R28" i="28"/>
  <c r="E24" i="7"/>
  <c r="E24" i="28"/>
  <c r="Q32" i="7"/>
  <c r="Q32" i="11" s="1"/>
  <c r="Q32" i="28"/>
  <c r="AG30" i="7"/>
  <c r="AG30" i="28"/>
  <c r="I29" i="7"/>
  <c r="I29" i="28"/>
  <c r="Y27" i="7"/>
  <c r="Y27" i="28"/>
  <c r="X31" i="7"/>
  <c r="X31" i="28"/>
  <c r="AN29" i="7"/>
  <c r="AN29" i="28"/>
  <c r="P28" i="7"/>
  <c r="P28" i="28"/>
  <c r="AC23" i="7"/>
  <c r="AC23" i="28"/>
  <c r="O32" i="7"/>
  <c r="O32" i="11" s="1"/>
  <c r="O32" i="28"/>
  <c r="AE30" i="7"/>
  <c r="AE30" i="28"/>
  <c r="G29" i="7"/>
  <c r="G29" i="28"/>
  <c r="W27" i="7"/>
  <c r="W27" i="28"/>
  <c r="V31" i="7"/>
  <c r="V31" i="28"/>
  <c r="AL29" i="7"/>
  <c r="AL29" i="28"/>
  <c r="N28" i="7"/>
  <c r="N28" i="28"/>
  <c r="M23" i="7"/>
  <c r="M23" i="28"/>
  <c r="N25" i="7"/>
  <c r="N25" i="28"/>
  <c r="AD23" i="7"/>
  <c r="AD23" i="28"/>
  <c r="L26" i="7"/>
  <c r="L26" i="28"/>
  <c r="AB24" i="7"/>
  <c r="AB24" i="28"/>
  <c r="D23" i="7"/>
  <c r="D23" i="28"/>
  <c r="AI25" i="7"/>
  <c r="AI25" i="28"/>
  <c r="K24" i="7"/>
  <c r="K24" i="28"/>
  <c r="B27" i="7"/>
  <c r="B27" i="28"/>
  <c r="R25" i="7"/>
  <c r="R25" i="28"/>
  <c r="AH23" i="7"/>
  <c r="AH23" i="28"/>
  <c r="Y26" i="7"/>
  <c r="Y26" i="28"/>
  <c r="AO24" i="7"/>
  <c r="AO24" i="28"/>
  <c r="Q23" i="7"/>
  <c r="Q23" i="28"/>
  <c r="AN25" i="7"/>
  <c r="AN25" i="28"/>
  <c r="P24" i="7"/>
  <c r="P24" i="28"/>
  <c r="AM26" i="7"/>
  <c r="AM26" i="28"/>
  <c r="O25" i="7"/>
  <c r="O25" i="28"/>
  <c r="AE23" i="7"/>
  <c r="AE23" i="28"/>
  <c r="D21" i="28"/>
  <c r="D21" i="7"/>
  <c r="D21" i="11" s="1"/>
  <c r="D21" i="17" s="1"/>
  <c r="P22" i="7"/>
  <c r="P22" i="31" s="1"/>
  <c r="P22" i="32" s="1"/>
  <c r="M21" i="7"/>
  <c r="M21" i="11" s="1"/>
  <c r="E21" i="7"/>
  <c r="E21" i="11" s="1"/>
  <c r="AG21" i="7"/>
  <c r="AG21" i="11" s="1"/>
  <c r="AO21" i="7"/>
  <c r="AO21" i="9" s="1"/>
  <c r="AO21" i="10" s="1"/>
  <c r="AM22" i="28"/>
  <c r="AM22" i="7"/>
  <c r="AM22" i="9" s="1"/>
  <c r="AM22" i="10" s="1"/>
  <c r="AD22" i="7"/>
  <c r="AD22" i="9" s="1"/>
  <c r="AD22" i="10" s="1"/>
  <c r="G21" i="28"/>
  <c r="G21" i="7"/>
  <c r="G21" i="31" s="1"/>
  <c r="G21" i="32" s="1"/>
  <c r="AL21" i="7"/>
  <c r="AL21" i="11" s="1"/>
  <c r="D28" i="7"/>
  <c r="D28" i="28"/>
  <c r="AJ30" i="7"/>
  <c r="AJ30" i="28"/>
  <c r="T27" i="7"/>
  <c r="T27" i="28"/>
  <c r="AC31" i="7"/>
  <c r="AC31" i="28"/>
  <c r="E30" i="7"/>
  <c r="E30" i="28"/>
  <c r="U28" i="7"/>
  <c r="U28" i="28"/>
  <c r="AC24" i="7"/>
  <c r="AC24" i="28"/>
  <c r="S32" i="7"/>
  <c r="S32" i="11" s="1"/>
  <c r="S32" i="28"/>
  <c r="AI30" i="7"/>
  <c r="AI30" i="28"/>
  <c r="K29" i="7"/>
  <c r="K29" i="28"/>
  <c r="AA27" i="7"/>
  <c r="AA27" i="28"/>
  <c r="R31" i="7"/>
  <c r="R31" i="28"/>
  <c r="AH29" i="7"/>
  <c r="AH29" i="28"/>
  <c r="J28" i="7"/>
  <c r="J28" i="28"/>
  <c r="I32" i="7"/>
  <c r="I32" i="11" s="1"/>
  <c r="I32" i="28"/>
  <c r="Y30" i="7"/>
  <c r="Y30" i="28"/>
  <c r="AO28" i="7"/>
  <c r="AO28" i="28"/>
  <c r="Q27" i="7"/>
  <c r="Q27" i="28"/>
  <c r="AN32" i="7"/>
  <c r="AN32" i="11" s="1"/>
  <c r="AN32" i="28"/>
  <c r="P31" i="7"/>
  <c r="P31" i="28"/>
  <c r="AF29" i="7"/>
  <c r="AF29" i="28"/>
  <c r="H28" i="7"/>
  <c r="H28" i="28"/>
  <c r="G32" i="7"/>
  <c r="G32" i="11" s="1"/>
  <c r="G32" i="28"/>
  <c r="W30" i="7"/>
  <c r="W30" i="28"/>
  <c r="AM28" i="7"/>
  <c r="AM28" i="28"/>
  <c r="O27" i="7"/>
  <c r="O27" i="28"/>
  <c r="AL32" i="7"/>
  <c r="AL32" i="11" s="1"/>
  <c r="AL32" i="28"/>
  <c r="N31" i="7"/>
  <c r="N31" i="28"/>
  <c r="AD29" i="7"/>
  <c r="AD29" i="28"/>
  <c r="F28" i="7"/>
  <c r="F28" i="28"/>
  <c r="AD26" i="7"/>
  <c r="AD26" i="28"/>
  <c r="F25" i="7"/>
  <c r="F25" i="28"/>
  <c r="V23" i="7"/>
  <c r="V23" i="28"/>
  <c r="D26" i="7"/>
  <c r="D26" i="28"/>
  <c r="T24" i="7"/>
  <c r="T24" i="28"/>
  <c r="K27" i="7"/>
  <c r="K27" i="28"/>
  <c r="AA25" i="7"/>
  <c r="AA25" i="28"/>
  <c r="C24" i="7"/>
  <c r="C24" i="28"/>
  <c r="AH26" i="7"/>
  <c r="AH26" i="28"/>
  <c r="J25" i="7"/>
  <c r="J25" i="28"/>
  <c r="Z23" i="7"/>
  <c r="Z23" i="28"/>
  <c r="Q26" i="7"/>
  <c r="Q26" i="28"/>
  <c r="AG24" i="7"/>
  <c r="AG24" i="28"/>
  <c r="I23" i="7"/>
  <c r="I23" i="28"/>
  <c r="AF25" i="7"/>
  <c r="AF25" i="28"/>
  <c r="H24" i="7"/>
  <c r="H24" i="28"/>
  <c r="AE26" i="7"/>
  <c r="AE26" i="28"/>
  <c r="G25" i="7"/>
  <c r="G25" i="28"/>
  <c r="W23" i="7"/>
  <c r="W23" i="28"/>
  <c r="AH21" i="7"/>
  <c r="AH21" i="31" s="1"/>
  <c r="AH21" i="32" s="1"/>
  <c r="S21" i="7"/>
  <c r="S21" i="11" s="1"/>
  <c r="Q21" i="7"/>
  <c r="Q21" i="11" s="1"/>
  <c r="Q21" i="12" s="1"/>
  <c r="AC22" i="7"/>
  <c r="AC22" i="31" s="1"/>
  <c r="AC22" i="32" s="1"/>
  <c r="AD21" i="28"/>
  <c r="AD21" i="7"/>
  <c r="AD21" i="11" s="1"/>
  <c r="AD21" i="17" s="1"/>
  <c r="C21" i="7"/>
  <c r="C21" i="9" s="1"/>
  <c r="C21" i="10" s="1"/>
  <c r="AM21" i="28"/>
  <c r="AM21" i="7"/>
  <c r="AM21" i="9" s="1"/>
  <c r="AM21" i="10" s="1"/>
  <c r="AN21" i="7"/>
  <c r="AN21" i="31" s="1"/>
  <c r="AN21" i="32" s="1"/>
  <c r="T22" i="7"/>
  <c r="T22" i="9" s="1"/>
  <c r="T22" i="10" s="1"/>
  <c r="AH22" i="7"/>
  <c r="AH22" i="11" s="1"/>
  <c r="AN22" i="28"/>
  <c r="AN22" i="7"/>
  <c r="AN22" i="31" s="1"/>
  <c r="AN22" i="32" s="1"/>
  <c r="J21" i="7"/>
  <c r="J21" i="11" s="1"/>
  <c r="AF22" i="7"/>
  <c r="AF22" i="9" s="1"/>
  <c r="AF22" i="10" s="1"/>
  <c r="H21" i="7"/>
  <c r="H21" i="31" s="1"/>
  <c r="H21" i="32" s="1"/>
  <c r="B22" i="7"/>
  <c r="B22" i="31" s="1"/>
  <c r="B22" i="32" s="1"/>
  <c r="AB32" i="7"/>
  <c r="AB32" i="11" s="1"/>
  <c r="AB32" i="28"/>
  <c r="L29" i="7"/>
  <c r="L29" i="28"/>
  <c r="U31" i="7"/>
  <c r="U31" i="28"/>
  <c r="AK29" i="7"/>
  <c r="AK29" i="28"/>
  <c r="M28" i="7"/>
  <c r="M28" i="28"/>
  <c r="E23" i="7"/>
  <c r="E23" i="28"/>
  <c r="K32" i="7"/>
  <c r="K32" i="11" s="1"/>
  <c r="K32" i="28"/>
  <c r="AA30" i="7"/>
  <c r="AA30" i="28"/>
  <c r="C29" i="7"/>
  <c r="C29" i="28"/>
  <c r="S27" i="7"/>
  <c r="S27" i="28"/>
  <c r="AH32" i="7"/>
  <c r="AH32" i="11" s="1"/>
  <c r="AH32" i="28"/>
  <c r="J31" i="7"/>
  <c r="J31" i="28"/>
  <c r="Z29" i="7"/>
  <c r="Z29" i="28"/>
  <c r="B28" i="7"/>
  <c r="B28" i="28"/>
  <c r="AO31" i="7"/>
  <c r="AO31" i="28"/>
  <c r="Q30" i="7"/>
  <c r="Q30" i="28"/>
  <c r="AG28" i="7"/>
  <c r="AG28" i="28"/>
  <c r="AL26" i="7"/>
  <c r="AL26" i="28"/>
  <c r="AF32" i="7"/>
  <c r="AF32" i="11" s="1"/>
  <c r="AF32" i="28"/>
  <c r="H31" i="7"/>
  <c r="H31" i="28"/>
  <c r="X29" i="7"/>
  <c r="X29" i="28"/>
  <c r="AN27" i="7"/>
  <c r="AN27" i="28"/>
  <c r="AM31" i="7"/>
  <c r="AM31" i="28"/>
  <c r="O30" i="7"/>
  <c r="O30" i="28"/>
  <c r="AE28" i="7"/>
  <c r="AE28" i="28"/>
  <c r="AC26" i="7"/>
  <c r="AC26" i="28"/>
  <c r="AD32" i="7"/>
  <c r="AD32" i="11" s="1"/>
  <c r="AD32" i="28"/>
  <c r="F31" i="7"/>
  <c r="F31" i="28"/>
  <c r="V29" i="7"/>
  <c r="V29" i="28"/>
  <c r="AL27" i="7"/>
  <c r="AL27" i="28"/>
  <c r="V26" i="7"/>
  <c r="V26" i="28"/>
  <c r="AL24" i="7"/>
  <c r="AL24" i="28"/>
  <c r="N23" i="7"/>
  <c r="N23" i="28"/>
  <c r="AJ25" i="7"/>
  <c r="AJ25" i="28"/>
  <c r="L24" i="7"/>
  <c r="L24" i="28"/>
  <c r="C27" i="7"/>
  <c r="C27" i="28"/>
  <c r="S25" i="7"/>
  <c r="S25" i="28"/>
  <c r="AI23" i="7"/>
  <c r="AI23" i="28"/>
  <c r="Z26" i="7"/>
  <c r="Z26" i="28"/>
  <c r="B25" i="7"/>
  <c r="B25" i="28"/>
  <c r="R23" i="7"/>
  <c r="R23" i="28"/>
  <c r="I26" i="7"/>
  <c r="I26" i="28"/>
  <c r="Y24" i="7"/>
  <c r="Y24" i="28"/>
  <c r="H27" i="7"/>
  <c r="H27" i="28"/>
  <c r="X25" i="7"/>
  <c r="X25" i="28"/>
  <c r="AN23" i="7"/>
  <c r="AN23" i="28"/>
  <c r="W26" i="7"/>
  <c r="W26" i="28"/>
  <c r="AM24" i="7"/>
  <c r="AM24" i="28"/>
  <c r="O23" i="7"/>
  <c r="O23" i="28"/>
  <c r="C22" i="7"/>
  <c r="C22" i="9" s="1"/>
  <c r="C22" i="10" s="1"/>
  <c r="R21" i="7"/>
  <c r="R21" i="31" s="1"/>
  <c r="R21" i="32" s="1"/>
  <c r="F21" i="28"/>
  <c r="F21" i="7"/>
  <c r="F21" i="11" s="1"/>
  <c r="F21" i="12" s="1"/>
  <c r="Q22" i="28"/>
  <c r="Q22" i="7"/>
  <c r="Q22" i="9" s="1"/>
  <c r="Q22" i="10" s="1"/>
  <c r="AI21" i="7"/>
  <c r="AI21" i="9" s="1"/>
  <c r="AI21" i="10" s="1"/>
  <c r="D31" i="7"/>
  <c r="D31" i="28"/>
  <c r="AB27" i="7"/>
  <c r="AB27" i="28"/>
  <c r="AB31" i="7"/>
  <c r="AB31" i="28"/>
  <c r="AK32" i="7"/>
  <c r="AK32" i="11" s="1"/>
  <c r="AK32" i="28"/>
  <c r="M31" i="7"/>
  <c r="M31" i="28"/>
  <c r="AC29" i="7"/>
  <c r="AC29" i="28"/>
  <c r="E28" i="7"/>
  <c r="E28" i="28"/>
  <c r="C32" i="7"/>
  <c r="C32" i="11" s="1"/>
  <c r="C32" i="28"/>
  <c r="S30" i="7"/>
  <c r="S30" i="28"/>
  <c r="AI28" i="7"/>
  <c r="AI28" i="28"/>
  <c r="F27" i="7"/>
  <c r="F27" i="28"/>
  <c r="Z32" i="7"/>
  <c r="Z32" i="11" s="1"/>
  <c r="Z32" i="28"/>
  <c r="B31" i="7"/>
  <c r="B31" i="28"/>
  <c r="R29" i="7"/>
  <c r="R29" i="28"/>
  <c r="AH27" i="7"/>
  <c r="AH27" i="28"/>
  <c r="AG31" i="7"/>
  <c r="AG31" i="28"/>
  <c r="I30" i="7"/>
  <c r="I30" i="28"/>
  <c r="Y28" i="7"/>
  <c r="Y28" i="28"/>
  <c r="U25" i="7"/>
  <c r="U25" i="28"/>
  <c r="X32" i="7"/>
  <c r="X32" i="11" s="1"/>
  <c r="X32" i="28"/>
  <c r="AN30" i="7"/>
  <c r="AN30" i="28"/>
  <c r="P29" i="7"/>
  <c r="P29" i="28"/>
  <c r="AF27" i="7"/>
  <c r="AF27" i="28"/>
  <c r="AE31" i="7"/>
  <c r="AE31" i="28"/>
  <c r="G30" i="7"/>
  <c r="G30" i="28"/>
  <c r="W28" i="7"/>
  <c r="W28" i="28"/>
  <c r="E25" i="7"/>
  <c r="E25" i="28"/>
  <c r="V32" i="7"/>
  <c r="V32" i="11" s="1"/>
  <c r="V32" i="28"/>
  <c r="AL30" i="7"/>
  <c r="AL30" i="28"/>
  <c r="N29" i="7"/>
  <c r="N29" i="28"/>
  <c r="AD27" i="7"/>
  <c r="AD27" i="28"/>
  <c r="N26" i="7"/>
  <c r="N26" i="28"/>
  <c r="AD24" i="7"/>
  <c r="AD24" i="28"/>
  <c r="F23" i="7"/>
  <c r="F23" i="28"/>
  <c r="AB25" i="7"/>
  <c r="AB25" i="28"/>
  <c r="D24" i="7"/>
  <c r="D24" i="28"/>
  <c r="AI26" i="7"/>
  <c r="AI26" i="28"/>
  <c r="K25" i="7"/>
  <c r="K25" i="28"/>
  <c r="AA23" i="7"/>
  <c r="AA23" i="28"/>
  <c r="R26" i="7"/>
  <c r="R26" i="28"/>
  <c r="AH24" i="7"/>
  <c r="AH24" i="28"/>
  <c r="J23" i="7"/>
  <c r="J23" i="28"/>
  <c r="AO25" i="7"/>
  <c r="AO25" i="28"/>
  <c r="Q24" i="7"/>
  <c r="Q24" i="28"/>
  <c r="AN26" i="7"/>
  <c r="AN26" i="28"/>
  <c r="P25" i="7"/>
  <c r="P25" i="28"/>
  <c r="AF23" i="7"/>
  <c r="AF23" i="28"/>
  <c r="O26" i="7"/>
  <c r="O26" i="28"/>
  <c r="AE24" i="7"/>
  <c r="AE24" i="28"/>
  <c r="G23" i="7"/>
  <c r="G23" i="28"/>
  <c r="D22" i="7"/>
  <c r="D22" i="9" s="1"/>
  <c r="D22" i="10" s="1"/>
  <c r="AL22" i="7"/>
  <c r="AL22" i="11" s="1"/>
  <c r="J22" i="7"/>
  <c r="J22" i="11" s="1"/>
  <c r="L22" i="28"/>
  <c r="L22" i="7"/>
  <c r="L22" i="11" s="1"/>
  <c r="L22" i="17" s="1"/>
  <c r="AG22" i="28"/>
  <c r="AG22" i="7"/>
  <c r="AG22" i="11" s="1"/>
  <c r="AG22" i="17" s="1"/>
  <c r="L21" i="7"/>
  <c r="L21" i="11" s="1"/>
  <c r="T21" i="7"/>
  <c r="T21" i="31" s="1"/>
  <c r="T21" i="32" s="1"/>
  <c r="AJ22" i="7"/>
  <c r="AJ22" i="9" s="1"/>
  <c r="AJ22" i="10" s="1"/>
  <c r="AK22" i="7"/>
  <c r="AK22" i="11" s="1"/>
  <c r="K22" i="28"/>
  <c r="K22" i="7"/>
  <c r="K22" i="11" s="1"/>
  <c r="K22" i="12" s="1"/>
  <c r="V21" i="28"/>
  <c r="V21" i="7"/>
  <c r="V21" i="31" s="1"/>
  <c r="V21" i="32" s="1"/>
  <c r="T29" i="7"/>
  <c r="T29" i="28"/>
  <c r="AJ31" i="7"/>
  <c r="AJ31" i="28"/>
  <c r="D30" i="7"/>
  <c r="D30" i="28"/>
  <c r="AC32" i="7"/>
  <c r="AC32" i="11" s="1"/>
  <c r="AC32" i="28"/>
  <c r="E31" i="7"/>
  <c r="E31" i="28"/>
  <c r="U29" i="7"/>
  <c r="U29" i="28"/>
  <c r="AK27" i="7"/>
  <c r="AK27" i="28"/>
  <c r="AI31" i="7"/>
  <c r="AI31" i="28"/>
  <c r="K30" i="7"/>
  <c r="K30" i="28"/>
  <c r="AA28" i="7"/>
  <c r="AA28" i="28"/>
  <c r="AK25" i="7"/>
  <c r="AK25" i="28"/>
  <c r="R32" i="7"/>
  <c r="R32" i="11" s="1"/>
  <c r="R32" i="28"/>
  <c r="AH30" i="7"/>
  <c r="AH30" i="28"/>
  <c r="J29" i="7"/>
  <c r="J29" i="28"/>
  <c r="Z27" i="7"/>
  <c r="Z27" i="28"/>
  <c r="Y31" i="7"/>
  <c r="Y31" i="28"/>
  <c r="AO29" i="7"/>
  <c r="AO29" i="28"/>
  <c r="Q28" i="7"/>
  <c r="Q28" i="28"/>
  <c r="AK23" i="7"/>
  <c r="AK23" i="28"/>
  <c r="P32" i="7"/>
  <c r="P32" i="11" s="1"/>
  <c r="P32" i="28"/>
  <c r="AF30" i="7"/>
  <c r="AF30" i="28"/>
  <c r="H29" i="7"/>
  <c r="H29" i="28"/>
  <c r="X27" i="7"/>
  <c r="X27" i="28"/>
  <c r="W31" i="7"/>
  <c r="W31" i="28"/>
  <c r="AM29" i="7"/>
  <c r="AM29" i="28"/>
  <c r="O28" i="7"/>
  <c r="O28" i="28"/>
  <c r="U23" i="7"/>
  <c r="U23" i="28"/>
  <c r="N32" i="7"/>
  <c r="N32" i="11" s="1"/>
  <c r="N32" i="28"/>
  <c r="AD30" i="7"/>
  <c r="AD30" i="28"/>
  <c r="F29" i="7"/>
  <c r="F29" i="28"/>
  <c r="V27" i="7"/>
  <c r="V27" i="28"/>
  <c r="F26" i="7"/>
  <c r="F26" i="28"/>
  <c r="V24" i="7"/>
  <c r="V24" i="28"/>
  <c r="D27" i="7"/>
  <c r="D27" i="28"/>
  <c r="T25" i="7"/>
  <c r="T25" i="28"/>
  <c r="AJ23" i="7"/>
  <c r="AJ23" i="28"/>
  <c r="AA26" i="7"/>
  <c r="AA26" i="28"/>
  <c r="C25" i="7"/>
  <c r="C25" i="28"/>
  <c r="S23" i="7"/>
  <c r="S23" i="28"/>
  <c r="J26" i="7"/>
  <c r="J26" i="28"/>
  <c r="Z24" i="7"/>
  <c r="Z24" i="28"/>
  <c r="B23" i="7"/>
  <c r="B23" i="28"/>
  <c r="AG25" i="7"/>
  <c r="AG25" i="28"/>
  <c r="I24" i="7"/>
  <c r="I24" i="28"/>
  <c r="AF26" i="7"/>
  <c r="AF26" i="28"/>
  <c r="H25" i="7"/>
  <c r="H25" i="28"/>
  <c r="X23" i="7"/>
  <c r="X23" i="28"/>
  <c r="G26" i="7"/>
  <c r="G26" i="28"/>
  <c r="W24" i="7"/>
  <c r="W24" i="28"/>
  <c r="L10" i="7"/>
  <c r="L10" i="11" s="1"/>
  <c r="L10" i="17" s="1"/>
  <c r="L10" i="16" s="1"/>
  <c r="F4" i="7"/>
  <c r="F4" i="31" s="1"/>
  <c r="F4" i="32" s="1"/>
  <c r="R10" i="9"/>
  <c r="R10" i="10" s="1"/>
  <c r="AB12" i="28"/>
  <c r="H3" i="7"/>
  <c r="H3" i="31" s="1"/>
  <c r="H3" i="32" s="1"/>
  <c r="R10" i="11"/>
  <c r="R10" i="12" s="1"/>
  <c r="Z20" i="28"/>
  <c r="AM14" i="28"/>
  <c r="Z20" i="31"/>
  <c r="Z20" i="32" s="1"/>
  <c r="AM14" i="9"/>
  <c r="AM14" i="10" s="1"/>
  <c r="Z20" i="9"/>
  <c r="Z20" i="10" s="1"/>
  <c r="AM14" i="11"/>
  <c r="AM14" i="17" s="1"/>
  <c r="Z18" i="7"/>
  <c r="Z18" i="9" s="1"/>
  <c r="Z18" i="10" s="1"/>
  <c r="R10" i="28"/>
  <c r="AD15" i="28"/>
  <c r="AC3" i="9"/>
  <c r="AC3" i="10" s="1"/>
  <c r="C18" i="11"/>
  <c r="C18" i="17" s="1"/>
  <c r="AN13" i="11"/>
  <c r="AN13" i="12" s="1"/>
  <c r="AJ8" i="11"/>
  <c r="AJ8" i="12" s="1"/>
  <c r="W7" i="31"/>
  <c r="W7" i="32" s="1"/>
  <c r="S13" i="11"/>
  <c r="S13" i="17" s="1"/>
  <c r="AC20" i="31"/>
  <c r="AC20" i="32" s="1"/>
  <c r="R20" i="7"/>
  <c r="R20" i="9" s="1"/>
  <c r="R20" i="10" s="1"/>
  <c r="W7" i="28"/>
  <c r="E8" i="31"/>
  <c r="E8" i="32" s="1"/>
  <c r="R15" i="9"/>
  <c r="R15" i="10" s="1"/>
  <c r="AE6" i="28"/>
  <c r="AB21" i="31"/>
  <c r="AB21" i="32" s="1"/>
  <c r="AD8" i="7"/>
  <c r="AD8" i="31" s="1"/>
  <c r="AD8" i="32" s="1"/>
  <c r="H10" i="31"/>
  <c r="H10" i="32" s="1"/>
  <c r="AE4" i="11"/>
  <c r="AE4" i="12" s="1"/>
  <c r="P7" i="9"/>
  <c r="P7" i="10" s="1"/>
  <c r="L8" i="28"/>
  <c r="O11" i="9"/>
  <c r="O11" i="10" s="1"/>
  <c r="AN19" i="9"/>
  <c r="AN19" i="10" s="1"/>
  <c r="D9" i="11"/>
  <c r="D9" i="17" s="1"/>
  <c r="Y5" i="31"/>
  <c r="Y5" i="32" s="1"/>
  <c r="P4" i="7"/>
  <c r="P4" i="31" s="1"/>
  <c r="P4" i="32" s="1"/>
  <c r="G13" i="7"/>
  <c r="G13" i="31" s="1"/>
  <c r="G13" i="32" s="1"/>
  <c r="K15" i="31"/>
  <c r="K15" i="32" s="1"/>
  <c r="K15" i="9"/>
  <c r="K15" i="10" s="1"/>
  <c r="AM16" i="31"/>
  <c r="AM16" i="32" s="1"/>
  <c r="K18" i="7"/>
  <c r="K18" i="9" s="1"/>
  <c r="K18" i="10" s="1"/>
  <c r="Y20" i="31"/>
  <c r="Y20" i="32" s="1"/>
  <c r="AF10" i="7"/>
  <c r="AF10" i="11" s="1"/>
  <c r="AF10" i="17" s="1"/>
  <c r="AF10" i="16" s="1"/>
  <c r="AO19" i="31"/>
  <c r="AO19" i="32" s="1"/>
  <c r="AK10" i="11"/>
  <c r="AK10" i="12" s="1"/>
  <c r="AK6" i="7"/>
  <c r="AK6" i="11" s="1"/>
  <c r="AK6" i="12" s="1"/>
  <c r="U16" i="31"/>
  <c r="U16" i="32" s="1"/>
  <c r="U16" i="9"/>
  <c r="U16" i="10" s="1"/>
  <c r="AN19" i="28"/>
  <c r="K16" i="11"/>
  <c r="K16" i="12" s="1"/>
  <c r="B8" i="31"/>
  <c r="B8" i="32" s="1"/>
  <c r="X17" i="9"/>
  <c r="X17" i="10" s="1"/>
  <c r="J11" i="28"/>
  <c r="AD14" i="9"/>
  <c r="AD14" i="10" s="1"/>
  <c r="J3" i="28"/>
  <c r="AA15" i="7"/>
  <c r="AA15" i="31" s="1"/>
  <c r="AA15" i="32" s="1"/>
  <c r="B15" i="28"/>
  <c r="T14" i="7"/>
  <c r="T14" i="9" s="1"/>
  <c r="T14" i="10" s="1"/>
  <c r="AJ3" i="11"/>
  <c r="AJ3" i="17" s="1"/>
  <c r="B15" i="11"/>
  <c r="B15" i="12" s="1"/>
  <c r="AI4" i="28"/>
  <c r="Z9" i="7"/>
  <c r="Z9" i="11" s="1"/>
  <c r="Z9" i="17" s="1"/>
  <c r="Z9" i="16" s="1"/>
  <c r="AE20" i="11"/>
  <c r="AE20" i="12" s="1"/>
  <c r="S4" i="11"/>
  <c r="S4" i="17" s="1"/>
  <c r="Q6" i="31"/>
  <c r="Q6" i="32" s="1"/>
  <c r="S4" i="9"/>
  <c r="S4" i="10" s="1"/>
  <c r="G10" i="11"/>
  <c r="G10" i="12" s="1"/>
  <c r="P16" i="9"/>
  <c r="P16" i="10" s="1"/>
  <c r="Q6" i="11"/>
  <c r="Q6" i="12" s="1"/>
  <c r="E11" i="31"/>
  <c r="E11" i="32" s="1"/>
  <c r="B15" i="9"/>
  <c r="B15" i="10" s="1"/>
  <c r="G10" i="31"/>
  <c r="G10" i="32" s="1"/>
  <c r="D7" i="31"/>
  <c r="D7" i="32" s="1"/>
  <c r="Q14" i="31"/>
  <c r="Q14" i="32" s="1"/>
  <c r="AA13" i="9"/>
  <c r="AA13" i="10" s="1"/>
  <c r="AB12" i="31"/>
  <c r="AB12" i="32" s="1"/>
  <c r="AF14" i="7"/>
  <c r="AF14" i="11" s="1"/>
  <c r="AF14" i="17" s="1"/>
  <c r="AF14" i="16" s="1"/>
  <c r="M20" i="31"/>
  <c r="M20" i="32" s="1"/>
  <c r="E5" i="9"/>
  <c r="E5" i="10" s="1"/>
  <c r="P18" i="31"/>
  <c r="P18" i="32" s="1"/>
  <c r="AB12" i="9"/>
  <c r="AB12" i="10" s="1"/>
  <c r="M20" i="11"/>
  <c r="M20" i="12" s="1"/>
  <c r="E5" i="11"/>
  <c r="E5" i="17" s="1"/>
  <c r="AA11" i="9"/>
  <c r="AA11" i="10" s="1"/>
  <c r="L16" i="31"/>
  <c r="L16" i="32" s="1"/>
  <c r="K11" i="28"/>
  <c r="W3" i="9"/>
  <c r="W3" i="10" s="1"/>
  <c r="X20" i="7"/>
  <c r="X20" i="31" s="1"/>
  <c r="X20" i="32" s="1"/>
  <c r="AA19" i="11"/>
  <c r="AA19" i="17" s="1"/>
  <c r="AE16" i="9"/>
  <c r="AE16" i="10" s="1"/>
  <c r="AN17" i="28"/>
  <c r="W3" i="31"/>
  <c r="W3" i="32" s="1"/>
  <c r="G14" i="28"/>
  <c r="C18" i="31"/>
  <c r="C18" i="32" s="1"/>
  <c r="S13" i="31"/>
  <c r="S13" i="32" s="1"/>
  <c r="B18" i="11"/>
  <c r="B18" i="17" s="1"/>
  <c r="Y8" i="7"/>
  <c r="Y8" i="31" s="1"/>
  <c r="Y8" i="32" s="1"/>
  <c r="Q8" i="11"/>
  <c r="Q8" i="12" s="1"/>
  <c r="W7" i="11"/>
  <c r="W7" i="12" s="1"/>
  <c r="AE16" i="11"/>
  <c r="AE16" i="12" s="1"/>
  <c r="AA19" i="28"/>
  <c r="V15" i="28"/>
  <c r="AL17" i="9"/>
  <c r="AL17" i="10" s="1"/>
  <c r="B6" i="11"/>
  <c r="B6" i="17" s="1"/>
  <c r="I15" i="9"/>
  <c r="I15" i="10" s="1"/>
  <c r="AF11" i="31"/>
  <c r="AF11" i="32" s="1"/>
  <c r="F10" i="7"/>
  <c r="F10" i="9" s="1"/>
  <c r="F10" i="10" s="1"/>
  <c r="T9" i="9"/>
  <c r="T9" i="10" s="1"/>
  <c r="AE6" i="9"/>
  <c r="AE6" i="10" s="1"/>
  <c r="AM4" i="31"/>
  <c r="AM4" i="32" s="1"/>
  <c r="AM4" i="9"/>
  <c r="AM4" i="10" s="1"/>
  <c r="B3" i="31"/>
  <c r="B3" i="32" s="1"/>
  <c r="R19" i="11"/>
  <c r="R19" i="17" s="1"/>
  <c r="V13" i="9"/>
  <c r="V13" i="10" s="1"/>
  <c r="AE19" i="11"/>
  <c r="AE19" i="12" s="1"/>
  <c r="AE6" i="11"/>
  <c r="AE6" i="12" s="1"/>
  <c r="V13" i="11"/>
  <c r="V13" i="12" s="1"/>
  <c r="K15" i="28"/>
  <c r="AJ12" i="28"/>
  <c r="AE15" i="7"/>
  <c r="AE15" i="9" s="1"/>
  <c r="AE15" i="10" s="1"/>
  <c r="AH10" i="28"/>
  <c r="AF9" i="28"/>
  <c r="X17" i="28"/>
  <c r="AH10" i="9"/>
  <c r="AH10" i="10" s="1"/>
  <c r="U6" i="11"/>
  <c r="U6" i="12" s="1"/>
  <c r="AH10" i="11"/>
  <c r="AH10" i="17" s="1"/>
  <c r="AD20" i="11"/>
  <c r="AD20" i="12" s="1"/>
  <c r="AJ12" i="9"/>
  <c r="AJ12" i="10" s="1"/>
  <c r="AB19" i="9"/>
  <c r="AB19" i="10" s="1"/>
  <c r="J11" i="11"/>
  <c r="J11" i="17" s="1"/>
  <c r="B8" i="28"/>
  <c r="AN18" i="7"/>
  <c r="AN18" i="11" s="1"/>
  <c r="AN18" i="17" s="1"/>
  <c r="AN18" i="16" s="1"/>
  <c r="AD14" i="28"/>
  <c r="J11" i="9"/>
  <c r="J11" i="10" s="1"/>
  <c r="AD20" i="28"/>
  <c r="AO19" i="28"/>
  <c r="AM16" i="28"/>
  <c r="AJ12" i="31"/>
  <c r="AJ12" i="32" s="1"/>
  <c r="AK10" i="28"/>
  <c r="U16" i="28"/>
  <c r="AH9" i="28"/>
  <c r="G11" i="7"/>
  <c r="G11" i="31" s="1"/>
  <c r="G11" i="32" s="1"/>
  <c r="AO19" i="11"/>
  <c r="AO19" i="17" s="1"/>
  <c r="AN19" i="31"/>
  <c r="AN19" i="32" s="1"/>
  <c r="AB19" i="31"/>
  <c r="AB19" i="32" s="1"/>
  <c r="I12" i="31"/>
  <c r="I12" i="32" s="1"/>
  <c r="AD20" i="31"/>
  <c r="AD20" i="32" s="1"/>
  <c r="O20" i="31"/>
  <c r="O20" i="32" s="1"/>
  <c r="AF9" i="31"/>
  <c r="AF9" i="32" s="1"/>
  <c r="J3" i="11"/>
  <c r="J3" i="17" s="1"/>
  <c r="AO6" i="11"/>
  <c r="AO6" i="17" s="1"/>
  <c r="AD15" i="9"/>
  <c r="AD15" i="10" s="1"/>
  <c r="O20" i="11"/>
  <c r="O20" i="12" s="1"/>
  <c r="M18" i="11"/>
  <c r="M18" i="17" s="1"/>
  <c r="M12" i="31"/>
  <c r="M12" i="32" s="1"/>
  <c r="F18" i="31"/>
  <c r="F18" i="32" s="1"/>
  <c r="AF9" i="9"/>
  <c r="AF9" i="10" s="1"/>
  <c r="J3" i="9"/>
  <c r="J3" i="10" s="1"/>
  <c r="AO6" i="31"/>
  <c r="AO6" i="32" s="1"/>
  <c r="AJ20" i="11"/>
  <c r="AJ20" i="17" s="1"/>
  <c r="I9" i="9"/>
  <c r="I9" i="10" s="1"/>
  <c r="AD15" i="11"/>
  <c r="AD15" i="12" s="1"/>
  <c r="K16" i="28"/>
  <c r="M18" i="9"/>
  <c r="M18" i="10" s="1"/>
  <c r="F18" i="9"/>
  <c r="F18" i="10" s="1"/>
  <c r="B8" i="9"/>
  <c r="B8" i="10" s="1"/>
  <c r="D9" i="9"/>
  <c r="D9" i="10" s="1"/>
  <c r="I9" i="11"/>
  <c r="I9" i="12" s="1"/>
  <c r="O20" i="28"/>
  <c r="F18" i="28"/>
  <c r="AO6" i="28"/>
  <c r="AI21" i="28"/>
  <c r="AB19" i="28"/>
  <c r="AM16" i="11"/>
  <c r="AM16" i="12" s="1"/>
  <c r="Y20" i="11"/>
  <c r="Y20" i="17" s="1"/>
  <c r="O11" i="11"/>
  <c r="O11" i="17" s="1"/>
  <c r="K16" i="9"/>
  <c r="K16" i="10" s="1"/>
  <c r="AK10" i="9"/>
  <c r="AK10" i="10" s="1"/>
  <c r="AD14" i="31"/>
  <c r="AD14" i="32" s="1"/>
  <c r="X17" i="31"/>
  <c r="X17" i="32" s="1"/>
  <c r="Y20" i="28"/>
  <c r="X19" i="7"/>
  <c r="X19" i="31" s="1"/>
  <c r="X19" i="32" s="1"/>
  <c r="S19" i="7"/>
  <c r="S19" i="31" s="1"/>
  <c r="S19" i="32" s="1"/>
  <c r="AD5" i="7"/>
  <c r="AD5" i="31" s="1"/>
  <c r="AD5" i="32" s="1"/>
  <c r="V12" i="7"/>
  <c r="V12" i="11" s="1"/>
  <c r="V12" i="17" s="1"/>
  <c r="V12" i="16" s="1"/>
  <c r="D9" i="28"/>
  <c r="O11" i="28"/>
  <c r="I9" i="28"/>
  <c r="M18" i="28"/>
  <c r="AG15" i="11"/>
  <c r="AG15" i="12" s="1"/>
  <c r="AG15" i="31"/>
  <c r="AG15" i="32" s="1"/>
  <c r="AG15" i="28"/>
  <c r="AK7" i="28"/>
  <c r="AE13" i="9"/>
  <c r="AE13" i="10" s="1"/>
  <c r="G14" i="31"/>
  <c r="G14" i="32" s="1"/>
  <c r="D11" i="31"/>
  <c r="D11" i="32" s="1"/>
  <c r="Q12" i="9"/>
  <c r="Q12" i="10" s="1"/>
  <c r="V15" i="9"/>
  <c r="V15" i="10" s="1"/>
  <c r="AH4" i="7"/>
  <c r="AH4" i="11" s="1"/>
  <c r="AH4" i="17" s="1"/>
  <c r="AH4" i="16" s="1"/>
  <c r="AK7" i="31"/>
  <c r="AK7" i="32" s="1"/>
  <c r="AK7" i="9"/>
  <c r="AK7" i="10" s="1"/>
  <c r="N13" i="31"/>
  <c r="N13" i="32" s="1"/>
  <c r="V15" i="11"/>
  <c r="V15" i="12" s="1"/>
  <c r="V10" i="28"/>
  <c r="L17" i="28"/>
  <c r="F15" i="11"/>
  <c r="F15" i="12" s="1"/>
  <c r="D6" i="9"/>
  <c r="D6" i="10" s="1"/>
  <c r="AJ6" i="9"/>
  <c r="AJ6" i="10" s="1"/>
  <c r="E7" i="31"/>
  <c r="E7" i="32" s="1"/>
  <c r="H20" i="11"/>
  <c r="H20" i="17" s="1"/>
  <c r="T20" i="9"/>
  <c r="T20" i="10" s="1"/>
  <c r="AB16" i="28"/>
  <c r="L15" i="28"/>
  <c r="P14" i="11"/>
  <c r="P14" i="17" s="1"/>
  <c r="G17" i="9"/>
  <c r="G17" i="10" s="1"/>
  <c r="V8" i="31"/>
  <c r="V8" i="32" s="1"/>
  <c r="Q14" i="11"/>
  <c r="Q14" i="12" s="1"/>
  <c r="AB15" i="9"/>
  <c r="AB15" i="10" s="1"/>
  <c r="X18" i="31"/>
  <c r="X18" i="32" s="1"/>
  <c r="AC3" i="11"/>
  <c r="AC3" i="17" s="1"/>
  <c r="O10" i="31"/>
  <c r="O10" i="32" s="1"/>
  <c r="J18" i="9"/>
  <c r="J18" i="10" s="1"/>
  <c r="E11" i="11"/>
  <c r="E11" i="12" s="1"/>
  <c r="AG5" i="9"/>
  <c r="AG5" i="10" s="1"/>
  <c r="AH7" i="31"/>
  <c r="AH7" i="32" s="1"/>
  <c r="I17" i="31"/>
  <c r="I17" i="32" s="1"/>
  <c r="M14" i="9"/>
  <c r="M14" i="10" s="1"/>
  <c r="AG5" i="28"/>
  <c r="P16" i="28"/>
  <c r="T21" i="28"/>
  <c r="P18" i="28"/>
  <c r="AC17" i="7"/>
  <c r="AC17" i="9" s="1"/>
  <c r="AC17" i="10" s="1"/>
  <c r="D7" i="28"/>
  <c r="O10" i="28"/>
  <c r="Y11" i="7"/>
  <c r="Y11" i="11" s="1"/>
  <c r="Y11" i="12" s="1"/>
  <c r="I17" i="28"/>
  <c r="AB15" i="11"/>
  <c r="AB15" i="12" s="1"/>
  <c r="X18" i="9"/>
  <c r="X18" i="10" s="1"/>
  <c r="O10" i="11"/>
  <c r="O10" i="12" s="1"/>
  <c r="P16" i="11"/>
  <c r="P16" i="12" s="1"/>
  <c r="J18" i="31"/>
  <c r="J18" i="32" s="1"/>
  <c r="AG5" i="11"/>
  <c r="AG5" i="12" s="1"/>
  <c r="AH7" i="11"/>
  <c r="AH7" i="12" s="1"/>
  <c r="I17" i="11"/>
  <c r="I17" i="17" s="1"/>
  <c r="M14" i="31"/>
  <c r="M14" i="32" s="1"/>
  <c r="Q6" i="28"/>
  <c r="X7" i="7"/>
  <c r="X7" i="31" s="1"/>
  <c r="X7" i="32" s="1"/>
  <c r="L21" i="28"/>
  <c r="N4" i="7"/>
  <c r="N4" i="11" s="1"/>
  <c r="N4" i="12" s="1"/>
  <c r="M20" i="28"/>
  <c r="AF11" i="28"/>
  <c r="AJ3" i="28"/>
  <c r="AK22" i="28"/>
  <c r="D7" i="11"/>
  <c r="D7" i="12" s="1"/>
  <c r="P18" i="9"/>
  <c r="P18" i="10" s="1"/>
  <c r="F11" i="11"/>
  <c r="F11" i="12" s="1"/>
  <c r="M9" i="31"/>
  <c r="M9" i="32" s="1"/>
  <c r="AL8" i="9"/>
  <c r="AL8" i="10" s="1"/>
  <c r="AH18" i="7"/>
  <c r="AH18" i="31" s="1"/>
  <c r="AH18" i="32" s="1"/>
  <c r="E11" i="28"/>
  <c r="AC4" i="7"/>
  <c r="AC4" i="31" s="1"/>
  <c r="AC4" i="32" s="1"/>
  <c r="J18" i="28"/>
  <c r="AC7" i="7"/>
  <c r="AC7" i="11" s="1"/>
  <c r="AC7" i="17" s="1"/>
  <c r="AC7" i="16" s="1"/>
  <c r="AK3" i="28"/>
  <c r="K7" i="31"/>
  <c r="K7" i="32" s="1"/>
  <c r="AL8" i="31"/>
  <c r="AL8" i="32" s="1"/>
  <c r="K11" i="31"/>
  <c r="K11" i="32" s="1"/>
  <c r="F3" i="31"/>
  <c r="F3" i="32" s="1"/>
  <c r="AN7" i="7"/>
  <c r="AN7" i="9" s="1"/>
  <c r="AN7" i="10" s="1"/>
  <c r="J22" i="28"/>
  <c r="AL8" i="28"/>
  <c r="AH7" i="28"/>
  <c r="K7" i="28"/>
  <c r="M14" i="28"/>
  <c r="AL22" i="28"/>
  <c r="F11" i="9"/>
  <c r="F11" i="10" s="1"/>
  <c r="M9" i="9"/>
  <c r="M9" i="10" s="1"/>
  <c r="AA13" i="31"/>
  <c r="AA13" i="32" s="1"/>
  <c r="AA11" i="11"/>
  <c r="AA11" i="12" s="1"/>
  <c r="AK3" i="31"/>
  <c r="AK3" i="32" s="1"/>
  <c r="AI4" i="11"/>
  <c r="AI4" i="12" s="1"/>
  <c r="AJ3" i="9"/>
  <c r="AJ3" i="10" s="1"/>
  <c r="K7" i="11"/>
  <c r="K7" i="17" s="1"/>
  <c r="K11" i="11"/>
  <c r="K11" i="12" s="1"/>
  <c r="F3" i="11"/>
  <c r="F3" i="17" s="1"/>
  <c r="AE20" i="28"/>
  <c r="H8" i="7"/>
  <c r="H8" i="9" s="1"/>
  <c r="H8" i="10" s="1"/>
  <c r="S4" i="28"/>
  <c r="Q20" i="7"/>
  <c r="Q20" i="11" s="1"/>
  <c r="Q20" i="12" s="1"/>
  <c r="F11" i="28"/>
  <c r="M9" i="28"/>
  <c r="AK3" i="9"/>
  <c r="AK3" i="10" s="1"/>
  <c r="AI4" i="31"/>
  <c r="AI4" i="32" s="1"/>
  <c r="AE20" i="9"/>
  <c r="AE20" i="10" s="1"/>
  <c r="L16" i="9"/>
  <c r="L16" i="10" s="1"/>
  <c r="E5" i="28"/>
  <c r="O16" i="7"/>
  <c r="O16" i="9" s="1"/>
  <c r="O16" i="10" s="1"/>
  <c r="AA13" i="28"/>
  <c r="X18" i="28"/>
  <c r="AA11" i="28"/>
  <c r="AC3" i="28"/>
  <c r="F3" i="28"/>
  <c r="L16" i="28"/>
  <c r="G10" i="28"/>
  <c r="AJ22" i="28"/>
  <c r="V6" i="7"/>
  <c r="V6" i="11" s="1"/>
  <c r="V6" i="12" s="1"/>
  <c r="Q14" i="28"/>
  <c r="Q15" i="28"/>
  <c r="I7" i="7"/>
  <c r="I7" i="31" s="1"/>
  <c r="I7" i="32" s="1"/>
  <c r="N8" i="7"/>
  <c r="N8" i="11" s="1"/>
  <c r="N8" i="17" s="1"/>
  <c r="N8" i="16" s="1"/>
  <c r="K17" i="7"/>
  <c r="K17" i="31" s="1"/>
  <c r="K17" i="32" s="1"/>
  <c r="AB18" i="7"/>
  <c r="AB18" i="9" s="1"/>
  <c r="AB18" i="10" s="1"/>
  <c r="B12" i="7"/>
  <c r="B12" i="9" s="1"/>
  <c r="B12" i="10" s="1"/>
  <c r="I12" i="9"/>
  <c r="I12" i="10" s="1"/>
  <c r="AM6" i="11"/>
  <c r="AM6" i="12" s="1"/>
  <c r="U6" i="9"/>
  <c r="U6" i="10" s="1"/>
  <c r="AM6" i="31"/>
  <c r="AM6" i="32" s="1"/>
  <c r="I12" i="28"/>
  <c r="M12" i="9"/>
  <c r="M12" i="10" s="1"/>
  <c r="AA20" i="28"/>
  <c r="AM6" i="28"/>
  <c r="AJ15" i="31"/>
  <c r="AJ15" i="32" s="1"/>
  <c r="AA3" i="11"/>
  <c r="AA3" i="17" s="1"/>
  <c r="L11" i="11"/>
  <c r="L11" i="12" s="1"/>
  <c r="M12" i="28"/>
  <c r="AJ20" i="28"/>
  <c r="G17" i="28"/>
  <c r="AM11" i="28"/>
  <c r="AN16" i="7"/>
  <c r="AN16" i="11" s="1"/>
  <c r="AN16" i="12" s="1"/>
  <c r="D8" i="31"/>
  <c r="D8" i="32" s="1"/>
  <c r="AM12" i="7"/>
  <c r="AM12" i="31" s="1"/>
  <c r="AM12" i="32" s="1"/>
  <c r="V4" i="11"/>
  <c r="V4" i="17" s="1"/>
  <c r="AM19" i="9"/>
  <c r="AM19" i="10" s="1"/>
  <c r="L13" i="11"/>
  <c r="L13" i="12" s="1"/>
  <c r="Y5" i="9"/>
  <c r="Y5" i="10" s="1"/>
  <c r="AD3" i="9"/>
  <c r="AD3" i="10" s="1"/>
  <c r="S18" i="31"/>
  <c r="S18" i="32" s="1"/>
  <c r="V9" i="11"/>
  <c r="V9" i="12" s="1"/>
  <c r="Q9" i="9"/>
  <c r="Q9" i="10" s="1"/>
  <c r="F12" i="11"/>
  <c r="F12" i="12" s="1"/>
  <c r="E6" i="11"/>
  <c r="E6" i="12" s="1"/>
  <c r="AA9" i="11"/>
  <c r="AA9" i="17" s="1"/>
  <c r="V11" i="7"/>
  <c r="V11" i="11" s="1"/>
  <c r="V11" i="12" s="1"/>
  <c r="F12" i="31"/>
  <c r="F12" i="32" s="1"/>
  <c r="AA9" i="9"/>
  <c r="AA9" i="10" s="1"/>
  <c r="T16" i="9"/>
  <c r="T16" i="10" s="1"/>
  <c r="G3" i="9"/>
  <c r="G3" i="10" s="1"/>
  <c r="Q10" i="31"/>
  <c r="Q10" i="32" s="1"/>
  <c r="B3" i="9"/>
  <c r="B3" i="10" s="1"/>
  <c r="Z3" i="9"/>
  <c r="Z3" i="10" s="1"/>
  <c r="W10" i="7"/>
  <c r="W10" i="9" s="1"/>
  <c r="W10" i="10" s="1"/>
  <c r="AE9" i="28"/>
  <c r="AE19" i="28"/>
  <c r="F13" i="7"/>
  <c r="F13" i="9" s="1"/>
  <c r="F13" i="10" s="1"/>
  <c r="Q9" i="11"/>
  <c r="Q9" i="12" s="1"/>
  <c r="Z14" i="11"/>
  <c r="Z14" i="17" s="1"/>
  <c r="AK8" i="11"/>
  <c r="AK8" i="17" s="1"/>
  <c r="AD3" i="31"/>
  <c r="AD3" i="32" s="1"/>
  <c r="R5" i="11"/>
  <c r="R5" i="17" s="1"/>
  <c r="V17" i="28"/>
  <c r="C14" i="7"/>
  <c r="C14" i="9" s="1"/>
  <c r="C14" i="10" s="1"/>
  <c r="AC16" i="9"/>
  <c r="AC16" i="10" s="1"/>
  <c r="AB11" i="31"/>
  <c r="AB11" i="32" s="1"/>
  <c r="AN20" i="31"/>
  <c r="AN20" i="32" s="1"/>
  <c r="Z14" i="9"/>
  <c r="Z14" i="10" s="1"/>
  <c r="AK8" i="31"/>
  <c r="AK8" i="32" s="1"/>
  <c r="AD10" i="31"/>
  <c r="AD10" i="32" s="1"/>
  <c r="P6" i="11"/>
  <c r="P6" i="12" s="1"/>
  <c r="AB4" i="31"/>
  <c r="AB4" i="32" s="1"/>
  <c r="R5" i="31"/>
  <c r="R5" i="32" s="1"/>
  <c r="F14" i="9"/>
  <c r="F14" i="10" s="1"/>
  <c r="AB20" i="9"/>
  <c r="AB20" i="10" s="1"/>
  <c r="C10" i="11"/>
  <c r="C10" i="17" s="1"/>
  <c r="AI6" i="9"/>
  <c r="AI6" i="10" s="1"/>
  <c r="AB9" i="31"/>
  <c r="AB9" i="32" s="1"/>
  <c r="AB11" i="9"/>
  <c r="AB11" i="10" s="1"/>
  <c r="AN20" i="9"/>
  <c r="AN20" i="10" s="1"/>
  <c r="AB4" i="9"/>
  <c r="AB4" i="10" s="1"/>
  <c r="F14" i="11"/>
  <c r="F14" i="17" s="1"/>
  <c r="AB20" i="11"/>
  <c r="AB20" i="17" s="1"/>
  <c r="AC19" i="9"/>
  <c r="AC19" i="10" s="1"/>
  <c r="AA9" i="28"/>
  <c r="AH20" i="7"/>
  <c r="AH20" i="9" s="1"/>
  <c r="AH20" i="10" s="1"/>
  <c r="T16" i="31"/>
  <c r="T16" i="32" s="1"/>
  <c r="T9" i="31"/>
  <c r="T9" i="32" s="1"/>
  <c r="AC16" i="31"/>
  <c r="AC16" i="32" s="1"/>
  <c r="H7" i="11"/>
  <c r="H7" i="17" s="1"/>
  <c r="AK4" i="9"/>
  <c r="AK4" i="10" s="1"/>
  <c r="AI6" i="31"/>
  <c r="AI6" i="32" s="1"/>
  <c r="AK4" i="11"/>
  <c r="AK4" i="12" s="1"/>
  <c r="E8" i="11"/>
  <c r="E8" i="12" s="1"/>
  <c r="S3" i="11"/>
  <c r="S3" i="17" s="1"/>
  <c r="P13" i="9"/>
  <c r="P13" i="10" s="1"/>
  <c r="AM4" i="28"/>
  <c r="E6" i="28"/>
  <c r="X10" i="11"/>
  <c r="X10" i="17" s="1"/>
  <c r="X10" i="31"/>
  <c r="X10" i="32" s="1"/>
  <c r="V17" i="9"/>
  <c r="V17" i="10" s="1"/>
  <c r="AE19" i="31"/>
  <c r="AE19" i="32" s="1"/>
  <c r="R19" i="9"/>
  <c r="R19" i="10" s="1"/>
  <c r="E6" i="31"/>
  <c r="E6" i="32" s="1"/>
  <c r="H7" i="9"/>
  <c r="H7" i="10" s="1"/>
  <c r="V17" i="11"/>
  <c r="V17" i="12" s="1"/>
  <c r="S3" i="9"/>
  <c r="S3" i="10" s="1"/>
  <c r="Z3" i="31"/>
  <c r="Z3" i="32" s="1"/>
  <c r="AB20" i="28"/>
  <c r="U5" i="28"/>
  <c r="X21" i="28"/>
  <c r="G8" i="9"/>
  <c r="G8" i="10" s="1"/>
  <c r="I11" i="31"/>
  <c r="I11" i="32" s="1"/>
  <c r="O19" i="31"/>
  <c r="O19" i="32" s="1"/>
  <c r="AJ9" i="11"/>
  <c r="AJ9" i="17" s="1"/>
  <c r="E3" i="9"/>
  <c r="E3" i="10" s="1"/>
  <c r="AG19" i="11"/>
  <c r="AG19" i="17" s="1"/>
  <c r="AF3" i="9"/>
  <c r="AF3" i="10" s="1"/>
  <c r="AB13" i="9"/>
  <c r="AB13" i="10" s="1"/>
  <c r="AH13" i="31"/>
  <c r="AH13" i="32" s="1"/>
  <c r="L15" i="31"/>
  <c r="L15" i="32" s="1"/>
  <c r="L12" i="11"/>
  <c r="L12" i="17" s="1"/>
  <c r="G6" i="9"/>
  <c r="G6" i="10" s="1"/>
  <c r="AJ17" i="11"/>
  <c r="AJ17" i="12" s="1"/>
  <c r="O12" i="9"/>
  <c r="O12" i="10" s="1"/>
  <c r="N14" i="9"/>
  <c r="N14" i="10" s="1"/>
  <c r="B21" i="28"/>
  <c r="F9" i="28"/>
  <c r="B6" i="28"/>
  <c r="D11" i="28"/>
  <c r="AJ17" i="28"/>
  <c r="Y15" i="28"/>
  <c r="M19" i="28"/>
  <c r="I14" i="28"/>
  <c r="O12" i="28"/>
  <c r="AO4" i="7"/>
  <c r="AO4" i="11" s="1"/>
  <c r="AO4" i="17" s="1"/>
  <c r="AO4" i="16" s="1"/>
  <c r="AJ14" i="11"/>
  <c r="AJ14" i="17" s="1"/>
  <c r="AF3" i="31"/>
  <c r="AF3" i="32" s="1"/>
  <c r="AB13" i="11"/>
  <c r="AB13" i="17" s="1"/>
  <c r="F15" i="31"/>
  <c r="F15" i="32" s="1"/>
  <c r="G6" i="11"/>
  <c r="G6" i="17" s="1"/>
  <c r="N14" i="11"/>
  <c r="N14" i="17" s="1"/>
  <c r="T8" i="7"/>
  <c r="T8" i="11" s="1"/>
  <c r="T8" i="12" s="1"/>
  <c r="Q12" i="28"/>
  <c r="G8" i="28"/>
  <c r="B13" i="7"/>
  <c r="B13" i="9" s="1"/>
  <c r="B13" i="10" s="1"/>
  <c r="D6" i="28"/>
  <c r="S20" i="7"/>
  <c r="S20" i="9" s="1"/>
  <c r="S20" i="10" s="1"/>
  <c r="S9" i="7"/>
  <c r="S9" i="31" s="1"/>
  <c r="S9" i="32" s="1"/>
  <c r="U4" i="7"/>
  <c r="U4" i="31" s="1"/>
  <c r="U4" i="32" s="1"/>
  <c r="E12" i="31"/>
  <c r="E12" i="32" s="1"/>
  <c r="L17" i="31"/>
  <c r="L17" i="32" s="1"/>
  <c r="AJ14" i="9"/>
  <c r="AJ14" i="10" s="1"/>
  <c r="Q17" i="11"/>
  <c r="Q17" i="12" s="1"/>
  <c r="E12" i="9"/>
  <c r="E12" i="10" s="1"/>
  <c r="L17" i="9"/>
  <c r="L17" i="10" s="1"/>
  <c r="H20" i="9"/>
  <c r="H20" i="10" s="1"/>
  <c r="I11" i="11"/>
  <c r="I11" i="17" s="1"/>
  <c r="AJ9" i="31"/>
  <c r="AJ9" i="32" s="1"/>
  <c r="E3" i="31"/>
  <c r="E3" i="32" s="1"/>
  <c r="T20" i="11"/>
  <c r="T20" i="12" s="1"/>
  <c r="D6" i="11"/>
  <c r="D6" i="12" s="1"/>
  <c r="Q17" i="9"/>
  <c r="Q17" i="10" s="1"/>
  <c r="L15" i="9"/>
  <c r="L15" i="10" s="1"/>
  <c r="W17" i="28"/>
  <c r="X11" i="7"/>
  <c r="X11" i="31" s="1"/>
  <c r="X11" i="32" s="1"/>
  <c r="U22" i="28"/>
  <c r="AC11" i="7"/>
  <c r="AC11" i="31" s="1"/>
  <c r="AC11" i="32" s="1"/>
  <c r="N5" i="9"/>
  <c r="N5" i="10" s="1"/>
  <c r="B6" i="31"/>
  <c r="B6" i="32" s="1"/>
  <c r="N13" i="11"/>
  <c r="N13" i="17" s="1"/>
  <c r="G17" i="11"/>
  <c r="G17" i="12" s="1"/>
  <c r="AJ6" i="31"/>
  <c r="AJ6" i="32" s="1"/>
  <c r="AG19" i="28"/>
  <c r="AF3" i="28"/>
  <c r="W19" i="7"/>
  <c r="W19" i="11" s="1"/>
  <c r="W19" i="12" s="1"/>
  <c r="T20" i="28"/>
  <c r="D12" i="28"/>
  <c r="O19" i="28"/>
  <c r="T13" i="28"/>
  <c r="G6" i="28"/>
  <c r="E3" i="28"/>
  <c r="O5" i="7"/>
  <c r="O5" i="11" s="1"/>
  <c r="O5" i="12" s="1"/>
  <c r="O15" i="28"/>
  <c r="AJ9" i="28"/>
  <c r="U17" i="7"/>
  <c r="U17" i="11" s="1"/>
  <c r="U17" i="12" s="1"/>
  <c r="W17" i="31"/>
  <c r="W17" i="32" s="1"/>
  <c r="G14" i="9"/>
  <c r="G14" i="10" s="1"/>
  <c r="F9" i="9"/>
  <c r="F9" i="10" s="1"/>
  <c r="D11" i="9"/>
  <c r="D11" i="10" s="1"/>
  <c r="AG7" i="28"/>
  <c r="N14" i="28"/>
  <c r="N13" i="28"/>
  <c r="E7" i="28"/>
  <c r="I22" i="28"/>
  <c r="L12" i="28"/>
  <c r="AH14" i="7"/>
  <c r="AH14" i="11" s="1"/>
  <c r="AH14" i="17" s="1"/>
  <c r="AH14" i="16" s="1"/>
  <c r="AE13" i="11"/>
  <c r="AE13" i="17" s="1"/>
  <c r="W17" i="9"/>
  <c r="W17" i="10" s="1"/>
  <c r="E7" i="9"/>
  <c r="E7" i="10" s="1"/>
  <c r="AB16" i="31"/>
  <c r="AB16" i="32" s="1"/>
  <c r="I14" i="9"/>
  <c r="I14" i="10" s="1"/>
  <c r="F9" i="11"/>
  <c r="F9" i="17" s="1"/>
  <c r="C19" i="9"/>
  <c r="C19" i="10" s="1"/>
  <c r="P10" i="9"/>
  <c r="P10" i="10" s="1"/>
  <c r="AA10" i="28"/>
  <c r="I11" i="28"/>
  <c r="H20" i="28"/>
  <c r="AE21" i="28"/>
  <c r="I3" i="7"/>
  <c r="I3" i="11" s="1"/>
  <c r="I3" i="17" s="1"/>
  <c r="I3" i="16" s="1"/>
  <c r="AB17" i="7"/>
  <c r="AB17" i="11" s="1"/>
  <c r="AB17" i="12" s="1"/>
  <c r="N22" i="28"/>
  <c r="N11" i="31"/>
  <c r="N11" i="32" s="1"/>
  <c r="P14" i="9"/>
  <c r="P14" i="10" s="1"/>
  <c r="Q12" i="31"/>
  <c r="Q12" i="32" s="1"/>
  <c r="E10" i="9"/>
  <c r="E10" i="10" s="1"/>
  <c r="AG7" i="31"/>
  <c r="AG7" i="32" s="1"/>
  <c r="D12" i="9"/>
  <c r="D12" i="10" s="1"/>
  <c r="Y15" i="31"/>
  <c r="Y15" i="32" s="1"/>
  <c r="AA10" i="11"/>
  <c r="AA10" i="17" s="1"/>
  <c r="O19" i="11"/>
  <c r="O19" i="12" s="1"/>
  <c r="AG19" i="31"/>
  <c r="AG19" i="32" s="1"/>
  <c r="AB16" i="11"/>
  <c r="AB16" i="12" s="1"/>
  <c r="E10" i="11"/>
  <c r="E10" i="12" s="1"/>
  <c r="AG7" i="9"/>
  <c r="AG7" i="10" s="1"/>
  <c r="I14" i="11"/>
  <c r="I14" i="17" s="1"/>
  <c r="T13" i="9"/>
  <c r="T13" i="10" s="1"/>
  <c r="D12" i="11"/>
  <c r="D12" i="17" s="1"/>
  <c r="Y15" i="9"/>
  <c r="Y15" i="10" s="1"/>
  <c r="C19" i="11"/>
  <c r="C19" i="12" s="1"/>
  <c r="L12" i="31"/>
  <c r="L12" i="32" s="1"/>
  <c r="P10" i="11"/>
  <c r="P10" i="17" s="1"/>
  <c r="AJ17" i="31"/>
  <c r="AJ17" i="32" s="1"/>
  <c r="O12" i="11"/>
  <c r="O12" i="12" s="1"/>
  <c r="AO22" i="28"/>
  <c r="K21" i="28"/>
  <c r="N11" i="28"/>
  <c r="E22" i="28"/>
  <c r="E19" i="7"/>
  <c r="E19" i="9" s="1"/>
  <c r="E19" i="10" s="1"/>
  <c r="C19" i="28"/>
  <c r="E10" i="28"/>
  <c r="P10" i="28"/>
  <c r="Q17" i="28"/>
  <c r="P14" i="28"/>
  <c r="J13" i="7"/>
  <c r="J13" i="31" s="1"/>
  <c r="J13" i="32" s="1"/>
  <c r="V10" i="11"/>
  <c r="V10" i="17" s="1"/>
  <c r="N11" i="11"/>
  <c r="N11" i="17" s="1"/>
  <c r="AA10" i="9"/>
  <c r="AA10" i="10" s="1"/>
  <c r="M19" i="9"/>
  <c r="M19" i="10" s="1"/>
  <c r="O15" i="11"/>
  <c r="O15" i="12" s="1"/>
  <c r="T13" i="31"/>
  <c r="T13" i="32" s="1"/>
  <c r="V10" i="31"/>
  <c r="V10" i="32" s="1"/>
  <c r="M19" i="11"/>
  <c r="M19" i="17" s="1"/>
  <c r="G8" i="31"/>
  <c r="G8" i="32" s="1"/>
  <c r="O15" i="31"/>
  <c r="O15" i="32" s="1"/>
  <c r="N3" i="7"/>
  <c r="N3" i="9" s="1"/>
  <c r="N3" i="10" s="1"/>
  <c r="AB13" i="28"/>
  <c r="V16" i="7"/>
  <c r="V16" i="11" s="1"/>
  <c r="V16" i="12" s="1"/>
  <c r="AJ14" i="28"/>
  <c r="AE13" i="28"/>
  <c r="F15" i="28"/>
  <c r="AJ6" i="28"/>
  <c r="E12" i="28"/>
  <c r="AE17" i="9"/>
  <c r="AE17" i="10" s="1"/>
  <c r="B11" i="28"/>
  <c r="L11" i="31"/>
  <c r="L11" i="32" s="1"/>
  <c r="AN12" i="31"/>
  <c r="AN12" i="32" s="1"/>
  <c r="AI8" i="11"/>
  <c r="AI8" i="12" s="1"/>
  <c r="R15" i="11"/>
  <c r="R15" i="17" s="1"/>
  <c r="AC19" i="31"/>
  <c r="AC19" i="32" s="1"/>
  <c r="Y5" i="28"/>
  <c r="B3" i="28"/>
  <c r="K12" i="7"/>
  <c r="K12" i="11" s="1"/>
  <c r="K12" i="17" s="1"/>
  <c r="K12" i="16" s="1"/>
  <c r="M3" i="7"/>
  <c r="M3" i="11" s="1"/>
  <c r="M3" i="17" s="1"/>
  <c r="M3" i="16" s="1"/>
  <c r="J7" i="7"/>
  <c r="J7" i="31" s="1"/>
  <c r="J7" i="32" s="1"/>
  <c r="T7" i="7"/>
  <c r="T7" i="11" s="1"/>
  <c r="T7" i="12" s="1"/>
  <c r="R14" i="7"/>
  <c r="R14" i="11" s="1"/>
  <c r="R14" i="12" s="1"/>
  <c r="AB11" i="28"/>
  <c r="S18" i="11"/>
  <c r="S18" i="17" s="1"/>
  <c r="AE9" i="31"/>
  <c r="AE9" i="32" s="1"/>
  <c r="AJ16" i="31"/>
  <c r="AJ16" i="32" s="1"/>
  <c r="C10" i="28"/>
  <c r="AE10" i="31"/>
  <c r="AE10" i="32" s="1"/>
  <c r="AB9" i="9"/>
  <c r="AB9" i="10" s="1"/>
  <c r="AD10" i="9"/>
  <c r="AD10" i="10" s="1"/>
  <c r="P6" i="31"/>
  <c r="P6" i="32" s="1"/>
  <c r="Z12" i="11"/>
  <c r="Z12" i="17" s="1"/>
  <c r="U5" i="31"/>
  <c r="U5" i="32" s="1"/>
  <c r="AE9" i="9"/>
  <c r="AE9" i="10" s="1"/>
  <c r="R18" i="9"/>
  <c r="R18" i="10" s="1"/>
  <c r="R5" i="28"/>
  <c r="T16" i="28"/>
  <c r="AF13" i="7"/>
  <c r="AF13" i="11" s="1"/>
  <c r="AF13" i="17" s="1"/>
  <c r="AF13" i="16" s="1"/>
  <c r="Y14" i="9"/>
  <c r="Y14" i="10" s="1"/>
  <c r="N19" i="11"/>
  <c r="N19" i="17" s="1"/>
  <c r="W13" i="28"/>
  <c r="AN9" i="31"/>
  <c r="AN9" i="32" s="1"/>
  <c r="W13" i="11"/>
  <c r="W13" i="12" s="1"/>
  <c r="P20" i="9"/>
  <c r="P20" i="10" s="1"/>
  <c r="AK5" i="31"/>
  <c r="AK5" i="32" s="1"/>
  <c r="L13" i="31"/>
  <c r="L13" i="32" s="1"/>
  <c r="AO21" i="28"/>
  <c r="AG17" i="31"/>
  <c r="AG17" i="32" s="1"/>
  <c r="J20" i="31"/>
  <c r="J20" i="32" s="1"/>
  <c r="J20" i="11"/>
  <c r="J20" i="17" s="1"/>
  <c r="Q8" i="9"/>
  <c r="Q8" i="10" s="1"/>
  <c r="Q18" i="9"/>
  <c r="Q18" i="10" s="1"/>
  <c r="D3" i="7"/>
  <c r="D3" i="9" s="1"/>
  <c r="D3" i="10" s="1"/>
  <c r="G4" i="11"/>
  <c r="G4" i="12" s="1"/>
  <c r="AK13" i="9"/>
  <c r="AK13" i="10" s="1"/>
  <c r="C15" i="11"/>
  <c r="C15" i="17" s="1"/>
  <c r="AG17" i="11"/>
  <c r="AG17" i="12" s="1"/>
  <c r="AH15" i="11"/>
  <c r="AH15" i="12" s="1"/>
  <c r="J14" i="28"/>
  <c r="D8" i="11"/>
  <c r="D8" i="12" s="1"/>
  <c r="AB5" i="7"/>
  <c r="AB5" i="9" s="1"/>
  <c r="AB5" i="10" s="1"/>
  <c r="B17" i="7"/>
  <c r="B17" i="11" s="1"/>
  <c r="B17" i="17" s="1"/>
  <c r="B17" i="16" s="1"/>
  <c r="V4" i="28"/>
  <c r="AF11" i="11"/>
  <c r="AF11" i="12" s="1"/>
  <c r="AN14" i="31"/>
  <c r="AN14" i="32" s="1"/>
  <c r="AB15" i="28"/>
  <c r="S6" i="28"/>
  <c r="V8" i="28"/>
  <c r="Q15" i="31"/>
  <c r="Q15" i="32" s="1"/>
  <c r="Q15" i="9"/>
  <c r="Q15" i="10" s="1"/>
  <c r="Q16" i="9"/>
  <c r="Q16" i="10" s="1"/>
  <c r="S6" i="31"/>
  <c r="S6" i="32" s="1"/>
  <c r="AN14" i="9"/>
  <c r="AN14" i="10" s="1"/>
  <c r="AN14" i="28"/>
  <c r="Q16" i="28"/>
  <c r="J6" i="7"/>
  <c r="J6" i="9" s="1"/>
  <c r="J6" i="10" s="1"/>
  <c r="AC6" i="7"/>
  <c r="AC6" i="31" s="1"/>
  <c r="AC6" i="32" s="1"/>
  <c r="I15" i="11"/>
  <c r="I15" i="17" s="1"/>
  <c r="Q16" i="11"/>
  <c r="Q16" i="17" s="1"/>
  <c r="S6" i="11"/>
  <c r="S6" i="12" s="1"/>
  <c r="V4" i="31"/>
  <c r="V4" i="32" s="1"/>
  <c r="I15" i="28"/>
  <c r="AM10" i="7"/>
  <c r="AM10" i="31" s="1"/>
  <c r="AM10" i="32" s="1"/>
  <c r="V8" i="11"/>
  <c r="V8" i="17" s="1"/>
  <c r="V8" i="16" s="1"/>
  <c r="D22" i="28"/>
  <c r="H4" i="7"/>
  <c r="H4" i="11" s="1"/>
  <c r="H4" i="12" s="1"/>
  <c r="AC10" i="9"/>
  <c r="AC10" i="10" s="1"/>
  <c r="AA6" i="7"/>
  <c r="AA6" i="11" s="1"/>
  <c r="AA6" i="12" s="1"/>
  <c r="P13" i="28"/>
  <c r="AH22" i="28"/>
  <c r="I19" i="28"/>
  <c r="I19" i="11"/>
  <c r="I19" i="12" s="1"/>
  <c r="S10" i="9"/>
  <c r="S10" i="10" s="1"/>
  <c r="S7" i="7"/>
  <c r="S7" i="31" s="1"/>
  <c r="S7" i="32" s="1"/>
  <c r="AA12" i="9"/>
  <c r="AA12" i="10" s="1"/>
  <c r="G15" i="7"/>
  <c r="G15" i="11" s="1"/>
  <c r="G15" i="12" s="1"/>
  <c r="J16" i="9"/>
  <c r="J16" i="10" s="1"/>
  <c r="AL18" i="11"/>
  <c r="AL18" i="12" s="1"/>
  <c r="AD4" i="28"/>
  <c r="L20" i="28"/>
  <c r="Z13" i="7"/>
  <c r="Z13" i="9" s="1"/>
  <c r="Z13" i="10" s="1"/>
  <c r="AJ5" i="11"/>
  <c r="AJ5" i="12" s="1"/>
  <c r="U9" i="7"/>
  <c r="U9" i="11" s="1"/>
  <c r="U9" i="12" s="1"/>
  <c r="AE18" i="7"/>
  <c r="AE18" i="9" s="1"/>
  <c r="AE18" i="10" s="1"/>
  <c r="AH17" i="28"/>
  <c r="R18" i="28"/>
  <c r="AB9" i="28"/>
  <c r="H12" i="31"/>
  <c r="H12" i="32" s="1"/>
  <c r="AC14" i="31"/>
  <c r="AC14" i="32" s="1"/>
  <c r="P13" i="11"/>
  <c r="P13" i="12" s="1"/>
  <c r="Z12" i="9"/>
  <c r="Z12" i="10" s="1"/>
  <c r="AM9" i="9"/>
  <c r="AM9" i="10" s="1"/>
  <c r="D13" i="31"/>
  <c r="D13" i="32" s="1"/>
  <c r="C10" i="9"/>
  <c r="C10" i="10" s="1"/>
  <c r="R18" i="31"/>
  <c r="R18" i="32" s="1"/>
  <c r="W16" i="7"/>
  <c r="W16" i="9" s="1"/>
  <c r="W16" i="10" s="1"/>
  <c r="R9" i="7"/>
  <c r="R9" i="31" s="1"/>
  <c r="R9" i="32" s="1"/>
  <c r="AI6" i="28"/>
  <c r="AA16" i="7"/>
  <c r="AA16" i="11" s="1"/>
  <c r="AA16" i="17" s="1"/>
  <c r="AA16" i="16" s="1"/>
  <c r="R15" i="28"/>
  <c r="M22" i="28"/>
  <c r="J15" i="7"/>
  <c r="J15" i="11" s="1"/>
  <c r="J15" i="12" s="1"/>
  <c r="Z3" i="28"/>
  <c r="H22" i="28"/>
  <c r="AO13" i="7"/>
  <c r="AO13" i="31" s="1"/>
  <c r="AO13" i="32" s="1"/>
  <c r="AM9" i="31"/>
  <c r="AM9" i="32" s="1"/>
  <c r="G9" i="31"/>
  <c r="G9" i="32" s="1"/>
  <c r="D13" i="9"/>
  <c r="D13" i="10" s="1"/>
  <c r="AM17" i="31"/>
  <c r="AM17" i="32" s="1"/>
  <c r="D14" i="28"/>
  <c r="Q9" i="28"/>
  <c r="AM9" i="28"/>
  <c r="U12" i="7"/>
  <c r="U12" i="11" s="1"/>
  <c r="U12" i="12" s="1"/>
  <c r="AC16" i="28"/>
  <c r="P6" i="28"/>
  <c r="B10" i="7"/>
  <c r="B10" i="11" s="1"/>
  <c r="B10" i="17" s="1"/>
  <c r="B10" i="16" s="1"/>
  <c r="Z22" i="28"/>
  <c r="AB7" i="7"/>
  <c r="AB7" i="11" s="1"/>
  <c r="AB7" i="12" s="1"/>
  <c r="AH17" i="11"/>
  <c r="AH17" i="12" s="1"/>
  <c r="D14" i="11"/>
  <c r="D14" i="12" s="1"/>
  <c r="G9" i="9"/>
  <c r="G9" i="10" s="1"/>
  <c r="AM17" i="11"/>
  <c r="AM17" i="17" s="1"/>
  <c r="AN20" i="28"/>
  <c r="F14" i="28"/>
  <c r="T9" i="28"/>
  <c r="F12" i="28"/>
  <c r="Y10" i="7"/>
  <c r="Y10" i="31" s="1"/>
  <c r="Y10" i="32" s="1"/>
  <c r="AB21" i="28"/>
  <c r="AN8" i="7"/>
  <c r="AN8" i="31" s="1"/>
  <c r="AN8" i="32" s="1"/>
  <c r="X10" i="28"/>
  <c r="AD3" i="28"/>
  <c r="AN10" i="7"/>
  <c r="AN10" i="31" s="1"/>
  <c r="AN10" i="32" s="1"/>
  <c r="AK4" i="28"/>
  <c r="AE3" i="7"/>
  <c r="AE3" i="11" s="1"/>
  <c r="AE3" i="17" s="1"/>
  <c r="AE3" i="16" s="1"/>
  <c r="H7" i="28"/>
  <c r="S8" i="9"/>
  <c r="S8" i="10" s="1"/>
  <c r="AH17" i="9"/>
  <c r="AH17" i="10" s="1"/>
  <c r="D14" i="31"/>
  <c r="D14" i="32" s="1"/>
  <c r="U5" i="11"/>
  <c r="U5" i="12" s="1"/>
  <c r="AJ16" i="9"/>
  <c r="AJ16" i="10" s="1"/>
  <c r="V13" i="28"/>
  <c r="Z14" i="28"/>
  <c r="O8" i="7"/>
  <c r="O8" i="9" s="1"/>
  <c r="O8" i="10" s="1"/>
  <c r="D13" i="28"/>
  <c r="N7" i="7"/>
  <c r="N7" i="11" s="1"/>
  <c r="N7" i="12" s="1"/>
  <c r="AD10" i="28"/>
  <c r="L5" i="7"/>
  <c r="L5" i="9" s="1"/>
  <c r="L5" i="10" s="1"/>
  <c r="E8" i="28"/>
  <c r="AB4" i="28"/>
  <c r="C8" i="7"/>
  <c r="C8" i="31" s="1"/>
  <c r="C8" i="32" s="1"/>
  <c r="U19" i="11"/>
  <c r="U19" i="12" s="1"/>
  <c r="AK8" i="28"/>
  <c r="AM17" i="28"/>
  <c r="S18" i="28"/>
  <c r="Y22" i="28"/>
  <c r="AK20" i="7"/>
  <c r="AK20" i="31" s="1"/>
  <c r="AK20" i="32" s="1"/>
  <c r="R19" i="28"/>
  <c r="G9" i="28"/>
  <c r="Y19" i="11"/>
  <c r="Y19" i="12" s="1"/>
  <c r="AE17" i="11"/>
  <c r="AE17" i="12" s="1"/>
  <c r="J8" i="11"/>
  <c r="J8" i="12" s="1"/>
  <c r="Q13" i="9"/>
  <c r="Q13" i="10" s="1"/>
  <c r="W13" i="9"/>
  <c r="W13" i="10" s="1"/>
  <c r="AC10" i="11"/>
  <c r="AC10" i="12" s="1"/>
  <c r="U19" i="31"/>
  <c r="U19" i="32" s="1"/>
  <c r="U20" i="31"/>
  <c r="U20" i="32" s="1"/>
  <c r="E14" i="11"/>
  <c r="E14" i="17" s="1"/>
  <c r="Y13" i="9"/>
  <c r="Y13" i="10" s="1"/>
  <c r="AN6" i="31"/>
  <c r="AN6" i="32" s="1"/>
  <c r="K6" i="9"/>
  <c r="K6" i="10" s="1"/>
  <c r="H13" i="31"/>
  <c r="H13" i="32" s="1"/>
  <c r="F16" i="9"/>
  <c r="F16" i="10" s="1"/>
  <c r="T5" i="31"/>
  <c r="T5" i="32" s="1"/>
  <c r="X6" i="11"/>
  <c r="X6" i="17" s="1"/>
  <c r="AI19" i="9"/>
  <c r="AI19" i="10" s="1"/>
  <c r="H5" i="11"/>
  <c r="H5" i="17" s="1"/>
  <c r="AN4" i="28"/>
  <c r="E14" i="28"/>
  <c r="AE10" i="28"/>
  <c r="Y14" i="28"/>
  <c r="AI16" i="7"/>
  <c r="AI16" i="9" s="1"/>
  <c r="AI16" i="10" s="1"/>
  <c r="N19" i="28"/>
  <c r="E14" i="31"/>
  <c r="E14" i="32" s="1"/>
  <c r="Y13" i="11"/>
  <c r="Y13" i="12" s="1"/>
  <c r="K6" i="31"/>
  <c r="K6" i="32" s="1"/>
  <c r="H13" i="9"/>
  <c r="H13" i="10" s="1"/>
  <c r="T5" i="11"/>
  <c r="T5" i="12" s="1"/>
  <c r="AN3" i="31"/>
  <c r="AN3" i="32" s="1"/>
  <c r="AH11" i="9"/>
  <c r="AH11" i="10" s="1"/>
  <c r="X6" i="9"/>
  <c r="X6" i="10" s="1"/>
  <c r="AI19" i="11"/>
  <c r="AI19" i="17" s="1"/>
  <c r="H18" i="11"/>
  <c r="H18" i="17" s="1"/>
  <c r="T15" i="31"/>
  <c r="T15" i="32" s="1"/>
  <c r="Z7" i="9"/>
  <c r="Z7" i="10" s="1"/>
  <c r="W12" i="7"/>
  <c r="W12" i="11" s="1"/>
  <c r="W12" i="17" s="1"/>
  <c r="W12" i="16" s="1"/>
  <c r="AK12" i="28"/>
  <c r="AF17" i="28"/>
  <c r="X5" i="28"/>
  <c r="C11" i="31"/>
  <c r="C11" i="32" s="1"/>
  <c r="AN9" i="9"/>
  <c r="AN9" i="10" s="1"/>
  <c r="AO17" i="31"/>
  <c r="AO17" i="32" s="1"/>
  <c r="AM18" i="11"/>
  <c r="AM18" i="17" s="1"/>
  <c r="AE12" i="11"/>
  <c r="AE12" i="12" s="1"/>
  <c r="AI10" i="31"/>
  <c r="AI10" i="32" s="1"/>
  <c r="N9" i="11"/>
  <c r="N9" i="17" s="1"/>
  <c r="O9" i="31"/>
  <c r="O9" i="32" s="1"/>
  <c r="AH11" i="31"/>
  <c r="AH11" i="32" s="1"/>
  <c r="B19" i="9"/>
  <c r="B19" i="10" s="1"/>
  <c r="T15" i="9"/>
  <c r="T15" i="10" s="1"/>
  <c r="AN15" i="11"/>
  <c r="AN15" i="12" s="1"/>
  <c r="AF17" i="11"/>
  <c r="AF17" i="12" s="1"/>
  <c r="Z7" i="31"/>
  <c r="Z7" i="32" s="1"/>
  <c r="B19" i="28"/>
  <c r="AJ21" i="28"/>
  <c r="AH5" i="7"/>
  <c r="AH5" i="9" s="1"/>
  <c r="AH5" i="10" s="1"/>
  <c r="AE12" i="28"/>
  <c r="Z7" i="28"/>
  <c r="Y18" i="9"/>
  <c r="Y18" i="10" s="1"/>
  <c r="X8" i="9"/>
  <c r="X8" i="10" s="1"/>
  <c r="AE12" i="31"/>
  <c r="AE12" i="32" s="1"/>
  <c r="AI10" i="9"/>
  <c r="AI10" i="10" s="1"/>
  <c r="N9" i="31"/>
  <c r="N9" i="32" s="1"/>
  <c r="F7" i="31"/>
  <c r="F7" i="32" s="1"/>
  <c r="B19" i="11"/>
  <c r="B19" i="17" s="1"/>
  <c r="X5" i="11"/>
  <c r="X5" i="17" s="1"/>
  <c r="AF17" i="31"/>
  <c r="AF17" i="32" s="1"/>
  <c r="H12" i="28"/>
  <c r="D17" i="7"/>
  <c r="D17" i="31" s="1"/>
  <c r="D17" i="32" s="1"/>
  <c r="AG13" i="7"/>
  <c r="AG13" i="31" s="1"/>
  <c r="AG13" i="32" s="1"/>
  <c r="N9" i="28"/>
  <c r="E20" i="7"/>
  <c r="E20" i="11" s="1"/>
  <c r="E20" i="12" s="1"/>
  <c r="T5" i="28"/>
  <c r="K6" i="28"/>
  <c r="AC10" i="28"/>
  <c r="AL13" i="7"/>
  <c r="AL13" i="11" s="1"/>
  <c r="AL13" i="12" s="1"/>
  <c r="I4" i="11"/>
  <c r="I4" i="17" s="1"/>
  <c r="AH8" i="9"/>
  <c r="AH8" i="10" s="1"/>
  <c r="AA18" i="9"/>
  <c r="AA18" i="10" s="1"/>
  <c r="Y14" i="11"/>
  <c r="Y14" i="17" s="1"/>
  <c r="N19" i="31"/>
  <c r="N19" i="32" s="1"/>
  <c r="AK5" i="9"/>
  <c r="AK5" i="10" s="1"/>
  <c r="C16" i="31"/>
  <c r="C16" i="32" s="1"/>
  <c r="AD19" i="9"/>
  <c r="AD19" i="10" s="1"/>
  <c r="AE10" i="9"/>
  <c r="AE10" i="10" s="1"/>
  <c r="X5" i="31"/>
  <c r="X5" i="32" s="1"/>
  <c r="O9" i="28"/>
  <c r="F20" i="28"/>
  <c r="AL14" i="7"/>
  <c r="AL14" i="31" s="1"/>
  <c r="AL14" i="32" s="1"/>
  <c r="AK11" i="28"/>
  <c r="AH11" i="28"/>
  <c r="T15" i="28"/>
  <c r="J9" i="7"/>
  <c r="J9" i="31" s="1"/>
  <c r="J9" i="32" s="1"/>
  <c r="AI19" i="28"/>
  <c r="AK5" i="28"/>
  <c r="W18" i="7"/>
  <c r="W18" i="31" s="1"/>
  <c r="W18" i="32" s="1"/>
  <c r="AH12" i="7"/>
  <c r="AH12" i="9" s="1"/>
  <c r="AH12" i="10" s="1"/>
  <c r="J19" i="7"/>
  <c r="J19" i="11" s="1"/>
  <c r="J19" i="17" s="1"/>
  <c r="J19" i="16" s="1"/>
  <c r="AA18" i="31"/>
  <c r="AA18" i="32" s="1"/>
  <c r="X14" i="9"/>
  <c r="X14" i="10" s="1"/>
  <c r="H12" i="11"/>
  <c r="H12" i="17" s="1"/>
  <c r="Y19" i="9"/>
  <c r="Y19" i="10" s="1"/>
  <c r="J8" i="31"/>
  <c r="J8" i="32" s="1"/>
  <c r="U21" i="28"/>
  <c r="AC21" i="28"/>
  <c r="C6" i="7"/>
  <c r="C6" i="9" s="1"/>
  <c r="C6" i="10" s="1"/>
  <c r="AI22" i="28"/>
  <c r="X6" i="28"/>
  <c r="N6" i="7"/>
  <c r="N6" i="11" s="1"/>
  <c r="N6" i="12" s="1"/>
  <c r="AN9" i="28"/>
  <c r="AL12" i="7"/>
  <c r="AL12" i="11" s="1"/>
  <c r="AL12" i="17" s="1"/>
  <c r="AL12" i="16" s="1"/>
  <c r="S11" i="28"/>
  <c r="AL11" i="9"/>
  <c r="AL11" i="10" s="1"/>
  <c r="AG18" i="9"/>
  <c r="AG18" i="10" s="1"/>
  <c r="B14" i="11"/>
  <c r="B14" i="12" s="1"/>
  <c r="H15" i="9"/>
  <c r="H15" i="10" s="1"/>
  <c r="AC8" i="7"/>
  <c r="AC8" i="31" s="1"/>
  <c r="AC8" i="32" s="1"/>
  <c r="AJ15" i="28"/>
  <c r="AN6" i="28"/>
  <c r="P15" i="9"/>
  <c r="P15" i="10" s="1"/>
  <c r="AD9" i="31"/>
  <c r="AD9" i="32" s="1"/>
  <c r="B11" i="31"/>
  <c r="B11" i="32" s="1"/>
  <c r="H18" i="28"/>
  <c r="P15" i="28"/>
  <c r="S16" i="9"/>
  <c r="S16" i="10" s="1"/>
  <c r="AL11" i="31"/>
  <c r="AL11" i="32" s="1"/>
  <c r="AI18" i="7"/>
  <c r="AI18" i="9" s="1"/>
  <c r="AI18" i="10" s="1"/>
  <c r="AA7" i="9"/>
  <c r="AA7" i="10" s="1"/>
  <c r="AD19" i="31"/>
  <c r="AD19" i="32" s="1"/>
  <c r="H18" i="9"/>
  <c r="H18" i="10" s="1"/>
  <c r="AD9" i="11"/>
  <c r="AD9" i="12" s="1"/>
  <c r="AG18" i="31"/>
  <c r="AG18" i="32" s="1"/>
  <c r="AH8" i="28"/>
  <c r="Z16" i="28"/>
  <c r="AK14" i="7"/>
  <c r="AK14" i="11" s="1"/>
  <c r="AK14" i="12" s="1"/>
  <c r="Z8" i="7"/>
  <c r="Z8" i="9" s="1"/>
  <c r="Z8" i="10" s="1"/>
  <c r="AK19" i="7"/>
  <c r="AK19" i="31" s="1"/>
  <c r="AK19" i="32" s="1"/>
  <c r="AG18" i="28"/>
  <c r="Q5" i="28"/>
  <c r="AC13" i="7"/>
  <c r="AC13" i="11" s="1"/>
  <c r="AC13" i="12" s="1"/>
  <c r="Y3" i="7"/>
  <c r="Y3" i="9" s="1"/>
  <c r="Y3" i="10" s="1"/>
  <c r="D15" i="28"/>
  <c r="U11" i="28"/>
  <c r="AH8" i="31"/>
  <c r="AH8" i="32" s="1"/>
  <c r="X12" i="11"/>
  <c r="X12" i="17" s="1"/>
  <c r="B14" i="31"/>
  <c r="B14" i="32" s="1"/>
  <c r="P15" i="11"/>
  <c r="P15" i="12" s="1"/>
  <c r="S11" i="9"/>
  <c r="S11" i="10" s="1"/>
  <c r="AE17" i="28"/>
  <c r="AM18" i="28"/>
  <c r="AD9" i="28"/>
  <c r="AO11" i="11"/>
  <c r="AO11" i="12" s="1"/>
  <c r="AC15" i="9"/>
  <c r="AC15" i="10" s="1"/>
  <c r="AD12" i="11"/>
  <c r="AD12" i="12" s="1"/>
  <c r="D15" i="31"/>
  <c r="D15" i="32" s="1"/>
  <c r="AO11" i="31"/>
  <c r="AO11" i="32" s="1"/>
  <c r="AC15" i="31"/>
  <c r="AC15" i="32" s="1"/>
  <c r="AD12" i="31"/>
  <c r="AD12" i="32" s="1"/>
  <c r="X12" i="31"/>
  <c r="X12" i="32" s="1"/>
  <c r="D15" i="9"/>
  <c r="D15" i="10" s="1"/>
  <c r="U11" i="31"/>
  <c r="U11" i="32" s="1"/>
  <c r="Q3" i="31"/>
  <c r="Q3" i="32" s="1"/>
  <c r="AG9" i="31"/>
  <c r="AG9" i="32" s="1"/>
  <c r="AK11" i="11"/>
  <c r="AK11" i="12" s="1"/>
  <c r="N12" i="11"/>
  <c r="N12" i="12" s="1"/>
  <c r="P19" i="31"/>
  <c r="P19" i="32" s="1"/>
  <c r="Q5" i="31"/>
  <c r="Q5" i="32" s="1"/>
  <c r="Z4" i="31"/>
  <c r="Z4" i="32" s="1"/>
  <c r="Z5" i="31"/>
  <c r="Z5" i="32" s="1"/>
  <c r="S11" i="11"/>
  <c r="S11" i="12" s="1"/>
  <c r="AC18" i="9"/>
  <c r="AC18" i="10" s="1"/>
  <c r="AA5" i="7"/>
  <c r="AA5" i="31" s="1"/>
  <c r="AA5" i="32" s="1"/>
  <c r="P12" i="7"/>
  <c r="P12" i="11" s="1"/>
  <c r="P12" i="12" s="1"/>
  <c r="F6" i="7"/>
  <c r="F6" i="11" s="1"/>
  <c r="F6" i="17" s="1"/>
  <c r="F6" i="16" s="1"/>
  <c r="S17" i="7"/>
  <c r="S17" i="31" s="1"/>
  <c r="S17" i="32" s="1"/>
  <c r="I16" i="7"/>
  <c r="I16" i="31" s="1"/>
  <c r="I16" i="32" s="1"/>
  <c r="Z4" i="28"/>
  <c r="J8" i="28"/>
  <c r="Z12" i="28"/>
  <c r="S3" i="28"/>
  <c r="Y19" i="28"/>
  <c r="Y21" i="28"/>
  <c r="AC19" i="28"/>
  <c r="P21" i="28"/>
  <c r="L6" i="28"/>
  <c r="P3" i="7"/>
  <c r="P3" i="31" s="1"/>
  <c r="P3" i="32" s="1"/>
  <c r="N12" i="28"/>
  <c r="AH19" i="28"/>
  <c r="AJ16" i="28"/>
  <c r="U11" i="9"/>
  <c r="U11" i="10" s="1"/>
  <c r="AO15" i="9"/>
  <c r="AO15" i="10" s="1"/>
  <c r="Q3" i="11"/>
  <c r="Q3" i="12" s="1"/>
  <c r="AG9" i="9"/>
  <c r="AG9" i="10" s="1"/>
  <c r="AK11" i="31"/>
  <c r="AK11" i="32" s="1"/>
  <c r="N12" i="31"/>
  <c r="N12" i="32" s="1"/>
  <c r="Q5" i="11"/>
  <c r="Q5" i="17" s="1"/>
  <c r="AH19" i="11"/>
  <c r="AH19" i="12" s="1"/>
  <c r="Z4" i="11"/>
  <c r="Z4" i="17" s="1"/>
  <c r="Z5" i="9"/>
  <c r="Z5" i="10" s="1"/>
  <c r="Z16" i="9"/>
  <c r="Z16" i="10" s="1"/>
  <c r="AC18" i="11"/>
  <c r="AC18" i="17" s="1"/>
  <c r="AO15" i="28"/>
  <c r="AA7" i="28"/>
  <c r="AG11" i="7"/>
  <c r="AG11" i="9" s="1"/>
  <c r="AG11" i="10" s="1"/>
  <c r="AA22" i="28"/>
  <c r="Y13" i="28"/>
  <c r="P5" i="7"/>
  <c r="P5" i="11" s="1"/>
  <c r="P5" i="17" s="1"/>
  <c r="P5" i="16" s="1"/>
  <c r="AJ19" i="7"/>
  <c r="AJ19" i="9" s="1"/>
  <c r="AJ19" i="10" s="1"/>
  <c r="R22" i="28"/>
  <c r="Q13" i="28"/>
  <c r="F20" i="9"/>
  <c r="F20" i="10" s="1"/>
  <c r="AO15" i="11"/>
  <c r="AO15" i="17" s="1"/>
  <c r="AI3" i="31"/>
  <c r="AI3" i="32" s="1"/>
  <c r="AH19" i="31"/>
  <c r="AH19" i="32" s="1"/>
  <c r="O13" i="9"/>
  <c r="O13" i="10" s="1"/>
  <c r="Z16" i="11"/>
  <c r="Z16" i="12" s="1"/>
  <c r="M10" i="7"/>
  <c r="M10" i="31" s="1"/>
  <c r="M10" i="32" s="1"/>
  <c r="I21" i="28"/>
  <c r="AA18" i="28"/>
  <c r="B14" i="28"/>
  <c r="Q4" i="7"/>
  <c r="Q4" i="9" s="1"/>
  <c r="Q4" i="10" s="1"/>
  <c r="R16" i="7"/>
  <c r="R16" i="9" s="1"/>
  <c r="R16" i="10" s="1"/>
  <c r="AC15" i="28"/>
  <c r="AL6" i="7"/>
  <c r="AL6" i="9" s="1"/>
  <c r="AL6" i="10" s="1"/>
  <c r="F17" i="7"/>
  <c r="F17" i="9" s="1"/>
  <c r="F17" i="10" s="1"/>
  <c r="AD19" i="28"/>
  <c r="AG9" i="28"/>
  <c r="M11" i="7"/>
  <c r="M11" i="9" s="1"/>
  <c r="M11" i="10" s="1"/>
  <c r="AF18" i="7"/>
  <c r="AF18" i="31" s="1"/>
  <c r="AF18" i="32" s="1"/>
  <c r="X14" i="11"/>
  <c r="X14" i="17" s="1"/>
  <c r="AN6" i="11"/>
  <c r="AN6" i="17" s="1"/>
  <c r="AM18" i="31"/>
  <c r="AM18" i="32" s="1"/>
  <c r="F20" i="31"/>
  <c r="F20" i="32" s="1"/>
  <c r="AI3" i="9"/>
  <c r="AI3" i="10" s="1"/>
  <c r="Q13" i="31"/>
  <c r="Q13" i="32" s="1"/>
  <c r="AN3" i="9"/>
  <c r="AN3" i="10" s="1"/>
  <c r="AA7" i="31"/>
  <c r="AA7" i="32" s="1"/>
  <c r="O13" i="11"/>
  <c r="O13" i="17" s="1"/>
  <c r="H13" i="28"/>
  <c r="AJ11" i="7"/>
  <c r="AJ11" i="31" s="1"/>
  <c r="AJ11" i="32" s="1"/>
  <c r="K9" i="7"/>
  <c r="K9" i="31" s="1"/>
  <c r="K9" i="32" s="1"/>
  <c r="U19" i="28"/>
  <c r="AF7" i="7"/>
  <c r="AF7" i="31" s="1"/>
  <c r="AF7" i="32" s="1"/>
  <c r="Q3" i="28"/>
  <c r="D4" i="28"/>
  <c r="T10" i="7"/>
  <c r="T10" i="11" s="1"/>
  <c r="T10" i="17" s="1"/>
  <c r="T10" i="16" s="1"/>
  <c r="AM7" i="7"/>
  <c r="AM7" i="9" s="1"/>
  <c r="AM7" i="10" s="1"/>
  <c r="AB3" i="7"/>
  <c r="AB3" i="11" s="1"/>
  <c r="AB3" i="17" s="1"/>
  <c r="AB3" i="16" s="1"/>
  <c r="R12" i="7"/>
  <c r="R12" i="31" s="1"/>
  <c r="R12" i="32" s="1"/>
  <c r="AK9" i="7"/>
  <c r="AK9" i="9" s="1"/>
  <c r="AK9" i="10" s="1"/>
  <c r="W14" i="9"/>
  <c r="W14" i="10" s="1"/>
  <c r="AO7" i="9"/>
  <c r="AO7" i="10" s="1"/>
  <c r="X13" i="7"/>
  <c r="X13" i="31" s="1"/>
  <c r="X13" i="32" s="1"/>
  <c r="Z5" i="28"/>
  <c r="O22" i="28"/>
  <c r="AN3" i="28"/>
  <c r="AA14" i="7"/>
  <c r="AA14" i="11" s="1"/>
  <c r="AA14" i="12" s="1"/>
  <c r="W5" i="7"/>
  <c r="W5" i="11" s="1"/>
  <c r="W5" i="12" s="1"/>
  <c r="AI10" i="28"/>
  <c r="X14" i="28"/>
  <c r="Y6" i="7"/>
  <c r="Y6" i="9" s="1"/>
  <c r="Y6" i="10" s="1"/>
  <c r="O13" i="28"/>
  <c r="AD12" i="28"/>
  <c r="J4" i="7"/>
  <c r="J4" i="31" s="1"/>
  <c r="J4" i="32" s="1"/>
  <c r="N17" i="7"/>
  <c r="N17" i="31" s="1"/>
  <c r="N17" i="32" s="1"/>
  <c r="X12" i="28"/>
  <c r="AI3" i="28"/>
  <c r="AC18" i="28"/>
  <c r="AI11" i="28"/>
  <c r="S14" i="7"/>
  <c r="S14" i="31" s="1"/>
  <c r="S14" i="32" s="1"/>
  <c r="E21" i="28"/>
  <c r="AL11" i="28"/>
  <c r="AE8" i="31"/>
  <c r="AE8" i="32" s="1"/>
  <c r="I20" i="11"/>
  <c r="I20" i="12" s="1"/>
  <c r="E18" i="9"/>
  <c r="E18" i="10" s="1"/>
  <c r="M7" i="9"/>
  <c r="M7" i="10" s="1"/>
  <c r="U14" i="9"/>
  <c r="U14" i="10" s="1"/>
  <c r="H15" i="11"/>
  <c r="H15" i="17" s="1"/>
  <c r="AH9" i="11"/>
  <c r="AH9" i="12" s="1"/>
  <c r="AA3" i="9"/>
  <c r="AA3" i="10" s="1"/>
  <c r="B11" i="11"/>
  <c r="B11" i="12" s="1"/>
  <c r="D16" i="7"/>
  <c r="D16" i="9" s="1"/>
  <c r="D16" i="10" s="1"/>
  <c r="AD11" i="7"/>
  <c r="AD11" i="31" s="1"/>
  <c r="AD11" i="32" s="1"/>
  <c r="AA3" i="28"/>
  <c r="T19" i="28"/>
  <c r="X4" i="7"/>
  <c r="X4" i="31" s="1"/>
  <c r="X4" i="32" s="1"/>
  <c r="S5" i="7"/>
  <c r="S5" i="9" s="1"/>
  <c r="S5" i="10" s="1"/>
  <c r="AM13" i="11"/>
  <c r="AM13" i="17" s="1"/>
  <c r="AE8" i="11"/>
  <c r="AE8" i="17" s="1"/>
  <c r="E13" i="31"/>
  <c r="E13" i="32" s="1"/>
  <c r="E18" i="11"/>
  <c r="E18" i="17" s="1"/>
  <c r="N15" i="11"/>
  <c r="N15" i="12" s="1"/>
  <c r="M7" i="31"/>
  <c r="M7" i="32" s="1"/>
  <c r="U14" i="11"/>
  <c r="U14" i="17" s="1"/>
  <c r="N16" i="9"/>
  <c r="N16" i="10" s="1"/>
  <c r="AK16" i="9"/>
  <c r="AK16" i="10" s="1"/>
  <c r="AH9" i="31"/>
  <c r="AH9" i="32" s="1"/>
  <c r="AO20" i="9"/>
  <c r="AO20" i="10" s="1"/>
  <c r="AK16" i="28"/>
  <c r="N15" i="28"/>
  <c r="AD6" i="28"/>
  <c r="AE8" i="28"/>
  <c r="AM13" i="9"/>
  <c r="AM13" i="10" s="1"/>
  <c r="W11" i="11"/>
  <c r="W11" i="12" s="1"/>
  <c r="E13" i="9"/>
  <c r="E13" i="10" s="1"/>
  <c r="N15" i="31"/>
  <c r="N15" i="32" s="1"/>
  <c r="N16" i="11"/>
  <c r="N16" i="17" s="1"/>
  <c r="AK16" i="11"/>
  <c r="AK16" i="17" s="1"/>
  <c r="AO20" i="31"/>
  <c r="AO20" i="32" s="1"/>
  <c r="AA20" i="11"/>
  <c r="AA20" i="12" s="1"/>
  <c r="M7" i="28"/>
  <c r="W15" i="7"/>
  <c r="W15" i="11" s="1"/>
  <c r="W15" i="17" s="1"/>
  <c r="W15" i="16" s="1"/>
  <c r="U6" i="28"/>
  <c r="AJ15" i="11"/>
  <c r="AJ15" i="17" s="1"/>
  <c r="AD6" i="9"/>
  <c r="AD6" i="10" s="1"/>
  <c r="T19" i="9"/>
  <c r="T19" i="10" s="1"/>
  <c r="AA20" i="9"/>
  <c r="AA20" i="10" s="1"/>
  <c r="K19" i="7"/>
  <c r="K19" i="9" s="1"/>
  <c r="K19" i="10" s="1"/>
  <c r="H14" i="7"/>
  <c r="H14" i="31" s="1"/>
  <c r="H14" i="32" s="1"/>
  <c r="C22" i="28"/>
  <c r="E13" i="28"/>
  <c r="H17" i="7"/>
  <c r="H17" i="31" s="1"/>
  <c r="H17" i="32" s="1"/>
  <c r="W11" i="9"/>
  <c r="W11" i="10" s="1"/>
  <c r="AD6" i="11"/>
  <c r="AD6" i="17" s="1"/>
  <c r="T19" i="11"/>
  <c r="T19" i="17" s="1"/>
  <c r="AJ20" i="31"/>
  <c r="AJ20" i="32" s="1"/>
  <c r="AN12" i="9"/>
  <c r="AN12" i="10" s="1"/>
  <c r="B7" i="7"/>
  <c r="B7" i="11" s="1"/>
  <c r="B7" i="17" s="1"/>
  <c r="B7" i="16" s="1"/>
  <c r="N16" i="28"/>
  <c r="AO20" i="28"/>
  <c r="E18" i="28"/>
  <c r="U14" i="28"/>
  <c r="R21" i="28"/>
  <c r="R6" i="7"/>
  <c r="R6" i="31" s="1"/>
  <c r="R6" i="32" s="1"/>
  <c r="W11" i="28"/>
  <c r="AN12" i="28"/>
  <c r="AN11" i="7"/>
  <c r="AN11" i="9" s="1"/>
  <c r="AN11" i="10" s="1"/>
  <c r="AM13" i="28"/>
  <c r="I20" i="9"/>
  <c r="I20" i="10" s="1"/>
  <c r="AO14" i="7"/>
  <c r="AO14" i="31" s="1"/>
  <c r="AO14" i="32" s="1"/>
  <c r="L11" i="28"/>
  <c r="P8" i="7"/>
  <c r="P8" i="11" s="1"/>
  <c r="P8" i="17" s="1"/>
  <c r="P8" i="16" s="1"/>
  <c r="AB8" i="7"/>
  <c r="AB8" i="11" s="1"/>
  <c r="AB8" i="12" s="1"/>
  <c r="AF15" i="28"/>
  <c r="AI17" i="28"/>
  <c r="AJ18" i="7"/>
  <c r="AJ18" i="9" s="1"/>
  <c r="AJ18" i="10" s="1"/>
  <c r="D8" i="28"/>
  <c r="C16" i="28"/>
  <c r="AL19" i="11"/>
  <c r="AL19" i="12" s="1"/>
  <c r="L9" i="9"/>
  <c r="L9" i="10" s="1"/>
  <c r="J14" i="31"/>
  <c r="J14" i="32" s="1"/>
  <c r="V5" i="11"/>
  <c r="V5" i="12" s="1"/>
  <c r="G18" i="31"/>
  <c r="G18" i="32" s="1"/>
  <c r="R8" i="9"/>
  <c r="R8" i="10" s="1"/>
  <c r="L14" i="11"/>
  <c r="L14" i="12" s="1"/>
  <c r="G18" i="28"/>
  <c r="T22" i="28"/>
  <c r="C4" i="7"/>
  <c r="C4" i="9" s="1"/>
  <c r="C4" i="10" s="1"/>
  <c r="H21" i="28"/>
  <c r="P7" i="28"/>
  <c r="B22" i="28"/>
  <c r="W6" i="31"/>
  <c r="W6" i="32" s="1"/>
  <c r="V5" i="31"/>
  <c r="V5" i="32" s="1"/>
  <c r="L20" i="31"/>
  <c r="L20" i="32" s="1"/>
  <c r="G18" i="11"/>
  <c r="G18" i="17" s="1"/>
  <c r="R8" i="11"/>
  <c r="R8" i="12" s="1"/>
  <c r="L14" i="9"/>
  <c r="L14" i="10" s="1"/>
  <c r="AG16" i="31"/>
  <c r="AG16" i="32" s="1"/>
  <c r="L8" i="9"/>
  <c r="L8" i="10" s="1"/>
  <c r="K13" i="7"/>
  <c r="K13" i="31" s="1"/>
  <c r="K13" i="32" s="1"/>
  <c r="H10" i="28"/>
  <c r="R8" i="28"/>
  <c r="W6" i="28"/>
  <c r="AO18" i="9"/>
  <c r="AO18" i="10" s="1"/>
  <c r="AL19" i="9"/>
  <c r="AL19" i="10" s="1"/>
  <c r="Z17" i="31"/>
  <c r="Z17" i="32" s="1"/>
  <c r="W6" i="11"/>
  <c r="W6" i="12" s="1"/>
  <c r="L20" i="9"/>
  <c r="L20" i="10" s="1"/>
  <c r="AG16" i="9"/>
  <c r="AG16" i="10" s="1"/>
  <c r="L8" i="11"/>
  <c r="L8" i="17" s="1"/>
  <c r="AL18" i="28"/>
  <c r="L14" i="28"/>
  <c r="AA12" i="28"/>
  <c r="S15" i="28"/>
  <c r="M4" i="7"/>
  <c r="M4" i="11" s="1"/>
  <c r="M4" i="17" s="1"/>
  <c r="M4" i="16" s="1"/>
  <c r="S10" i="28"/>
  <c r="AG16" i="28"/>
  <c r="Z17" i="9"/>
  <c r="Z17" i="10" s="1"/>
  <c r="L4" i="7"/>
  <c r="L4" i="31" s="1"/>
  <c r="L4" i="32" s="1"/>
  <c r="AD4" i="9"/>
  <c r="AD4" i="10" s="1"/>
  <c r="AD4" i="11"/>
  <c r="AD4" i="12" s="1"/>
  <c r="AE4" i="31"/>
  <c r="AE4" i="32" s="1"/>
  <c r="AA12" i="31"/>
  <c r="AA12" i="32" s="1"/>
  <c r="I19" i="31"/>
  <c r="I19" i="32" s="1"/>
  <c r="J16" i="31"/>
  <c r="J16" i="32" s="1"/>
  <c r="AJ5" i="9"/>
  <c r="AJ5" i="10" s="1"/>
  <c r="H10" i="11"/>
  <c r="H10" i="12" s="1"/>
  <c r="F8" i="31"/>
  <c r="F8" i="32" s="1"/>
  <c r="AH6" i="7"/>
  <c r="AH6" i="11" s="1"/>
  <c r="AH6" i="17" s="1"/>
  <c r="AH6" i="16" s="1"/>
  <c r="C12" i="7"/>
  <c r="C12" i="11" s="1"/>
  <c r="C12" i="12" s="1"/>
  <c r="J21" i="28"/>
  <c r="Y12" i="7"/>
  <c r="Y12" i="11" s="1"/>
  <c r="Y12" i="12" s="1"/>
  <c r="V20" i="7"/>
  <c r="V20" i="31" s="1"/>
  <c r="V20" i="32" s="1"/>
  <c r="C3" i="11"/>
  <c r="C3" i="12" s="1"/>
  <c r="AL18" i="31"/>
  <c r="AL18" i="32" s="1"/>
  <c r="S10" i="11"/>
  <c r="S10" i="17" s="1"/>
  <c r="J14" i="9"/>
  <c r="J14" i="10" s="1"/>
  <c r="P7" i="11"/>
  <c r="P7" i="12" s="1"/>
  <c r="J16" i="28"/>
  <c r="AJ5" i="28"/>
  <c r="AE4" i="28"/>
  <c r="H16" i="7"/>
  <c r="H16" i="11" s="1"/>
  <c r="H16" i="12" s="1"/>
  <c r="AF22" i="28"/>
  <c r="AL19" i="28"/>
  <c r="W4" i="7"/>
  <c r="W4" i="11" s="1"/>
  <c r="W4" i="17" s="1"/>
  <c r="W4" i="16" s="1"/>
  <c r="B4" i="7"/>
  <c r="B4" i="11" s="1"/>
  <c r="B4" i="17" s="1"/>
  <c r="B4" i="16" s="1"/>
  <c r="Z17" i="28"/>
  <c r="V5" i="28"/>
  <c r="M5" i="7"/>
  <c r="M5" i="31" s="1"/>
  <c r="M5" i="32" s="1"/>
  <c r="AI12" i="7"/>
  <c r="AI12" i="11" s="1"/>
  <c r="AI12" i="12" s="1"/>
  <c r="O4" i="7"/>
  <c r="O4" i="9" s="1"/>
  <c r="O4" i="10" s="1"/>
  <c r="AN4" i="9"/>
  <c r="AN4" i="10" s="1"/>
  <c r="T17" i="9"/>
  <c r="T17" i="10" s="1"/>
  <c r="C16" i="9"/>
  <c r="C16" i="10" s="1"/>
  <c r="O9" i="11"/>
  <c r="O9" i="17" s="1"/>
  <c r="P19" i="9"/>
  <c r="P19" i="10" s="1"/>
  <c r="C11" i="9"/>
  <c r="C11" i="10" s="1"/>
  <c r="N10" i="9"/>
  <c r="N10" i="10" s="1"/>
  <c r="AN15" i="9"/>
  <c r="AN15" i="10" s="1"/>
  <c r="T17" i="28"/>
  <c r="F16" i="28"/>
  <c r="B5" i="7"/>
  <c r="B5" i="31" s="1"/>
  <c r="B5" i="32" s="1"/>
  <c r="U20" i="9"/>
  <c r="U20" i="10" s="1"/>
  <c r="F16" i="11"/>
  <c r="F16" i="17" s="1"/>
  <c r="I8" i="31"/>
  <c r="I8" i="32" s="1"/>
  <c r="Z11" i="31"/>
  <c r="Z11" i="32" s="1"/>
  <c r="Y4" i="9"/>
  <c r="Y4" i="10" s="1"/>
  <c r="D4" i="11"/>
  <c r="D4" i="12" s="1"/>
  <c r="AI17" i="31"/>
  <c r="AI17" i="32" s="1"/>
  <c r="T11" i="11"/>
  <c r="T11" i="17" s="1"/>
  <c r="AN4" i="31"/>
  <c r="AN4" i="32" s="1"/>
  <c r="T17" i="31"/>
  <c r="T17" i="32" s="1"/>
  <c r="L19" i="31"/>
  <c r="L19" i="32" s="1"/>
  <c r="N10" i="11"/>
  <c r="N10" i="17" s="1"/>
  <c r="U18" i="31"/>
  <c r="U18" i="32" s="1"/>
  <c r="G19" i="7"/>
  <c r="G19" i="11" s="1"/>
  <c r="G19" i="12" s="1"/>
  <c r="X15" i="7"/>
  <c r="X15" i="9" s="1"/>
  <c r="X15" i="10" s="1"/>
  <c r="Z11" i="28"/>
  <c r="H19" i="7"/>
  <c r="H19" i="11" s="1"/>
  <c r="H19" i="17" s="1"/>
  <c r="H19" i="16" s="1"/>
  <c r="N21" i="28"/>
  <c r="P19" i="28"/>
  <c r="P20" i="28"/>
  <c r="K20" i="28"/>
  <c r="D4" i="9"/>
  <c r="D4" i="10" s="1"/>
  <c r="I8" i="9"/>
  <c r="I8" i="10" s="1"/>
  <c r="P20" i="31"/>
  <c r="P20" i="32" s="1"/>
  <c r="Y4" i="11"/>
  <c r="Y4" i="17" s="1"/>
  <c r="T11" i="31"/>
  <c r="T11" i="32" s="1"/>
  <c r="L19" i="11"/>
  <c r="L19" i="12" s="1"/>
  <c r="C5" i="11"/>
  <c r="C5" i="17" s="1"/>
  <c r="H9" i="9"/>
  <c r="H9" i="10" s="1"/>
  <c r="R7" i="11"/>
  <c r="R7" i="12" s="1"/>
  <c r="Y4" i="28"/>
  <c r="T12" i="7"/>
  <c r="T12" i="9" s="1"/>
  <c r="T12" i="10" s="1"/>
  <c r="AO17" i="11"/>
  <c r="AO17" i="12" s="1"/>
  <c r="AI17" i="9"/>
  <c r="AI17" i="10" s="1"/>
  <c r="Z11" i="9"/>
  <c r="Z11" i="10" s="1"/>
  <c r="K20" i="9"/>
  <c r="K20" i="10" s="1"/>
  <c r="AF15" i="11"/>
  <c r="AF15" i="12" s="1"/>
  <c r="AK12" i="9"/>
  <c r="AK12" i="10" s="1"/>
  <c r="C5" i="31"/>
  <c r="C5" i="32" s="1"/>
  <c r="H9" i="11"/>
  <c r="H9" i="17" s="1"/>
  <c r="R7" i="9"/>
  <c r="R7" i="10" s="1"/>
  <c r="AD13" i="9"/>
  <c r="AD13" i="10" s="1"/>
  <c r="I8" i="28"/>
  <c r="L3" i="7"/>
  <c r="L3" i="9" s="1"/>
  <c r="L3" i="10" s="1"/>
  <c r="AD13" i="28"/>
  <c r="M17" i="7"/>
  <c r="M17" i="31" s="1"/>
  <c r="M17" i="32" s="1"/>
  <c r="K20" i="11"/>
  <c r="K20" i="12" s="1"/>
  <c r="AK12" i="11"/>
  <c r="AK12" i="17" s="1"/>
  <c r="AD13" i="11"/>
  <c r="AD13" i="12" s="1"/>
  <c r="V18" i="7"/>
  <c r="V18" i="11" s="1"/>
  <c r="V18" i="17" s="1"/>
  <c r="V18" i="16" s="1"/>
  <c r="C5" i="28"/>
  <c r="N10" i="28"/>
  <c r="O3" i="7"/>
  <c r="O3" i="31" s="1"/>
  <c r="O3" i="32" s="1"/>
  <c r="C11" i="28"/>
  <c r="Y18" i="11"/>
  <c r="Y18" i="17" s="1"/>
  <c r="I4" i="31"/>
  <c r="I4" i="32" s="1"/>
  <c r="X8" i="11"/>
  <c r="X8" i="17" s="1"/>
  <c r="AF15" i="31"/>
  <c r="AF15" i="32" s="1"/>
  <c r="F7" i="9"/>
  <c r="F7" i="10" s="1"/>
  <c r="H5" i="9"/>
  <c r="H5" i="10" s="1"/>
  <c r="AM15" i="7"/>
  <c r="AM15" i="9" s="1"/>
  <c r="AM15" i="10" s="1"/>
  <c r="R7" i="28"/>
  <c r="X8" i="28"/>
  <c r="H5" i="28"/>
  <c r="L19" i="28"/>
  <c r="AN15" i="28"/>
  <c r="R11" i="7"/>
  <c r="R11" i="11" s="1"/>
  <c r="R11" i="12" s="1"/>
  <c r="AH3" i="28"/>
  <c r="T11" i="28"/>
  <c r="AO17" i="28"/>
  <c r="U20" i="28"/>
  <c r="Y18" i="28"/>
  <c r="I4" i="28"/>
  <c r="F7" i="28"/>
  <c r="H15" i="28"/>
  <c r="L9" i="11"/>
  <c r="L9" i="12" s="1"/>
  <c r="AL10" i="9"/>
  <c r="AL10" i="10" s="1"/>
  <c r="S15" i="9"/>
  <c r="S15" i="10" s="1"/>
  <c r="C3" i="28"/>
  <c r="X3" i="9"/>
  <c r="X3" i="10" s="1"/>
  <c r="S15" i="11"/>
  <c r="S15" i="17" s="1"/>
  <c r="AO18" i="28"/>
  <c r="X3" i="28"/>
  <c r="F8" i="28"/>
  <c r="C9" i="9"/>
  <c r="C9" i="10" s="1"/>
  <c r="X16" i="11"/>
  <c r="X16" i="17" s="1"/>
  <c r="D10" i="31"/>
  <c r="D10" i="32" s="1"/>
  <c r="X3" i="31"/>
  <c r="X3" i="32" s="1"/>
  <c r="AN21" i="28"/>
  <c r="AL4" i="7"/>
  <c r="AL4" i="11" s="1"/>
  <c r="AL4" i="12" s="1"/>
  <c r="M6" i="9"/>
  <c r="M6" i="10" s="1"/>
  <c r="X16" i="31"/>
  <c r="X16" i="32" s="1"/>
  <c r="X16" i="28"/>
  <c r="AK17" i="28"/>
  <c r="AO18" i="11"/>
  <c r="AO18" i="12" s="1"/>
  <c r="F8" i="9"/>
  <c r="F8" i="10" s="1"/>
  <c r="M15" i="7"/>
  <c r="M15" i="11" s="1"/>
  <c r="M15" i="12" s="1"/>
  <c r="G20" i="7"/>
  <c r="G20" i="11" s="1"/>
  <c r="G20" i="17" s="1"/>
  <c r="G20" i="16" s="1"/>
  <c r="G7" i="7"/>
  <c r="G7" i="11" s="1"/>
  <c r="G7" i="12" s="1"/>
  <c r="AF5" i="11"/>
  <c r="AF5" i="12" s="1"/>
  <c r="AO11" i="28"/>
  <c r="L9" i="28"/>
  <c r="AO16" i="7"/>
  <c r="AO16" i="11" s="1"/>
  <c r="AO16" i="12" s="1"/>
  <c r="N18" i="28"/>
  <c r="C15" i="31"/>
  <c r="C15" i="32" s="1"/>
  <c r="B18" i="9"/>
  <c r="B18" i="10" s="1"/>
  <c r="AC20" i="9"/>
  <c r="AC20" i="10" s="1"/>
  <c r="AK13" i="31"/>
  <c r="AK13" i="32" s="1"/>
  <c r="AN13" i="9"/>
  <c r="AN13" i="10" s="1"/>
  <c r="AJ8" i="31"/>
  <c r="AJ8" i="32" s="1"/>
  <c r="AA19" i="9"/>
  <c r="AA19" i="10" s="1"/>
  <c r="C13" i="9"/>
  <c r="C13" i="10" s="1"/>
  <c r="AH15" i="31"/>
  <c r="AH15" i="32" s="1"/>
  <c r="W9" i="31"/>
  <c r="W9" i="32" s="1"/>
  <c r="W8" i="11"/>
  <c r="W8" i="12" s="1"/>
  <c r="C18" i="28"/>
  <c r="J20" i="28"/>
  <c r="AF6" i="7"/>
  <c r="AF6" i="9" s="1"/>
  <c r="AF6" i="10" s="1"/>
  <c r="T18" i="7"/>
  <c r="T18" i="11" s="1"/>
  <c r="T18" i="17" s="1"/>
  <c r="T18" i="16" s="1"/>
  <c r="AF16" i="7"/>
  <c r="AF16" i="31" s="1"/>
  <c r="AF16" i="32" s="1"/>
  <c r="T4" i="28"/>
  <c r="W8" i="28"/>
  <c r="AC20" i="28"/>
  <c r="G5" i="28"/>
  <c r="AO10" i="28"/>
  <c r="AC5" i="7"/>
  <c r="AC5" i="31" s="1"/>
  <c r="AC5" i="32" s="1"/>
  <c r="J12" i="31"/>
  <c r="J12" i="32" s="1"/>
  <c r="G4" i="9"/>
  <c r="G4" i="10" s="1"/>
  <c r="Q18" i="11"/>
  <c r="Q18" i="17" s="1"/>
  <c r="Z6" i="7"/>
  <c r="Z6" i="31" s="1"/>
  <c r="Z6" i="32" s="1"/>
  <c r="U3" i="7"/>
  <c r="U3" i="11" s="1"/>
  <c r="U3" i="12" s="1"/>
  <c r="AL5" i="7"/>
  <c r="AL5" i="9" s="1"/>
  <c r="AL5" i="10" s="1"/>
  <c r="AA4" i="7"/>
  <c r="AA4" i="11" s="1"/>
  <c r="AA4" i="12" s="1"/>
  <c r="AE7" i="7"/>
  <c r="AE7" i="31" s="1"/>
  <c r="AE7" i="32" s="1"/>
  <c r="E15" i="7"/>
  <c r="E15" i="31" s="1"/>
  <c r="E15" i="32" s="1"/>
  <c r="AF12" i="28"/>
  <c r="AK15" i="11"/>
  <c r="AK15" i="12" s="1"/>
  <c r="G5" i="11"/>
  <c r="G5" i="12" s="1"/>
  <c r="AJ13" i="31"/>
  <c r="AJ13" i="32" s="1"/>
  <c r="K3" i="9"/>
  <c r="K3" i="10" s="1"/>
  <c r="AK15" i="31"/>
  <c r="AK15" i="32" s="1"/>
  <c r="Z19" i="11"/>
  <c r="Z19" i="12" s="1"/>
  <c r="N18" i="31"/>
  <c r="N18" i="32" s="1"/>
  <c r="E16" i="7"/>
  <c r="E16" i="9" s="1"/>
  <c r="E16" i="10" s="1"/>
  <c r="C20" i="28"/>
  <c r="AJ13" i="28"/>
  <c r="AL16" i="7"/>
  <c r="AL16" i="31" s="1"/>
  <c r="AL16" i="32" s="1"/>
  <c r="C7" i="7"/>
  <c r="C7" i="31" s="1"/>
  <c r="C7" i="32" s="1"/>
  <c r="Q18" i="28"/>
  <c r="Y7" i="7"/>
  <c r="Y7" i="9" s="1"/>
  <c r="Y7" i="10" s="1"/>
  <c r="I18" i="7"/>
  <c r="I18" i="31" s="1"/>
  <c r="I18" i="32" s="1"/>
  <c r="AO9" i="28"/>
  <c r="AD22" i="28"/>
  <c r="AA8" i="28"/>
  <c r="AA17" i="28"/>
  <c r="G12" i="11"/>
  <c r="G12" i="17" s="1"/>
  <c r="AA8" i="31"/>
  <c r="AA8" i="32" s="1"/>
  <c r="AH16" i="11"/>
  <c r="AH16" i="12" s="1"/>
  <c r="D18" i="11"/>
  <c r="D18" i="17" s="1"/>
  <c r="G12" i="31"/>
  <c r="G12" i="32" s="1"/>
  <c r="AA8" i="11"/>
  <c r="AA8" i="12" s="1"/>
  <c r="AA17" i="11"/>
  <c r="AA17" i="17" s="1"/>
  <c r="AH16" i="9"/>
  <c r="AH16" i="10" s="1"/>
  <c r="D18" i="31"/>
  <c r="D18" i="32" s="1"/>
  <c r="J12" i="9"/>
  <c r="J12" i="10" s="1"/>
  <c r="G5" i="31"/>
  <c r="G5" i="32" s="1"/>
  <c r="AL17" i="11"/>
  <c r="AL17" i="17" s="1"/>
  <c r="AA17" i="31"/>
  <c r="AA17" i="32" s="1"/>
  <c r="AO9" i="9"/>
  <c r="AO9" i="10" s="1"/>
  <c r="AJ13" i="9"/>
  <c r="AJ13" i="10" s="1"/>
  <c r="C20" i="31"/>
  <c r="C20" i="32" s="1"/>
  <c r="K3" i="31"/>
  <c r="K3" i="32" s="1"/>
  <c r="L7" i="11"/>
  <c r="L7" i="17" s="1"/>
  <c r="AN17" i="11"/>
  <c r="AN17" i="17" s="1"/>
  <c r="AD16" i="31"/>
  <c r="AD16" i="32" s="1"/>
  <c r="R17" i="31"/>
  <c r="R17" i="32" s="1"/>
  <c r="Z19" i="31"/>
  <c r="Z19" i="32" s="1"/>
  <c r="N18" i="11"/>
  <c r="N18" i="12" s="1"/>
  <c r="AL15" i="7"/>
  <c r="AL15" i="31" s="1"/>
  <c r="AL15" i="32" s="1"/>
  <c r="S12" i="7"/>
  <c r="S12" i="31" s="1"/>
  <c r="S12" i="32" s="1"/>
  <c r="AH15" i="28"/>
  <c r="AJ8" i="28"/>
  <c r="AN13" i="28"/>
  <c r="AG21" i="28"/>
  <c r="AD16" i="28"/>
  <c r="AG6" i="7"/>
  <c r="AG6" i="9" s="1"/>
  <c r="AG6" i="10" s="1"/>
  <c r="R17" i="28"/>
  <c r="AJ7" i="7"/>
  <c r="AJ7" i="9" s="1"/>
  <c r="AJ7" i="10" s="1"/>
  <c r="W20" i="7"/>
  <c r="W20" i="11" s="1"/>
  <c r="W20" i="12" s="1"/>
  <c r="AL3" i="7"/>
  <c r="AL3" i="9" s="1"/>
  <c r="AL3" i="10" s="1"/>
  <c r="H9" i="28"/>
  <c r="AK15" i="28"/>
  <c r="J10" i="31"/>
  <c r="J10" i="32" s="1"/>
  <c r="AO9" i="11"/>
  <c r="AO9" i="17" s="1"/>
  <c r="C20" i="11"/>
  <c r="C20" i="17" s="1"/>
  <c r="T4" i="31"/>
  <c r="T4" i="32" s="1"/>
  <c r="L7" i="31"/>
  <c r="L7" i="32" s="1"/>
  <c r="AN17" i="31"/>
  <c r="AN17" i="32" s="1"/>
  <c r="AD16" i="9"/>
  <c r="AD16" i="10" s="1"/>
  <c r="AI11" i="9"/>
  <c r="AI11" i="10" s="1"/>
  <c r="U13" i="9"/>
  <c r="U13" i="10" s="1"/>
  <c r="R17" i="9"/>
  <c r="R17" i="10" s="1"/>
  <c r="AO10" i="9"/>
  <c r="AO10" i="10" s="1"/>
  <c r="AF12" i="9"/>
  <c r="AF12" i="10" s="1"/>
  <c r="S13" i="28"/>
  <c r="Q7" i="7"/>
  <c r="Q7" i="11" s="1"/>
  <c r="Q7" i="17" s="1"/>
  <c r="Q7" i="16" s="1"/>
  <c r="AG17" i="28"/>
  <c r="U13" i="28"/>
  <c r="I10" i="7"/>
  <c r="I10" i="31" s="1"/>
  <c r="I10" i="32" s="1"/>
  <c r="G12" i="28"/>
  <c r="G4" i="28"/>
  <c r="AL21" i="28"/>
  <c r="C13" i="28"/>
  <c r="AL17" i="28"/>
  <c r="AC12" i="7"/>
  <c r="AC12" i="11" s="1"/>
  <c r="AC12" i="17" s="1"/>
  <c r="AC12" i="16" s="1"/>
  <c r="O18" i="7"/>
  <c r="O18" i="11" s="1"/>
  <c r="O18" i="17" s="1"/>
  <c r="O18" i="16" s="1"/>
  <c r="J10" i="28"/>
  <c r="B18" i="28"/>
  <c r="D18" i="28"/>
  <c r="J10" i="9"/>
  <c r="J10" i="10" s="1"/>
  <c r="T4" i="9"/>
  <c r="T4" i="10" s="1"/>
  <c r="AI11" i="11"/>
  <c r="AI11" i="17" s="1"/>
  <c r="U13" i="11"/>
  <c r="U13" i="17" s="1"/>
  <c r="C13" i="11"/>
  <c r="C13" i="12" s="1"/>
  <c r="W9" i="9"/>
  <c r="W9" i="10" s="1"/>
  <c r="AO10" i="11"/>
  <c r="AO10" i="17" s="1"/>
  <c r="W8" i="9"/>
  <c r="W8" i="10" s="1"/>
  <c r="AF12" i="11"/>
  <c r="AF12" i="17" s="1"/>
  <c r="Q8" i="28"/>
  <c r="AH16" i="28"/>
  <c r="C15" i="28"/>
  <c r="Z19" i="28"/>
  <c r="W3" i="28"/>
  <c r="W9" i="28"/>
  <c r="U15" i="7"/>
  <c r="U15" i="11" s="1"/>
  <c r="U15" i="17" s="1"/>
  <c r="U15" i="16" s="1"/>
  <c r="K3" i="28"/>
  <c r="J12" i="28"/>
  <c r="M21" i="28"/>
  <c r="O14" i="7"/>
  <c r="O14" i="9" s="1"/>
  <c r="O14" i="10" s="1"/>
  <c r="L7" i="28"/>
  <c r="AK13" i="28"/>
  <c r="AB10" i="7"/>
  <c r="AB10" i="9" s="1"/>
  <c r="AB10" i="10" s="1"/>
  <c r="L13" i="28"/>
  <c r="AE16" i="28"/>
  <c r="AO3" i="7"/>
  <c r="AO3" i="9" s="1"/>
  <c r="AO3" i="10" s="1"/>
  <c r="AI20" i="11"/>
  <c r="AI20" i="17" s="1"/>
  <c r="V7" i="11"/>
  <c r="V7" i="12" s="1"/>
  <c r="AD17" i="11"/>
  <c r="AD17" i="12" s="1"/>
  <c r="T3" i="11"/>
  <c r="T3" i="17" s="1"/>
  <c r="Y17" i="9"/>
  <c r="Y17" i="10" s="1"/>
  <c r="AF5" i="28"/>
  <c r="Y16" i="28"/>
  <c r="D10" i="28"/>
  <c r="AG10" i="7"/>
  <c r="AG10" i="9" s="1"/>
  <c r="AG10" i="10" s="1"/>
  <c r="AG14" i="9"/>
  <c r="AG14" i="10" s="1"/>
  <c r="Z10" i="9"/>
  <c r="Z10" i="10" s="1"/>
  <c r="Q11" i="31"/>
  <c r="Q11" i="32" s="1"/>
  <c r="T3" i="31"/>
  <c r="T3" i="32" s="1"/>
  <c r="J5" i="31"/>
  <c r="J5" i="32" s="1"/>
  <c r="AL9" i="7"/>
  <c r="AL9" i="11" s="1"/>
  <c r="AL9" i="12" s="1"/>
  <c r="AD17" i="28"/>
  <c r="M6" i="28"/>
  <c r="Y17" i="28"/>
  <c r="AG14" i="31"/>
  <c r="AG14" i="32" s="1"/>
  <c r="Y16" i="31"/>
  <c r="Y16" i="32" s="1"/>
  <c r="J5" i="11"/>
  <c r="J5" i="12" s="1"/>
  <c r="T3" i="28"/>
  <c r="E4" i="28"/>
  <c r="AK17" i="31"/>
  <c r="AK17" i="32" s="1"/>
  <c r="E4" i="11"/>
  <c r="E4" i="17" s="1"/>
  <c r="E4" i="31"/>
  <c r="E4" i="32" s="1"/>
  <c r="C9" i="11"/>
  <c r="C9" i="17" s="1"/>
  <c r="Z10" i="31"/>
  <c r="Z10" i="32" s="1"/>
  <c r="Q11" i="9"/>
  <c r="Q11" i="10" s="1"/>
  <c r="Y16" i="9"/>
  <c r="Y16" i="10" s="1"/>
  <c r="V19" i="7"/>
  <c r="V19" i="31" s="1"/>
  <c r="V19" i="32" s="1"/>
  <c r="J5" i="28"/>
  <c r="AK17" i="9"/>
  <c r="AK17" i="10" s="1"/>
  <c r="AF5" i="31"/>
  <c r="AF5" i="32" s="1"/>
  <c r="C3" i="31"/>
  <c r="C3" i="32" s="1"/>
  <c r="M6" i="31"/>
  <c r="M6" i="32" s="1"/>
  <c r="C9" i="28"/>
  <c r="AG4" i="7"/>
  <c r="AG4" i="11" s="1"/>
  <c r="AG4" i="12" s="1"/>
  <c r="V7" i="28"/>
  <c r="Z10" i="28"/>
  <c r="AL10" i="31"/>
  <c r="AL10" i="32" s="1"/>
  <c r="D10" i="9"/>
  <c r="D10" i="10" s="1"/>
  <c r="AI20" i="9"/>
  <c r="AI20" i="10" s="1"/>
  <c r="V7" i="9"/>
  <c r="V7" i="10" s="1"/>
  <c r="AD17" i="31"/>
  <c r="AD17" i="32" s="1"/>
  <c r="Y17" i="11"/>
  <c r="Y17" i="12" s="1"/>
  <c r="AI5" i="7"/>
  <c r="AI5" i="31" s="1"/>
  <c r="AI5" i="32" s="1"/>
  <c r="AD18" i="7"/>
  <c r="AD18" i="9" s="1"/>
  <c r="AD18" i="10" s="1"/>
  <c r="Q11" i="28"/>
  <c r="AG14" i="28"/>
  <c r="AC22" i="28"/>
  <c r="C21" i="28"/>
  <c r="AI20" i="28"/>
  <c r="AL10" i="28"/>
  <c r="I20" i="28"/>
  <c r="AB6" i="31"/>
  <c r="AB6" i="32" s="1"/>
  <c r="AF8" i="31"/>
  <c r="AF8" i="32" s="1"/>
  <c r="AH13" i="9"/>
  <c r="AH13" i="10" s="1"/>
  <c r="AD7" i="9"/>
  <c r="AD7" i="10" s="1"/>
  <c r="AF8" i="28"/>
  <c r="N5" i="31"/>
  <c r="N5" i="32" s="1"/>
  <c r="M13" i="31"/>
  <c r="M13" i="32" s="1"/>
  <c r="AE5" i="31"/>
  <c r="AE5" i="32" s="1"/>
  <c r="AL7" i="28"/>
  <c r="AE5" i="9"/>
  <c r="AE5" i="10" s="1"/>
  <c r="AB6" i="28"/>
  <c r="N5" i="28"/>
  <c r="AF8" i="9"/>
  <c r="AF8" i="10" s="1"/>
  <c r="AL7" i="9"/>
  <c r="AL7" i="10" s="1"/>
  <c r="J17" i="7"/>
  <c r="J17" i="31" s="1"/>
  <c r="J17" i="32" s="1"/>
  <c r="AH13" i="28"/>
  <c r="AE5" i="28"/>
  <c r="AL7" i="31"/>
  <c r="AL7" i="32" s="1"/>
  <c r="AM11" i="9"/>
  <c r="AM11" i="10" s="1"/>
  <c r="AM11" i="11"/>
  <c r="AM11" i="17" s="1"/>
  <c r="AH3" i="11"/>
  <c r="AH3" i="12" s="1"/>
  <c r="U18" i="9"/>
  <c r="U18" i="10" s="1"/>
  <c r="H11" i="28"/>
  <c r="Y9" i="9"/>
  <c r="Y9" i="10" s="1"/>
  <c r="AH3" i="9"/>
  <c r="AH3" i="10" s="1"/>
  <c r="Y9" i="31"/>
  <c r="Y9" i="32" s="1"/>
  <c r="U18" i="28"/>
  <c r="B20" i="28"/>
  <c r="H11" i="31"/>
  <c r="H11" i="32" s="1"/>
  <c r="H11" i="11"/>
  <c r="H11" i="12" s="1"/>
  <c r="B20" i="9"/>
  <c r="B20" i="10" s="1"/>
  <c r="B20" i="31"/>
  <c r="B20" i="32" s="1"/>
  <c r="Q19" i="11"/>
  <c r="Q19" i="12" s="1"/>
  <c r="Y9" i="28"/>
  <c r="U8" i="28"/>
  <c r="R3" i="9"/>
  <c r="R3" i="10" s="1"/>
  <c r="AM5" i="11"/>
  <c r="AM5" i="12" s="1"/>
  <c r="R4" i="31"/>
  <c r="R4" i="32" s="1"/>
  <c r="R3" i="11"/>
  <c r="R3" i="12" s="1"/>
  <c r="L6" i="31"/>
  <c r="L6" i="32" s="1"/>
  <c r="L6" i="11"/>
  <c r="L6" i="17" s="1"/>
  <c r="U8" i="9"/>
  <c r="U8" i="10" s="1"/>
  <c r="O17" i="11"/>
  <c r="O17" i="17" s="1"/>
  <c r="U8" i="31"/>
  <c r="U8" i="32" s="1"/>
  <c r="O17" i="9"/>
  <c r="O17" i="10" s="1"/>
  <c r="X9" i="7"/>
  <c r="X9" i="11" s="1"/>
  <c r="X9" i="17" s="1"/>
  <c r="X9" i="16" s="1"/>
  <c r="O17" i="28"/>
  <c r="AI9" i="7"/>
  <c r="AI9" i="31" s="1"/>
  <c r="AI9" i="32" s="1"/>
  <c r="AL20" i="28"/>
  <c r="AG20" i="11"/>
  <c r="AG20" i="12" s="1"/>
  <c r="B16" i="9"/>
  <c r="B16" i="10" s="1"/>
  <c r="V3" i="7"/>
  <c r="V3" i="11" s="1"/>
  <c r="V3" i="17" s="1"/>
  <c r="V3" i="16" s="1"/>
  <c r="AI15" i="7"/>
  <c r="AI15" i="9" s="1"/>
  <c r="AI15" i="10" s="1"/>
  <c r="B16" i="11"/>
  <c r="B16" i="17" s="1"/>
  <c r="B16" i="28"/>
  <c r="AE14" i="31"/>
  <c r="AE14" i="32" s="1"/>
  <c r="O7" i="28"/>
  <c r="C17" i="11"/>
  <c r="C17" i="17" s="1"/>
  <c r="Q21" i="28"/>
  <c r="O7" i="9"/>
  <c r="O7" i="10" s="1"/>
  <c r="AO5" i="31"/>
  <c r="AO5" i="32" s="1"/>
  <c r="P22" i="28"/>
  <c r="T6" i="7"/>
  <c r="T6" i="31" s="1"/>
  <c r="T6" i="32" s="1"/>
  <c r="C17" i="9"/>
  <c r="C17" i="10" s="1"/>
  <c r="AG20" i="31"/>
  <c r="AG20" i="32" s="1"/>
  <c r="AF4" i="31"/>
  <c r="AF4" i="32" s="1"/>
  <c r="D19" i="9"/>
  <c r="D19" i="10" s="1"/>
  <c r="AO5" i="9"/>
  <c r="AO5" i="10" s="1"/>
  <c r="AE14" i="9"/>
  <c r="AE14" i="10" s="1"/>
  <c r="E17" i="31"/>
  <c r="E17" i="32" s="1"/>
  <c r="AM19" i="31"/>
  <c r="AM19" i="32" s="1"/>
  <c r="B9" i="28"/>
  <c r="B9" i="9"/>
  <c r="B9" i="10" s="1"/>
  <c r="AL20" i="9"/>
  <c r="AL20" i="10" s="1"/>
  <c r="AG20" i="28"/>
  <c r="O7" i="31"/>
  <c r="O7" i="32" s="1"/>
  <c r="B9" i="11"/>
  <c r="B9" i="17" s="1"/>
  <c r="AL20" i="31"/>
  <c r="AL20" i="32" s="1"/>
  <c r="AM19" i="28"/>
  <c r="L18" i="31"/>
  <c r="L18" i="32" s="1"/>
  <c r="K8" i="9"/>
  <c r="K8" i="10" s="1"/>
  <c r="R13" i="9"/>
  <c r="R13" i="10" s="1"/>
  <c r="R13" i="28"/>
  <c r="W14" i="31"/>
  <c r="W14" i="32" s="1"/>
  <c r="AO7" i="11"/>
  <c r="AO7" i="12" s="1"/>
  <c r="AG12" i="31"/>
  <c r="AG12" i="32" s="1"/>
  <c r="S16" i="31"/>
  <c r="S16" i="32" s="1"/>
  <c r="C17" i="28"/>
  <c r="AG12" i="11"/>
  <c r="AG12" i="12" s="1"/>
  <c r="AG12" i="28"/>
  <c r="AI13" i="9"/>
  <c r="AI13" i="10" s="1"/>
  <c r="AI13" i="28"/>
  <c r="U7" i="9"/>
  <c r="U7" i="10" s="1"/>
  <c r="U7" i="31"/>
  <c r="U7" i="32" s="1"/>
  <c r="AI13" i="11"/>
  <c r="AI13" i="17" s="1"/>
  <c r="AK18" i="7"/>
  <c r="AK18" i="31" s="1"/>
  <c r="AK18" i="32" s="1"/>
  <c r="AE14" i="28"/>
  <c r="O21" i="31"/>
  <c r="O21" i="32" s="1"/>
  <c r="K4" i="7"/>
  <c r="K4" i="31" s="1"/>
  <c r="K4" i="32" s="1"/>
  <c r="AO5" i="28"/>
  <c r="R4" i="9"/>
  <c r="R4" i="10" s="1"/>
  <c r="AI8" i="31"/>
  <c r="AI8" i="32" s="1"/>
  <c r="AF4" i="9"/>
  <c r="AF4" i="10" s="1"/>
  <c r="S8" i="31"/>
  <c r="S8" i="32" s="1"/>
  <c r="L18" i="11"/>
  <c r="L18" i="17" s="1"/>
  <c r="E17" i="11"/>
  <c r="E17" i="12" s="1"/>
  <c r="D19" i="31"/>
  <c r="D19" i="32" s="1"/>
  <c r="V9" i="31"/>
  <c r="V9" i="32" s="1"/>
  <c r="K8" i="31"/>
  <c r="K8" i="32" s="1"/>
  <c r="R13" i="11"/>
  <c r="R13" i="12" s="1"/>
  <c r="I6" i="28"/>
  <c r="L18" i="28"/>
  <c r="D19" i="28"/>
  <c r="V9" i="28"/>
  <c r="AM5" i="31"/>
  <c r="AM5" i="32" s="1"/>
  <c r="Q10" i="11"/>
  <c r="Q10" i="12" s="1"/>
  <c r="AO12" i="7"/>
  <c r="AO12" i="11" s="1"/>
  <c r="AO12" i="12" s="1"/>
  <c r="K5" i="11"/>
  <c r="K5" i="12" s="1"/>
  <c r="R4" i="28"/>
  <c r="K5" i="28"/>
  <c r="AI8" i="28"/>
  <c r="S8" i="28"/>
  <c r="AC14" i="28"/>
  <c r="I6" i="11"/>
  <c r="I6" i="17" s="1"/>
  <c r="K5" i="31"/>
  <c r="K5" i="32" s="1"/>
  <c r="G3" i="11"/>
  <c r="G3" i="17" s="1"/>
  <c r="AC14" i="9"/>
  <c r="AC14" i="10" s="1"/>
  <c r="I6" i="9"/>
  <c r="I6" i="10" s="1"/>
  <c r="AM3" i="28"/>
  <c r="AB14" i="31"/>
  <c r="AB14" i="32" s="1"/>
  <c r="AB14" i="28"/>
  <c r="G16" i="7"/>
  <c r="G16" i="11" s="1"/>
  <c r="G16" i="17" s="1"/>
  <c r="G16" i="16" s="1"/>
  <c r="K8" i="28"/>
  <c r="AM5" i="28"/>
  <c r="E17" i="28"/>
  <c r="AB14" i="9"/>
  <c r="AB14" i="10" s="1"/>
  <c r="S21" i="28"/>
  <c r="E9" i="7"/>
  <c r="E9" i="9" s="1"/>
  <c r="E9" i="10" s="1"/>
  <c r="AM3" i="31"/>
  <c r="AM3" i="32" s="1"/>
  <c r="AM3" i="9"/>
  <c r="AM3" i="10" s="1"/>
  <c r="Q19" i="9"/>
  <c r="Q19" i="10" s="1"/>
  <c r="AJ10" i="11"/>
  <c r="AJ10" i="12" s="1"/>
  <c r="AG3" i="11"/>
  <c r="AG3" i="12" s="1"/>
  <c r="AJ10" i="31"/>
  <c r="AJ10" i="32" s="1"/>
  <c r="U10" i="31"/>
  <c r="U10" i="32" s="1"/>
  <c r="AG3" i="9"/>
  <c r="AG3" i="10" s="1"/>
  <c r="AM8" i="31"/>
  <c r="AM8" i="32" s="1"/>
  <c r="AM8" i="28"/>
  <c r="AM8" i="11"/>
  <c r="AM8" i="12" s="1"/>
  <c r="G3" i="28"/>
  <c r="AJ4" i="9"/>
  <c r="AJ4" i="10" s="1"/>
  <c r="AI7" i="7"/>
  <c r="AI7" i="9" s="1"/>
  <c r="AI7" i="10" s="1"/>
  <c r="Q10" i="28"/>
  <c r="U7" i="28"/>
  <c r="AF4" i="28"/>
  <c r="M8" i="7"/>
  <c r="O6" i="7"/>
  <c r="O6" i="31" s="1"/>
  <c r="O6" i="32" s="1"/>
  <c r="W14" i="28"/>
  <c r="M13" i="11"/>
  <c r="M13" i="17" s="1"/>
  <c r="AJ4" i="31"/>
  <c r="AJ4" i="32" s="1"/>
  <c r="U10" i="9"/>
  <c r="U10" i="10" s="1"/>
  <c r="AB6" i="11"/>
  <c r="AB6" i="17" s="1"/>
  <c r="AJ10" i="28"/>
  <c r="AD7" i="31"/>
  <c r="AD7" i="32" s="1"/>
  <c r="W22" i="28"/>
  <c r="H6" i="7"/>
  <c r="H6" i="11" s="1"/>
  <c r="H6" i="12" s="1"/>
  <c r="M13" i="28"/>
  <c r="AD7" i="28"/>
  <c r="Q19" i="28"/>
  <c r="Z15" i="7"/>
  <c r="Z15" i="11" s="1"/>
  <c r="Z15" i="12" s="1"/>
  <c r="AG3" i="28"/>
  <c r="U10" i="28"/>
  <c r="AC9" i="7"/>
  <c r="AC9" i="9" s="1"/>
  <c r="AC9" i="10" s="1"/>
  <c r="D20" i="7"/>
  <c r="D20" i="11" s="1"/>
  <c r="D20" i="12" s="1"/>
  <c r="K14" i="9"/>
  <c r="K14" i="10" s="1"/>
  <c r="K14" i="31"/>
  <c r="K14" i="32" s="1"/>
  <c r="F5" i="7"/>
  <c r="F5" i="9" s="1"/>
  <c r="F5" i="10" s="1"/>
  <c r="AG8" i="9"/>
  <c r="AG8" i="10" s="1"/>
  <c r="AJ4" i="28"/>
  <c r="AO8" i="7"/>
  <c r="AO8" i="11" s="1"/>
  <c r="AO8" i="17" s="1"/>
  <c r="AO8" i="16" s="1"/>
  <c r="AG8" i="11"/>
  <c r="AG8" i="17" s="1"/>
  <c r="F19" i="7"/>
  <c r="F19" i="9" s="1"/>
  <c r="F19" i="10" s="1"/>
  <c r="AG8" i="28"/>
  <c r="AI14" i="7"/>
  <c r="AI14" i="31" s="1"/>
  <c r="AI14" i="32" s="1"/>
  <c r="AF20" i="9"/>
  <c r="AF20" i="10" s="1"/>
  <c r="K14" i="28"/>
  <c r="AF20" i="28"/>
  <c r="AE11" i="7"/>
  <c r="AE11" i="31" s="1"/>
  <c r="AE11" i="32" s="1"/>
  <c r="AF20" i="11"/>
  <c r="AF20" i="17" s="1"/>
  <c r="AO7" i="28"/>
  <c r="N20" i="7"/>
  <c r="O21" i="28"/>
  <c r="R3" i="28"/>
  <c r="I5" i="7"/>
  <c r="I5" i="11" s="1"/>
  <c r="I5" i="17" s="1"/>
  <c r="I5" i="16" s="1"/>
  <c r="AH21" i="28"/>
  <c r="K10" i="7"/>
  <c r="K10" i="11" s="1"/>
  <c r="K10" i="17" s="1"/>
  <c r="K10" i="16" s="1"/>
  <c r="P17" i="7"/>
  <c r="P17" i="31" s="1"/>
  <c r="P17" i="32" s="1"/>
  <c r="AN5" i="31"/>
  <c r="AN5" i="32" s="1"/>
  <c r="P9" i="7"/>
  <c r="P9" i="11" s="1"/>
  <c r="P9" i="17" s="1"/>
  <c r="P9" i="16" s="1"/>
  <c r="AN5" i="11"/>
  <c r="AN5" i="17" s="1"/>
  <c r="P11" i="28"/>
  <c r="P11" i="31"/>
  <c r="P11" i="32" s="1"/>
  <c r="AN5" i="28"/>
  <c r="P11" i="11"/>
  <c r="P11" i="12" s="1"/>
  <c r="AF19" i="7"/>
  <c r="AF19" i="31" s="1"/>
  <c r="AF19" i="32" s="1"/>
  <c r="M16" i="7"/>
  <c r="M16" i="11" s="1"/>
  <c r="M16" i="12" s="1"/>
  <c r="D5" i="9"/>
  <c r="D5" i="10" s="1"/>
  <c r="D5" i="31"/>
  <c r="D5" i="32" s="1"/>
  <c r="D5" i="28"/>
  <c r="S16" i="28"/>
  <c r="D59" i="4"/>
  <c r="E63" i="4" s="1"/>
  <c r="I13" i="7"/>
  <c r="I13" i="9" s="1"/>
  <c r="I13" i="10" s="1"/>
  <c r="V14" i="7"/>
  <c r="V14" i="9" s="1"/>
  <c r="V14" i="10" s="1"/>
  <c r="Z32" i="4"/>
  <c r="X33" i="4"/>
  <c r="U7" i="12"/>
  <c r="U7" i="17"/>
  <c r="AL10" i="17"/>
  <c r="AL10" i="12"/>
  <c r="AK7" i="12"/>
  <c r="AK7" i="17"/>
  <c r="AA13" i="12"/>
  <c r="AA13" i="17"/>
  <c r="P18" i="17"/>
  <c r="P18" i="12"/>
  <c r="AA18" i="12"/>
  <c r="AA18" i="17"/>
  <c r="AF8" i="12"/>
  <c r="AF8" i="17"/>
  <c r="AC15" i="17"/>
  <c r="AC15" i="12"/>
  <c r="I12" i="12"/>
  <c r="I12" i="17"/>
  <c r="J14" i="12"/>
  <c r="J14" i="17"/>
  <c r="AC14" i="12"/>
  <c r="AC14" i="17"/>
  <c r="F7" i="17"/>
  <c r="F7" i="12"/>
  <c r="AN19" i="17"/>
  <c r="AN19" i="12"/>
  <c r="Z10" i="17"/>
  <c r="Z10" i="12"/>
  <c r="AN3" i="17"/>
  <c r="AN3" i="12"/>
  <c r="W9" i="12"/>
  <c r="W9" i="17"/>
  <c r="AB14" i="17"/>
  <c r="AB14" i="12"/>
  <c r="AJ16" i="12"/>
  <c r="AJ16" i="17"/>
  <c r="AC20" i="17"/>
  <c r="AC20" i="12"/>
  <c r="AN9" i="17"/>
  <c r="AN9" i="12"/>
  <c r="J16" i="12"/>
  <c r="J16" i="17"/>
  <c r="Q15" i="17"/>
  <c r="Q15" i="12"/>
  <c r="W3" i="12"/>
  <c r="W3" i="17"/>
  <c r="E3" i="17"/>
  <c r="E3" i="12"/>
  <c r="K15" i="17"/>
  <c r="K15" i="12"/>
  <c r="J10" i="17"/>
  <c r="J10" i="12"/>
  <c r="S8" i="12"/>
  <c r="S8" i="17"/>
  <c r="U11" i="12"/>
  <c r="U11" i="17"/>
  <c r="AN4" i="12"/>
  <c r="AN4" i="17"/>
  <c r="Z3" i="17"/>
  <c r="Z3" i="12"/>
  <c r="AD3" i="17"/>
  <c r="AD3" i="12"/>
  <c r="AG9" i="17"/>
  <c r="AG9" i="12"/>
  <c r="AF9" i="12"/>
  <c r="AF9" i="17"/>
  <c r="AB12" i="12"/>
  <c r="AB12" i="17"/>
  <c r="AN14" i="17"/>
  <c r="AN14" i="12"/>
  <c r="K8" i="12"/>
  <c r="K8" i="17"/>
  <c r="R18" i="17"/>
  <c r="R18" i="12"/>
  <c r="AF3" i="17"/>
  <c r="AF3" i="12"/>
  <c r="B20" i="17"/>
  <c r="B20" i="12"/>
  <c r="M6" i="17"/>
  <c r="M6" i="12"/>
  <c r="AB11" i="12"/>
  <c r="AB11" i="17"/>
  <c r="AJ4" i="12"/>
  <c r="AJ4" i="17"/>
  <c r="F20" i="17"/>
  <c r="F20" i="12"/>
  <c r="AL7" i="17"/>
  <c r="AL7" i="12"/>
  <c r="F18" i="17"/>
  <c r="F18" i="12"/>
  <c r="AM4" i="12"/>
  <c r="AM4" i="17"/>
  <c r="AK3" i="17"/>
  <c r="AK3" i="12"/>
  <c r="J12" i="12"/>
  <c r="J12" i="17"/>
  <c r="T17" i="12"/>
  <c r="T17" i="17"/>
  <c r="AL11" i="17"/>
  <c r="AL11" i="12"/>
  <c r="AO5" i="17"/>
  <c r="AO5" i="12"/>
  <c r="AB4" i="17"/>
  <c r="AB4" i="12"/>
  <c r="W14" i="17"/>
  <c r="W14" i="12"/>
  <c r="AE14" i="17"/>
  <c r="AE14" i="12"/>
  <c r="Z20" i="12"/>
  <c r="Z20" i="17"/>
  <c r="G14" i="12"/>
  <c r="G14" i="17"/>
  <c r="AL8" i="12"/>
  <c r="AL8" i="17"/>
  <c r="AH11" i="17"/>
  <c r="AH11" i="12"/>
  <c r="L15" i="12"/>
  <c r="L15" i="17"/>
  <c r="AD7" i="17"/>
  <c r="AD7" i="12"/>
  <c r="U10" i="12"/>
  <c r="U10" i="17"/>
  <c r="AM9" i="12"/>
  <c r="AM9" i="17"/>
  <c r="D11" i="12"/>
  <c r="D11" i="17"/>
  <c r="X3" i="17"/>
  <c r="X3" i="12"/>
  <c r="AE9" i="12"/>
  <c r="AE9" i="17"/>
  <c r="AC19" i="17"/>
  <c r="AC19" i="12"/>
  <c r="M14" i="12"/>
  <c r="M14" i="17"/>
  <c r="AG16" i="12"/>
  <c r="AG16" i="17"/>
  <c r="Z7" i="12"/>
  <c r="Z7" i="17"/>
  <c r="U18" i="17"/>
  <c r="U18" i="12"/>
  <c r="X17" i="12"/>
  <c r="X17" i="17"/>
  <c r="C11" i="17"/>
  <c r="C11" i="12"/>
  <c r="AI6" i="17"/>
  <c r="AI6" i="12"/>
  <c r="I8" i="17"/>
  <c r="I8" i="12"/>
  <c r="AA12" i="12"/>
  <c r="AA12" i="17"/>
  <c r="G8" i="12"/>
  <c r="G8" i="17"/>
  <c r="AF4" i="17"/>
  <c r="AF4" i="12"/>
  <c r="AM3" i="17"/>
  <c r="AM3" i="12"/>
  <c r="X18" i="17"/>
  <c r="X18" i="12"/>
  <c r="H13" i="12"/>
  <c r="H13" i="17"/>
  <c r="AI17" i="17"/>
  <c r="AI17" i="12"/>
  <c r="C16" i="17"/>
  <c r="C16" i="12"/>
  <c r="AB19" i="12"/>
  <c r="AB19" i="17"/>
  <c r="P19" i="12"/>
  <c r="P19" i="17"/>
  <c r="AD19" i="12"/>
  <c r="AD19" i="17"/>
  <c r="S16" i="12"/>
  <c r="S16" i="17"/>
  <c r="P20" i="12"/>
  <c r="P20" i="17"/>
  <c r="L17" i="17"/>
  <c r="L17" i="12"/>
  <c r="AH8" i="17"/>
  <c r="AH8" i="12"/>
  <c r="AK17" i="12"/>
  <c r="AK17" i="17"/>
  <c r="Q12" i="12"/>
  <c r="Q12" i="17"/>
  <c r="AK5" i="12"/>
  <c r="AK5" i="17"/>
  <c r="B3" i="12"/>
  <c r="B3" i="17"/>
  <c r="B8" i="12"/>
  <c r="B8" i="17"/>
  <c r="Q11" i="12"/>
  <c r="Q11" i="17"/>
  <c r="M7" i="17"/>
  <c r="M7" i="12"/>
  <c r="L16" i="17"/>
  <c r="L16" i="12"/>
  <c r="AE10" i="12"/>
  <c r="AE10" i="17"/>
  <c r="AN12" i="12"/>
  <c r="AN12" i="17"/>
  <c r="Z17" i="12"/>
  <c r="Z17" i="17"/>
  <c r="AH13" i="12"/>
  <c r="AH13" i="17"/>
  <c r="T9" i="17"/>
  <c r="T9" i="12"/>
  <c r="U16" i="17"/>
  <c r="U16" i="12"/>
  <c r="AC16" i="17"/>
  <c r="AC16" i="12"/>
  <c r="N5" i="17"/>
  <c r="N5" i="12"/>
  <c r="Y9" i="12"/>
  <c r="Y9" i="17"/>
  <c r="M12" i="12"/>
  <c r="M12" i="17"/>
  <c r="E12" i="17"/>
  <c r="E12" i="12"/>
  <c r="U20" i="12"/>
  <c r="U20" i="17"/>
  <c r="R4" i="17"/>
  <c r="R4" i="12"/>
  <c r="D15" i="17"/>
  <c r="D15" i="12"/>
  <c r="K14" i="12"/>
  <c r="K14" i="17"/>
  <c r="AK13" i="17"/>
  <c r="AK13" i="12"/>
  <c r="AI10" i="17"/>
  <c r="AI10" i="12"/>
  <c r="O7" i="12"/>
  <c r="O7" i="17"/>
  <c r="T13" i="17"/>
  <c r="T13" i="12"/>
  <c r="K3" i="12"/>
  <c r="K3" i="17"/>
  <c r="Y15" i="17"/>
  <c r="Y15" i="12"/>
  <c r="D10" i="12"/>
  <c r="D10" i="17"/>
  <c r="AI3" i="12"/>
  <c r="AI3" i="17"/>
  <c r="Q13" i="17"/>
  <c r="Q13" i="12"/>
  <c r="AA7" i="17"/>
  <c r="AA7" i="12"/>
  <c r="Z5" i="17"/>
  <c r="Z5" i="12"/>
  <c r="AB9" i="17"/>
  <c r="AB9" i="12"/>
  <c r="AG14" i="17"/>
  <c r="AG14" i="12"/>
  <c r="Z11" i="17"/>
  <c r="Z11" i="12"/>
  <c r="W17" i="17"/>
  <c r="W17" i="12"/>
  <c r="T16" i="17"/>
  <c r="T16" i="12"/>
  <c r="K6" i="12"/>
  <c r="K6" i="17"/>
  <c r="E7" i="17"/>
  <c r="E7" i="12"/>
  <c r="AG7" i="12"/>
  <c r="AG7" i="17"/>
  <c r="D5" i="17"/>
  <c r="D5" i="12"/>
  <c r="Y5" i="12"/>
  <c r="Y5" i="17"/>
  <c r="AJ12" i="17"/>
  <c r="AJ12" i="12"/>
  <c r="E13" i="17"/>
  <c r="E13" i="12"/>
  <c r="AJ13" i="17"/>
  <c r="AJ13" i="12"/>
  <c r="AN20" i="12"/>
  <c r="AN20" i="17"/>
  <c r="T4" i="12"/>
  <c r="T4" i="17"/>
  <c r="L20" i="17"/>
  <c r="L20" i="12"/>
  <c r="AD16" i="12"/>
  <c r="AD16" i="17"/>
  <c r="AD10" i="17"/>
  <c r="AD10" i="12"/>
  <c r="M9" i="17"/>
  <c r="M9" i="12"/>
  <c r="J18" i="17"/>
  <c r="J18" i="12"/>
  <c r="U8" i="17"/>
  <c r="U8" i="12"/>
  <c r="AD14" i="17"/>
  <c r="AD14" i="12"/>
  <c r="F8" i="17"/>
  <c r="F8" i="12"/>
  <c r="AE5" i="17"/>
  <c r="AE5" i="12"/>
  <c r="AM19" i="17"/>
  <c r="AM19" i="12"/>
  <c r="R17" i="17"/>
  <c r="R17" i="12"/>
  <c r="G9" i="12"/>
  <c r="G9" i="17"/>
  <c r="D19" i="17"/>
  <c r="D19" i="12"/>
  <c r="D13" i="12"/>
  <c r="D13" i="17"/>
  <c r="AO20" i="17"/>
  <c r="AO20" i="12"/>
  <c r="AJ6" i="12"/>
  <c r="AJ6" i="17"/>
  <c r="T15" i="12"/>
  <c r="T15" i="17"/>
  <c r="AL20" i="17"/>
  <c r="AL20" i="12"/>
  <c r="Y16" i="12"/>
  <c r="Y16" i="17"/>
  <c r="AG18" i="17"/>
  <c r="AG18" i="12"/>
  <c r="U112" i="4" l="1"/>
  <c r="G48" i="4"/>
  <c r="AM20" i="17"/>
  <c r="AM20" i="16" s="1"/>
  <c r="AM21" i="26" s="1"/>
  <c r="U21" i="11"/>
  <c r="U21" i="12" s="1"/>
  <c r="U21" i="31"/>
  <c r="U21" i="32" s="1"/>
  <c r="AO22" i="11"/>
  <c r="AO22" i="12" s="1"/>
  <c r="N21" i="31"/>
  <c r="N21" i="32" s="1"/>
  <c r="F4" i="11"/>
  <c r="F4" i="12" s="1"/>
  <c r="S21" i="31"/>
  <c r="S21" i="32" s="1"/>
  <c r="D21" i="16"/>
  <c r="U22" i="31"/>
  <c r="U22" i="32" s="1"/>
  <c r="E22" i="11"/>
  <c r="E22" i="12" s="1"/>
  <c r="U22" i="9"/>
  <c r="U22" i="10" s="1"/>
  <c r="E22" i="31"/>
  <c r="E22" i="32" s="1"/>
  <c r="I22" i="31"/>
  <c r="I22" i="32" s="1"/>
  <c r="L10" i="12"/>
  <c r="AH21" i="9"/>
  <c r="AH21" i="10" s="1"/>
  <c r="H21" i="9"/>
  <c r="H21" i="10" s="1"/>
  <c r="AL22" i="31"/>
  <c r="AL22" i="32" s="1"/>
  <c r="AL22" i="9"/>
  <c r="AL22" i="10" s="1"/>
  <c r="H21" i="11"/>
  <c r="H21" i="12" s="1"/>
  <c r="AH21" i="11"/>
  <c r="AH21" i="17" s="1"/>
  <c r="AH21" i="16" s="1"/>
  <c r="R22" i="9"/>
  <c r="R22" i="10" s="1"/>
  <c r="AO22" i="9"/>
  <c r="AO22" i="10" s="1"/>
  <c r="F4" i="9"/>
  <c r="F4" i="10" s="1"/>
  <c r="S21" i="9"/>
  <c r="S21" i="10" s="1"/>
  <c r="N21" i="9"/>
  <c r="N21" i="10" s="1"/>
  <c r="Z22" i="11"/>
  <c r="Z22" i="12" s="1"/>
  <c r="Z22" i="9"/>
  <c r="Z22" i="10" s="1"/>
  <c r="R22" i="31"/>
  <c r="R22" i="32" s="1"/>
  <c r="Y22" i="31"/>
  <c r="Y22" i="32" s="1"/>
  <c r="AN21" i="11"/>
  <c r="AN21" i="12" s="1"/>
  <c r="AN21" i="9"/>
  <c r="AN21" i="10" s="1"/>
  <c r="AJ21" i="9"/>
  <c r="AJ21" i="10" s="1"/>
  <c r="AJ21" i="31"/>
  <c r="AJ21" i="32" s="1"/>
  <c r="Y22" i="11"/>
  <c r="Y22" i="12" s="1"/>
  <c r="AE21" i="9"/>
  <c r="AE21" i="10" s="1"/>
  <c r="AD22" i="11"/>
  <c r="AD22" i="17" s="1"/>
  <c r="AD22" i="16" s="1"/>
  <c r="AD22" i="31"/>
  <c r="AD22" i="32" s="1"/>
  <c r="AE21" i="31"/>
  <c r="AE21" i="32" s="1"/>
  <c r="AB21" i="11"/>
  <c r="AB21" i="17" s="1"/>
  <c r="AB21" i="16" s="1"/>
  <c r="AA22" i="9"/>
  <c r="AA22" i="10" s="1"/>
  <c r="C22" i="31"/>
  <c r="C22" i="32" s="1"/>
  <c r="H3" i="11"/>
  <c r="H3" i="17" s="1"/>
  <c r="H3" i="16" s="1"/>
  <c r="O21" i="9"/>
  <c r="O21" i="10" s="1"/>
  <c r="C22" i="11"/>
  <c r="C22" i="17" s="1"/>
  <c r="C22" i="16" s="1"/>
  <c r="AA22" i="11"/>
  <c r="AA22" i="17" s="1"/>
  <c r="AA22" i="16" s="1"/>
  <c r="AD21" i="16"/>
  <c r="U13" i="16"/>
  <c r="E21" i="31"/>
  <c r="E21" i="32" s="1"/>
  <c r="AG22" i="16"/>
  <c r="K21" i="9"/>
  <c r="K21" i="10" s="1"/>
  <c r="M22" i="11"/>
  <c r="M22" i="12" s="1"/>
  <c r="P22" i="11"/>
  <c r="P22" i="17" s="1"/>
  <c r="P22" i="16" s="1"/>
  <c r="P22" i="9"/>
  <c r="P22" i="10" s="1"/>
  <c r="H22" i="9"/>
  <c r="H22" i="10" s="1"/>
  <c r="I22" i="9"/>
  <c r="I22" i="10" s="1"/>
  <c r="M22" i="31"/>
  <c r="M22" i="32" s="1"/>
  <c r="W22" i="11"/>
  <c r="W22" i="12" s="1"/>
  <c r="H22" i="11"/>
  <c r="H22" i="12" s="1"/>
  <c r="W22" i="9"/>
  <c r="W22" i="10" s="1"/>
  <c r="K21" i="11"/>
  <c r="K21" i="12" s="1"/>
  <c r="E21" i="9"/>
  <c r="E21" i="10" s="1"/>
  <c r="AL21" i="31"/>
  <c r="AL21" i="32" s="1"/>
  <c r="AC21" i="31"/>
  <c r="AC21" i="32" s="1"/>
  <c r="V21" i="9"/>
  <c r="V21" i="10" s="1"/>
  <c r="V21" i="11"/>
  <c r="V21" i="12" s="1"/>
  <c r="I21" i="9"/>
  <c r="I21" i="10" s="1"/>
  <c r="AC21" i="11"/>
  <c r="AC21" i="17" s="1"/>
  <c r="AC21" i="16" s="1"/>
  <c r="Y21" i="11"/>
  <c r="Y21" i="12" s="1"/>
  <c r="Y21" i="31"/>
  <c r="Y21" i="32" s="1"/>
  <c r="L22" i="16"/>
  <c r="AI21" i="11"/>
  <c r="AI21" i="17" s="1"/>
  <c r="AI21" i="16" s="1"/>
  <c r="AC22" i="9"/>
  <c r="AC22" i="10" s="1"/>
  <c r="AC22" i="11"/>
  <c r="AC22" i="12" s="1"/>
  <c r="AH22" i="31"/>
  <c r="AH22" i="32" s="1"/>
  <c r="AH22" i="9"/>
  <c r="AH22" i="10" s="1"/>
  <c r="AL21" i="9"/>
  <c r="AL21" i="10" s="1"/>
  <c r="R21" i="9"/>
  <c r="R21" i="10" s="1"/>
  <c r="R21" i="11"/>
  <c r="R21" i="12" s="1"/>
  <c r="AB12" i="16"/>
  <c r="AB13" i="26" s="1"/>
  <c r="AO21" i="31"/>
  <c r="AO21" i="32" s="1"/>
  <c r="O22" i="31"/>
  <c r="O22" i="32" s="1"/>
  <c r="AO21" i="11"/>
  <c r="AO21" i="12" s="1"/>
  <c r="AA21" i="16"/>
  <c r="O22" i="11"/>
  <c r="O22" i="12" s="1"/>
  <c r="AK12" i="16"/>
  <c r="AI22" i="31"/>
  <c r="AI22" i="32" s="1"/>
  <c r="AA10" i="16"/>
  <c r="F22" i="16"/>
  <c r="AG21" i="9"/>
  <c r="AG21" i="10" s="1"/>
  <c r="L21" i="31"/>
  <c r="L21" i="32" s="1"/>
  <c r="P21" i="11"/>
  <c r="P21" i="12" s="1"/>
  <c r="J21" i="31"/>
  <c r="J21" i="32" s="1"/>
  <c r="J21" i="9"/>
  <c r="J21" i="10" s="1"/>
  <c r="M19" i="16"/>
  <c r="C21" i="11"/>
  <c r="C21" i="12" s="1"/>
  <c r="P21" i="31"/>
  <c r="P21" i="32" s="1"/>
  <c r="C21" i="31"/>
  <c r="C21" i="32" s="1"/>
  <c r="AG21" i="31"/>
  <c r="AG21" i="32" s="1"/>
  <c r="AI22" i="9"/>
  <c r="AI22" i="10" s="1"/>
  <c r="AI21" i="31"/>
  <c r="AI21" i="32" s="1"/>
  <c r="B21" i="31"/>
  <c r="B21" i="32" s="1"/>
  <c r="B21" i="9"/>
  <c r="B21" i="10" s="1"/>
  <c r="T21" i="9"/>
  <c r="T21" i="10" s="1"/>
  <c r="AF22" i="31"/>
  <c r="AF22" i="32" s="1"/>
  <c r="AF22" i="11"/>
  <c r="AF22" i="17" s="1"/>
  <c r="AF22" i="16" s="1"/>
  <c r="T21" i="11"/>
  <c r="T21" i="17" s="1"/>
  <c r="T21" i="16" s="1"/>
  <c r="AK22" i="9"/>
  <c r="AK22" i="10" s="1"/>
  <c r="AK22" i="31"/>
  <c r="AK22" i="32" s="1"/>
  <c r="D22" i="31"/>
  <c r="D22" i="32" s="1"/>
  <c r="D22" i="11"/>
  <c r="D22" i="12" s="1"/>
  <c r="AM14" i="12"/>
  <c r="L21" i="9"/>
  <c r="L21" i="10" s="1"/>
  <c r="V10" i="16"/>
  <c r="AJ15" i="16"/>
  <c r="AJ8" i="17"/>
  <c r="AJ8" i="16" s="1"/>
  <c r="AJ8" i="14" s="1"/>
  <c r="D12" i="16"/>
  <c r="AA17" i="16"/>
  <c r="AN6" i="16"/>
  <c r="T22" i="11"/>
  <c r="T22" i="17" s="1"/>
  <c r="T22" i="16" s="1"/>
  <c r="T22" i="31"/>
  <c r="T22" i="32" s="1"/>
  <c r="N22" i="9"/>
  <c r="N22" i="10" s="1"/>
  <c r="AJ22" i="11"/>
  <c r="AJ22" i="17" s="1"/>
  <c r="AJ22" i="16" s="1"/>
  <c r="J22" i="31"/>
  <c r="J22" i="32" s="1"/>
  <c r="AJ22" i="31"/>
  <c r="AJ22" i="32" s="1"/>
  <c r="B22" i="9"/>
  <c r="B22" i="10" s="1"/>
  <c r="Q21" i="31"/>
  <c r="Q21" i="32" s="1"/>
  <c r="X21" i="11"/>
  <c r="I21" i="11"/>
  <c r="Q21" i="9"/>
  <c r="Q21" i="10" s="1"/>
  <c r="L10" i="9"/>
  <c r="L10" i="10" s="1"/>
  <c r="N22" i="31"/>
  <c r="N22" i="32" s="1"/>
  <c r="X21" i="31"/>
  <c r="X21" i="32" s="1"/>
  <c r="L10" i="31"/>
  <c r="L10" i="32" s="1"/>
  <c r="J22" i="9"/>
  <c r="J22" i="10" s="1"/>
  <c r="B22" i="11"/>
  <c r="M21" i="9"/>
  <c r="M21" i="10" s="1"/>
  <c r="M21" i="31"/>
  <c r="M21" i="32" s="1"/>
  <c r="N22" i="17"/>
  <c r="N22" i="16" s="1"/>
  <c r="N22" i="12"/>
  <c r="U22" i="17"/>
  <c r="U22" i="16" s="1"/>
  <c r="U22" i="12"/>
  <c r="AL21" i="12"/>
  <c r="AL21" i="17"/>
  <c r="AL21" i="16" s="1"/>
  <c r="AE21" i="17"/>
  <c r="AE21" i="16" s="1"/>
  <c r="AE21" i="12"/>
  <c r="AK22" i="12"/>
  <c r="AK22" i="17"/>
  <c r="AK22" i="16" s="1"/>
  <c r="AH22" i="12"/>
  <c r="AH22" i="17"/>
  <c r="AH22" i="16" s="1"/>
  <c r="AG21" i="17"/>
  <c r="AG21" i="16" s="1"/>
  <c r="AG21" i="12"/>
  <c r="J22" i="17"/>
  <c r="J22" i="16" s="1"/>
  <c r="J22" i="12"/>
  <c r="E21" i="12"/>
  <c r="E21" i="17"/>
  <c r="E21" i="16" s="1"/>
  <c r="O21" i="17"/>
  <c r="O21" i="16" s="1"/>
  <c r="O21" i="12"/>
  <c r="AL22" i="12"/>
  <c r="AL22" i="17"/>
  <c r="AL22" i="16" s="1"/>
  <c r="M21" i="17"/>
  <c r="M21" i="16" s="1"/>
  <c r="M21" i="12"/>
  <c r="B21" i="17"/>
  <c r="B21" i="16" s="1"/>
  <c r="B21" i="12"/>
  <c r="R22" i="12"/>
  <c r="R22" i="17"/>
  <c r="R22" i="16" s="1"/>
  <c r="S21" i="17"/>
  <c r="S21" i="16" s="1"/>
  <c r="S21" i="12"/>
  <c r="AJ21" i="12"/>
  <c r="AJ21" i="17"/>
  <c r="AJ21" i="16" s="1"/>
  <c r="L21" i="12"/>
  <c r="L21" i="17"/>
  <c r="L21" i="16" s="1"/>
  <c r="N21" i="17"/>
  <c r="N21" i="16" s="1"/>
  <c r="N21" i="12"/>
  <c r="J21" i="12"/>
  <c r="J21" i="17"/>
  <c r="J21" i="16" s="1"/>
  <c r="I22" i="12"/>
  <c r="I22" i="17"/>
  <c r="I22" i="16" s="1"/>
  <c r="AI22" i="12"/>
  <c r="AI22" i="17"/>
  <c r="AI22" i="16" s="1"/>
  <c r="W24" i="11"/>
  <c r="W24" i="9"/>
  <c r="W24" i="10" s="1"/>
  <c r="W24" i="31"/>
  <c r="W24" i="32" s="1"/>
  <c r="AF26" i="31"/>
  <c r="AF26" i="32" s="1"/>
  <c r="AF26" i="9"/>
  <c r="AF26" i="10" s="1"/>
  <c r="AF26" i="11"/>
  <c r="Z24" i="9"/>
  <c r="Z24" i="10" s="1"/>
  <c r="Z24" i="11"/>
  <c r="Z24" i="31"/>
  <c r="Z24" i="32" s="1"/>
  <c r="AA26" i="9"/>
  <c r="AA26" i="10" s="1"/>
  <c r="AA26" i="31"/>
  <c r="AA26" i="32" s="1"/>
  <c r="AA26" i="11"/>
  <c r="V24" i="9"/>
  <c r="V24" i="10" s="1"/>
  <c r="V24" i="11"/>
  <c r="V24" i="31"/>
  <c r="V24" i="32" s="1"/>
  <c r="AD30" i="9"/>
  <c r="AD30" i="10" s="1"/>
  <c r="AD30" i="11"/>
  <c r="AD30" i="31"/>
  <c r="AM29" i="9"/>
  <c r="AM29" i="10" s="1"/>
  <c r="AM29" i="11"/>
  <c r="AM29" i="31"/>
  <c r="AM29" i="32" s="1"/>
  <c r="AF30" i="9"/>
  <c r="AF30" i="10" s="1"/>
  <c r="AF30" i="11"/>
  <c r="AF30" i="31"/>
  <c r="AO29" i="9"/>
  <c r="AO29" i="10" s="1"/>
  <c r="AO29" i="11"/>
  <c r="AO29" i="31"/>
  <c r="AO29" i="32" s="1"/>
  <c r="AH30" i="9"/>
  <c r="AH30" i="10" s="1"/>
  <c r="AH30" i="11"/>
  <c r="AH30" i="31"/>
  <c r="K30" i="9"/>
  <c r="K30" i="10" s="1"/>
  <c r="K30" i="11"/>
  <c r="K30" i="31"/>
  <c r="E31" i="9"/>
  <c r="E31" i="10" s="1"/>
  <c r="E31" i="11"/>
  <c r="T29" i="31"/>
  <c r="T29" i="32" s="1"/>
  <c r="T29" i="9"/>
  <c r="T29" i="10" s="1"/>
  <c r="T29" i="11"/>
  <c r="G23" i="9"/>
  <c r="G23" i="10" s="1"/>
  <c r="G23" i="11"/>
  <c r="G23" i="31"/>
  <c r="G23" i="32" s="1"/>
  <c r="P25" i="9"/>
  <c r="P25" i="10" s="1"/>
  <c r="P25" i="11"/>
  <c r="P25" i="31"/>
  <c r="P25" i="32" s="1"/>
  <c r="J23" i="9"/>
  <c r="J23" i="10" s="1"/>
  <c r="J23" i="31"/>
  <c r="J23" i="32" s="1"/>
  <c r="J23" i="11"/>
  <c r="K25" i="9"/>
  <c r="K25" i="10" s="1"/>
  <c r="K25" i="11"/>
  <c r="K25" i="31"/>
  <c r="K25" i="32" s="1"/>
  <c r="F23" i="9"/>
  <c r="F23" i="10" s="1"/>
  <c r="F23" i="11"/>
  <c r="F23" i="31"/>
  <c r="F23" i="32" s="1"/>
  <c r="N29" i="9"/>
  <c r="N29" i="10" s="1"/>
  <c r="N29" i="11"/>
  <c r="N29" i="31"/>
  <c r="N29" i="32" s="1"/>
  <c r="W28" i="11"/>
  <c r="W28" i="9"/>
  <c r="W28" i="10" s="1"/>
  <c r="W28" i="31"/>
  <c r="W28" i="32" s="1"/>
  <c r="P29" i="9"/>
  <c r="P29" i="10" s="1"/>
  <c r="P29" i="11"/>
  <c r="P29" i="31"/>
  <c r="P29" i="32" s="1"/>
  <c r="Y28" i="31"/>
  <c r="Y28" i="32" s="1"/>
  <c r="Y28" i="11"/>
  <c r="Y28" i="9"/>
  <c r="Y28" i="10" s="1"/>
  <c r="R29" i="9"/>
  <c r="R29" i="10" s="1"/>
  <c r="R29" i="31"/>
  <c r="R29" i="32" s="1"/>
  <c r="R29" i="11"/>
  <c r="AI28" i="9"/>
  <c r="AI28" i="10" s="1"/>
  <c r="AI28" i="11"/>
  <c r="AI28" i="31"/>
  <c r="AI28" i="32" s="1"/>
  <c r="AC29" i="9"/>
  <c r="AC29" i="10" s="1"/>
  <c r="AC29" i="31"/>
  <c r="AC29" i="32" s="1"/>
  <c r="AC29" i="11"/>
  <c r="AB27" i="9"/>
  <c r="AB27" i="10" s="1"/>
  <c r="AB27" i="11"/>
  <c r="AB27" i="31"/>
  <c r="AB27" i="32" s="1"/>
  <c r="AM24" i="9"/>
  <c r="AM24" i="10" s="1"/>
  <c r="AM24" i="11"/>
  <c r="AM24" i="31"/>
  <c r="AM24" i="32" s="1"/>
  <c r="H27" i="9"/>
  <c r="H27" i="10" s="1"/>
  <c r="H27" i="11"/>
  <c r="H27" i="31"/>
  <c r="H27" i="32" s="1"/>
  <c r="B25" i="9"/>
  <c r="B25" i="10" s="1"/>
  <c r="B25" i="31"/>
  <c r="B25" i="32" s="1"/>
  <c r="B25" i="11"/>
  <c r="C27" i="9"/>
  <c r="C27" i="10" s="1"/>
  <c r="C27" i="31"/>
  <c r="C27" i="32" s="1"/>
  <c r="C27" i="11"/>
  <c r="AL24" i="9"/>
  <c r="AL24" i="10" s="1"/>
  <c r="AL24" i="11"/>
  <c r="AL24" i="31"/>
  <c r="AL24" i="32" s="1"/>
  <c r="F31" i="9"/>
  <c r="F31" i="10" s="1"/>
  <c r="F31" i="11"/>
  <c r="O30" i="9"/>
  <c r="O30" i="10" s="1"/>
  <c r="O30" i="11"/>
  <c r="O30" i="31"/>
  <c r="H31" i="9"/>
  <c r="H31" i="10" s="1"/>
  <c r="H31" i="11"/>
  <c r="Q30" i="11"/>
  <c r="Q30" i="9"/>
  <c r="Q30" i="10" s="1"/>
  <c r="Q30" i="31"/>
  <c r="J31" i="9"/>
  <c r="J31" i="10" s="1"/>
  <c r="J31" i="11"/>
  <c r="AA30" i="9"/>
  <c r="AA30" i="10" s="1"/>
  <c r="AA30" i="11"/>
  <c r="AA30" i="31"/>
  <c r="AK29" i="9"/>
  <c r="AK29" i="10" s="1"/>
  <c r="AK29" i="31"/>
  <c r="AK29" i="32" s="1"/>
  <c r="AK29" i="11"/>
  <c r="G25" i="9"/>
  <c r="G25" i="10" s="1"/>
  <c r="G25" i="11"/>
  <c r="G25" i="31"/>
  <c r="G25" i="32" s="1"/>
  <c r="I23" i="9"/>
  <c r="I23" i="10" s="1"/>
  <c r="I23" i="31"/>
  <c r="I23" i="32" s="1"/>
  <c r="I23" i="11"/>
  <c r="J25" i="9"/>
  <c r="J25" i="10" s="1"/>
  <c r="J25" i="11"/>
  <c r="J25" i="31"/>
  <c r="J25" i="32" s="1"/>
  <c r="K27" i="9"/>
  <c r="K27" i="10" s="1"/>
  <c r="K27" i="31"/>
  <c r="K27" i="32" s="1"/>
  <c r="K27" i="11"/>
  <c r="F25" i="11"/>
  <c r="F25" i="9"/>
  <c r="F25" i="10" s="1"/>
  <c r="F25" i="31"/>
  <c r="F25" i="32" s="1"/>
  <c r="N31" i="11"/>
  <c r="N31" i="9"/>
  <c r="N31" i="10" s="1"/>
  <c r="W30" i="9"/>
  <c r="W30" i="10" s="1"/>
  <c r="W30" i="11"/>
  <c r="W30" i="31"/>
  <c r="P31" i="9"/>
  <c r="P31" i="10" s="1"/>
  <c r="P31" i="11"/>
  <c r="Y30" i="9"/>
  <c r="Y30" i="10" s="1"/>
  <c r="Y30" i="11"/>
  <c r="Y30" i="31"/>
  <c r="R31" i="9"/>
  <c r="R31" i="10" s="1"/>
  <c r="R31" i="11"/>
  <c r="S32" i="12"/>
  <c r="S32" i="17"/>
  <c r="AC31" i="9"/>
  <c r="AC31" i="10" s="1"/>
  <c r="AC31" i="11"/>
  <c r="AM26" i="9"/>
  <c r="AM26" i="10" s="1"/>
  <c r="AM26" i="11"/>
  <c r="AM26" i="31"/>
  <c r="AM26" i="32" s="1"/>
  <c r="AO24" i="9"/>
  <c r="AO24" i="10" s="1"/>
  <c r="AO24" i="11"/>
  <c r="AO24" i="31"/>
  <c r="AO24" i="32" s="1"/>
  <c r="B27" i="9"/>
  <c r="B27" i="10" s="1"/>
  <c r="B27" i="31"/>
  <c r="B27" i="32" s="1"/>
  <c r="B27" i="11"/>
  <c r="AB24" i="11"/>
  <c r="AB24" i="9"/>
  <c r="AB24" i="10" s="1"/>
  <c r="AB24" i="31"/>
  <c r="AB24" i="32" s="1"/>
  <c r="M23" i="9"/>
  <c r="M23" i="10" s="1"/>
  <c r="M23" i="11"/>
  <c r="M23" i="31"/>
  <c r="M23" i="32" s="1"/>
  <c r="W27" i="11"/>
  <c r="W27" i="9"/>
  <c r="W27" i="10" s="1"/>
  <c r="W27" i="31"/>
  <c r="W27" i="32" s="1"/>
  <c r="AC23" i="9"/>
  <c r="AC23" i="10" s="1"/>
  <c r="AC23" i="11"/>
  <c r="AC23" i="31"/>
  <c r="AC23" i="32" s="1"/>
  <c r="Y27" i="9"/>
  <c r="Y27" i="10" s="1"/>
  <c r="Y27" i="11"/>
  <c r="Y27" i="31"/>
  <c r="Y27" i="32" s="1"/>
  <c r="E24" i="9"/>
  <c r="E24" i="10" s="1"/>
  <c r="E24" i="11"/>
  <c r="E24" i="31"/>
  <c r="E24" i="32" s="1"/>
  <c r="AI27" i="31"/>
  <c r="AI27" i="32" s="1"/>
  <c r="AI27" i="11"/>
  <c r="AI27" i="9"/>
  <c r="AI27" i="10" s="1"/>
  <c r="M26" i="11"/>
  <c r="M26" i="9"/>
  <c r="M26" i="10" s="1"/>
  <c r="M26" i="31"/>
  <c r="M26" i="32" s="1"/>
  <c r="L27" i="9"/>
  <c r="L27" i="10" s="1"/>
  <c r="L27" i="31"/>
  <c r="L27" i="32" s="1"/>
  <c r="L27" i="11"/>
  <c r="G27" i="9"/>
  <c r="G27" i="10" s="1"/>
  <c r="G27" i="11"/>
  <c r="G27" i="31"/>
  <c r="G27" i="32" s="1"/>
  <c r="I25" i="9"/>
  <c r="I25" i="10" s="1"/>
  <c r="I25" i="11"/>
  <c r="I25" i="31"/>
  <c r="I25" i="32" s="1"/>
  <c r="J27" i="9"/>
  <c r="J27" i="10" s="1"/>
  <c r="J27" i="11"/>
  <c r="J27" i="31"/>
  <c r="J27" i="32" s="1"/>
  <c r="AJ24" i="11"/>
  <c r="AJ24" i="9"/>
  <c r="AJ24" i="10" s="1"/>
  <c r="AJ24" i="31"/>
  <c r="AJ24" i="32" s="1"/>
  <c r="AK24" i="9"/>
  <c r="AK24" i="10" s="1"/>
  <c r="AK24" i="11"/>
  <c r="AK24" i="31"/>
  <c r="AK24" i="32" s="1"/>
  <c r="AE27" i="9"/>
  <c r="AE27" i="10" s="1"/>
  <c r="AE27" i="11"/>
  <c r="AE27" i="31"/>
  <c r="AE27" i="32" s="1"/>
  <c r="M25" i="11"/>
  <c r="M25" i="9"/>
  <c r="M25" i="10" s="1"/>
  <c r="M25" i="31"/>
  <c r="M25" i="32" s="1"/>
  <c r="AG27" i="9"/>
  <c r="AG27" i="10" s="1"/>
  <c r="AG27" i="31"/>
  <c r="AG27" i="32" s="1"/>
  <c r="AG27" i="11"/>
  <c r="AC25" i="11"/>
  <c r="AC25" i="9"/>
  <c r="AC25" i="10" s="1"/>
  <c r="AC25" i="31"/>
  <c r="AC25" i="32" s="1"/>
  <c r="C28" i="31"/>
  <c r="C28" i="32" s="1"/>
  <c r="C28" i="11"/>
  <c r="C28" i="9"/>
  <c r="C28" i="10" s="1"/>
  <c r="M27" i="11"/>
  <c r="M27" i="9"/>
  <c r="M27" i="10" s="1"/>
  <c r="M27" i="31"/>
  <c r="M27" i="32" s="1"/>
  <c r="E26" i="11"/>
  <c r="E26" i="9"/>
  <c r="E26" i="10" s="1"/>
  <c r="E26" i="31"/>
  <c r="E26" i="32" s="1"/>
  <c r="L31" i="9"/>
  <c r="L31" i="10" s="1"/>
  <c r="L31" i="11"/>
  <c r="H23" i="9"/>
  <c r="H23" i="10" s="1"/>
  <c r="H23" i="11"/>
  <c r="H23" i="31"/>
  <c r="H23" i="32" s="1"/>
  <c r="Q25" i="9"/>
  <c r="Q25" i="10" s="1"/>
  <c r="Q25" i="11"/>
  <c r="Q25" i="31"/>
  <c r="Q25" i="32" s="1"/>
  <c r="C23" i="31"/>
  <c r="C23" i="32" s="1"/>
  <c r="C23" i="9"/>
  <c r="C23" i="10" s="1"/>
  <c r="C23" i="11"/>
  <c r="D25" i="9"/>
  <c r="D25" i="10" s="1"/>
  <c r="D25" i="11"/>
  <c r="D25" i="31"/>
  <c r="D25" i="32" s="1"/>
  <c r="U26" i="11"/>
  <c r="U26" i="9"/>
  <c r="U26" i="10" s="1"/>
  <c r="U26" i="31"/>
  <c r="U26" i="32" s="1"/>
  <c r="AM27" i="11"/>
  <c r="AM27" i="9"/>
  <c r="AM27" i="10" s="1"/>
  <c r="AM27" i="31"/>
  <c r="AM27" i="32" s="1"/>
  <c r="AK26" i="9"/>
  <c r="AK26" i="10" s="1"/>
  <c r="AK26" i="11"/>
  <c r="AK26" i="31"/>
  <c r="AK26" i="32" s="1"/>
  <c r="AO27" i="9"/>
  <c r="AO27" i="10" s="1"/>
  <c r="AO27" i="11"/>
  <c r="AO27" i="31"/>
  <c r="AO27" i="32" s="1"/>
  <c r="E27" i="11"/>
  <c r="E27" i="31"/>
  <c r="E27" i="32" s="1"/>
  <c r="E27" i="9"/>
  <c r="E27" i="10" s="1"/>
  <c r="K28" i="31"/>
  <c r="K28" i="32" s="1"/>
  <c r="K28" i="11"/>
  <c r="K28" i="9"/>
  <c r="K28" i="10" s="1"/>
  <c r="E29" i="9"/>
  <c r="E29" i="10" s="1"/>
  <c r="E29" i="11"/>
  <c r="E29" i="31"/>
  <c r="E29" i="32" s="1"/>
  <c r="AB28" i="9"/>
  <c r="AB28" i="10" s="1"/>
  <c r="AB28" i="31"/>
  <c r="AB28" i="32" s="1"/>
  <c r="AB28" i="11"/>
  <c r="AJ32" i="12"/>
  <c r="AJ32" i="17"/>
  <c r="O24" i="9"/>
  <c r="O24" i="10" s="1"/>
  <c r="O24" i="11"/>
  <c r="O24" i="31"/>
  <c r="O24" i="32" s="1"/>
  <c r="X26" i="9"/>
  <c r="X26" i="10" s="1"/>
  <c r="X26" i="11"/>
  <c r="X26" i="31"/>
  <c r="X26" i="32" s="1"/>
  <c r="R24" i="9"/>
  <c r="R24" i="10" s="1"/>
  <c r="R24" i="11"/>
  <c r="R24" i="31"/>
  <c r="R24" i="32" s="1"/>
  <c r="S26" i="9"/>
  <c r="S26" i="10" s="1"/>
  <c r="S26" i="11"/>
  <c r="S26" i="31"/>
  <c r="S26" i="32" s="1"/>
  <c r="N24" i="9"/>
  <c r="N24" i="10" s="1"/>
  <c r="N24" i="11"/>
  <c r="N24" i="31"/>
  <c r="N24" i="32" s="1"/>
  <c r="V30" i="9"/>
  <c r="V30" i="10" s="1"/>
  <c r="V30" i="11"/>
  <c r="V30" i="31"/>
  <c r="O31" i="9"/>
  <c r="O31" i="10" s="1"/>
  <c r="O31" i="11"/>
  <c r="X30" i="31"/>
  <c r="X30" i="9"/>
  <c r="X30" i="10" s="1"/>
  <c r="X30" i="11"/>
  <c r="Q31" i="9"/>
  <c r="Q31" i="10" s="1"/>
  <c r="Q31" i="11"/>
  <c r="Z30" i="9"/>
  <c r="Z30" i="10" s="1"/>
  <c r="Z30" i="11"/>
  <c r="Z30" i="31"/>
  <c r="C30" i="31"/>
  <c r="C30" i="11"/>
  <c r="C30" i="9"/>
  <c r="C30" i="10" s="1"/>
  <c r="AK30" i="9"/>
  <c r="AK30" i="10" s="1"/>
  <c r="AK30" i="11"/>
  <c r="AK30" i="31"/>
  <c r="D32" i="12"/>
  <c r="D32" i="17"/>
  <c r="G26" i="9"/>
  <c r="G26" i="10" s="1"/>
  <c r="G26" i="11"/>
  <c r="G26" i="31"/>
  <c r="G26" i="32" s="1"/>
  <c r="I24" i="9"/>
  <c r="I24" i="10" s="1"/>
  <c r="I24" i="11"/>
  <c r="I24" i="31"/>
  <c r="I24" i="32" s="1"/>
  <c r="J26" i="9"/>
  <c r="J26" i="10" s="1"/>
  <c r="J26" i="11"/>
  <c r="J26" i="31"/>
  <c r="J26" i="32" s="1"/>
  <c r="AJ23" i="31"/>
  <c r="AJ23" i="32" s="1"/>
  <c r="AJ23" i="9"/>
  <c r="AJ23" i="10" s="1"/>
  <c r="AJ23" i="11"/>
  <c r="F26" i="9"/>
  <c r="F26" i="10" s="1"/>
  <c r="F26" i="11"/>
  <c r="F26" i="31"/>
  <c r="F26" i="32" s="1"/>
  <c r="N32" i="12"/>
  <c r="N32" i="17"/>
  <c r="W31" i="9"/>
  <c r="W31" i="10" s="1"/>
  <c r="W31" i="11"/>
  <c r="P32" i="12"/>
  <c r="P32" i="17"/>
  <c r="Y31" i="11"/>
  <c r="Y31" i="9"/>
  <c r="Y31" i="10" s="1"/>
  <c r="R32" i="12"/>
  <c r="R32" i="17"/>
  <c r="AI31" i="9"/>
  <c r="AI31" i="10" s="1"/>
  <c r="AI31" i="11"/>
  <c r="AC32" i="12"/>
  <c r="AC32" i="17"/>
  <c r="AE24" i="9"/>
  <c r="AE24" i="10" s="1"/>
  <c r="AE24" i="31"/>
  <c r="AE24" i="32" s="1"/>
  <c r="AE24" i="11"/>
  <c r="AN26" i="9"/>
  <c r="AN26" i="10" s="1"/>
  <c r="AN26" i="11"/>
  <c r="AN26" i="31"/>
  <c r="AN26" i="32" s="1"/>
  <c r="AH24" i="31"/>
  <c r="AH24" i="32" s="1"/>
  <c r="AH24" i="11"/>
  <c r="AH24" i="9"/>
  <c r="AH24" i="10" s="1"/>
  <c r="AI26" i="11"/>
  <c r="AI26" i="31"/>
  <c r="AI26" i="32" s="1"/>
  <c r="AI26" i="9"/>
  <c r="AI26" i="10" s="1"/>
  <c r="AD24" i="9"/>
  <c r="AD24" i="10" s="1"/>
  <c r="AD24" i="11"/>
  <c r="AD24" i="31"/>
  <c r="AD24" i="32" s="1"/>
  <c r="AL30" i="9"/>
  <c r="AL30" i="10" s="1"/>
  <c r="AL30" i="11"/>
  <c r="AL30" i="31"/>
  <c r="G30" i="9"/>
  <c r="G30" i="10" s="1"/>
  <c r="G30" i="31"/>
  <c r="G30" i="11"/>
  <c r="AN30" i="9"/>
  <c r="AN30" i="10" s="1"/>
  <c r="AN30" i="11"/>
  <c r="AN30" i="31"/>
  <c r="I30" i="9"/>
  <c r="I30" i="10" s="1"/>
  <c r="I30" i="31"/>
  <c r="I30" i="11"/>
  <c r="B31" i="9"/>
  <c r="B31" i="10" s="1"/>
  <c r="B31" i="11"/>
  <c r="S30" i="31"/>
  <c r="S30" i="11"/>
  <c r="S30" i="9"/>
  <c r="S30" i="10" s="1"/>
  <c r="M31" i="9"/>
  <c r="M31" i="10" s="1"/>
  <c r="M31" i="11"/>
  <c r="D31" i="9"/>
  <c r="D31" i="10" s="1"/>
  <c r="D31" i="11"/>
  <c r="W26" i="11"/>
  <c r="W26" i="9"/>
  <c r="W26" i="10" s="1"/>
  <c r="W26" i="31"/>
  <c r="W26" i="32" s="1"/>
  <c r="Y24" i="11"/>
  <c r="Y24" i="9"/>
  <c r="Y24" i="10" s="1"/>
  <c r="Y24" i="31"/>
  <c r="Y24" i="32" s="1"/>
  <c r="Z26" i="31"/>
  <c r="Z26" i="32" s="1"/>
  <c r="Z26" i="9"/>
  <c r="Z26" i="10" s="1"/>
  <c r="Z26" i="11"/>
  <c r="L24" i="9"/>
  <c r="L24" i="10" s="1"/>
  <c r="L24" i="31"/>
  <c r="L24" i="32" s="1"/>
  <c r="L24" i="11"/>
  <c r="V26" i="9"/>
  <c r="V26" i="10" s="1"/>
  <c r="V26" i="11"/>
  <c r="V26" i="31"/>
  <c r="V26" i="32" s="1"/>
  <c r="AD32" i="12"/>
  <c r="AD32" i="17"/>
  <c r="AM31" i="9"/>
  <c r="AM31" i="10" s="1"/>
  <c r="AM31" i="11"/>
  <c r="AF32" i="12"/>
  <c r="AF32" i="17"/>
  <c r="AO31" i="9"/>
  <c r="AO31" i="10" s="1"/>
  <c r="AO31" i="11"/>
  <c r="AH32" i="12"/>
  <c r="AH32" i="17"/>
  <c r="K32" i="12"/>
  <c r="K32" i="17"/>
  <c r="U31" i="9"/>
  <c r="U31" i="10" s="1"/>
  <c r="U31" i="11"/>
  <c r="AE26" i="9"/>
  <c r="AE26" i="10" s="1"/>
  <c r="AE26" i="11"/>
  <c r="AE26" i="31"/>
  <c r="AE26" i="32" s="1"/>
  <c r="AG24" i="9"/>
  <c r="AG24" i="10" s="1"/>
  <c r="AG24" i="31"/>
  <c r="AG24" i="32" s="1"/>
  <c r="AG24" i="11"/>
  <c r="AH26" i="9"/>
  <c r="AH26" i="10" s="1"/>
  <c r="AH26" i="11"/>
  <c r="AH26" i="31"/>
  <c r="AH26" i="32" s="1"/>
  <c r="T24" i="31"/>
  <c r="T24" i="32" s="1"/>
  <c r="T24" i="9"/>
  <c r="T24" i="10" s="1"/>
  <c r="T24" i="11"/>
  <c r="AD26" i="9"/>
  <c r="AD26" i="10" s="1"/>
  <c r="AD26" i="11"/>
  <c r="AD26" i="31"/>
  <c r="AD26" i="32" s="1"/>
  <c r="AL32" i="12"/>
  <c r="AL32" i="17"/>
  <c r="G32" i="12"/>
  <c r="G32" i="17"/>
  <c r="AN32" i="12"/>
  <c r="AN32" i="17"/>
  <c r="I32" i="12"/>
  <c r="I32" i="17"/>
  <c r="AA27" i="9"/>
  <c r="AA27" i="10" s="1"/>
  <c r="AA27" i="11"/>
  <c r="AA27" i="31"/>
  <c r="AA27" i="32" s="1"/>
  <c r="AC24" i="9"/>
  <c r="AC24" i="10" s="1"/>
  <c r="AC24" i="11"/>
  <c r="AC24" i="31"/>
  <c r="AC24" i="32" s="1"/>
  <c r="T27" i="9"/>
  <c r="T27" i="10" s="1"/>
  <c r="T27" i="11"/>
  <c r="T27" i="31"/>
  <c r="T27" i="32" s="1"/>
  <c r="P24" i="9"/>
  <c r="P24" i="10" s="1"/>
  <c r="P24" i="11"/>
  <c r="P24" i="31"/>
  <c r="P24" i="32" s="1"/>
  <c r="Y26" i="11"/>
  <c r="Y26" i="9"/>
  <c r="Y26" i="10" s="1"/>
  <c r="Y26" i="31"/>
  <c r="Y26" i="32" s="1"/>
  <c r="K24" i="31"/>
  <c r="K24" i="32" s="1"/>
  <c r="K24" i="11"/>
  <c r="K24" i="9"/>
  <c r="K24" i="10" s="1"/>
  <c r="L26" i="9"/>
  <c r="L26" i="10" s="1"/>
  <c r="L26" i="11"/>
  <c r="L26" i="31"/>
  <c r="L26" i="32" s="1"/>
  <c r="N28" i="11"/>
  <c r="N28" i="31"/>
  <c r="N28" i="32" s="1"/>
  <c r="N28" i="9"/>
  <c r="N28" i="10" s="1"/>
  <c r="G29" i="9"/>
  <c r="G29" i="10" s="1"/>
  <c r="G29" i="11"/>
  <c r="G29" i="31"/>
  <c r="G29" i="32" s="1"/>
  <c r="P28" i="31"/>
  <c r="P28" i="32" s="1"/>
  <c r="P28" i="9"/>
  <c r="P28" i="10" s="1"/>
  <c r="P28" i="11"/>
  <c r="I29" i="9"/>
  <c r="I29" i="10" s="1"/>
  <c r="I29" i="11"/>
  <c r="I29" i="31"/>
  <c r="I29" i="32" s="1"/>
  <c r="R28" i="9"/>
  <c r="R28" i="10" s="1"/>
  <c r="R28" i="31"/>
  <c r="R28" i="32" s="1"/>
  <c r="R28" i="11"/>
  <c r="S29" i="31"/>
  <c r="S29" i="32" s="1"/>
  <c r="S29" i="11"/>
  <c r="S29" i="9"/>
  <c r="S29" i="10" s="1"/>
  <c r="AC28" i="9"/>
  <c r="AC28" i="10" s="1"/>
  <c r="AC28" i="31"/>
  <c r="AC28" i="32" s="1"/>
  <c r="AC28" i="11"/>
  <c r="D29" i="9"/>
  <c r="D29" i="10" s="1"/>
  <c r="D29" i="11"/>
  <c r="D29" i="31"/>
  <c r="D29" i="32" s="1"/>
  <c r="X24" i="9"/>
  <c r="X24" i="10" s="1"/>
  <c r="X24" i="11"/>
  <c r="X24" i="31"/>
  <c r="X24" i="32" s="1"/>
  <c r="AG26" i="9"/>
  <c r="AG26" i="10" s="1"/>
  <c r="AG26" i="11"/>
  <c r="AG26" i="31"/>
  <c r="AG26" i="32" s="1"/>
  <c r="S24" i="31"/>
  <c r="S24" i="32" s="1"/>
  <c r="S24" i="9"/>
  <c r="S24" i="10" s="1"/>
  <c r="S24" i="11"/>
  <c r="T26" i="9"/>
  <c r="T26" i="10" s="1"/>
  <c r="T26" i="11"/>
  <c r="T26" i="31"/>
  <c r="T26" i="32" s="1"/>
  <c r="V28" i="11"/>
  <c r="V28" i="9"/>
  <c r="V28" i="10" s="1"/>
  <c r="V28" i="31"/>
  <c r="V28" i="32" s="1"/>
  <c r="O29" i="9"/>
  <c r="O29" i="10" s="1"/>
  <c r="O29" i="31"/>
  <c r="O29" i="32" s="1"/>
  <c r="O29" i="11"/>
  <c r="X28" i="9"/>
  <c r="X28" i="10" s="1"/>
  <c r="X28" i="11"/>
  <c r="X28" i="31"/>
  <c r="X28" i="32" s="1"/>
  <c r="Q29" i="9"/>
  <c r="Q29" i="10" s="1"/>
  <c r="Q29" i="31"/>
  <c r="Q29" i="32" s="1"/>
  <c r="Q29" i="11"/>
  <c r="Z28" i="9"/>
  <c r="Z28" i="10" s="1"/>
  <c r="Z28" i="31"/>
  <c r="Z28" i="32" s="1"/>
  <c r="Z28" i="11"/>
  <c r="AA29" i="31"/>
  <c r="AA29" i="32" s="1"/>
  <c r="AA29" i="11"/>
  <c r="AA29" i="9"/>
  <c r="AA29" i="10" s="1"/>
  <c r="AK28" i="9"/>
  <c r="AK28" i="10" s="1"/>
  <c r="AK28" i="31"/>
  <c r="AK28" i="32" s="1"/>
  <c r="AK28" i="11"/>
  <c r="AJ28" i="9"/>
  <c r="AJ28" i="10" s="1"/>
  <c r="AJ28" i="31"/>
  <c r="AJ28" i="32" s="1"/>
  <c r="AJ28" i="11"/>
  <c r="AF24" i="11"/>
  <c r="AF24" i="9"/>
  <c r="AF24" i="10" s="1"/>
  <c r="AF24" i="31"/>
  <c r="AF24" i="32" s="1"/>
  <c r="AO26" i="9"/>
  <c r="AO26" i="10" s="1"/>
  <c r="AO26" i="11"/>
  <c r="AO26" i="31"/>
  <c r="AO26" i="32" s="1"/>
  <c r="AA24" i="31"/>
  <c r="AA24" i="32" s="1"/>
  <c r="AA24" i="9"/>
  <c r="AA24" i="10" s="1"/>
  <c r="AA24" i="11"/>
  <c r="AB26" i="9"/>
  <c r="AB26" i="10" s="1"/>
  <c r="AB26" i="11"/>
  <c r="AB26" i="31"/>
  <c r="AB26" i="32" s="1"/>
  <c r="AD28" i="11"/>
  <c r="AD28" i="9"/>
  <c r="AD28" i="10" s="1"/>
  <c r="AD28" i="31"/>
  <c r="AD28" i="32" s="1"/>
  <c r="W29" i="9"/>
  <c r="W29" i="10" s="1"/>
  <c r="W29" i="11"/>
  <c r="W29" i="31"/>
  <c r="W29" i="32" s="1"/>
  <c r="AF28" i="9"/>
  <c r="AF28" i="10" s="1"/>
  <c r="AF28" i="11"/>
  <c r="AF28" i="31"/>
  <c r="AF28" i="32" s="1"/>
  <c r="Y29" i="9"/>
  <c r="Y29" i="10" s="1"/>
  <c r="Y29" i="11"/>
  <c r="Y29" i="31"/>
  <c r="Y29" i="32" s="1"/>
  <c r="AH28" i="9"/>
  <c r="AH28" i="10" s="1"/>
  <c r="AH28" i="11"/>
  <c r="AH28" i="31"/>
  <c r="AH28" i="32" s="1"/>
  <c r="AI29" i="31"/>
  <c r="AI29" i="32" s="1"/>
  <c r="AI29" i="11"/>
  <c r="AI29" i="9"/>
  <c r="AI29" i="10" s="1"/>
  <c r="AC30" i="9"/>
  <c r="AC30" i="10" s="1"/>
  <c r="AC30" i="31"/>
  <c r="AC30" i="11"/>
  <c r="T30" i="9"/>
  <c r="T30" i="10" s="1"/>
  <c r="T30" i="31"/>
  <c r="T30" i="11"/>
  <c r="AM25" i="9"/>
  <c r="AM25" i="10" s="1"/>
  <c r="AM25" i="11"/>
  <c r="AM25" i="31"/>
  <c r="AM25" i="32" s="1"/>
  <c r="AO23" i="9"/>
  <c r="AO23" i="10" s="1"/>
  <c r="AO23" i="11"/>
  <c r="AO23" i="31"/>
  <c r="AO23" i="32" s="1"/>
  <c r="B26" i="9"/>
  <c r="B26" i="10" s="1"/>
  <c r="B26" i="11"/>
  <c r="B26" i="31"/>
  <c r="B26" i="32" s="1"/>
  <c r="AB23" i="9"/>
  <c r="AB23" i="10" s="1"/>
  <c r="AB23" i="11"/>
  <c r="AB23" i="31"/>
  <c r="AB23" i="32" s="1"/>
  <c r="AL25" i="9"/>
  <c r="AL25" i="10" s="1"/>
  <c r="AL25" i="11"/>
  <c r="AL25" i="31"/>
  <c r="AL25" i="32" s="1"/>
  <c r="F32" i="12"/>
  <c r="F32" i="17"/>
  <c r="AM32" i="12"/>
  <c r="AM32" i="17"/>
  <c r="H32" i="12"/>
  <c r="H32" i="17"/>
  <c r="AO32" i="12"/>
  <c r="AO32" i="17"/>
  <c r="J32" i="12"/>
  <c r="J32" i="17"/>
  <c r="AA31" i="9"/>
  <c r="AA31" i="10" s="1"/>
  <c r="AA31" i="11"/>
  <c r="U32" i="12"/>
  <c r="U32" i="17"/>
  <c r="AJ27" i="9"/>
  <c r="AJ27" i="10" s="1"/>
  <c r="AJ27" i="11"/>
  <c r="AJ27" i="31"/>
  <c r="AJ27" i="32" s="1"/>
  <c r="X23" i="11"/>
  <c r="X23" i="9"/>
  <c r="X23" i="10" s="1"/>
  <c r="X23" i="31"/>
  <c r="X23" i="32" s="1"/>
  <c r="AG25" i="11"/>
  <c r="AG25" i="9"/>
  <c r="AG25" i="10" s="1"/>
  <c r="AG25" i="31"/>
  <c r="AG25" i="32" s="1"/>
  <c r="S23" i="31"/>
  <c r="S23" i="32" s="1"/>
  <c r="S23" i="9"/>
  <c r="S23" i="10" s="1"/>
  <c r="S23" i="11"/>
  <c r="T25" i="9"/>
  <c r="T25" i="10" s="1"/>
  <c r="T25" i="31"/>
  <c r="T25" i="32" s="1"/>
  <c r="T25" i="11"/>
  <c r="V27" i="11"/>
  <c r="V27" i="9"/>
  <c r="V27" i="10" s="1"/>
  <c r="V27" i="31"/>
  <c r="V27" i="32" s="1"/>
  <c r="U23" i="9"/>
  <c r="U23" i="10" s="1"/>
  <c r="U23" i="11"/>
  <c r="U23" i="31"/>
  <c r="U23" i="32" s="1"/>
  <c r="X27" i="31"/>
  <c r="X27" i="32" s="1"/>
  <c r="X27" i="11"/>
  <c r="X27" i="9"/>
  <c r="X27" i="10" s="1"/>
  <c r="AK23" i="9"/>
  <c r="AK23" i="10" s="1"/>
  <c r="AK23" i="31"/>
  <c r="AK23" i="32" s="1"/>
  <c r="AK23" i="11"/>
  <c r="Z27" i="9"/>
  <c r="Z27" i="10" s="1"/>
  <c r="Z27" i="11"/>
  <c r="Z27" i="31"/>
  <c r="Z27" i="32" s="1"/>
  <c r="AK25" i="9"/>
  <c r="AK25" i="10" s="1"/>
  <c r="AK25" i="11"/>
  <c r="AK25" i="31"/>
  <c r="AK25" i="32" s="1"/>
  <c r="AK27" i="9"/>
  <c r="AK27" i="10" s="1"/>
  <c r="AK27" i="11"/>
  <c r="AK27" i="31"/>
  <c r="AK27" i="32" s="1"/>
  <c r="D30" i="9"/>
  <c r="D30" i="10" s="1"/>
  <c r="D30" i="31"/>
  <c r="D30" i="11"/>
  <c r="O26" i="11"/>
  <c r="O26" i="31"/>
  <c r="O26" i="32" s="1"/>
  <c r="O26" i="9"/>
  <c r="O26" i="10" s="1"/>
  <c r="Q24" i="9"/>
  <c r="Q24" i="10" s="1"/>
  <c r="Q24" i="11"/>
  <c r="Q24" i="31"/>
  <c r="Q24" i="32" s="1"/>
  <c r="R26" i="9"/>
  <c r="R26" i="10" s="1"/>
  <c r="R26" i="11"/>
  <c r="R26" i="31"/>
  <c r="R26" i="32" s="1"/>
  <c r="D24" i="9"/>
  <c r="D24" i="10" s="1"/>
  <c r="D24" i="11"/>
  <c r="D24" i="31"/>
  <c r="D24" i="32" s="1"/>
  <c r="N26" i="9"/>
  <c r="N26" i="10" s="1"/>
  <c r="N26" i="11"/>
  <c r="N26" i="31"/>
  <c r="N26" i="32" s="1"/>
  <c r="V32" i="12"/>
  <c r="V32" i="17"/>
  <c r="AE31" i="9"/>
  <c r="AE31" i="10" s="1"/>
  <c r="AE31" i="11"/>
  <c r="X32" i="12"/>
  <c r="X32" i="17"/>
  <c r="AG31" i="9"/>
  <c r="AG31" i="10" s="1"/>
  <c r="AG31" i="11"/>
  <c r="Z32" i="12"/>
  <c r="Z32" i="17"/>
  <c r="C32" i="12"/>
  <c r="C32" i="17"/>
  <c r="AK32" i="12"/>
  <c r="AK32" i="17"/>
  <c r="AN23" i="11"/>
  <c r="AN23" i="9"/>
  <c r="AN23" i="10" s="1"/>
  <c r="AN23" i="31"/>
  <c r="AN23" i="32" s="1"/>
  <c r="I26" i="9"/>
  <c r="I26" i="10" s="1"/>
  <c r="I26" i="11"/>
  <c r="I26" i="31"/>
  <c r="I26" i="32" s="1"/>
  <c r="AI23" i="31"/>
  <c r="AI23" i="32" s="1"/>
  <c r="AI23" i="11"/>
  <c r="AI23" i="9"/>
  <c r="AI23" i="10" s="1"/>
  <c r="AJ25" i="9"/>
  <c r="AJ25" i="10" s="1"/>
  <c r="AJ25" i="31"/>
  <c r="AJ25" i="32" s="1"/>
  <c r="AJ25" i="11"/>
  <c r="AL27" i="11"/>
  <c r="AL27" i="9"/>
  <c r="AL27" i="10" s="1"/>
  <c r="AL27" i="31"/>
  <c r="AL27" i="32" s="1"/>
  <c r="AC26" i="11"/>
  <c r="AC26" i="9"/>
  <c r="AC26" i="10" s="1"/>
  <c r="AC26" i="31"/>
  <c r="AC26" i="32" s="1"/>
  <c r="AN27" i="9"/>
  <c r="AN27" i="10" s="1"/>
  <c r="AN27" i="11"/>
  <c r="AN27" i="31"/>
  <c r="AN27" i="32" s="1"/>
  <c r="AL26" i="9"/>
  <c r="AL26" i="10" s="1"/>
  <c r="AL26" i="11"/>
  <c r="AL26" i="31"/>
  <c r="AL26" i="32" s="1"/>
  <c r="B28" i="9"/>
  <c r="B28" i="10" s="1"/>
  <c r="B28" i="31"/>
  <c r="B28" i="32" s="1"/>
  <c r="B28" i="11"/>
  <c r="S27" i="9"/>
  <c r="S27" i="10" s="1"/>
  <c r="S27" i="31"/>
  <c r="S27" i="32" s="1"/>
  <c r="S27" i="11"/>
  <c r="E23" i="9"/>
  <c r="E23" i="10" s="1"/>
  <c r="E23" i="11"/>
  <c r="E23" i="31"/>
  <c r="E23" i="32" s="1"/>
  <c r="L29" i="9"/>
  <c r="L29" i="10" s="1"/>
  <c r="L29" i="31"/>
  <c r="L29" i="32" s="1"/>
  <c r="L29" i="11"/>
  <c r="H24" i="11"/>
  <c r="H24" i="31"/>
  <c r="H24" i="32" s="1"/>
  <c r="H24" i="9"/>
  <c r="H24" i="10" s="1"/>
  <c r="Q26" i="11"/>
  <c r="Q26" i="9"/>
  <c r="Q26" i="10" s="1"/>
  <c r="Q26" i="31"/>
  <c r="Q26" i="32" s="1"/>
  <c r="C24" i="31"/>
  <c r="C24" i="32" s="1"/>
  <c r="C24" i="11"/>
  <c r="C24" i="9"/>
  <c r="C24" i="10" s="1"/>
  <c r="D26" i="9"/>
  <c r="D26" i="10" s="1"/>
  <c r="D26" i="11"/>
  <c r="D26" i="31"/>
  <c r="D26" i="32" s="1"/>
  <c r="F28" i="11"/>
  <c r="F28" i="9"/>
  <c r="F28" i="10" s="1"/>
  <c r="F28" i="31"/>
  <c r="F28" i="32" s="1"/>
  <c r="O27" i="11"/>
  <c r="O27" i="9"/>
  <c r="O27" i="10" s="1"/>
  <c r="O27" i="31"/>
  <c r="O27" i="32" s="1"/>
  <c r="H28" i="9"/>
  <c r="H28" i="10" s="1"/>
  <c r="H28" i="11"/>
  <c r="H28" i="31"/>
  <c r="H28" i="32" s="1"/>
  <c r="Q27" i="9"/>
  <c r="Q27" i="10" s="1"/>
  <c r="Q27" i="11"/>
  <c r="Q27" i="31"/>
  <c r="Q27" i="32" s="1"/>
  <c r="J28" i="9"/>
  <c r="J28" i="10" s="1"/>
  <c r="J28" i="11"/>
  <c r="J28" i="31"/>
  <c r="J28" i="32" s="1"/>
  <c r="K29" i="9"/>
  <c r="K29" i="10" s="1"/>
  <c r="K29" i="11"/>
  <c r="K29" i="31"/>
  <c r="K29" i="32" s="1"/>
  <c r="U28" i="9"/>
  <c r="U28" i="10" s="1"/>
  <c r="U28" i="11"/>
  <c r="U28" i="31"/>
  <c r="U28" i="32" s="1"/>
  <c r="AJ30" i="9"/>
  <c r="AJ30" i="10" s="1"/>
  <c r="AJ30" i="31"/>
  <c r="AJ30" i="11"/>
  <c r="AE23" i="9"/>
  <c r="AE23" i="10" s="1"/>
  <c r="AE23" i="11"/>
  <c r="AE23" i="31"/>
  <c r="AE23" i="32" s="1"/>
  <c r="AN25" i="9"/>
  <c r="AN25" i="10" s="1"/>
  <c r="AN25" i="11"/>
  <c r="AN25" i="31"/>
  <c r="AN25" i="32" s="1"/>
  <c r="AH23" i="9"/>
  <c r="AH23" i="10" s="1"/>
  <c r="AH23" i="31"/>
  <c r="AH23" i="32" s="1"/>
  <c r="AH23" i="11"/>
  <c r="AI25" i="9"/>
  <c r="AI25" i="10" s="1"/>
  <c r="AI25" i="11"/>
  <c r="AI25" i="31"/>
  <c r="AI25" i="32" s="1"/>
  <c r="AD23" i="9"/>
  <c r="AD23" i="10" s="1"/>
  <c r="AD23" i="11"/>
  <c r="AD23" i="31"/>
  <c r="AD23" i="32" s="1"/>
  <c r="AL29" i="9"/>
  <c r="AL29" i="10" s="1"/>
  <c r="AL29" i="11"/>
  <c r="AL29" i="31"/>
  <c r="AL29" i="32" s="1"/>
  <c r="AE30" i="9"/>
  <c r="AE30" i="10" s="1"/>
  <c r="AE30" i="11"/>
  <c r="AE30" i="31"/>
  <c r="AN29" i="31"/>
  <c r="AN29" i="32" s="1"/>
  <c r="AN29" i="9"/>
  <c r="AN29" i="10" s="1"/>
  <c r="AN29" i="11"/>
  <c r="AG30" i="9"/>
  <c r="AG30" i="10" s="1"/>
  <c r="AG30" i="11"/>
  <c r="AG30" i="31"/>
  <c r="B30" i="9"/>
  <c r="B30" i="10" s="1"/>
  <c r="B30" i="11"/>
  <c r="B30" i="31"/>
  <c r="C31" i="9"/>
  <c r="C31" i="10" s="1"/>
  <c r="C31" i="11"/>
  <c r="M30" i="9"/>
  <c r="M30" i="10" s="1"/>
  <c r="M30" i="31"/>
  <c r="M30" i="11"/>
  <c r="T32" i="12"/>
  <c r="T32" i="17"/>
  <c r="AM23" i="11"/>
  <c r="AM23" i="9"/>
  <c r="AM23" i="10" s="1"/>
  <c r="AM23" i="31"/>
  <c r="AM23" i="32" s="1"/>
  <c r="H26" i="9"/>
  <c r="H26" i="10" s="1"/>
  <c r="H26" i="11"/>
  <c r="H26" i="31"/>
  <c r="H26" i="32" s="1"/>
  <c r="B24" i="11"/>
  <c r="B24" i="9"/>
  <c r="B24" i="10" s="1"/>
  <c r="B24" i="31"/>
  <c r="B24" i="32" s="1"/>
  <c r="C26" i="9"/>
  <c r="C26" i="10" s="1"/>
  <c r="C26" i="11"/>
  <c r="C26" i="31"/>
  <c r="C26" i="32" s="1"/>
  <c r="AL23" i="11"/>
  <c r="AL23" i="9"/>
  <c r="AL23" i="10" s="1"/>
  <c r="AL23" i="31"/>
  <c r="AL23" i="32" s="1"/>
  <c r="F30" i="11"/>
  <c r="F30" i="9"/>
  <c r="F30" i="10" s="1"/>
  <c r="F30" i="31"/>
  <c r="AM30" i="31"/>
  <c r="AM30" i="9"/>
  <c r="AM30" i="10" s="1"/>
  <c r="AM30" i="11"/>
  <c r="H30" i="9"/>
  <c r="H30" i="10" s="1"/>
  <c r="H30" i="11"/>
  <c r="H30" i="31"/>
  <c r="AO30" i="31"/>
  <c r="AO30" i="9"/>
  <c r="AO30" i="10" s="1"/>
  <c r="AO30" i="11"/>
  <c r="J30" i="9"/>
  <c r="J30" i="10" s="1"/>
  <c r="J30" i="31"/>
  <c r="J30" i="11"/>
  <c r="K31" i="9"/>
  <c r="K31" i="10" s="1"/>
  <c r="K31" i="11"/>
  <c r="U30" i="9"/>
  <c r="U30" i="10" s="1"/>
  <c r="U30" i="31"/>
  <c r="U30" i="11"/>
  <c r="AB30" i="9"/>
  <c r="AB30" i="10" s="1"/>
  <c r="AB30" i="31"/>
  <c r="AB30" i="11"/>
  <c r="G24" i="9"/>
  <c r="G24" i="10" s="1"/>
  <c r="G24" i="31"/>
  <c r="G24" i="32" s="1"/>
  <c r="G24" i="11"/>
  <c r="P26" i="9"/>
  <c r="P26" i="10" s="1"/>
  <c r="P26" i="11"/>
  <c r="P26" i="31"/>
  <c r="P26" i="32" s="1"/>
  <c r="J24" i="11"/>
  <c r="J24" i="9"/>
  <c r="J24" i="10" s="1"/>
  <c r="J24" i="31"/>
  <c r="J24" i="32" s="1"/>
  <c r="K26" i="9"/>
  <c r="K26" i="10" s="1"/>
  <c r="K26" i="11"/>
  <c r="K26" i="31"/>
  <c r="K26" i="32" s="1"/>
  <c r="F24" i="9"/>
  <c r="F24" i="10" s="1"/>
  <c r="F24" i="11"/>
  <c r="F24" i="31"/>
  <c r="F24" i="32" s="1"/>
  <c r="N30" i="9"/>
  <c r="N30" i="10" s="1"/>
  <c r="N30" i="11"/>
  <c r="N30" i="31"/>
  <c r="G31" i="9"/>
  <c r="G31" i="10" s="1"/>
  <c r="G31" i="11"/>
  <c r="P30" i="9"/>
  <c r="P30" i="10" s="1"/>
  <c r="P30" i="11"/>
  <c r="P30" i="31"/>
  <c r="I31" i="9"/>
  <c r="I31" i="10" s="1"/>
  <c r="I31" i="11"/>
  <c r="R30" i="9"/>
  <c r="R30" i="10" s="1"/>
  <c r="R30" i="31"/>
  <c r="R30" i="11"/>
  <c r="S31" i="9"/>
  <c r="S31" i="10" s="1"/>
  <c r="S31" i="11"/>
  <c r="M32" i="12"/>
  <c r="M32" i="17"/>
  <c r="L32" i="12"/>
  <c r="L32" i="17"/>
  <c r="P23" i="11"/>
  <c r="P23" i="31"/>
  <c r="P23" i="32" s="1"/>
  <c r="P23" i="9"/>
  <c r="P23" i="10" s="1"/>
  <c r="Y25" i="11"/>
  <c r="Y25" i="9"/>
  <c r="Y25" i="10" s="1"/>
  <c r="Y25" i="31"/>
  <c r="Y25" i="32" s="1"/>
  <c r="K23" i="9"/>
  <c r="K23" i="10" s="1"/>
  <c r="K23" i="11"/>
  <c r="K23" i="31"/>
  <c r="K23" i="32" s="1"/>
  <c r="L25" i="9"/>
  <c r="L25" i="10" s="1"/>
  <c r="L25" i="11"/>
  <c r="L25" i="31"/>
  <c r="L25" i="32" s="1"/>
  <c r="N27" i="11"/>
  <c r="N27" i="9"/>
  <c r="N27" i="10" s="1"/>
  <c r="N27" i="31"/>
  <c r="N27" i="32" s="1"/>
  <c r="G28" i="11"/>
  <c r="G28" i="9"/>
  <c r="G28" i="10" s="1"/>
  <c r="G28" i="31"/>
  <c r="G28" i="32" s="1"/>
  <c r="P27" i="9"/>
  <c r="P27" i="10" s="1"/>
  <c r="P27" i="11"/>
  <c r="P27" i="31"/>
  <c r="P27" i="32" s="1"/>
  <c r="I28" i="9"/>
  <c r="I28" i="10" s="1"/>
  <c r="I28" i="11"/>
  <c r="I28" i="31"/>
  <c r="I28" i="32" s="1"/>
  <c r="R27" i="9"/>
  <c r="R27" i="10" s="1"/>
  <c r="R27" i="11"/>
  <c r="R27" i="31"/>
  <c r="R27" i="32" s="1"/>
  <c r="M24" i="11"/>
  <c r="M24" i="9"/>
  <c r="M24" i="10" s="1"/>
  <c r="M24" i="31"/>
  <c r="M24" i="32" s="1"/>
  <c r="AC27" i="9"/>
  <c r="AC27" i="10" s="1"/>
  <c r="AC27" i="11"/>
  <c r="AC27" i="31"/>
  <c r="AC27" i="32" s="1"/>
  <c r="T28" i="9"/>
  <c r="T28" i="10" s="1"/>
  <c r="T28" i="11"/>
  <c r="T28" i="31"/>
  <c r="T28" i="32" s="1"/>
  <c r="T31" i="9"/>
  <c r="T31" i="10" s="1"/>
  <c r="T31" i="11"/>
  <c r="H25" i="31"/>
  <c r="H25" i="32" s="1"/>
  <c r="H25" i="9"/>
  <c r="H25" i="10" s="1"/>
  <c r="H25" i="11"/>
  <c r="B23" i="9"/>
  <c r="B23" i="10" s="1"/>
  <c r="B23" i="11"/>
  <c r="B23" i="31"/>
  <c r="B23" i="32" s="1"/>
  <c r="C25" i="9"/>
  <c r="C25" i="10" s="1"/>
  <c r="C25" i="31"/>
  <c r="C25" i="32" s="1"/>
  <c r="C25" i="11"/>
  <c r="D27" i="9"/>
  <c r="D27" i="10" s="1"/>
  <c r="D27" i="31"/>
  <c r="D27" i="32" s="1"/>
  <c r="D27" i="11"/>
  <c r="F29" i="11"/>
  <c r="F29" i="31"/>
  <c r="F29" i="32" s="1"/>
  <c r="F29" i="9"/>
  <c r="F29" i="10" s="1"/>
  <c r="O28" i="11"/>
  <c r="O28" i="9"/>
  <c r="O28" i="10" s="1"/>
  <c r="O28" i="31"/>
  <c r="O28" i="32" s="1"/>
  <c r="H29" i="9"/>
  <c r="H29" i="10" s="1"/>
  <c r="H29" i="11"/>
  <c r="H29" i="31"/>
  <c r="H29" i="32" s="1"/>
  <c r="Q28" i="9"/>
  <c r="Q28" i="10" s="1"/>
  <c r="Q28" i="31"/>
  <c r="Q28" i="32" s="1"/>
  <c r="Q28" i="11"/>
  <c r="J29" i="9"/>
  <c r="J29" i="10" s="1"/>
  <c r="J29" i="11"/>
  <c r="J29" i="31"/>
  <c r="J29" i="32" s="1"/>
  <c r="AA28" i="31"/>
  <c r="AA28" i="32" s="1"/>
  <c r="AA28" i="11"/>
  <c r="AA28" i="9"/>
  <c r="AA28" i="10" s="1"/>
  <c r="U29" i="9"/>
  <c r="U29" i="10" s="1"/>
  <c r="U29" i="31"/>
  <c r="U29" i="32" s="1"/>
  <c r="U29" i="11"/>
  <c r="AJ31" i="9"/>
  <c r="AJ31" i="10" s="1"/>
  <c r="AJ31" i="11"/>
  <c r="AF23" i="31"/>
  <c r="AF23" i="32" s="1"/>
  <c r="AF23" i="11"/>
  <c r="AF23" i="9"/>
  <c r="AF23" i="10" s="1"/>
  <c r="AO25" i="9"/>
  <c r="AO25" i="10" s="1"/>
  <c r="AO25" i="11"/>
  <c r="AO25" i="31"/>
  <c r="AO25" i="32" s="1"/>
  <c r="AA23" i="31"/>
  <c r="AA23" i="32" s="1"/>
  <c r="AA23" i="9"/>
  <c r="AA23" i="10" s="1"/>
  <c r="AA23" i="11"/>
  <c r="AB25" i="9"/>
  <c r="AB25" i="10" s="1"/>
  <c r="AB25" i="11"/>
  <c r="AB25" i="31"/>
  <c r="AB25" i="32" s="1"/>
  <c r="AD27" i="9"/>
  <c r="AD27" i="10" s="1"/>
  <c r="AD27" i="11"/>
  <c r="AD27" i="31"/>
  <c r="AD27" i="32" s="1"/>
  <c r="E25" i="11"/>
  <c r="E25" i="31"/>
  <c r="E25" i="32" s="1"/>
  <c r="E25" i="9"/>
  <c r="E25" i="10" s="1"/>
  <c r="AF27" i="9"/>
  <c r="AF27" i="10" s="1"/>
  <c r="AF27" i="11"/>
  <c r="AF27" i="31"/>
  <c r="AF27" i="32" s="1"/>
  <c r="U25" i="11"/>
  <c r="U25" i="9"/>
  <c r="U25" i="10" s="1"/>
  <c r="U25" i="31"/>
  <c r="U25" i="32" s="1"/>
  <c r="AH27" i="9"/>
  <c r="AH27" i="10" s="1"/>
  <c r="AH27" i="31"/>
  <c r="AH27" i="32" s="1"/>
  <c r="AH27" i="11"/>
  <c r="F27" i="11"/>
  <c r="F27" i="9"/>
  <c r="F27" i="10" s="1"/>
  <c r="F27" i="31"/>
  <c r="F27" i="32" s="1"/>
  <c r="E28" i="9"/>
  <c r="E28" i="10" s="1"/>
  <c r="E28" i="31"/>
  <c r="E28" i="32" s="1"/>
  <c r="E28" i="11"/>
  <c r="AB31" i="9"/>
  <c r="AB31" i="10" s="1"/>
  <c r="AB31" i="11"/>
  <c r="O23" i="11"/>
  <c r="O23" i="9"/>
  <c r="O23" i="10" s="1"/>
  <c r="O23" i="31"/>
  <c r="O23" i="32" s="1"/>
  <c r="X25" i="9"/>
  <c r="X25" i="10" s="1"/>
  <c r="X25" i="11"/>
  <c r="X25" i="31"/>
  <c r="X25" i="32" s="1"/>
  <c r="R23" i="11"/>
  <c r="R23" i="9"/>
  <c r="R23" i="10" s="1"/>
  <c r="R23" i="31"/>
  <c r="R23" i="32" s="1"/>
  <c r="S25" i="9"/>
  <c r="S25" i="10" s="1"/>
  <c r="S25" i="31"/>
  <c r="S25" i="32" s="1"/>
  <c r="S25" i="11"/>
  <c r="N23" i="9"/>
  <c r="N23" i="10" s="1"/>
  <c r="N23" i="11"/>
  <c r="N23" i="31"/>
  <c r="N23" i="32" s="1"/>
  <c r="V29" i="9"/>
  <c r="V29" i="10" s="1"/>
  <c r="V29" i="11"/>
  <c r="V29" i="31"/>
  <c r="V29" i="32" s="1"/>
  <c r="AE28" i="11"/>
  <c r="AE28" i="9"/>
  <c r="AE28" i="10" s="1"/>
  <c r="AE28" i="31"/>
  <c r="AE28" i="32" s="1"/>
  <c r="X29" i="9"/>
  <c r="X29" i="10" s="1"/>
  <c r="X29" i="11"/>
  <c r="X29" i="31"/>
  <c r="X29" i="32" s="1"/>
  <c r="AG28" i="9"/>
  <c r="AG28" i="10" s="1"/>
  <c r="AG28" i="11"/>
  <c r="AG28" i="31"/>
  <c r="AG28" i="32" s="1"/>
  <c r="Z29" i="9"/>
  <c r="Z29" i="10" s="1"/>
  <c r="Z29" i="31"/>
  <c r="Z29" i="32" s="1"/>
  <c r="Z29" i="11"/>
  <c r="C29" i="31"/>
  <c r="C29" i="32" s="1"/>
  <c r="C29" i="9"/>
  <c r="C29" i="10" s="1"/>
  <c r="C29" i="11"/>
  <c r="M28" i="9"/>
  <c r="M28" i="10" s="1"/>
  <c r="M28" i="31"/>
  <c r="M28" i="32" s="1"/>
  <c r="M28" i="11"/>
  <c r="AB32" i="12"/>
  <c r="AB32" i="17"/>
  <c r="W23" i="9"/>
  <c r="W23" i="10" s="1"/>
  <c r="W23" i="31"/>
  <c r="W23" i="32" s="1"/>
  <c r="W23" i="11"/>
  <c r="AF25" i="31"/>
  <c r="AF25" i="32" s="1"/>
  <c r="AF25" i="11"/>
  <c r="AF25" i="9"/>
  <c r="AF25" i="10" s="1"/>
  <c r="Z23" i="11"/>
  <c r="Z23" i="9"/>
  <c r="Z23" i="10" s="1"/>
  <c r="Z23" i="31"/>
  <c r="Z23" i="32" s="1"/>
  <c r="AA25" i="9"/>
  <c r="AA25" i="10" s="1"/>
  <c r="AA25" i="11"/>
  <c r="AA25" i="31"/>
  <c r="AA25" i="32" s="1"/>
  <c r="V23" i="9"/>
  <c r="V23" i="10" s="1"/>
  <c r="V23" i="31"/>
  <c r="V23" i="32" s="1"/>
  <c r="V23" i="11"/>
  <c r="AD29" i="9"/>
  <c r="AD29" i="10" s="1"/>
  <c r="AD29" i="11"/>
  <c r="AD29" i="31"/>
  <c r="AD29" i="32" s="1"/>
  <c r="AM28" i="11"/>
  <c r="AM28" i="9"/>
  <c r="AM28" i="10" s="1"/>
  <c r="AM28" i="31"/>
  <c r="AM28" i="32" s="1"/>
  <c r="AF29" i="9"/>
  <c r="AF29" i="10" s="1"/>
  <c r="AF29" i="11"/>
  <c r="AF29" i="31"/>
  <c r="AF29" i="32" s="1"/>
  <c r="AO28" i="9"/>
  <c r="AO28" i="10" s="1"/>
  <c r="AO28" i="11"/>
  <c r="AO28" i="31"/>
  <c r="AO28" i="32" s="1"/>
  <c r="AH29" i="9"/>
  <c r="AH29" i="10" s="1"/>
  <c r="AH29" i="11"/>
  <c r="AH29" i="31"/>
  <c r="AH29" i="32" s="1"/>
  <c r="AI30" i="31"/>
  <c r="AI30" i="11"/>
  <c r="AI30" i="9"/>
  <c r="AI30" i="10" s="1"/>
  <c r="E30" i="9"/>
  <c r="E30" i="10" s="1"/>
  <c r="E30" i="11"/>
  <c r="E30" i="31"/>
  <c r="D28" i="9"/>
  <c r="D28" i="10" s="1"/>
  <c r="D28" i="31"/>
  <c r="D28" i="32" s="1"/>
  <c r="D28" i="11"/>
  <c r="O25" i="11"/>
  <c r="O25" i="9"/>
  <c r="O25" i="10" s="1"/>
  <c r="O25" i="31"/>
  <c r="O25" i="32" s="1"/>
  <c r="Q23" i="11"/>
  <c r="Q23" i="9"/>
  <c r="Q23" i="10" s="1"/>
  <c r="Q23" i="31"/>
  <c r="Q23" i="32" s="1"/>
  <c r="R25" i="9"/>
  <c r="R25" i="10" s="1"/>
  <c r="R25" i="31"/>
  <c r="R25" i="32" s="1"/>
  <c r="R25" i="11"/>
  <c r="D23" i="9"/>
  <c r="D23" i="10" s="1"/>
  <c r="D23" i="11"/>
  <c r="D23" i="31"/>
  <c r="D23" i="32" s="1"/>
  <c r="N25" i="11"/>
  <c r="N25" i="9"/>
  <c r="N25" i="10" s="1"/>
  <c r="N25" i="31"/>
  <c r="N25" i="32" s="1"/>
  <c r="V31" i="9"/>
  <c r="V31" i="10" s="1"/>
  <c r="V31" i="11"/>
  <c r="O32" i="12"/>
  <c r="O32" i="17"/>
  <c r="X31" i="11"/>
  <c r="X31" i="9"/>
  <c r="X31" i="10" s="1"/>
  <c r="Q32" i="12"/>
  <c r="Q32" i="17"/>
  <c r="Z31" i="9"/>
  <c r="Z31" i="10" s="1"/>
  <c r="Z31" i="11"/>
  <c r="AA32" i="12"/>
  <c r="AA32" i="17"/>
  <c r="AK31" i="9"/>
  <c r="AK31" i="10" s="1"/>
  <c r="AK31" i="11"/>
  <c r="AB29" i="9"/>
  <c r="AB29" i="10" s="1"/>
  <c r="AB29" i="31"/>
  <c r="AB29" i="32" s="1"/>
  <c r="AB29" i="11"/>
  <c r="W25" i="11"/>
  <c r="W25" i="9"/>
  <c r="W25" i="10" s="1"/>
  <c r="W25" i="31"/>
  <c r="W25" i="32" s="1"/>
  <c r="Y23" i="11"/>
  <c r="Y23" i="9"/>
  <c r="Y23" i="10" s="1"/>
  <c r="Y23" i="31"/>
  <c r="Y23" i="32" s="1"/>
  <c r="Z25" i="9"/>
  <c r="Z25" i="10" s="1"/>
  <c r="Z25" i="11"/>
  <c r="Z25" i="31"/>
  <c r="Z25" i="32" s="1"/>
  <c r="L23" i="11"/>
  <c r="L23" i="31"/>
  <c r="L23" i="32" s="1"/>
  <c r="L23" i="9"/>
  <c r="L23" i="10" s="1"/>
  <c r="V25" i="11"/>
  <c r="V25" i="9"/>
  <c r="V25" i="10" s="1"/>
  <c r="V25" i="31"/>
  <c r="V25" i="32" s="1"/>
  <c r="AD31" i="9"/>
  <c r="AD31" i="10" s="1"/>
  <c r="AD31" i="11"/>
  <c r="W32" i="12"/>
  <c r="W32" i="17"/>
  <c r="AF31" i="9"/>
  <c r="AF31" i="10" s="1"/>
  <c r="AF31" i="11"/>
  <c r="Y32" i="12"/>
  <c r="Y32" i="17"/>
  <c r="AH31" i="9"/>
  <c r="AH31" i="10" s="1"/>
  <c r="AH31" i="11"/>
  <c r="AI32" i="12"/>
  <c r="AI32" i="17"/>
  <c r="E32" i="12"/>
  <c r="E32" i="17"/>
  <c r="L28" i="9"/>
  <c r="L28" i="10" s="1"/>
  <c r="L28" i="11"/>
  <c r="L28" i="31"/>
  <c r="L28" i="32" s="1"/>
  <c r="AE25" i="11"/>
  <c r="AE25" i="9"/>
  <c r="AE25" i="10" s="1"/>
  <c r="AE25" i="31"/>
  <c r="AE25" i="32" s="1"/>
  <c r="AG23" i="9"/>
  <c r="AG23" i="10" s="1"/>
  <c r="AG23" i="11"/>
  <c r="AG23" i="31"/>
  <c r="AG23" i="32" s="1"/>
  <c r="AH25" i="9"/>
  <c r="AH25" i="10" s="1"/>
  <c r="AH25" i="11"/>
  <c r="AH25" i="31"/>
  <c r="AH25" i="32" s="1"/>
  <c r="T23" i="9"/>
  <c r="T23" i="10" s="1"/>
  <c r="T23" i="31"/>
  <c r="T23" i="32" s="1"/>
  <c r="T23" i="11"/>
  <c r="AD25" i="11"/>
  <c r="AD25" i="9"/>
  <c r="AD25" i="10" s="1"/>
  <c r="AD25" i="31"/>
  <c r="AD25" i="32" s="1"/>
  <c r="AL31" i="9"/>
  <c r="AL31" i="10" s="1"/>
  <c r="AL31" i="11"/>
  <c r="AE32" i="12"/>
  <c r="AE32" i="17"/>
  <c r="AN31" i="9"/>
  <c r="AN31" i="10" s="1"/>
  <c r="AN31" i="11"/>
  <c r="AG32" i="12"/>
  <c r="AG32" i="17"/>
  <c r="B32" i="12"/>
  <c r="B32" i="17"/>
  <c r="U27" i="9"/>
  <c r="U27" i="10" s="1"/>
  <c r="U27" i="11"/>
  <c r="U27" i="31"/>
  <c r="U27" i="32" s="1"/>
  <c r="U24" i="9"/>
  <c r="U24" i="10" s="1"/>
  <c r="U24" i="11"/>
  <c r="U24" i="31"/>
  <c r="U24" i="32" s="1"/>
  <c r="AJ29" i="9"/>
  <c r="AJ29" i="10" s="1"/>
  <c r="AJ29" i="31"/>
  <c r="AJ29" i="32" s="1"/>
  <c r="AJ29" i="11"/>
  <c r="AN24" i="31"/>
  <c r="AN24" i="32" s="1"/>
  <c r="AN24" i="9"/>
  <c r="AN24" i="10" s="1"/>
  <c r="AN24" i="11"/>
  <c r="I27" i="9"/>
  <c r="I27" i="10" s="1"/>
  <c r="I27" i="11"/>
  <c r="I27" i="31"/>
  <c r="I27" i="32" s="1"/>
  <c r="AI24" i="31"/>
  <c r="AI24" i="32" s="1"/>
  <c r="AI24" i="9"/>
  <c r="AI24" i="10" s="1"/>
  <c r="AI24" i="11"/>
  <c r="AJ26" i="9"/>
  <c r="AJ26" i="10" s="1"/>
  <c r="AJ26" i="11"/>
  <c r="AJ26" i="31"/>
  <c r="AJ26" i="32" s="1"/>
  <c r="AL28" i="11"/>
  <c r="AL28" i="31"/>
  <c r="AL28" i="32" s="1"/>
  <c r="AL28" i="9"/>
  <c r="AL28" i="10" s="1"/>
  <c r="AE29" i="9"/>
  <c r="AE29" i="10" s="1"/>
  <c r="AE29" i="11"/>
  <c r="AE29" i="31"/>
  <c r="AE29" i="32" s="1"/>
  <c r="AN28" i="31"/>
  <c r="AN28" i="32" s="1"/>
  <c r="AN28" i="9"/>
  <c r="AN28" i="10" s="1"/>
  <c r="AN28" i="11"/>
  <c r="AG29" i="9"/>
  <c r="AG29" i="10" s="1"/>
  <c r="AG29" i="11"/>
  <c r="AG29" i="31"/>
  <c r="AG29" i="32" s="1"/>
  <c r="B29" i="9"/>
  <c r="B29" i="10" s="1"/>
  <c r="B29" i="11"/>
  <c r="B29" i="31"/>
  <c r="B29" i="32" s="1"/>
  <c r="S28" i="31"/>
  <c r="S28" i="32" s="1"/>
  <c r="S28" i="11"/>
  <c r="S28" i="9"/>
  <c r="S28" i="10" s="1"/>
  <c r="M29" i="9"/>
  <c r="M29" i="10" s="1"/>
  <c r="M29" i="11"/>
  <c r="M29" i="31"/>
  <c r="M29" i="32" s="1"/>
  <c r="L30" i="9"/>
  <c r="L30" i="10" s="1"/>
  <c r="L30" i="31"/>
  <c r="L30" i="11"/>
  <c r="R10" i="17"/>
  <c r="R10" i="16" s="1"/>
  <c r="R11" i="26" s="1"/>
  <c r="S13" i="12"/>
  <c r="Z18" i="31"/>
  <c r="Z18" i="32" s="1"/>
  <c r="Z18" i="11"/>
  <c r="Z18" i="12" s="1"/>
  <c r="Z20" i="16"/>
  <c r="Z20" i="14" s="1"/>
  <c r="H3" i="9"/>
  <c r="H3" i="10" s="1"/>
  <c r="AO19" i="16"/>
  <c r="AM14" i="16"/>
  <c r="C18" i="12"/>
  <c r="AN13" i="17"/>
  <c r="AN13" i="16" s="1"/>
  <c r="AN13" i="14" s="1"/>
  <c r="AM22" i="11"/>
  <c r="AM22" i="12" s="1"/>
  <c r="AM22" i="31"/>
  <c r="AM22" i="32" s="1"/>
  <c r="L8" i="16"/>
  <c r="R20" i="31"/>
  <c r="R20" i="32" s="1"/>
  <c r="X17" i="16"/>
  <c r="X17" i="14" s="1"/>
  <c r="AD5" i="11"/>
  <c r="AD5" i="17" s="1"/>
  <c r="AD5" i="16" s="1"/>
  <c r="B8" i="16"/>
  <c r="B8" i="14" s="1"/>
  <c r="Q20" i="17"/>
  <c r="Q20" i="16" s="1"/>
  <c r="AJ3" i="12"/>
  <c r="R20" i="11"/>
  <c r="R20" i="12" s="1"/>
  <c r="AD8" i="11"/>
  <c r="AD8" i="12" s="1"/>
  <c r="AD8" i="9"/>
  <c r="AD8" i="10" s="1"/>
  <c r="AE4" i="17"/>
  <c r="AE4" i="16" s="1"/>
  <c r="AE4" i="14" s="1"/>
  <c r="P4" i="11"/>
  <c r="P4" i="12" s="1"/>
  <c r="P4" i="9"/>
  <c r="P4" i="10" s="1"/>
  <c r="AE16" i="17"/>
  <c r="AE16" i="16" s="1"/>
  <c r="AE17" i="26" s="1"/>
  <c r="I9" i="17"/>
  <c r="I9" i="16" s="1"/>
  <c r="I9" i="14" s="1"/>
  <c r="G10" i="17"/>
  <c r="G10" i="16" s="1"/>
  <c r="G11" i="26" s="1"/>
  <c r="AE19" i="17"/>
  <c r="AE19" i="16" s="1"/>
  <c r="AE19" i="14" s="1"/>
  <c r="N14" i="12"/>
  <c r="G13" i="11"/>
  <c r="G13" i="12" s="1"/>
  <c r="B15" i="17"/>
  <c r="B15" i="16" s="1"/>
  <c r="G13" i="9"/>
  <c r="G13" i="10" s="1"/>
  <c r="Q6" i="17"/>
  <c r="Q6" i="16" s="1"/>
  <c r="Q6" i="14" s="1"/>
  <c r="K16" i="17"/>
  <c r="K16" i="16" s="1"/>
  <c r="K16" i="14" s="1"/>
  <c r="D9" i="12"/>
  <c r="S3" i="12"/>
  <c r="S4" i="12"/>
  <c r="Q8" i="17"/>
  <c r="Q8" i="16" s="1"/>
  <c r="Q9" i="26" s="1"/>
  <c r="K18" i="31"/>
  <c r="K18" i="32" s="1"/>
  <c r="K18" i="11"/>
  <c r="K18" i="17" s="1"/>
  <c r="K18" i="16" s="1"/>
  <c r="AN19" i="16"/>
  <c r="AN20" i="26" s="1"/>
  <c r="G14" i="16"/>
  <c r="G14" i="14" s="1"/>
  <c r="AF10" i="12"/>
  <c r="I17" i="12"/>
  <c r="K22" i="17"/>
  <c r="K22" i="16" s="1"/>
  <c r="W7" i="17"/>
  <c r="W7" i="16" s="1"/>
  <c r="W7" i="14" s="1"/>
  <c r="AA15" i="9"/>
  <c r="AA15" i="10" s="1"/>
  <c r="AF10" i="31"/>
  <c r="AF10" i="32" s="1"/>
  <c r="AF10" i="9"/>
  <c r="AF10" i="10" s="1"/>
  <c r="AA15" i="11"/>
  <c r="AA15" i="12" s="1"/>
  <c r="AF14" i="12"/>
  <c r="AH18" i="9"/>
  <c r="AH18" i="10" s="1"/>
  <c r="T14" i="11"/>
  <c r="T14" i="17" s="1"/>
  <c r="T14" i="16" s="1"/>
  <c r="AM16" i="17"/>
  <c r="AM16" i="16" s="1"/>
  <c r="AM17" i="26" s="1"/>
  <c r="AG15" i="17"/>
  <c r="AG15" i="16" s="1"/>
  <c r="AI4" i="17"/>
  <c r="AI4" i="16" s="1"/>
  <c r="AF14" i="31"/>
  <c r="AF14" i="32" s="1"/>
  <c r="N8" i="12"/>
  <c r="AO6" i="12"/>
  <c r="T14" i="31"/>
  <c r="T14" i="32" s="1"/>
  <c r="Q14" i="17"/>
  <c r="Q14" i="16" s="1"/>
  <c r="Q14" i="14" s="1"/>
  <c r="AH7" i="17"/>
  <c r="AH7" i="16" s="1"/>
  <c r="AH7" i="14" s="1"/>
  <c r="H20" i="12"/>
  <c r="R19" i="12"/>
  <c r="L22" i="31"/>
  <c r="L22" i="32" s="1"/>
  <c r="X19" i="11"/>
  <c r="X19" i="12" s="1"/>
  <c r="AF14" i="9"/>
  <c r="AF14" i="10" s="1"/>
  <c r="X19" i="9"/>
  <c r="X19" i="10" s="1"/>
  <c r="F3" i="16"/>
  <c r="AH10" i="16"/>
  <c r="AH4" i="31"/>
  <c r="AH4" i="32" s="1"/>
  <c r="V12" i="12"/>
  <c r="AE6" i="17"/>
  <c r="AE6" i="16" s="1"/>
  <c r="AE6" i="14" s="1"/>
  <c r="AN18" i="9"/>
  <c r="AN18" i="10" s="1"/>
  <c r="AH4" i="12"/>
  <c r="D7" i="17"/>
  <c r="D7" i="16" s="1"/>
  <c r="D8" i="26" s="1"/>
  <c r="AK10" i="17"/>
  <c r="AK10" i="16" s="1"/>
  <c r="AK10" i="14" s="1"/>
  <c r="AK7" i="16"/>
  <c r="AK8" i="26" s="1"/>
  <c r="AN18" i="12"/>
  <c r="AN7" i="31"/>
  <c r="AN7" i="32" s="1"/>
  <c r="O16" i="31"/>
  <c r="O16" i="32" s="1"/>
  <c r="V12" i="31"/>
  <c r="V12" i="32" s="1"/>
  <c r="J11" i="16"/>
  <c r="AD15" i="17"/>
  <c r="AD15" i="16" s="1"/>
  <c r="AD16" i="26" s="1"/>
  <c r="AN16" i="17"/>
  <c r="AN16" i="16" s="1"/>
  <c r="AH4" i="9"/>
  <c r="AH4" i="10" s="1"/>
  <c r="O16" i="11"/>
  <c r="O16" i="17" s="1"/>
  <c r="O16" i="16" s="1"/>
  <c r="X20" i="11"/>
  <c r="X20" i="12" s="1"/>
  <c r="J18" i="16"/>
  <c r="J18" i="14" s="1"/>
  <c r="X20" i="9"/>
  <c r="X20" i="10" s="1"/>
  <c r="M18" i="12"/>
  <c r="B12" i="11"/>
  <c r="B12" i="17" s="1"/>
  <c r="B12" i="16" s="1"/>
  <c r="AN16" i="9"/>
  <c r="AN16" i="10" s="1"/>
  <c r="B12" i="31"/>
  <c r="B12" i="32" s="1"/>
  <c r="AN16" i="31"/>
  <c r="AN16" i="32" s="1"/>
  <c r="AO4" i="31"/>
  <c r="AO4" i="32" s="1"/>
  <c r="AN7" i="11"/>
  <c r="AN7" i="17" s="1"/>
  <c r="AN7" i="16" s="1"/>
  <c r="AN18" i="31"/>
  <c r="AN18" i="32" s="1"/>
  <c r="V12" i="9"/>
  <c r="V12" i="10" s="1"/>
  <c r="J3" i="16"/>
  <c r="AA19" i="16"/>
  <c r="L15" i="16"/>
  <c r="L15" i="14" s="1"/>
  <c r="AK6" i="17"/>
  <c r="AK6" i="16" s="1"/>
  <c r="AA19" i="12"/>
  <c r="AK6" i="31"/>
  <c r="AK6" i="32" s="1"/>
  <c r="AK6" i="9"/>
  <c r="AK6" i="10" s="1"/>
  <c r="V13" i="17"/>
  <c r="V13" i="16" s="1"/>
  <c r="V14" i="26" s="1"/>
  <c r="Q20" i="9"/>
  <c r="Q20" i="10" s="1"/>
  <c r="Y8" i="9"/>
  <c r="Y8" i="10" s="1"/>
  <c r="B6" i="12"/>
  <c r="M20" i="17"/>
  <c r="M20" i="16" s="1"/>
  <c r="M21" i="26" s="1"/>
  <c r="C14" i="11"/>
  <c r="C14" i="12" s="1"/>
  <c r="Z9" i="31"/>
  <c r="Z9" i="32" s="1"/>
  <c r="Z9" i="9"/>
  <c r="Z9" i="10" s="1"/>
  <c r="AC3" i="12"/>
  <c r="I11" i="12"/>
  <c r="Z9" i="12"/>
  <c r="AM12" i="9"/>
  <c r="AM12" i="10" s="1"/>
  <c r="AJ12" i="16"/>
  <c r="AJ12" i="14" s="1"/>
  <c r="Y8" i="11"/>
  <c r="Y8" i="12" s="1"/>
  <c r="AE20" i="17"/>
  <c r="AE20" i="16" s="1"/>
  <c r="AE20" i="14" s="1"/>
  <c r="AN17" i="16"/>
  <c r="E5" i="12"/>
  <c r="O11" i="12"/>
  <c r="O20" i="17"/>
  <c r="O20" i="16" s="1"/>
  <c r="O20" i="14" s="1"/>
  <c r="AC17" i="11"/>
  <c r="AC17" i="12" s="1"/>
  <c r="AC4" i="9"/>
  <c r="AC4" i="10" s="1"/>
  <c r="AB18" i="31"/>
  <c r="AB18" i="32" s="1"/>
  <c r="Q20" i="31"/>
  <c r="Q20" i="32" s="1"/>
  <c r="E5" i="16"/>
  <c r="F15" i="17"/>
  <c r="F15" i="16" s="1"/>
  <c r="F15" i="14" s="1"/>
  <c r="AC4" i="11"/>
  <c r="AC4" i="17" s="1"/>
  <c r="AC4" i="16" s="1"/>
  <c r="K7" i="12"/>
  <c r="AC17" i="31"/>
  <c r="AC17" i="32" s="1"/>
  <c r="AD5" i="9"/>
  <c r="AD5" i="10" s="1"/>
  <c r="AB18" i="11"/>
  <c r="AB18" i="12" s="1"/>
  <c r="F10" i="31"/>
  <c r="F10" i="32" s="1"/>
  <c r="AJ20" i="12"/>
  <c r="F10" i="11"/>
  <c r="F10" i="12" s="1"/>
  <c r="U6" i="17"/>
  <c r="U6" i="16" s="1"/>
  <c r="U7" i="26" s="1"/>
  <c r="F18" i="16"/>
  <c r="F18" i="14" s="1"/>
  <c r="U4" i="9"/>
  <c r="U4" i="10" s="1"/>
  <c r="B18" i="12"/>
  <c r="V6" i="17"/>
  <c r="V6" i="16" s="1"/>
  <c r="AB19" i="16"/>
  <c r="AB20" i="26" s="1"/>
  <c r="AE15" i="11"/>
  <c r="AE15" i="12" s="1"/>
  <c r="J3" i="12"/>
  <c r="AE15" i="31"/>
  <c r="AE15" i="32" s="1"/>
  <c r="M18" i="16"/>
  <c r="AO19" i="12"/>
  <c r="Y20" i="16"/>
  <c r="AD20" i="17"/>
  <c r="AD20" i="16" s="1"/>
  <c r="AD20" i="14" s="1"/>
  <c r="P14" i="16"/>
  <c r="AJ14" i="12"/>
  <c r="V16" i="17"/>
  <c r="V16" i="16" s="1"/>
  <c r="C14" i="31"/>
  <c r="C14" i="32" s="1"/>
  <c r="AH10" i="12"/>
  <c r="O11" i="16"/>
  <c r="X18" i="16"/>
  <c r="X19" i="26" s="1"/>
  <c r="K15" i="16"/>
  <c r="K16" i="26" s="1"/>
  <c r="F22" i="31"/>
  <c r="F22" i="32" s="1"/>
  <c r="P14" i="12"/>
  <c r="AA3" i="12"/>
  <c r="D11" i="16"/>
  <c r="D11" i="14" s="1"/>
  <c r="G17" i="17"/>
  <c r="G17" i="16" s="1"/>
  <c r="G18" i="26" s="1"/>
  <c r="F22" i="9"/>
  <c r="F22" i="10" s="1"/>
  <c r="AL8" i="16"/>
  <c r="AL9" i="26" s="1"/>
  <c r="F3" i="12"/>
  <c r="P16" i="17"/>
  <c r="P16" i="16" s="1"/>
  <c r="P17" i="26" s="1"/>
  <c r="AB11" i="16"/>
  <c r="AB11" i="14" s="1"/>
  <c r="V16" i="9"/>
  <c r="V16" i="10" s="1"/>
  <c r="AO6" i="16"/>
  <c r="AK3" i="16"/>
  <c r="AK3" i="14" s="1"/>
  <c r="AM6" i="17"/>
  <c r="AM6" i="16" s="1"/>
  <c r="AM7" i="26" s="1"/>
  <c r="AJ9" i="12"/>
  <c r="J14" i="16"/>
  <c r="J14" i="14" s="1"/>
  <c r="AM12" i="11"/>
  <c r="AM12" i="12" s="1"/>
  <c r="W17" i="16"/>
  <c r="W18" i="26" s="1"/>
  <c r="F22" i="12"/>
  <c r="F11" i="17"/>
  <c r="F11" i="16" s="1"/>
  <c r="F11" i="14" s="1"/>
  <c r="N14" i="16"/>
  <c r="Q12" i="16"/>
  <c r="Q13" i="26" s="1"/>
  <c r="V16" i="31"/>
  <c r="V16" i="32" s="1"/>
  <c r="P18" i="16"/>
  <c r="P19" i="26" s="1"/>
  <c r="K17" i="11"/>
  <c r="K17" i="12" s="1"/>
  <c r="AJ3" i="16"/>
  <c r="K17" i="9"/>
  <c r="K17" i="10" s="1"/>
  <c r="S19" i="11"/>
  <c r="S19" i="17" s="1"/>
  <c r="S19" i="16" s="1"/>
  <c r="L17" i="16"/>
  <c r="L17" i="14" s="1"/>
  <c r="G11" i="9"/>
  <c r="G11" i="10" s="1"/>
  <c r="N12" i="17"/>
  <c r="N12" i="16" s="1"/>
  <c r="N13" i="26" s="1"/>
  <c r="E11" i="17"/>
  <c r="E11" i="16" s="1"/>
  <c r="E12" i="26" s="1"/>
  <c r="J11" i="12"/>
  <c r="AF9" i="16"/>
  <c r="AF9" i="14" s="1"/>
  <c r="G11" i="11"/>
  <c r="G11" i="12" s="1"/>
  <c r="L16" i="16"/>
  <c r="L16" i="14" s="1"/>
  <c r="S4" i="16"/>
  <c r="Y20" i="12"/>
  <c r="K22" i="31"/>
  <c r="K22" i="32" s="1"/>
  <c r="S19" i="9"/>
  <c r="S19" i="10" s="1"/>
  <c r="K22" i="9"/>
  <c r="K22" i="10" s="1"/>
  <c r="O10" i="17"/>
  <c r="O10" i="16" s="1"/>
  <c r="O11" i="26" s="1"/>
  <c r="AA13" i="16"/>
  <c r="AA14" i="26" s="1"/>
  <c r="Q22" i="31"/>
  <c r="Q22" i="32" s="1"/>
  <c r="M9" i="16"/>
  <c r="M9" i="14" s="1"/>
  <c r="R14" i="17"/>
  <c r="R14" i="16" s="1"/>
  <c r="AD14" i="16"/>
  <c r="AD15" i="26" s="1"/>
  <c r="L12" i="12"/>
  <c r="AC7" i="12"/>
  <c r="K11" i="17"/>
  <c r="K11" i="16" s="1"/>
  <c r="K11" i="14" s="1"/>
  <c r="X7" i="9"/>
  <c r="X7" i="10" s="1"/>
  <c r="V6" i="9"/>
  <c r="V6" i="10" s="1"/>
  <c r="N13" i="12"/>
  <c r="AC7" i="9"/>
  <c r="AC7" i="10" s="1"/>
  <c r="X7" i="11"/>
  <c r="X7" i="12" s="1"/>
  <c r="I11" i="16"/>
  <c r="R15" i="12"/>
  <c r="V9" i="17"/>
  <c r="V9" i="16" s="1"/>
  <c r="V9" i="14" s="1"/>
  <c r="Q22" i="11"/>
  <c r="Q22" i="12" s="1"/>
  <c r="AG22" i="12"/>
  <c r="D9" i="16"/>
  <c r="AG22" i="31"/>
  <c r="AG22" i="32" s="1"/>
  <c r="U16" i="16"/>
  <c r="U16" i="14" s="1"/>
  <c r="AG22" i="9"/>
  <c r="AG22" i="10" s="1"/>
  <c r="V6" i="31"/>
  <c r="V6" i="32" s="1"/>
  <c r="AC7" i="31"/>
  <c r="AC7" i="32" s="1"/>
  <c r="V4" i="12"/>
  <c r="L11" i="17"/>
  <c r="L11" i="16" s="1"/>
  <c r="L11" i="14" s="1"/>
  <c r="F12" i="17"/>
  <c r="F12" i="16" s="1"/>
  <c r="F12" i="14" s="1"/>
  <c r="N4" i="17"/>
  <c r="N4" i="16" s="1"/>
  <c r="AA11" i="17"/>
  <c r="AA11" i="16" s="1"/>
  <c r="AA11" i="14" s="1"/>
  <c r="Y11" i="17"/>
  <c r="Y11" i="16" s="1"/>
  <c r="J8" i="17"/>
  <c r="J8" i="16" s="1"/>
  <c r="J8" i="14" s="1"/>
  <c r="Q9" i="17"/>
  <c r="Q9" i="16" s="1"/>
  <c r="N4" i="31"/>
  <c r="N4" i="32" s="1"/>
  <c r="Q15" i="16"/>
  <c r="Q15" i="14" s="1"/>
  <c r="Y11" i="9"/>
  <c r="Y11" i="10" s="1"/>
  <c r="N4" i="9"/>
  <c r="N4" i="10" s="1"/>
  <c r="Y11" i="31"/>
  <c r="Y11" i="32" s="1"/>
  <c r="K7" i="16"/>
  <c r="V15" i="17"/>
  <c r="V15" i="16" s="1"/>
  <c r="V16" i="26" s="1"/>
  <c r="H8" i="31"/>
  <c r="H8" i="32" s="1"/>
  <c r="I17" i="16"/>
  <c r="H8" i="11"/>
  <c r="H8" i="12" s="1"/>
  <c r="I7" i="9"/>
  <c r="I7" i="10" s="1"/>
  <c r="AG5" i="17"/>
  <c r="AG5" i="16" s="1"/>
  <c r="AG5" i="14" s="1"/>
  <c r="AC3" i="16"/>
  <c r="I7" i="11"/>
  <c r="I7" i="17" s="1"/>
  <c r="I7" i="16" s="1"/>
  <c r="M12" i="16"/>
  <c r="M12" i="14" s="1"/>
  <c r="L22" i="9"/>
  <c r="L22" i="10" s="1"/>
  <c r="L22" i="12"/>
  <c r="AH18" i="11"/>
  <c r="AH18" i="12" s="1"/>
  <c r="AB15" i="17"/>
  <c r="AB15" i="16" s="1"/>
  <c r="AB15" i="14" s="1"/>
  <c r="M14" i="16"/>
  <c r="M15" i="26" s="1"/>
  <c r="I3" i="12"/>
  <c r="F14" i="12"/>
  <c r="I12" i="16"/>
  <c r="I13" i="26" s="1"/>
  <c r="N8" i="9"/>
  <c r="N8" i="10" s="1"/>
  <c r="AJ20" i="16"/>
  <c r="N8" i="31"/>
  <c r="N8" i="32" s="1"/>
  <c r="AB3" i="12"/>
  <c r="AB22" i="9"/>
  <c r="AB22" i="10" s="1"/>
  <c r="J9" i="9"/>
  <c r="J9" i="10" s="1"/>
  <c r="AM10" i="11"/>
  <c r="AM10" i="12" s="1"/>
  <c r="G8" i="16"/>
  <c r="G9" i="26" s="1"/>
  <c r="AL11" i="16"/>
  <c r="AL11" i="14" s="1"/>
  <c r="N9" i="12"/>
  <c r="AA16" i="12"/>
  <c r="AI11" i="12"/>
  <c r="X6" i="12"/>
  <c r="X11" i="9"/>
  <c r="X11" i="10" s="1"/>
  <c r="AB22" i="11"/>
  <c r="AB22" i="17" s="1"/>
  <c r="AB22" i="16" s="1"/>
  <c r="AA16" i="31"/>
  <c r="AA16" i="32" s="1"/>
  <c r="AB16" i="17"/>
  <c r="AB16" i="16" s="1"/>
  <c r="AB16" i="14" s="1"/>
  <c r="AG11" i="31"/>
  <c r="AG11" i="32" s="1"/>
  <c r="AA16" i="9"/>
  <c r="AA16" i="10" s="1"/>
  <c r="P12" i="31"/>
  <c r="P12" i="32" s="1"/>
  <c r="Q5" i="12"/>
  <c r="H12" i="12"/>
  <c r="D17" i="9"/>
  <c r="D17" i="10" s="1"/>
  <c r="AN20" i="16"/>
  <c r="AN20" i="14" s="1"/>
  <c r="J9" i="11"/>
  <c r="J9" i="17" s="1"/>
  <c r="J9" i="16" s="1"/>
  <c r="J4" i="11"/>
  <c r="J4" i="12" s="1"/>
  <c r="AM11" i="16"/>
  <c r="AK8" i="12"/>
  <c r="H7" i="12"/>
  <c r="AA9" i="16"/>
  <c r="AA9" i="12"/>
  <c r="AM4" i="16"/>
  <c r="AM5" i="26" s="1"/>
  <c r="L13" i="17"/>
  <c r="L13" i="16" s="1"/>
  <c r="L13" i="14" s="1"/>
  <c r="AH14" i="12"/>
  <c r="W19" i="17"/>
  <c r="W19" i="16" s="1"/>
  <c r="E12" i="16"/>
  <c r="E12" i="14" s="1"/>
  <c r="AJ6" i="16"/>
  <c r="AJ6" i="14" s="1"/>
  <c r="AJ5" i="17"/>
  <c r="AJ5" i="16" s="1"/>
  <c r="AJ6" i="26" s="1"/>
  <c r="AE9" i="16"/>
  <c r="AE10" i="26" s="1"/>
  <c r="R19" i="16"/>
  <c r="I14" i="12"/>
  <c r="G22" i="11"/>
  <c r="G22" i="17" s="1"/>
  <c r="G22" i="16" s="1"/>
  <c r="W19" i="9"/>
  <c r="W19" i="10" s="1"/>
  <c r="AH14" i="9"/>
  <c r="AH14" i="10" s="1"/>
  <c r="Z21" i="9"/>
  <c r="Z21" i="10" s="1"/>
  <c r="W13" i="17"/>
  <c r="W13" i="16" s="1"/>
  <c r="W13" i="14" s="1"/>
  <c r="H7" i="16"/>
  <c r="Z21" i="17"/>
  <c r="Z21" i="16" s="1"/>
  <c r="W21" i="11"/>
  <c r="W21" i="17" s="1"/>
  <c r="W21" i="16" s="1"/>
  <c r="W19" i="31"/>
  <c r="W19" i="32" s="1"/>
  <c r="X10" i="12"/>
  <c r="AG17" i="17"/>
  <c r="AG17" i="16" s="1"/>
  <c r="AG18" i="26" s="1"/>
  <c r="G6" i="12"/>
  <c r="Q16" i="12"/>
  <c r="J7" i="11"/>
  <c r="J7" i="12" s="1"/>
  <c r="AN4" i="16"/>
  <c r="AN5" i="26" s="1"/>
  <c r="G22" i="9"/>
  <c r="G22" i="10" s="1"/>
  <c r="Z21" i="31"/>
  <c r="Z21" i="32" s="1"/>
  <c r="V4" i="16"/>
  <c r="O5" i="17"/>
  <c r="O5" i="16" s="1"/>
  <c r="AH14" i="31"/>
  <c r="AH14" i="32" s="1"/>
  <c r="AB17" i="17"/>
  <c r="AB17" i="16" s="1"/>
  <c r="I14" i="16"/>
  <c r="Q17" i="17"/>
  <c r="Q17" i="16" s="1"/>
  <c r="Q17" i="14" s="1"/>
  <c r="V11" i="17"/>
  <c r="V11" i="16" s="1"/>
  <c r="O5" i="31"/>
  <c r="O5" i="32" s="1"/>
  <c r="P10" i="12"/>
  <c r="AF3" i="16"/>
  <c r="AF3" i="14" s="1"/>
  <c r="V11" i="9"/>
  <c r="V11" i="10" s="1"/>
  <c r="AB20" i="12"/>
  <c r="C10" i="12"/>
  <c r="V11" i="31"/>
  <c r="V11" i="32" s="1"/>
  <c r="O5" i="9"/>
  <c r="O5" i="10" s="1"/>
  <c r="W10" i="31"/>
  <c r="W10" i="32" s="1"/>
  <c r="AB17" i="9"/>
  <c r="AB17" i="10" s="1"/>
  <c r="AB17" i="31"/>
  <c r="AB17" i="32" s="1"/>
  <c r="S20" i="31"/>
  <c r="S20" i="32" s="1"/>
  <c r="D6" i="17"/>
  <c r="D6" i="16" s="1"/>
  <c r="D6" i="14" s="1"/>
  <c r="N11" i="12"/>
  <c r="S20" i="11"/>
  <c r="S20" i="12" s="1"/>
  <c r="W10" i="11"/>
  <c r="W10" i="17" s="1"/>
  <c r="W10" i="16" s="1"/>
  <c r="Z14" i="12"/>
  <c r="E6" i="17"/>
  <c r="E6" i="16" s="1"/>
  <c r="E6" i="14" s="1"/>
  <c r="AB20" i="16"/>
  <c r="I15" i="16"/>
  <c r="AC20" i="16"/>
  <c r="AC20" i="14" s="1"/>
  <c r="L12" i="16"/>
  <c r="AF13" i="12"/>
  <c r="AH20" i="31"/>
  <c r="AH20" i="32" s="1"/>
  <c r="U4" i="11"/>
  <c r="U4" i="17" s="1"/>
  <c r="U4" i="16" s="1"/>
  <c r="R5" i="16"/>
  <c r="P6" i="17"/>
  <c r="P6" i="16" s="1"/>
  <c r="P6" i="14" s="1"/>
  <c r="B6" i="16"/>
  <c r="O15" i="17"/>
  <c r="O15" i="16" s="1"/>
  <c r="O16" i="26" s="1"/>
  <c r="AH20" i="11"/>
  <c r="AH20" i="17" s="1"/>
  <c r="AH20" i="16" s="1"/>
  <c r="F13" i="31"/>
  <c r="F13" i="32" s="1"/>
  <c r="U17" i="9"/>
  <c r="U17" i="10" s="1"/>
  <c r="T8" i="17"/>
  <c r="T8" i="16" s="1"/>
  <c r="AG7" i="16"/>
  <c r="AG7" i="14" s="1"/>
  <c r="U17" i="17"/>
  <c r="U17" i="16" s="1"/>
  <c r="E8" i="17"/>
  <c r="E8" i="16" s="1"/>
  <c r="D12" i="12"/>
  <c r="O19" i="17"/>
  <c r="O19" i="16" s="1"/>
  <c r="O20" i="26" s="1"/>
  <c r="T8" i="31"/>
  <c r="T8" i="32" s="1"/>
  <c r="F13" i="11"/>
  <c r="F13" i="17" s="1"/>
  <c r="F13" i="16" s="1"/>
  <c r="T8" i="9"/>
  <c r="T8" i="10" s="1"/>
  <c r="R14" i="31"/>
  <c r="R14" i="32" s="1"/>
  <c r="AF13" i="9"/>
  <c r="AF13" i="10" s="1"/>
  <c r="R14" i="9"/>
  <c r="R14" i="10" s="1"/>
  <c r="AF13" i="31"/>
  <c r="AF13" i="32" s="1"/>
  <c r="U17" i="31"/>
  <c r="U17" i="32" s="1"/>
  <c r="V17" i="17"/>
  <c r="V17" i="16" s="1"/>
  <c r="V17" i="14" s="1"/>
  <c r="N3" i="31"/>
  <c r="N3" i="32" s="1"/>
  <c r="AO4" i="9"/>
  <c r="AO4" i="10" s="1"/>
  <c r="AE13" i="12"/>
  <c r="S9" i="11"/>
  <c r="S9" i="12" s="1"/>
  <c r="P10" i="16"/>
  <c r="N3" i="11"/>
  <c r="N3" i="17" s="1"/>
  <c r="N3" i="16" s="1"/>
  <c r="S9" i="9"/>
  <c r="S9" i="10" s="1"/>
  <c r="AA10" i="12"/>
  <c r="AO4" i="12"/>
  <c r="AK4" i="17"/>
  <c r="AK4" i="16" s="1"/>
  <c r="AK5" i="26" s="1"/>
  <c r="AJ9" i="16"/>
  <c r="F9" i="16"/>
  <c r="R5" i="12"/>
  <c r="O12" i="17"/>
  <c r="O12" i="16" s="1"/>
  <c r="O12" i="14" s="1"/>
  <c r="T16" i="16"/>
  <c r="T16" i="14" s="1"/>
  <c r="AB13" i="16"/>
  <c r="L19" i="17"/>
  <c r="L19" i="16" s="1"/>
  <c r="L19" i="14" s="1"/>
  <c r="C7" i="9"/>
  <c r="C7" i="10" s="1"/>
  <c r="I3" i="31"/>
  <c r="I3" i="32" s="1"/>
  <c r="AG19" i="16"/>
  <c r="T20" i="17"/>
  <c r="T20" i="16" s="1"/>
  <c r="T20" i="14" s="1"/>
  <c r="E3" i="16"/>
  <c r="E4" i="26" s="1"/>
  <c r="E19" i="31"/>
  <c r="E19" i="32" s="1"/>
  <c r="M19" i="12"/>
  <c r="V10" i="12"/>
  <c r="V11" i="26" s="1"/>
  <c r="F9" i="12"/>
  <c r="AB13" i="12"/>
  <c r="I3" i="9"/>
  <c r="I3" i="10" s="1"/>
  <c r="E19" i="11"/>
  <c r="E19" i="17" s="1"/>
  <c r="E19" i="16" s="1"/>
  <c r="AC11" i="11"/>
  <c r="AC11" i="12" s="1"/>
  <c r="AC11" i="9"/>
  <c r="AC11" i="10" s="1"/>
  <c r="Y15" i="16"/>
  <c r="Y15" i="14" s="1"/>
  <c r="X6" i="16"/>
  <c r="S18" i="16"/>
  <c r="G4" i="17"/>
  <c r="G4" i="16" s="1"/>
  <c r="G4" i="14" s="1"/>
  <c r="N19" i="16"/>
  <c r="Y5" i="16"/>
  <c r="Y5" i="14" s="1"/>
  <c r="AE13" i="16"/>
  <c r="N10" i="12"/>
  <c r="AL18" i="17"/>
  <c r="AL18" i="16" s="1"/>
  <c r="AL19" i="26" s="1"/>
  <c r="C18" i="16"/>
  <c r="AD13" i="17"/>
  <c r="AD13" i="16" s="1"/>
  <c r="AD13" i="14" s="1"/>
  <c r="AJ17" i="17"/>
  <c r="AJ17" i="16" s="1"/>
  <c r="AJ18" i="26" s="1"/>
  <c r="H16" i="17"/>
  <c r="H16" i="16" s="1"/>
  <c r="AA18" i="16"/>
  <c r="AA18" i="14" s="1"/>
  <c r="X22" i="11"/>
  <c r="X22" i="17" s="1"/>
  <c r="X22" i="16" s="1"/>
  <c r="X11" i="11"/>
  <c r="X11" i="17" s="1"/>
  <c r="X11" i="16" s="1"/>
  <c r="K9" i="11"/>
  <c r="K9" i="12" s="1"/>
  <c r="N7" i="9"/>
  <c r="N7" i="10" s="1"/>
  <c r="J13" i="9"/>
  <c r="J13" i="10" s="1"/>
  <c r="AB3" i="31"/>
  <c r="AB3" i="32" s="1"/>
  <c r="C4" i="31"/>
  <c r="C4" i="32" s="1"/>
  <c r="X8" i="12"/>
  <c r="AD21" i="12"/>
  <c r="AK17" i="16"/>
  <c r="AK17" i="14" s="1"/>
  <c r="P20" i="16"/>
  <c r="P20" i="14" s="1"/>
  <c r="AI12" i="17"/>
  <c r="AI12" i="16" s="1"/>
  <c r="F6" i="12"/>
  <c r="P12" i="17"/>
  <c r="P12" i="16" s="1"/>
  <c r="P12" i="9"/>
  <c r="P12" i="10" s="1"/>
  <c r="H14" i="11"/>
  <c r="H14" i="12" s="1"/>
  <c r="Z8" i="11"/>
  <c r="Z8" i="12" s="1"/>
  <c r="AI12" i="31"/>
  <c r="AI12" i="32" s="1"/>
  <c r="J4" i="9"/>
  <c r="J4" i="10" s="1"/>
  <c r="N19" i="12"/>
  <c r="B14" i="17"/>
  <c r="B14" i="16" s="1"/>
  <c r="N11" i="16"/>
  <c r="AG9" i="16"/>
  <c r="AG10" i="26" s="1"/>
  <c r="AN3" i="16"/>
  <c r="AN3" i="14" s="1"/>
  <c r="D3" i="31"/>
  <c r="D3" i="32" s="1"/>
  <c r="Z8" i="31"/>
  <c r="Z8" i="32" s="1"/>
  <c r="AB8" i="9"/>
  <c r="AB8" i="10" s="1"/>
  <c r="AI12" i="9"/>
  <c r="AI12" i="10" s="1"/>
  <c r="Y18" i="16"/>
  <c r="AM13" i="12"/>
  <c r="AG19" i="12"/>
  <c r="AA14" i="17"/>
  <c r="AA14" i="16" s="1"/>
  <c r="G6" i="16"/>
  <c r="AA17" i="12"/>
  <c r="AG16" i="16"/>
  <c r="AG16" i="14" s="1"/>
  <c r="AD10" i="16"/>
  <c r="AD10" i="14" s="1"/>
  <c r="AB8" i="17"/>
  <c r="AB8" i="16" s="1"/>
  <c r="N7" i="17"/>
  <c r="N7" i="16" s="1"/>
  <c r="C3" i="17"/>
  <c r="C3" i="16" s="1"/>
  <c r="G3" i="12"/>
  <c r="Z12" i="12"/>
  <c r="AJ11" i="9"/>
  <c r="AJ11" i="10" s="1"/>
  <c r="AG11" i="11"/>
  <c r="AG11" i="17" s="1"/>
  <c r="AG11" i="16" s="1"/>
  <c r="AL5" i="11"/>
  <c r="AL5" i="12" s="1"/>
  <c r="V22" i="11"/>
  <c r="V22" i="17" s="1"/>
  <c r="V22" i="16" s="1"/>
  <c r="AL5" i="31"/>
  <c r="AL5" i="32" s="1"/>
  <c r="N7" i="31"/>
  <c r="N7" i="32" s="1"/>
  <c r="H16" i="9"/>
  <c r="H16" i="10" s="1"/>
  <c r="G18" i="12"/>
  <c r="S18" i="12"/>
  <c r="W11" i="17"/>
  <c r="W11" i="16" s="1"/>
  <c r="W12" i="26" s="1"/>
  <c r="L8" i="12"/>
  <c r="M7" i="16"/>
  <c r="M8" i="26" s="1"/>
  <c r="H20" i="16"/>
  <c r="AD3" i="16"/>
  <c r="AD3" i="14" s="1"/>
  <c r="I4" i="12"/>
  <c r="AJ14" i="16"/>
  <c r="AO15" i="12"/>
  <c r="V22" i="9"/>
  <c r="V22" i="10" s="1"/>
  <c r="H14" i="9"/>
  <c r="H14" i="10" s="1"/>
  <c r="D17" i="11"/>
  <c r="D17" i="12" s="1"/>
  <c r="J13" i="11"/>
  <c r="J13" i="17" s="1"/>
  <c r="J13" i="16" s="1"/>
  <c r="AB8" i="31"/>
  <c r="AB8" i="32" s="1"/>
  <c r="AN10" i="9"/>
  <c r="AN10" i="10" s="1"/>
  <c r="AD21" i="31"/>
  <c r="AD21" i="32" s="1"/>
  <c r="H16" i="31"/>
  <c r="H16" i="32" s="1"/>
  <c r="B19" i="16"/>
  <c r="E7" i="16"/>
  <c r="E8" i="26" s="1"/>
  <c r="T13" i="16"/>
  <c r="T13" i="14" s="1"/>
  <c r="N13" i="16"/>
  <c r="U11" i="16"/>
  <c r="U12" i="26" s="1"/>
  <c r="AJ16" i="16"/>
  <c r="AJ17" i="26" s="1"/>
  <c r="C4" i="11"/>
  <c r="C4" i="17" s="1"/>
  <c r="C4" i="16" s="1"/>
  <c r="AJ11" i="11"/>
  <c r="AJ11" i="17" s="1"/>
  <c r="AJ11" i="16" s="1"/>
  <c r="D3" i="11"/>
  <c r="D3" i="17" s="1"/>
  <c r="D3" i="16" s="1"/>
  <c r="AM10" i="9"/>
  <c r="AM10" i="10" s="1"/>
  <c r="AB3" i="9"/>
  <c r="AB3" i="10" s="1"/>
  <c r="AI16" i="31"/>
  <c r="AI16" i="32" s="1"/>
  <c r="AI16" i="11"/>
  <c r="AI16" i="12" s="1"/>
  <c r="AO18" i="17"/>
  <c r="AO18" i="16" s="1"/>
  <c r="AO19" i="26" s="1"/>
  <c r="B10" i="12"/>
  <c r="R15" i="16"/>
  <c r="R18" i="16"/>
  <c r="R18" i="14" s="1"/>
  <c r="F14" i="16"/>
  <c r="W15" i="31"/>
  <c r="W15" i="32" s="1"/>
  <c r="B7" i="9"/>
  <c r="B7" i="10" s="1"/>
  <c r="F6" i="9"/>
  <c r="F6" i="10" s="1"/>
  <c r="I19" i="17"/>
  <c r="I19" i="16" s="1"/>
  <c r="I20" i="26" s="1"/>
  <c r="H10" i="17"/>
  <c r="H10" i="16" s="1"/>
  <c r="X22" i="31"/>
  <c r="X22" i="32" s="1"/>
  <c r="J6" i="31"/>
  <c r="J6" i="32" s="1"/>
  <c r="O4" i="11"/>
  <c r="O4" i="17" s="1"/>
  <c r="O4" i="16" s="1"/>
  <c r="B3" i="16"/>
  <c r="B4" i="26" s="1"/>
  <c r="V18" i="12"/>
  <c r="D8" i="17"/>
  <c r="D8" i="16" s="1"/>
  <c r="D8" i="14" s="1"/>
  <c r="AK19" i="11"/>
  <c r="AK19" i="12" s="1"/>
  <c r="M11" i="11"/>
  <c r="M11" i="12" s="1"/>
  <c r="N17" i="11"/>
  <c r="N17" i="17" s="1"/>
  <c r="N17" i="16" s="1"/>
  <c r="B13" i="11"/>
  <c r="B13" i="12" s="1"/>
  <c r="O4" i="31"/>
  <c r="O4" i="32" s="1"/>
  <c r="R12" i="9"/>
  <c r="R12" i="10" s="1"/>
  <c r="B10" i="9"/>
  <c r="B10" i="10" s="1"/>
  <c r="AH19" i="17"/>
  <c r="AH19" i="16" s="1"/>
  <c r="AH19" i="14" s="1"/>
  <c r="W15" i="12"/>
  <c r="E14" i="12"/>
  <c r="J6" i="11"/>
  <c r="J6" i="17" s="1"/>
  <c r="J6" i="16" s="1"/>
  <c r="B10" i="31"/>
  <c r="B10" i="32" s="1"/>
  <c r="N6" i="31"/>
  <c r="N6" i="32" s="1"/>
  <c r="R8" i="17"/>
  <c r="R8" i="16" s="1"/>
  <c r="R9" i="26" s="1"/>
  <c r="N6" i="17"/>
  <c r="N6" i="16" s="1"/>
  <c r="B7" i="12"/>
  <c r="B11" i="17"/>
  <c r="B11" i="16" s="1"/>
  <c r="B12" i="26" s="1"/>
  <c r="AE8" i="12"/>
  <c r="AD9" i="17"/>
  <c r="AD9" i="16" s="1"/>
  <c r="AD9" i="14" s="1"/>
  <c r="B7" i="31"/>
  <c r="B7" i="32" s="1"/>
  <c r="M11" i="31"/>
  <c r="M11" i="32" s="1"/>
  <c r="X5" i="16"/>
  <c r="AN12" i="16"/>
  <c r="AN12" i="14" s="1"/>
  <c r="U5" i="17"/>
  <c r="U5" i="16" s="1"/>
  <c r="U5" i="14" s="1"/>
  <c r="E10" i="17"/>
  <c r="E10" i="16" s="1"/>
  <c r="E10" i="14" s="1"/>
  <c r="V8" i="12"/>
  <c r="V8" i="14" s="1"/>
  <c r="C19" i="17"/>
  <c r="C19" i="16" s="1"/>
  <c r="C19" i="14" s="1"/>
  <c r="AG13" i="11"/>
  <c r="AG13" i="12" s="1"/>
  <c r="W15" i="9"/>
  <c r="W15" i="10" s="1"/>
  <c r="K9" i="9"/>
  <c r="K9" i="10" s="1"/>
  <c r="AA14" i="9"/>
  <c r="AA14" i="10" s="1"/>
  <c r="R12" i="11"/>
  <c r="R12" i="12" s="1"/>
  <c r="AA14" i="31"/>
  <c r="AA14" i="32" s="1"/>
  <c r="N17" i="9"/>
  <c r="N17" i="10" s="1"/>
  <c r="AG13" i="9"/>
  <c r="AG13" i="10" s="1"/>
  <c r="AK19" i="9"/>
  <c r="AK19" i="10" s="1"/>
  <c r="F6" i="31"/>
  <c r="F6" i="32" s="1"/>
  <c r="AN10" i="11"/>
  <c r="AN10" i="12" s="1"/>
  <c r="B13" i="31"/>
  <c r="B13" i="32" s="1"/>
  <c r="N6" i="9"/>
  <c r="N6" i="10" s="1"/>
  <c r="H18" i="16"/>
  <c r="Q16" i="16"/>
  <c r="H5" i="12"/>
  <c r="K12" i="12"/>
  <c r="B17" i="31"/>
  <c r="B17" i="32" s="1"/>
  <c r="F59" i="4"/>
  <c r="Z3" i="16"/>
  <c r="Z4" i="26" s="1"/>
  <c r="AH12" i="11"/>
  <c r="AH12" i="12" s="1"/>
  <c r="AL14" i="11"/>
  <c r="AL14" i="17" s="1"/>
  <c r="AL14" i="16" s="1"/>
  <c r="J7" i="9"/>
  <c r="J7" i="10" s="1"/>
  <c r="AH17" i="17"/>
  <c r="AH17" i="16" s="1"/>
  <c r="AH17" i="14" s="1"/>
  <c r="AB4" i="16"/>
  <c r="AB5" i="26" s="1"/>
  <c r="AF21" i="11"/>
  <c r="AF21" i="17" s="1"/>
  <c r="AF21" i="16" s="1"/>
  <c r="AH12" i="31"/>
  <c r="AH12" i="32" s="1"/>
  <c r="B19" i="12"/>
  <c r="W16" i="11"/>
  <c r="W16" i="17" s="1"/>
  <c r="W16" i="16" s="1"/>
  <c r="W21" i="31"/>
  <c r="W21" i="32" s="1"/>
  <c r="AI18" i="31"/>
  <c r="AI18" i="32" s="1"/>
  <c r="W16" i="31"/>
  <c r="W16" i="32" s="1"/>
  <c r="Y10" i="11"/>
  <c r="Y10" i="17" s="1"/>
  <c r="Y10" i="16" s="1"/>
  <c r="AF21" i="9"/>
  <c r="AF21" i="10" s="1"/>
  <c r="Y10" i="9"/>
  <c r="Y10" i="10" s="1"/>
  <c r="AI18" i="11"/>
  <c r="AI18" i="17" s="1"/>
  <c r="AI18" i="16" s="1"/>
  <c r="AL14" i="9"/>
  <c r="AL14" i="10" s="1"/>
  <c r="AI8" i="17"/>
  <c r="AI8" i="16" s="1"/>
  <c r="AI8" i="14" s="1"/>
  <c r="AA6" i="9"/>
  <c r="AA6" i="10" s="1"/>
  <c r="T7" i="17"/>
  <c r="T7" i="16" s="1"/>
  <c r="T7" i="31"/>
  <c r="T7" i="32" s="1"/>
  <c r="T7" i="9"/>
  <c r="T7" i="10" s="1"/>
  <c r="J20" i="12"/>
  <c r="B17" i="12"/>
  <c r="I15" i="12"/>
  <c r="M3" i="9"/>
  <c r="M3" i="10" s="1"/>
  <c r="H4" i="9"/>
  <c r="H4" i="10" s="1"/>
  <c r="H4" i="31"/>
  <c r="H4" i="32" s="1"/>
  <c r="S7" i="11"/>
  <c r="S7" i="17" s="1"/>
  <c r="S7" i="16" s="1"/>
  <c r="C15" i="12"/>
  <c r="C10" i="16"/>
  <c r="AB5" i="11"/>
  <c r="AB5" i="12" s="1"/>
  <c r="K12" i="31"/>
  <c r="K12" i="32" s="1"/>
  <c r="AC6" i="11"/>
  <c r="AC6" i="12" s="1"/>
  <c r="Z13" i="31"/>
  <c r="Z13" i="32" s="1"/>
  <c r="M3" i="12"/>
  <c r="H4" i="17"/>
  <c r="H4" i="16" s="1"/>
  <c r="M3" i="31"/>
  <c r="M3" i="32" s="1"/>
  <c r="S7" i="9"/>
  <c r="S7" i="10" s="1"/>
  <c r="AB5" i="31"/>
  <c r="AB5" i="32" s="1"/>
  <c r="AB9" i="16"/>
  <c r="AB9" i="14" s="1"/>
  <c r="K12" i="9"/>
  <c r="K12" i="10" s="1"/>
  <c r="B17" i="9"/>
  <c r="B17" i="10" s="1"/>
  <c r="AC6" i="9"/>
  <c r="AC6" i="10" s="1"/>
  <c r="Z13" i="11"/>
  <c r="Z13" i="12" s="1"/>
  <c r="AA8" i="17"/>
  <c r="AA8" i="16" s="1"/>
  <c r="AA8" i="14" s="1"/>
  <c r="AD18" i="11"/>
  <c r="AD18" i="12" s="1"/>
  <c r="K19" i="31"/>
  <c r="K19" i="32" s="1"/>
  <c r="AA6" i="31"/>
  <c r="AA6" i="32" s="1"/>
  <c r="S6" i="17"/>
  <c r="S6" i="16" s="1"/>
  <c r="S6" i="14" s="1"/>
  <c r="C9" i="12"/>
  <c r="AF11" i="17"/>
  <c r="AF11" i="16" s="1"/>
  <c r="AF11" i="14" s="1"/>
  <c r="V20" i="9"/>
  <c r="V20" i="10" s="1"/>
  <c r="H9" i="12"/>
  <c r="Q7" i="12"/>
  <c r="X16" i="12"/>
  <c r="AA6" i="17"/>
  <c r="AA6" i="16" s="1"/>
  <c r="AO12" i="17"/>
  <c r="AO12" i="16" s="1"/>
  <c r="X4" i="9"/>
  <c r="X4" i="10" s="1"/>
  <c r="AJ13" i="16"/>
  <c r="AJ14" i="26" s="1"/>
  <c r="AH15" i="17"/>
  <c r="AH15" i="16" s="1"/>
  <c r="AH15" i="14" s="1"/>
  <c r="Z6" i="11"/>
  <c r="Z6" i="17" s="1"/>
  <c r="Z6" i="16" s="1"/>
  <c r="O8" i="31"/>
  <c r="O8" i="32" s="1"/>
  <c r="AA21" i="12"/>
  <c r="Y19" i="17"/>
  <c r="Y19" i="16" s="1"/>
  <c r="Y20" i="26" s="1"/>
  <c r="T5" i="17"/>
  <c r="T5" i="16" s="1"/>
  <c r="T5" i="14" s="1"/>
  <c r="AO15" i="16"/>
  <c r="L4" i="11"/>
  <c r="L4" i="17" s="1"/>
  <c r="L4" i="16" s="1"/>
  <c r="T19" i="12"/>
  <c r="O8" i="11"/>
  <c r="O8" i="17" s="1"/>
  <c r="O8" i="16" s="1"/>
  <c r="G5" i="17"/>
  <c r="G5" i="16" s="1"/>
  <c r="G6" i="26" s="1"/>
  <c r="K20" i="17"/>
  <c r="K20" i="16" s="1"/>
  <c r="K20" i="14" s="1"/>
  <c r="AA20" i="17"/>
  <c r="AA20" i="16" s="1"/>
  <c r="AA21" i="26" s="1"/>
  <c r="U12" i="17"/>
  <c r="U12" i="16" s="1"/>
  <c r="U14" i="12"/>
  <c r="G15" i="17"/>
  <c r="G15" i="16" s="1"/>
  <c r="M4" i="12"/>
  <c r="G15" i="31"/>
  <c r="G15" i="32" s="1"/>
  <c r="U12" i="9"/>
  <c r="U12" i="10" s="1"/>
  <c r="AO17" i="17"/>
  <c r="AO17" i="16" s="1"/>
  <c r="AO18" i="26" s="1"/>
  <c r="W12" i="31"/>
  <c r="W12" i="32" s="1"/>
  <c r="Z6" i="9"/>
  <c r="Z6" i="10" s="1"/>
  <c r="Q4" i="31"/>
  <c r="Q4" i="32" s="1"/>
  <c r="AG18" i="16"/>
  <c r="AG19" i="26" s="1"/>
  <c r="W5" i="17"/>
  <c r="W5" i="16" s="1"/>
  <c r="G19" i="17"/>
  <c r="G19" i="16" s="1"/>
  <c r="O17" i="12"/>
  <c r="U8" i="16"/>
  <c r="U8" i="14" s="1"/>
  <c r="O3" i="9"/>
  <c r="O3" i="10" s="1"/>
  <c r="C12" i="31"/>
  <c r="C12" i="32" s="1"/>
  <c r="N15" i="17"/>
  <c r="N15" i="16" s="1"/>
  <c r="N16" i="26" s="1"/>
  <c r="M6" i="16"/>
  <c r="M6" i="14" s="1"/>
  <c r="L9" i="17"/>
  <c r="L9" i="16" s="1"/>
  <c r="L10" i="26" s="1"/>
  <c r="G20" i="31"/>
  <c r="G20" i="32" s="1"/>
  <c r="AM17" i="16"/>
  <c r="X16" i="16"/>
  <c r="H9" i="16"/>
  <c r="H13" i="16"/>
  <c r="H13" i="14" s="1"/>
  <c r="M5" i="11"/>
  <c r="M5" i="12" s="1"/>
  <c r="P9" i="12"/>
  <c r="AA7" i="16"/>
  <c r="AA7" i="14" s="1"/>
  <c r="S3" i="16"/>
  <c r="J12" i="16"/>
  <c r="J12" i="14" s="1"/>
  <c r="AN14" i="16"/>
  <c r="AN14" i="14" s="1"/>
  <c r="AH9" i="17"/>
  <c r="AH9" i="16" s="1"/>
  <c r="AH10" i="26" s="1"/>
  <c r="AE22" i="9"/>
  <c r="AE22" i="10" s="1"/>
  <c r="M10" i="11"/>
  <c r="M10" i="17" s="1"/>
  <c r="M10" i="16" s="1"/>
  <c r="F17" i="11"/>
  <c r="F17" i="17" s="1"/>
  <c r="F17" i="16" s="1"/>
  <c r="K19" i="11"/>
  <c r="K19" i="17" s="1"/>
  <c r="K19" i="16" s="1"/>
  <c r="P8" i="31"/>
  <c r="P8" i="32" s="1"/>
  <c r="AN8" i="9"/>
  <c r="AN8" i="10" s="1"/>
  <c r="U12" i="31"/>
  <c r="U12" i="32" s="1"/>
  <c r="AO13" i="11"/>
  <c r="AO13" i="12" s="1"/>
  <c r="AL17" i="16"/>
  <c r="D15" i="16"/>
  <c r="D16" i="26" s="1"/>
  <c r="F21" i="9"/>
  <c r="F21" i="10" s="1"/>
  <c r="W8" i="17"/>
  <c r="W8" i="16" s="1"/>
  <c r="W8" i="14" s="1"/>
  <c r="AL7" i="16"/>
  <c r="AL8" i="26" s="1"/>
  <c r="F16" i="12"/>
  <c r="AA5" i="9"/>
  <c r="AA5" i="10" s="1"/>
  <c r="U3" i="31"/>
  <c r="U3" i="32" s="1"/>
  <c r="F21" i="31"/>
  <c r="F21" i="32" s="1"/>
  <c r="AD18" i="31"/>
  <c r="AD18" i="32" s="1"/>
  <c r="L4" i="9"/>
  <c r="L4" i="10" s="1"/>
  <c r="T10" i="9"/>
  <c r="T10" i="10" s="1"/>
  <c r="AE18" i="31"/>
  <c r="AE18" i="32" s="1"/>
  <c r="R6" i="11"/>
  <c r="R6" i="12" s="1"/>
  <c r="L6" i="12"/>
  <c r="AN22" i="9"/>
  <c r="AN22" i="10" s="1"/>
  <c r="AO3" i="31"/>
  <c r="AO3" i="32" s="1"/>
  <c r="AL20" i="16"/>
  <c r="AL21" i="26" s="1"/>
  <c r="AL13" i="17"/>
  <c r="AL13" i="16" s="1"/>
  <c r="U20" i="16"/>
  <c r="U20" i="14" s="1"/>
  <c r="O7" i="16"/>
  <c r="O7" i="14" s="1"/>
  <c r="M16" i="17"/>
  <c r="M16" i="16" s="1"/>
  <c r="AL19" i="17"/>
  <c r="AL19" i="16" s="1"/>
  <c r="AL19" i="14" s="1"/>
  <c r="AF5" i="17"/>
  <c r="AF5" i="16" s="1"/>
  <c r="AF6" i="26" s="1"/>
  <c r="Z12" i="16"/>
  <c r="AE12" i="17"/>
  <c r="AE12" i="16" s="1"/>
  <c r="AL16" i="9"/>
  <c r="AL16" i="10" s="1"/>
  <c r="M10" i="9"/>
  <c r="M10" i="10" s="1"/>
  <c r="G15" i="9"/>
  <c r="G15" i="10" s="1"/>
  <c r="AL13" i="9"/>
  <c r="AL13" i="10" s="1"/>
  <c r="AA21" i="9"/>
  <c r="AA21" i="10" s="1"/>
  <c r="AN8" i="11"/>
  <c r="AN8" i="17" s="1"/>
  <c r="AN8" i="16" s="1"/>
  <c r="Y14" i="16"/>
  <c r="AE17" i="17"/>
  <c r="AE17" i="16" s="1"/>
  <c r="AE17" i="14" s="1"/>
  <c r="AK12" i="12"/>
  <c r="AD19" i="16"/>
  <c r="AD19" i="14" s="1"/>
  <c r="Y18" i="12"/>
  <c r="AF17" i="17"/>
  <c r="AF17" i="16" s="1"/>
  <c r="AF17" i="14" s="1"/>
  <c r="T10" i="12"/>
  <c r="H12" i="16"/>
  <c r="AH11" i="16"/>
  <c r="AH12" i="26" s="1"/>
  <c r="AK14" i="17"/>
  <c r="AK14" i="16" s="1"/>
  <c r="Q7" i="31"/>
  <c r="Q7" i="32" s="1"/>
  <c r="M5" i="9"/>
  <c r="M5" i="10" s="1"/>
  <c r="F17" i="31"/>
  <c r="F17" i="32" s="1"/>
  <c r="AK14" i="9"/>
  <c r="AK14" i="10" s="1"/>
  <c r="M4" i="31"/>
  <c r="M4" i="32" s="1"/>
  <c r="T10" i="31"/>
  <c r="T10" i="32" s="1"/>
  <c r="AL13" i="31"/>
  <c r="AL13" i="32" s="1"/>
  <c r="AM7" i="31"/>
  <c r="AM7" i="32" s="1"/>
  <c r="AE18" i="11"/>
  <c r="AE18" i="12" s="1"/>
  <c r="AO13" i="9"/>
  <c r="AO13" i="10" s="1"/>
  <c r="S5" i="11"/>
  <c r="S5" i="12" s="1"/>
  <c r="X8" i="16"/>
  <c r="AE8" i="16"/>
  <c r="AC16" i="16"/>
  <c r="AC17" i="26" s="1"/>
  <c r="P8" i="12"/>
  <c r="Q13" i="16"/>
  <c r="Q13" i="14" s="1"/>
  <c r="Y12" i="17"/>
  <c r="Y12" i="16" s="1"/>
  <c r="D13" i="16"/>
  <c r="D14" i="26" s="1"/>
  <c r="U19" i="17"/>
  <c r="U19" i="16" s="1"/>
  <c r="U20" i="26" s="1"/>
  <c r="Q19" i="17"/>
  <c r="Q19" i="16" s="1"/>
  <c r="Q20" i="26" s="1"/>
  <c r="AE5" i="16"/>
  <c r="AE6" i="26" s="1"/>
  <c r="F21" i="17"/>
  <c r="F21" i="16" s="1"/>
  <c r="AM17" i="12"/>
  <c r="W12" i="12"/>
  <c r="AE10" i="16"/>
  <c r="AE10" i="14" s="1"/>
  <c r="AK11" i="17"/>
  <c r="AK11" i="16" s="1"/>
  <c r="AI6" i="16"/>
  <c r="AI7" i="26" s="1"/>
  <c r="U3" i="17"/>
  <c r="U3" i="16" s="1"/>
  <c r="Q7" i="9"/>
  <c r="Q7" i="10" s="1"/>
  <c r="AL16" i="11"/>
  <c r="AL16" i="17" s="1"/>
  <c r="AL16" i="16" s="1"/>
  <c r="W12" i="9"/>
  <c r="W12" i="10" s="1"/>
  <c r="C6" i="11"/>
  <c r="C6" i="17" s="1"/>
  <c r="C6" i="16" s="1"/>
  <c r="C6" i="31"/>
  <c r="C6" i="32" s="1"/>
  <c r="X4" i="11"/>
  <c r="X4" i="17" s="1"/>
  <c r="X4" i="16" s="1"/>
  <c r="AM7" i="11"/>
  <c r="AM7" i="17" s="1"/>
  <c r="AM7" i="16" s="1"/>
  <c r="V20" i="11"/>
  <c r="V20" i="12" s="1"/>
  <c r="R6" i="9"/>
  <c r="R6" i="10" s="1"/>
  <c r="AO3" i="11"/>
  <c r="AO3" i="12" s="1"/>
  <c r="Z5" i="16"/>
  <c r="Z5" i="14" s="1"/>
  <c r="H15" i="12"/>
  <c r="X10" i="16"/>
  <c r="AK8" i="16"/>
  <c r="S13" i="16"/>
  <c r="AF12" i="12"/>
  <c r="T15" i="16"/>
  <c r="T16" i="26" s="1"/>
  <c r="P19" i="16"/>
  <c r="P19" i="14" s="1"/>
  <c r="AM19" i="16"/>
  <c r="AM20" i="26" s="1"/>
  <c r="Y16" i="16"/>
  <c r="Y16" i="14" s="1"/>
  <c r="G18" i="16"/>
  <c r="AA5" i="11"/>
  <c r="AA5" i="12" s="1"/>
  <c r="AE22" i="11"/>
  <c r="AE22" i="17" s="1"/>
  <c r="AE22" i="16" s="1"/>
  <c r="AN22" i="11"/>
  <c r="AN22" i="12" s="1"/>
  <c r="P8" i="9"/>
  <c r="P8" i="10" s="1"/>
  <c r="AK14" i="31"/>
  <c r="AK14" i="32" s="1"/>
  <c r="M4" i="9"/>
  <c r="M4" i="10" s="1"/>
  <c r="AA21" i="31"/>
  <c r="AA21" i="32" s="1"/>
  <c r="U3" i="9"/>
  <c r="U3" i="10" s="1"/>
  <c r="S5" i="31"/>
  <c r="S5" i="32" s="1"/>
  <c r="AH5" i="31"/>
  <c r="AH5" i="32" s="1"/>
  <c r="W5" i="31"/>
  <c r="W5" i="32" s="1"/>
  <c r="AL15" i="9"/>
  <c r="AL15" i="10" s="1"/>
  <c r="L5" i="11"/>
  <c r="L5" i="12" s="1"/>
  <c r="T9" i="16"/>
  <c r="T10" i="26" s="1"/>
  <c r="I20" i="17"/>
  <c r="I20" i="16" s="1"/>
  <c r="I21" i="26" s="1"/>
  <c r="C13" i="17"/>
  <c r="C13" i="16" s="1"/>
  <c r="C13" i="14" s="1"/>
  <c r="L5" i="31"/>
  <c r="L5" i="32" s="1"/>
  <c r="AK9" i="31"/>
  <c r="AK9" i="32" s="1"/>
  <c r="AF18" i="9"/>
  <c r="AF18" i="10" s="1"/>
  <c r="R17" i="16"/>
  <c r="R18" i="26" s="1"/>
  <c r="L20" i="16"/>
  <c r="L21" i="26" s="1"/>
  <c r="J10" i="16"/>
  <c r="J10" i="14" s="1"/>
  <c r="Y7" i="31"/>
  <c r="Y7" i="32" s="1"/>
  <c r="AF15" i="17"/>
  <c r="AF15" i="16" s="1"/>
  <c r="AF16" i="26" s="1"/>
  <c r="AI17" i="16"/>
  <c r="AI17" i="14" s="1"/>
  <c r="O9" i="16"/>
  <c r="D5" i="16"/>
  <c r="D5" i="14" s="1"/>
  <c r="AL15" i="11"/>
  <c r="AL15" i="12" s="1"/>
  <c r="Y7" i="11"/>
  <c r="Y7" i="12" s="1"/>
  <c r="AD6" i="16"/>
  <c r="U9" i="17"/>
  <c r="U9" i="16" s="1"/>
  <c r="AL6" i="31"/>
  <c r="AL6" i="32" s="1"/>
  <c r="H5" i="16"/>
  <c r="G9" i="16"/>
  <c r="G10" i="26" s="1"/>
  <c r="U9" i="31"/>
  <c r="U9" i="32" s="1"/>
  <c r="S10" i="16"/>
  <c r="U9" i="9"/>
  <c r="U9" i="10" s="1"/>
  <c r="P3" i="9"/>
  <c r="P3" i="10" s="1"/>
  <c r="R9" i="11"/>
  <c r="R9" i="17" s="1"/>
  <c r="R9" i="16" s="1"/>
  <c r="AE3" i="12"/>
  <c r="F20" i="16"/>
  <c r="F20" i="14" s="1"/>
  <c r="I18" i="11"/>
  <c r="I18" i="12" s="1"/>
  <c r="AB7" i="31"/>
  <c r="AB7" i="32" s="1"/>
  <c r="Q5" i="16"/>
  <c r="Y13" i="17"/>
  <c r="Y13" i="16" s="1"/>
  <c r="Y13" i="14" s="1"/>
  <c r="H18" i="12"/>
  <c r="J15" i="31"/>
  <c r="J15" i="32" s="1"/>
  <c r="AI10" i="16"/>
  <c r="AI10" i="14" s="1"/>
  <c r="AB7" i="17"/>
  <c r="AB7" i="16" s="1"/>
  <c r="W4" i="12"/>
  <c r="AH6" i="9"/>
  <c r="AH6" i="10" s="1"/>
  <c r="AE3" i="9"/>
  <c r="AE3" i="10" s="1"/>
  <c r="J15" i="17"/>
  <c r="J15" i="16" s="1"/>
  <c r="N16" i="12"/>
  <c r="X14" i="12"/>
  <c r="R7" i="17"/>
  <c r="R7" i="16" s="1"/>
  <c r="R7" i="14" s="1"/>
  <c r="R11" i="17"/>
  <c r="R11" i="16" s="1"/>
  <c r="AI3" i="16"/>
  <c r="AI4" i="26" s="1"/>
  <c r="J15" i="9"/>
  <c r="J15" i="10" s="1"/>
  <c r="AK20" i="11"/>
  <c r="AK20" i="12" s="1"/>
  <c r="AO11" i="17"/>
  <c r="AO11" i="16" s="1"/>
  <c r="AO11" i="14" s="1"/>
  <c r="I16" i="9"/>
  <c r="I16" i="10" s="1"/>
  <c r="P5" i="12"/>
  <c r="AL12" i="12"/>
  <c r="Y14" i="12"/>
  <c r="AK20" i="9"/>
  <c r="AK20" i="10" s="1"/>
  <c r="W18" i="9"/>
  <c r="W18" i="10" s="1"/>
  <c r="E20" i="17"/>
  <c r="E20" i="16" s="1"/>
  <c r="AE3" i="31"/>
  <c r="AE3" i="32" s="1"/>
  <c r="AB7" i="9"/>
  <c r="AB7" i="10" s="1"/>
  <c r="Y4" i="16"/>
  <c r="O13" i="16"/>
  <c r="AM18" i="16"/>
  <c r="G7" i="17"/>
  <c r="G7" i="16" s="1"/>
  <c r="AN17" i="12"/>
  <c r="R9" i="9"/>
  <c r="R9" i="10" s="1"/>
  <c r="D14" i="17"/>
  <c r="D14" i="16" s="1"/>
  <c r="D14" i="14" s="1"/>
  <c r="P13" i="17"/>
  <c r="P13" i="16" s="1"/>
  <c r="P14" i="26" s="1"/>
  <c r="C8" i="11"/>
  <c r="C8" i="12" s="1"/>
  <c r="Z14" i="16"/>
  <c r="C8" i="9"/>
  <c r="C8" i="10" s="1"/>
  <c r="AC18" i="12"/>
  <c r="AM9" i="16"/>
  <c r="AM10" i="26" s="1"/>
  <c r="AL17" i="12"/>
  <c r="AM18" i="12"/>
  <c r="W6" i="17"/>
  <c r="W6" i="16" s="1"/>
  <c r="W6" i="14" s="1"/>
  <c r="Z17" i="16"/>
  <c r="Z17" i="14" s="1"/>
  <c r="Q18" i="12"/>
  <c r="Q21" i="17"/>
  <c r="Q21" i="16" s="1"/>
  <c r="E4" i="12"/>
  <c r="AD12" i="17"/>
  <c r="AD12" i="16" s="1"/>
  <c r="AD12" i="14" s="1"/>
  <c r="Z16" i="17"/>
  <c r="Z16" i="16" s="1"/>
  <c r="Z17" i="26" s="1"/>
  <c r="X5" i="12"/>
  <c r="AM21" i="11"/>
  <c r="AM21" i="17" s="1"/>
  <c r="AM21" i="16" s="1"/>
  <c r="G7" i="31"/>
  <c r="G7" i="32" s="1"/>
  <c r="J19" i="31"/>
  <c r="J19" i="32" s="1"/>
  <c r="Y3" i="31"/>
  <c r="Y3" i="32" s="1"/>
  <c r="G21" i="11"/>
  <c r="G21" i="12" s="1"/>
  <c r="P3" i="11"/>
  <c r="P3" i="17" s="1"/>
  <c r="P3" i="16" s="1"/>
  <c r="AL3" i="31"/>
  <c r="AL3" i="32" s="1"/>
  <c r="AM15" i="11"/>
  <c r="AM15" i="12" s="1"/>
  <c r="K6" i="16"/>
  <c r="K7" i="26" s="1"/>
  <c r="R3" i="17"/>
  <c r="R3" i="16" s="1"/>
  <c r="Z10" i="16"/>
  <c r="Z10" i="14" s="1"/>
  <c r="AL10" i="16"/>
  <c r="AL10" i="14" s="1"/>
  <c r="AM21" i="31"/>
  <c r="AM21" i="32" s="1"/>
  <c r="AO14" i="11"/>
  <c r="AO14" i="12" s="1"/>
  <c r="H19" i="31"/>
  <c r="H19" i="32" s="1"/>
  <c r="M17" i="11"/>
  <c r="M17" i="12" s="1"/>
  <c r="J17" i="11"/>
  <c r="J17" i="17" s="1"/>
  <c r="J17" i="16" s="1"/>
  <c r="T12" i="11"/>
  <c r="T12" i="12" s="1"/>
  <c r="E18" i="16"/>
  <c r="X14" i="16"/>
  <c r="Y4" i="12"/>
  <c r="AC10" i="17"/>
  <c r="AC10" i="16" s="1"/>
  <c r="AC10" i="14" s="1"/>
  <c r="P15" i="17"/>
  <c r="P15" i="16" s="1"/>
  <c r="P15" i="14" s="1"/>
  <c r="L14" i="17"/>
  <c r="L14" i="16" s="1"/>
  <c r="L14" i="14" s="1"/>
  <c r="M17" i="9"/>
  <c r="M17" i="10" s="1"/>
  <c r="Y3" i="11"/>
  <c r="Y3" i="17" s="1"/>
  <c r="Y3" i="16" s="1"/>
  <c r="Y6" i="31"/>
  <c r="Y6" i="32" s="1"/>
  <c r="AM15" i="31"/>
  <c r="AM15" i="32" s="1"/>
  <c r="AL3" i="11"/>
  <c r="AL3" i="12" s="1"/>
  <c r="C20" i="16"/>
  <c r="S15" i="16"/>
  <c r="X12" i="16"/>
  <c r="AI19" i="16"/>
  <c r="AH8" i="16"/>
  <c r="AH9" i="26" s="1"/>
  <c r="Z7" i="16"/>
  <c r="Z7" i="14" s="1"/>
  <c r="H19" i="12"/>
  <c r="AN15" i="17"/>
  <c r="AN15" i="16" s="1"/>
  <c r="AL6" i="11"/>
  <c r="AL6" i="17" s="1"/>
  <c r="AL6" i="16" s="1"/>
  <c r="X13" i="11"/>
  <c r="X13" i="12" s="1"/>
  <c r="K13" i="9"/>
  <c r="K13" i="10" s="1"/>
  <c r="J19" i="9"/>
  <c r="J19" i="10" s="1"/>
  <c r="Y6" i="11"/>
  <c r="Y6" i="17" s="1"/>
  <c r="Y6" i="16" s="1"/>
  <c r="AO14" i="9"/>
  <c r="AO14" i="10" s="1"/>
  <c r="J19" i="12"/>
  <c r="O9" i="12"/>
  <c r="T4" i="16"/>
  <c r="T5" i="26" s="1"/>
  <c r="U15" i="12"/>
  <c r="C11" i="16"/>
  <c r="C12" i="26" s="1"/>
  <c r="S11" i="17"/>
  <c r="S11" i="16" s="1"/>
  <c r="S12" i="26" s="1"/>
  <c r="O13" i="12"/>
  <c r="AD6" i="12"/>
  <c r="X13" i="9"/>
  <c r="X13" i="10" s="1"/>
  <c r="G7" i="9"/>
  <c r="G7" i="10" s="1"/>
  <c r="H19" i="9"/>
  <c r="H19" i="10" s="1"/>
  <c r="AI11" i="16"/>
  <c r="F8" i="16"/>
  <c r="F9" i="26" s="1"/>
  <c r="U14" i="16"/>
  <c r="AK15" i="17"/>
  <c r="AK15" i="16" s="1"/>
  <c r="AK15" i="14" s="1"/>
  <c r="C16" i="16"/>
  <c r="C17" i="26" s="1"/>
  <c r="J16" i="16"/>
  <c r="J17" i="26" s="1"/>
  <c r="T19" i="16"/>
  <c r="U15" i="9"/>
  <c r="U15" i="10" s="1"/>
  <c r="E14" i="16"/>
  <c r="K13" i="11"/>
  <c r="K13" i="12" s="1"/>
  <c r="G21" i="9"/>
  <c r="G21" i="10" s="1"/>
  <c r="T12" i="31"/>
  <c r="T12" i="32" s="1"/>
  <c r="U15" i="31"/>
  <c r="U15" i="32" s="1"/>
  <c r="G19" i="31"/>
  <c r="G19" i="32" s="1"/>
  <c r="AC5" i="11"/>
  <c r="AC5" i="12" s="1"/>
  <c r="E13" i="16"/>
  <c r="E13" i="14" s="1"/>
  <c r="AD4" i="17"/>
  <c r="AD4" i="16" s="1"/>
  <c r="AD5" i="26" s="1"/>
  <c r="F16" i="16"/>
  <c r="AN9" i="16"/>
  <c r="AN10" i="26" s="1"/>
  <c r="Z4" i="12"/>
  <c r="AC5" i="9"/>
  <c r="AC5" i="10" s="1"/>
  <c r="E20" i="31"/>
  <c r="E20" i="32" s="1"/>
  <c r="AC8" i="9"/>
  <c r="AC8" i="10" s="1"/>
  <c r="AC19" i="16"/>
  <c r="AC20" i="26" s="1"/>
  <c r="T17" i="16"/>
  <c r="T18" i="26" s="1"/>
  <c r="AN11" i="11"/>
  <c r="AN11" i="17" s="1"/>
  <c r="AN11" i="16" s="1"/>
  <c r="W5" i="9"/>
  <c r="W5" i="10" s="1"/>
  <c r="AC8" i="11"/>
  <c r="AC8" i="12" s="1"/>
  <c r="AK9" i="11"/>
  <c r="AK9" i="12" s="1"/>
  <c r="W18" i="11"/>
  <c r="W18" i="12" s="1"/>
  <c r="AI19" i="12"/>
  <c r="X12" i="12"/>
  <c r="S15" i="12"/>
  <c r="D16" i="11"/>
  <c r="D16" i="12" s="1"/>
  <c r="G19" i="9"/>
  <c r="G19" i="10" s="1"/>
  <c r="AL12" i="9"/>
  <c r="AL12" i="10" s="1"/>
  <c r="U21" i="17"/>
  <c r="U21" i="16" s="1"/>
  <c r="D4" i="17"/>
  <c r="D4" i="16" s="1"/>
  <c r="D5" i="26" s="1"/>
  <c r="S10" i="12"/>
  <c r="V5" i="17"/>
  <c r="V5" i="16" s="1"/>
  <c r="V5" i="14" s="1"/>
  <c r="C9" i="16"/>
  <c r="AF6" i="31"/>
  <c r="AF6" i="32" s="1"/>
  <c r="S17" i="11"/>
  <c r="S17" i="17" s="1"/>
  <c r="S17" i="16" s="1"/>
  <c r="AE7" i="11"/>
  <c r="AE7" i="12" s="1"/>
  <c r="V7" i="17"/>
  <c r="V7" i="16" s="1"/>
  <c r="Z19" i="17"/>
  <c r="Z19" i="16" s="1"/>
  <c r="Z19" i="14" s="1"/>
  <c r="AG4" i="17"/>
  <c r="AG4" i="16" s="1"/>
  <c r="T18" i="12"/>
  <c r="C20" i="12"/>
  <c r="AH5" i="11"/>
  <c r="AH5" i="17" s="1"/>
  <c r="AH5" i="16" s="1"/>
  <c r="I10" i="11"/>
  <c r="I10" i="17" s="1"/>
  <c r="I10" i="16" s="1"/>
  <c r="S17" i="9"/>
  <c r="S17" i="10" s="1"/>
  <c r="W4" i="9"/>
  <c r="W4" i="10" s="1"/>
  <c r="AL12" i="31"/>
  <c r="AL12" i="32" s="1"/>
  <c r="AK5" i="16"/>
  <c r="AK5" i="14" s="1"/>
  <c r="I8" i="16"/>
  <c r="I9" i="26" s="1"/>
  <c r="N9" i="16"/>
  <c r="F7" i="16"/>
  <c r="F7" i="14" s="1"/>
  <c r="AL9" i="9"/>
  <c r="AL9" i="10" s="1"/>
  <c r="Q4" i="11"/>
  <c r="Q4" i="17" s="1"/>
  <c r="Q4" i="16" s="1"/>
  <c r="AF6" i="11"/>
  <c r="AF6" i="17" s="1"/>
  <c r="AF6" i="16" s="1"/>
  <c r="D16" i="31"/>
  <c r="D16" i="32" s="1"/>
  <c r="I10" i="9"/>
  <c r="I10" i="10" s="1"/>
  <c r="AN11" i="31"/>
  <c r="AN11" i="32" s="1"/>
  <c r="E20" i="9"/>
  <c r="E20" i="10" s="1"/>
  <c r="AE7" i="9"/>
  <c r="AE7" i="10" s="1"/>
  <c r="AF18" i="11"/>
  <c r="AF18" i="17" s="1"/>
  <c r="AF18" i="16" s="1"/>
  <c r="L7" i="16"/>
  <c r="D18" i="16"/>
  <c r="T11" i="16"/>
  <c r="AK16" i="16"/>
  <c r="N16" i="16"/>
  <c r="AL4" i="31"/>
  <c r="AL4" i="32" s="1"/>
  <c r="W20" i="9"/>
  <c r="W20" i="10" s="1"/>
  <c r="G20" i="12"/>
  <c r="AF12" i="16"/>
  <c r="AK16" i="12"/>
  <c r="AL4" i="17"/>
  <c r="AL4" i="16" s="1"/>
  <c r="R16" i="31"/>
  <c r="R16" i="32" s="1"/>
  <c r="AL4" i="9"/>
  <c r="AL4" i="10" s="1"/>
  <c r="P5" i="9"/>
  <c r="P5" i="10" s="1"/>
  <c r="B5" i="9"/>
  <c r="B5" i="10" s="1"/>
  <c r="AM13" i="16"/>
  <c r="L7" i="12"/>
  <c r="D18" i="12"/>
  <c r="B4" i="12"/>
  <c r="E16" i="31"/>
  <c r="E16" i="32" s="1"/>
  <c r="X15" i="11"/>
  <c r="X15" i="12" s="1"/>
  <c r="B4" i="31"/>
  <c r="B4" i="32" s="1"/>
  <c r="R16" i="11"/>
  <c r="R16" i="12" s="1"/>
  <c r="O3" i="11"/>
  <c r="O3" i="17" s="1"/>
  <c r="O3" i="16" s="1"/>
  <c r="AC13" i="31"/>
  <c r="AC13" i="32" s="1"/>
  <c r="G20" i="9"/>
  <c r="G20" i="10" s="1"/>
  <c r="W20" i="31"/>
  <c r="W20" i="32" s="1"/>
  <c r="Z11" i="16"/>
  <c r="Z12" i="26" s="1"/>
  <c r="C12" i="9"/>
  <c r="C12" i="10" s="1"/>
  <c r="AJ19" i="31"/>
  <c r="AJ19" i="32" s="1"/>
  <c r="AJ19" i="11"/>
  <c r="AJ19" i="17" s="1"/>
  <c r="AJ19" i="16" s="1"/>
  <c r="C12" i="17"/>
  <c r="C12" i="16" s="1"/>
  <c r="AA12" i="16"/>
  <c r="AA13" i="26" s="1"/>
  <c r="AH6" i="12"/>
  <c r="AM5" i="17"/>
  <c r="AM5" i="16" s="1"/>
  <c r="AA3" i="16"/>
  <c r="AJ15" i="12"/>
  <c r="AC13" i="17"/>
  <c r="AC13" i="16" s="1"/>
  <c r="W9" i="16"/>
  <c r="W10" i="26" s="1"/>
  <c r="L3" i="31"/>
  <c r="L3" i="32" s="1"/>
  <c r="E16" i="11"/>
  <c r="E16" i="12" s="1"/>
  <c r="AF16" i="11"/>
  <c r="AF16" i="12" s="1"/>
  <c r="AC13" i="9"/>
  <c r="AC13" i="10" s="1"/>
  <c r="B5" i="11"/>
  <c r="B5" i="12" s="1"/>
  <c r="T11" i="12"/>
  <c r="AC18" i="16"/>
  <c r="AO10" i="12"/>
  <c r="E18" i="12"/>
  <c r="Y17" i="17"/>
  <c r="Y17" i="16" s="1"/>
  <c r="Y17" i="14" s="1"/>
  <c r="T3" i="12"/>
  <c r="X3" i="16"/>
  <c r="X3" i="14" s="1"/>
  <c r="Q3" i="17"/>
  <c r="Q3" i="16" s="1"/>
  <c r="Q4" i="26" s="1"/>
  <c r="AN6" i="12"/>
  <c r="Z4" i="16"/>
  <c r="AB10" i="11"/>
  <c r="AB10" i="12" s="1"/>
  <c r="AD11" i="11"/>
  <c r="AD11" i="17" s="1"/>
  <c r="AD11" i="16" s="1"/>
  <c r="AJ18" i="31"/>
  <c r="AJ18" i="32" s="1"/>
  <c r="H17" i="11"/>
  <c r="H17" i="12" s="1"/>
  <c r="L6" i="16"/>
  <c r="X9" i="12"/>
  <c r="P7" i="17"/>
  <c r="P7" i="16" s="1"/>
  <c r="P7" i="14" s="1"/>
  <c r="W20" i="17"/>
  <c r="W20" i="16" s="1"/>
  <c r="AF7" i="9"/>
  <c r="AF7" i="10" s="1"/>
  <c r="X15" i="31"/>
  <c r="X15" i="32" s="1"/>
  <c r="AK21" i="9"/>
  <c r="AK21" i="10" s="1"/>
  <c r="B4" i="9"/>
  <c r="B4" i="10" s="1"/>
  <c r="AB10" i="31"/>
  <c r="AB10" i="32" s="1"/>
  <c r="AK21" i="11"/>
  <c r="AK21" i="17" s="1"/>
  <c r="AK21" i="16" s="1"/>
  <c r="AD11" i="9"/>
  <c r="AD11" i="10" s="1"/>
  <c r="P5" i="31"/>
  <c r="P5" i="32" s="1"/>
  <c r="AJ18" i="11"/>
  <c r="AJ18" i="17" s="1"/>
  <c r="AJ18" i="16" s="1"/>
  <c r="W4" i="31"/>
  <c r="W4" i="32" s="1"/>
  <c r="AH6" i="31"/>
  <c r="AH6" i="32" s="1"/>
  <c r="H17" i="9"/>
  <c r="H17" i="10" s="1"/>
  <c r="AO20" i="16"/>
  <c r="AO21" i="26" s="1"/>
  <c r="AC15" i="16"/>
  <c r="AC15" i="14" s="1"/>
  <c r="AF7" i="11"/>
  <c r="AF7" i="17" s="1"/>
  <c r="AF7" i="16" s="1"/>
  <c r="L3" i="11"/>
  <c r="L3" i="12" s="1"/>
  <c r="AF16" i="9"/>
  <c r="AF16" i="10" s="1"/>
  <c r="I16" i="11"/>
  <c r="I16" i="17" s="1"/>
  <c r="I16" i="16" s="1"/>
  <c r="Y12" i="31"/>
  <c r="Y12" i="32" s="1"/>
  <c r="S14" i="9"/>
  <c r="S14" i="10" s="1"/>
  <c r="S14" i="11"/>
  <c r="S14" i="12" s="1"/>
  <c r="Y12" i="9"/>
  <c r="Y12" i="10" s="1"/>
  <c r="AH3" i="17"/>
  <c r="AH3" i="16" s="1"/>
  <c r="AH3" i="14" s="1"/>
  <c r="AF8" i="16"/>
  <c r="AF8" i="14" s="1"/>
  <c r="S12" i="11"/>
  <c r="S12" i="17" s="1"/>
  <c r="S12" i="16" s="1"/>
  <c r="M15" i="17"/>
  <c r="M15" i="16" s="1"/>
  <c r="AH16" i="17"/>
  <c r="AH16" i="16" s="1"/>
  <c r="AH16" i="14" s="1"/>
  <c r="B18" i="16"/>
  <c r="V19" i="11"/>
  <c r="V19" i="12" s="1"/>
  <c r="R11" i="31"/>
  <c r="R11" i="32" s="1"/>
  <c r="AJ7" i="11"/>
  <c r="AJ7" i="17" s="1"/>
  <c r="AJ7" i="16" s="1"/>
  <c r="AK13" i="16"/>
  <c r="AK13" i="14" s="1"/>
  <c r="M15" i="9"/>
  <c r="M15" i="10" s="1"/>
  <c r="M15" i="31"/>
  <c r="M15" i="32" s="1"/>
  <c r="AD17" i="17"/>
  <c r="AD17" i="16" s="1"/>
  <c r="AD17" i="14" s="1"/>
  <c r="E4" i="16"/>
  <c r="T18" i="9"/>
  <c r="T18" i="10" s="1"/>
  <c r="V19" i="9"/>
  <c r="V19" i="10" s="1"/>
  <c r="AJ7" i="31"/>
  <c r="AJ7" i="32" s="1"/>
  <c r="E15" i="9"/>
  <c r="E15" i="10" s="1"/>
  <c r="N10" i="16"/>
  <c r="W3" i="16"/>
  <c r="W4" i="26" s="1"/>
  <c r="I18" i="9"/>
  <c r="I18" i="10" s="1"/>
  <c r="D19" i="16"/>
  <c r="D20" i="26" s="1"/>
  <c r="H15" i="16"/>
  <c r="AG4" i="9"/>
  <c r="AG4" i="10" s="1"/>
  <c r="AG4" i="31"/>
  <c r="AG4" i="32" s="1"/>
  <c r="T18" i="31"/>
  <c r="T18" i="32" s="1"/>
  <c r="R11" i="9"/>
  <c r="R11" i="10" s="1"/>
  <c r="E15" i="11"/>
  <c r="E15" i="12" s="1"/>
  <c r="AI15" i="31"/>
  <c r="AI15" i="32" s="1"/>
  <c r="S12" i="9"/>
  <c r="S12" i="10" s="1"/>
  <c r="C5" i="16"/>
  <c r="AI20" i="16"/>
  <c r="D21" i="12"/>
  <c r="AG20" i="17"/>
  <c r="AG20" i="16" s="1"/>
  <c r="AG21" i="26" s="1"/>
  <c r="K5" i="17"/>
  <c r="K5" i="16" s="1"/>
  <c r="R13" i="17"/>
  <c r="R13" i="16" s="1"/>
  <c r="AC12" i="9"/>
  <c r="AC12" i="10" s="1"/>
  <c r="D21" i="31"/>
  <c r="D21" i="32" s="1"/>
  <c r="AI20" i="12"/>
  <c r="C17" i="12"/>
  <c r="AB6" i="12"/>
  <c r="AC12" i="31"/>
  <c r="AC12" i="32" s="1"/>
  <c r="AC12" i="12"/>
  <c r="C7" i="11"/>
  <c r="C7" i="12" s="1"/>
  <c r="Q11" i="16"/>
  <c r="Q11" i="14" s="1"/>
  <c r="AD16" i="16"/>
  <c r="AD16" i="14" s="1"/>
  <c r="Y9" i="16"/>
  <c r="Y10" i="26" s="1"/>
  <c r="AD7" i="16"/>
  <c r="AD8" i="26" s="1"/>
  <c r="U7" i="16"/>
  <c r="U8" i="26" s="1"/>
  <c r="D21" i="9"/>
  <c r="D21" i="10" s="1"/>
  <c r="O17" i="16"/>
  <c r="AO9" i="16"/>
  <c r="K8" i="16"/>
  <c r="K8" i="14" s="1"/>
  <c r="AI13" i="12"/>
  <c r="E9" i="11"/>
  <c r="E9" i="12" s="1"/>
  <c r="E9" i="31"/>
  <c r="E9" i="32" s="1"/>
  <c r="AI14" i="9"/>
  <c r="AI14" i="10" s="1"/>
  <c r="AD21" i="9"/>
  <c r="AD21" i="10" s="1"/>
  <c r="C17" i="16"/>
  <c r="AO9" i="12"/>
  <c r="U13" i="12"/>
  <c r="AO16" i="9"/>
  <c r="AO16" i="10" s="1"/>
  <c r="C15" i="16"/>
  <c r="AO10" i="16"/>
  <c r="N18" i="17"/>
  <c r="N18" i="16" s="1"/>
  <c r="N19" i="26" s="1"/>
  <c r="V18" i="9"/>
  <c r="V18" i="10" s="1"/>
  <c r="J5" i="17"/>
  <c r="J5" i="16" s="1"/>
  <c r="J5" i="14" s="1"/>
  <c r="AO16" i="17"/>
  <c r="AO16" i="16" s="1"/>
  <c r="C5" i="12"/>
  <c r="V18" i="31"/>
  <c r="V18" i="32" s="1"/>
  <c r="AO16" i="31"/>
  <c r="AO16" i="32" s="1"/>
  <c r="I4" i="16"/>
  <c r="AI5" i="11"/>
  <c r="AI5" i="17" s="1"/>
  <c r="AI5" i="16" s="1"/>
  <c r="AI9" i="9"/>
  <c r="AI9" i="10" s="1"/>
  <c r="K3" i="16"/>
  <c r="K3" i="14" s="1"/>
  <c r="AI5" i="9"/>
  <c r="AI5" i="10" s="1"/>
  <c r="T6" i="11"/>
  <c r="T6" i="17" s="1"/>
  <c r="T6" i="16" s="1"/>
  <c r="AH13" i="16"/>
  <c r="AH13" i="14" s="1"/>
  <c r="AI9" i="11"/>
  <c r="AI9" i="12" s="1"/>
  <c r="G12" i="16"/>
  <c r="AN5" i="12"/>
  <c r="U18" i="16"/>
  <c r="U18" i="14" s="1"/>
  <c r="O14" i="11"/>
  <c r="O14" i="17" s="1"/>
  <c r="O14" i="16" s="1"/>
  <c r="AA4" i="9"/>
  <c r="AA4" i="10" s="1"/>
  <c r="AG6" i="11"/>
  <c r="AG6" i="17" s="1"/>
  <c r="AG6" i="16" s="1"/>
  <c r="O18" i="31"/>
  <c r="O18" i="32" s="1"/>
  <c r="O14" i="31"/>
  <c r="O14" i="32" s="1"/>
  <c r="AG6" i="31"/>
  <c r="AG6" i="32" s="1"/>
  <c r="O18" i="9"/>
  <c r="O18" i="10" s="1"/>
  <c r="AA4" i="17"/>
  <c r="AA4" i="16" s="1"/>
  <c r="AG14" i="16"/>
  <c r="AG14" i="14" s="1"/>
  <c r="J20" i="16"/>
  <c r="D10" i="16"/>
  <c r="D10" i="14" s="1"/>
  <c r="R4" i="16"/>
  <c r="R5" i="26" s="1"/>
  <c r="Q18" i="16"/>
  <c r="AK18" i="9"/>
  <c r="AK18" i="10" s="1"/>
  <c r="AB6" i="16"/>
  <c r="G12" i="12"/>
  <c r="O18" i="12"/>
  <c r="I6" i="16"/>
  <c r="AA4" i="31"/>
  <c r="AA4" i="32" s="1"/>
  <c r="AK18" i="11"/>
  <c r="AK18" i="12" s="1"/>
  <c r="AM11" i="12"/>
  <c r="AG10" i="31"/>
  <c r="AG10" i="32" s="1"/>
  <c r="B20" i="16"/>
  <c r="B20" i="14" s="1"/>
  <c r="AG10" i="11"/>
  <c r="AG10" i="17" s="1"/>
  <c r="AG10" i="16" s="1"/>
  <c r="V3" i="12"/>
  <c r="B9" i="16"/>
  <c r="AL9" i="17"/>
  <c r="AL9" i="16" s="1"/>
  <c r="N5" i="16"/>
  <c r="N6" i="26" s="1"/>
  <c r="B16" i="16"/>
  <c r="T3" i="16"/>
  <c r="AL9" i="31"/>
  <c r="AL9" i="32" s="1"/>
  <c r="X9" i="9"/>
  <c r="X9" i="10" s="1"/>
  <c r="AJ10" i="17"/>
  <c r="AJ10" i="16" s="1"/>
  <c r="AO8" i="12"/>
  <c r="H11" i="17"/>
  <c r="H11" i="16" s="1"/>
  <c r="H12" i="26" s="1"/>
  <c r="W14" i="16"/>
  <c r="W15" i="26" s="1"/>
  <c r="X9" i="31"/>
  <c r="X9" i="32" s="1"/>
  <c r="AI15" i="11"/>
  <c r="AI15" i="12" s="1"/>
  <c r="B16" i="12"/>
  <c r="J17" i="9"/>
  <c r="J17" i="10" s="1"/>
  <c r="AM8" i="17"/>
  <c r="AM8" i="16" s="1"/>
  <c r="AM9" i="26" s="1"/>
  <c r="AM3" i="16"/>
  <c r="AM4" i="26" s="1"/>
  <c r="V3" i="9"/>
  <c r="V3" i="10" s="1"/>
  <c r="V3" i="31"/>
  <c r="V3" i="32" s="1"/>
  <c r="AO12" i="9"/>
  <c r="AO12" i="10" s="1"/>
  <c r="AG8" i="16"/>
  <c r="AO12" i="31"/>
  <c r="AO12" i="32" s="1"/>
  <c r="K4" i="9"/>
  <c r="K4" i="10" s="1"/>
  <c r="E17" i="17"/>
  <c r="E17" i="16" s="1"/>
  <c r="E18" i="26" s="1"/>
  <c r="AO5" i="16"/>
  <c r="AO6" i="26" s="1"/>
  <c r="S8" i="16"/>
  <c r="S9" i="26" s="1"/>
  <c r="G3" i="16"/>
  <c r="T6" i="9"/>
  <c r="T6" i="10" s="1"/>
  <c r="AO7" i="17"/>
  <c r="AO7" i="16" s="1"/>
  <c r="AO7" i="14" s="1"/>
  <c r="H6" i="17"/>
  <c r="H6" i="16" s="1"/>
  <c r="M13" i="12"/>
  <c r="K4" i="11"/>
  <c r="K4" i="12" s="1"/>
  <c r="P11" i="17"/>
  <c r="P11" i="16" s="1"/>
  <c r="B9" i="12"/>
  <c r="AI13" i="16"/>
  <c r="AF20" i="12"/>
  <c r="Q10" i="17"/>
  <c r="Q10" i="16" s="1"/>
  <c r="Q10" i="14" s="1"/>
  <c r="G16" i="12"/>
  <c r="D20" i="17"/>
  <c r="D20" i="16" s="1"/>
  <c r="AE14" i="16"/>
  <c r="AE14" i="14" s="1"/>
  <c r="L18" i="16"/>
  <c r="K14" i="16"/>
  <c r="K14" i="14" s="1"/>
  <c r="I5" i="12"/>
  <c r="AG12" i="17"/>
  <c r="AG12" i="16" s="1"/>
  <c r="AG13" i="26" s="1"/>
  <c r="Z15" i="17"/>
  <c r="Z15" i="16" s="1"/>
  <c r="I5" i="31"/>
  <c r="I5" i="32" s="1"/>
  <c r="M13" i="16"/>
  <c r="I6" i="12"/>
  <c r="AJ4" i="16"/>
  <c r="AJ4" i="14" s="1"/>
  <c r="AF20" i="16"/>
  <c r="AI7" i="11"/>
  <c r="AI7" i="12" s="1"/>
  <c r="G16" i="9"/>
  <c r="G16" i="10" s="1"/>
  <c r="L18" i="12"/>
  <c r="D20" i="31"/>
  <c r="D20" i="32" s="1"/>
  <c r="AI7" i="31"/>
  <c r="AI7" i="32" s="1"/>
  <c r="D20" i="9"/>
  <c r="D20" i="10" s="1"/>
  <c r="G16" i="31"/>
  <c r="G16" i="32" s="1"/>
  <c r="P17" i="9"/>
  <c r="P17" i="10" s="1"/>
  <c r="AB14" i="16"/>
  <c r="AB14" i="14" s="1"/>
  <c r="AC9" i="11"/>
  <c r="AC9" i="12" s="1"/>
  <c r="AG8" i="12"/>
  <c r="H6" i="31"/>
  <c r="H6" i="32" s="1"/>
  <c r="F63" i="4"/>
  <c r="AG3" i="17"/>
  <c r="AG3" i="16" s="1"/>
  <c r="AG4" i="26" s="1"/>
  <c r="AC14" i="16"/>
  <c r="AC14" i="14" s="1"/>
  <c r="H6" i="9"/>
  <c r="H6" i="10" s="1"/>
  <c r="K10" i="31"/>
  <c r="K10" i="32" s="1"/>
  <c r="AN5" i="16"/>
  <c r="P17" i="11"/>
  <c r="P17" i="17" s="1"/>
  <c r="P17" i="16" s="1"/>
  <c r="O6" i="9"/>
  <c r="O6" i="10" s="1"/>
  <c r="O6" i="11"/>
  <c r="O6" i="12" s="1"/>
  <c r="AF19" i="9"/>
  <c r="AF19" i="10" s="1"/>
  <c r="P9" i="9"/>
  <c r="P9" i="10" s="1"/>
  <c r="Z15" i="9"/>
  <c r="Z15" i="10" s="1"/>
  <c r="Z15" i="31"/>
  <c r="Z15" i="32" s="1"/>
  <c r="P9" i="31"/>
  <c r="P9" i="32" s="1"/>
  <c r="I5" i="9"/>
  <c r="I5" i="10" s="1"/>
  <c r="AF4" i="16"/>
  <c r="AF4" i="14" s="1"/>
  <c r="V14" i="11"/>
  <c r="V14" i="12" s="1"/>
  <c r="M8" i="9"/>
  <c r="M8" i="10" s="1"/>
  <c r="M8" i="11"/>
  <c r="M8" i="31"/>
  <c r="M8" i="32" s="1"/>
  <c r="AC9" i="31"/>
  <c r="AC9" i="32" s="1"/>
  <c r="AE11" i="9"/>
  <c r="AE11" i="10" s="1"/>
  <c r="S16" i="16"/>
  <c r="S16" i="14" s="1"/>
  <c r="K10" i="12"/>
  <c r="K10" i="9"/>
  <c r="K10" i="10" s="1"/>
  <c r="AE11" i="11"/>
  <c r="AE11" i="17" s="1"/>
  <c r="AE11" i="16" s="1"/>
  <c r="U10" i="16"/>
  <c r="U11" i="26" s="1"/>
  <c r="AO8" i="9"/>
  <c r="AO8" i="10" s="1"/>
  <c r="AO8" i="31"/>
  <c r="AO8" i="32" s="1"/>
  <c r="F19" i="11"/>
  <c r="F19" i="12" s="1"/>
  <c r="F19" i="31"/>
  <c r="F19" i="32" s="1"/>
  <c r="F5" i="11"/>
  <c r="F5" i="17" s="1"/>
  <c r="F5" i="16" s="1"/>
  <c r="F5" i="31"/>
  <c r="F5" i="32" s="1"/>
  <c r="S22" i="11"/>
  <c r="S22" i="12" s="1"/>
  <c r="N20" i="11"/>
  <c r="N20" i="9"/>
  <c r="N20" i="10" s="1"/>
  <c r="N20" i="31"/>
  <c r="N20" i="32" s="1"/>
  <c r="AI14" i="11"/>
  <c r="AI14" i="17" s="1"/>
  <c r="AI14" i="16" s="1"/>
  <c r="S22" i="31"/>
  <c r="S22" i="32" s="1"/>
  <c r="V14" i="31"/>
  <c r="V14" i="32" s="1"/>
  <c r="M16" i="31"/>
  <c r="M16" i="32" s="1"/>
  <c r="AF19" i="11"/>
  <c r="AF19" i="12" s="1"/>
  <c r="M16" i="9"/>
  <c r="M16" i="10" s="1"/>
  <c r="I13" i="31"/>
  <c r="I13" i="32" s="1"/>
  <c r="I13" i="11"/>
  <c r="D48" i="4"/>
  <c r="U21" i="14" l="1"/>
  <c r="AO22" i="17"/>
  <c r="AO22" i="16" s="1"/>
  <c r="AO23" i="26" s="1"/>
  <c r="AF22" i="12"/>
  <c r="AB21" i="12"/>
  <c r="AB22" i="26" s="1"/>
  <c r="AM20" i="14"/>
  <c r="AN21" i="17"/>
  <c r="AN21" i="16" s="1"/>
  <c r="AN22" i="26" s="1"/>
  <c r="H3" i="12"/>
  <c r="H4" i="26" s="1"/>
  <c r="Z22" i="17"/>
  <c r="Z22" i="16" s="1"/>
  <c r="Z23" i="26" s="1"/>
  <c r="E22" i="17"/>
  <c r="E22" i="16" s="1"/>
  <c r="E23" i="26" s="1"/>
  <c r="H22" i="17"/>
  <c r="H22" i="16" s="1"/>
  <c r="H23" i="26" s="1"/>
  <c r="F4" i="17"/>
  <c r="F4" i="16" s="1"/>
  <c r="F4" i="14" s="1"/>
  <c r="L11" i="26"/>
  <c r="AA22" i="12"/>
  <c r="AA22" i="14" s="1"/>
  <c r="AO21" i="17"/>
  <c r="AO21" i="16" s="1"/>
  <c r="AO21" i="14" s="1"/>
  <c r="M22" i="17"/>
  <c r="M22" i="16" s="1"/>
  <c r="M23" i="26" s="1"/>
  <c r="AK12" i="14"/>
  <c r="AH21" i="12"/>
  <c r="AH22" i="26" s="1"/>
  <c r="Y22" i="17"/>
  <c r="Y22" i="16" s="1"/>
  <c r="Y23" i="26" s="1"/>
  <c r="U13" i="14"/>
  <c r="AI21" i="12"/>
  <c r="AI22" i="26" s="1"/>
  <c r="AB12" i="14"/>
  <c r="AA11" i="26"/>
  <c r="C21" i="17"/>
  <c r="C21" i="16" s="1"/>
  <c r="C21" i="14" s="1"/>
  <c r="H21" i="17"/>
  <c r="H21" i="16" s="1"/>
  <c r="H21" i="14" s="1"/>
  <c r="O22" i="17"/>
  <c r="O22" i="16" s="1"/>
  <c r="O23" i="26" s="1"/>
  <c r="K21" i="17"/>
  <c r="K21" i="16" s="1"/>
  <c r="K21" i="14" s="1"/>
  <c r="AD22" i="12"/>
  <c r="AD22" i="14" s="1"/>
  <c r="Y21" i="17"/>
  <c r="Y21" i="16" s="1"/>
  <c r="Y22" i="26" s="1"/>
  <c r="C22" i="12"/>
  <c r="C23" i="26" s="1"/>
  <c r="P22" i="12"/>
  <c r="P23" i="26" s="1"/>
  <c r="Z21" i="26"/>
  <c r="AM14" i="14"/>
  <c r="T22" i="12"/>
  <c r="T22" i="14" s="1"/>
  <c r="V21" i="17"/>
  <c r="V21" i="16" s="1"/>
  <c r="V21" i="14" s="1"/>
  <c r="W22" i="17"/>
  <c r="W22" i="16" s="1"/>
  <c r="W22" i="14" s="1"/>
  <c r="AC22" i="17"/>
  <c r="AC22" i="16" s="1"/>
  <c r="AC23" i="26" s="1"/>
  <c r="T21" i="12"/>
  <c r="T22" i="26" s="1"/>
  <c r="AI23" i="26"/>
  <c r="E22" i="26"/>
  <c r="AJ16" i="26"/>
  <c r="AC21" i="12"/>
  <c r="AC21" i="14" s="1"/>
  <c r="M22" i="26"/>
  <c r="AE22" i="26"/>
  <c r="AJ22" i="12"/>
  <c r="AJ22" i="14" s="1"/>
  <c r="P21" i="17"/>
  <c r="P21" i="16" s="1"/>
  <c r="P21" i="14" s="1"/>
  <c r="I22" i="14"/>
  <c r="AJ21" i="14"/>
  <c r="AA17" i="14"/>
  <c r="R21" i="17"/>
  <c r="R21" i="16" s="1"/>
  <c r="R21" i="14" s="1"/>
  <c r="L21" i="14"/>
  <c r="Z18" i="17"/>
  <c r="Z18" i="16" s="1"/>
  <c r="Z18" i="14" s="1"/>
  <c r="AK23" i="26"/>
  <c r="S19" i="26"/>
  <c r="Q21" i="26"/>
  <c r="N21" i="14"/>
  <c r="C18" i="14"/>
  <c r="AI20" i="14"/>
  <c r="N22" i="14"/>
  <c r="AO19" i="14"/>
  <c r="AF22" i="14"/>
  <c r="D13" i="26"/>
  <c r="R22" i="14"/>
  <c r="L10" i="14"/>
  <c r="C20" i="14"/>
  <c r="M19" i="14"/>
  <c r="O21" i="14"/>
  <c r="U23" i="26"/>
  <c r="B21" i="14"/>
  <c r="S13" i="14"/>
  <c r="H3" i="14"/>
  <c r="S21" i="14"/>
  <c r="AG22" i="26"/>
  <c r="D22" i="17"/>
  <c r="D22" i="16" s="1"/>
  <c r="D22" i="14" s="1"/>
  <c r="AL22" i="26"/>
  <c r="AN6" i="14"/>
  <c r="AG19" i="14"/>
  <c r="AF20" i="14"/>
  <c r="Q21" i="14"/>
  <c r="AL23" i="26"/>
  <c r="J21" i="14"/>
  <c r="J23" i="26"/>
  <c r="D20" i="14"/>
  <c r="B9" i="26"/>
  <c r="B19" i="14"/>
  <c r="Y20" i="14"/>
  <c r="I21" i="17"/>
  <c r="I21" i="16" s="1"/>
  <c r="I21" i="12"/>
  <c r="B22" i="12"/>
  <c r="B22" i="17"/>
  <c r="B22" i="16" s="1"/>
  <c r="X21" i="17"/>
  <c r="X21" i="16" s="1"/>
  <c r="X21" i="12"/>
  <c r="E20" i="14"/>
  <c r="W19" i="14"/>
  <c r="L22" i="14"/>
  <c r="G19" i="14"/>
  <c r="K22" i="14"/>
  <c r="W20" i="14"/>
  <c r="G20" i="14"/>
  <c r="S28" i="12"/>
  <c r="S28" i="17"/>
  <c r="S28" i="16" s="1"/>
  <c r="AN28" i="12"/>
  <c r="AN28" i="17"/>
  <c r="AN28" i="16" s="1"/>
  <c r="AL28" i="12"/>
  <c r="AL28" i="17"/>
  <c r="AL28" i="16" s="1"/>
  <c r="I27" i="12"/>
  <c r="I27" i="17"/>
  <c r="I27" i="16" s="1"/>
  <c r="L28" i="12"/>
  <c r="L28" i="17"/>
  <c r="L28" i="16" s="1"/>
  <c r="M28" i="12"/>
  <c r="M28" i="17"/>
  <c r="M28" i="16" s="1"/>
  <c r="S25" i="12"/>
  <c r="S25" i="17"/>
  <c r="S25" i="16" s="1"/>
  <c r="J29" i="12"/>
  <c r="J29" i="17"/>
  <c r="J29" i="16" s="1"/>
  <c r="R27" i="12"/>
  <c r="R27" i="17"/>
  <c r="R27" i="16" s="1"/>
  <c r="R30" i="12"/>
  <c r="R30" i="17"/>
  <c r="G31" i="12"/>
  <c r="G31" i="17"/>
  <c r="D26" i="12"/>
  <c r="D26" i="17"/>
  <c r="D26" i="16" s="1"/>
  <c r="AL26" i="12"/>
  <c r="AL26" i="17"/>
  <c r="AL26" i="16" s="1"/>
  <c r="AK27" i="12"/>
  <c r="AK27" i="17"/>
  <c r="AK27" i="16" s="1"/>
  <c r="AK23" i="12"/>
  <c r="AK23" i="17"/>
  <c r="AK23" i="16" s="1"/>
  <c r="AB19" i="14"/>
  <c r="AJ28" i="12"/>
  <c r="AJ28" i="17"/>
  <c r="AJ28" i="16" s="1"/>
  <c r="X28" i="12"/>
  <c r="X28" i="17"/>
  <c r="X28" i="16" s="1"/>
  <c r="K24" i="12"/>
  <c r="K24" i="17"/>
  <c r="K24" i="16" s="1"/>
  <c r="AH26" i="12"/>
  <c r="AH26" i="17"/>
  <c r="AH26" i="16" s="1"/>
  <c r="U31" i="12"/>
  <c r="U31" i="17"/>
  <c r="AL30" i="12"/>
  <c r="AL30" i="17"/>
  <c r="Y31" i="12"/>
  <c r="Y31" i="17"/>
  <c r="F26" i="12"/>
  <c r="F26" i="17"/>
  <c r="F26" i="16" s="1"/>
  <c r="AM19" i="14"/>
  <c r="C30" i="12"/>
  <c r="C30" i="17"/>
  <c r="N24" i="12"/>
  <c r="N24" i="17"/>
  <c r="N24" i="16" s="1"/>
  <c r="AB28" i="12"/>
  <c r="AB28" i="17"/>
  <c r="AB28" i="16" s="1"/>
  <c r="AK26" i="12"/>
  <c r="AK26" i="17"/>
  <c r="AK26" i="16" s="1"/>
  <c r="E26" i="12"/>
  <c r="E26" i="17"/>
  <c r="E26" i="16" s="1"/>
  <c r="AJ24" i="12"/>
  <c r="AJ24" i="17"/>
  <c r="AJ24" i="16" s="1"/>
  <c r="G27" i="12"/>
  <c r="G27" i="17"/>
  <c r="G27" i="16" s="1"/>
  <c r="M23" i="12"/>
  <c r="M23" i="17"/>
  <c r="M23" i="16" s="1"/>
  <c r="F25" i="12"/>
  <c r="F25" i="17"/>
  <c r="F25" i="16" s="1"/>
  <c r="H31" i="12"/>
  <c r="H31" i="17"/>
  <c r="AL24" i="12"/>
  <c r="AL24" i="17"/>
  <c r="AL24" i="16" s="1"/>
  <c r="P25" i="12"/>
  <c r="P25" i="17"/>
  <c r="P25" i="16" s="1"/>
  <c r="E31" i="12"/>
  <c r="E31" i="17"/>
  <c r="AG21" i="14"/>
  <c r="D21" i="14"/>
  <c r="H19" i="14"/>
  <c r="T19" i="14"/>
  <c r="Z21" i="14"/>
  <c r="AA19" i="14"/>
  <c r="L30" i="12"/>
  <c r="L30" i="17"/>
  <c r="U24" i="12"/>
  <c r="U24" i="17"/>
  <c r="U24" i="16" s="1"/>
  <c r="AH29" i="12"/>
  <c r="AH29" i="17"/>
  <c r="AH29" i="16" s="1"/>
  <c r="AF25" i="12"/>
  <c r="AF25" i="17"/>
  <c r="AF25" i="16" s="1"/>
  <c r="AE28" i="12"/>
  <c r="AE28" i="17"/>
  <c r="AE28" i="16" s="1"/>
  <c r="U25" i="12"/>
  <c r="U25" i="17"/>
  <c r="U25" i="16" s="1"/>
  <c r="AD27" i="12"/>
  <c r="AD27" i="17"/>
  <c r="AD27" i="16" s="1"/>
  <c r="U29" i="12"/>
  <c r="U29" i="17"/>
  <c r="U29" i="16" s="1"/>
  <c r="C25" i="12"/>
  <c r="C25" i="17"/>
  <c r="C25" i="16" s="1"/>
  <c r="P23" i="12"/>
  <c r="P23" i="17"/>
  <c r="P23" i="16" s="1"/>
  <c r="K26" i="12"/>
  <c r="K26" i="17"/>
  <c r="K26" i="16" s="1"/>
  <c r="G24" i="12"/>
  <c r="G24" i="17"/>
  <c r="G24" i="16" s="1"/>
  <c r="AM23" i="12"/>
  <c r="AM23" i="17"/>
  <c r="AM23" i="16" s="1"/>
  <c r="AD23" i="12"/>
  <c r="AD23" i="17"/>
  <c r="AD23" i="16" s="1"/>
  <c r="J28" i="12"/>
  <c r="J28" i="17"/>
  <c r="J28" i="16" s="1"/>
  <c r="S27" i="12"/>
  <c r="S27" i="17"/>
  <c r="S27" i="16" s="1"/>
  <c r="AE31" i="12"/>
  <c r="AE31" i="17"/>
  <c r="D24" i="12"/>
  <c r="D24" i="17"/>
  <c r="D24" i="16" s="1"/>
  <c r="AA31" i="12"/>
  <c r="AA31" i="17"/>
  <c r="AB23" i="17"/>
  <c r="AB23" i="16" s="1"/>
  <c r="AB23" i="12"/>
  <c r="Y29" i="12"/>
  <c r="Y29" i="17"/>
  <c r="Y29" i="16" s="1"/>
  <c r="Z28" i="12"/>
  <c r="Z28" i="17"/>
  <c r="Z28" i="16" s="1"/>
  <c r="T26" i="12"/>
  <c r="T26" i="17"/>
  <c r="T26" i="16" s="1"/>
  <c r="I29" i="12"/>
  <c r="I29" i="17"/>
  <c r="I29" i="16" s="1"/>
  <c r="T27" i="12"/>
  <c r="T27" i="17"/>
  <c r="T27" i="16" s="1"/>
  <c r="L24" i="17"/>
  <c r="L24" i="16" s="1"/>
  <c r="L24" i="12"/>
  <c r="Y24" i="12"/>
  <c r="Y24" i="17"/>
  <c r="Y24" i="16" s="1"/>
  <c r="AH24" i="12"/>
  <c r="AH24" i="17"/>
  <c r="AH24" i="16" s="1"/>
  <c r="I24" i="12"/>
  <c r="I24" i="17"/>
  <c r="I24" i="16" s="1"/>
  <c r="AL20" i="14"/>
  <c r="X26" i="12"/>
  <c r="X26" i="17"/>
  <c r="X26" i="16" s="1"/>
  <c r="D25" i="12"/>
  <c r="D25" i="17"/>
  <c r="D25" i="16" s="1"/>
  <c r="AC25" i="12"/>
  <c r="AC25" i="17"/>
  <c r="AC25" i="16" s="1"/>
  <c r="AE27" i="12"/>
  <c r="AE27" i="17"/>
  <c r="AE27" i="16" s="1"/>
  <c r="AI27" i="12"/>
  <c r="AI27" i="17"/>
  <c r="AI27" i="16" s="1"/>
  <c r="AO24" i="12"/>
  <c r="AO24" i="17"/>
  <c r="AO24" i="16" s="1"/>
  <c r="K27" i="12"/>
  <c r="K27" i="17"/>
  <c r="K27" i="16" s="1"/>
  <c r="AA30" i="12"/>
  <c r="AA30" i="17"/>
  <c r="H27" i="12"/>
  <c r="H27" i="17"/>
  <c r="H27" i="16" s="1"/>
  <c r="AC29" i="12"/>
  <c r="AC29" i="17"/>
  <c r="AC29" i="16" s="1"/>
  <c r="AO29" i="12"/>
  <c r="AO29" i="17"/>
  <c r="AO29" i="16" s="1"/>
  <c r="J20" i="14"/>
  <c r="AJ26" i="12"/>
  <c r="AJ26" i="17"/>
  <c r="AJ26" i="16" s="1"/>
  <c r="AN24" i="12"/>
  <c r="AN24" i="17"/>
  <c r="AN24" i="16" s="1"/>
  <c r="AN31" i="12"/>
  <c r="AN31" i="17"/>
  <c r="AD25" i="12"/>
  <c r="AD25" i="17"/>
  <c r="AD25" i="16" s="1"/>
  <c r="AG23" i="12"/>
  <c r="AG23" i="17"/>
  <c r="AG23" i="16" s="1"/>
  <c r="AF31" i="12"/>
  <c r="AF31" i="17"/>
  <c r="V25" i="12"/>
  <c r="V25" i="17"/>
  <c r="V25" i="16" s="1"/>
  <c r="AK31" i="12"/>
  <c r="AK31" i="17"/>
  <c r="N25" i="12"/>
  <c r="N25" i="17"/>
  <c r="N25" i="16" s="1"/>
  <c r="AG28" i="12"/>
  <c r="AG28" i="17"/>
  <c r="AG28" i="16" s="1"/>
  <c r="AO25" i="12"/>
  <c r="AO25" i="17"/>
  <c r="AO25" i="16" s="1"/>
  <c r="Q28" i="12"/>
  <c r="Q28" i="17"/>
  <c r="Q28" i="16" s="1"/>
  <c r="O28" i="12"/>
  <c r="O28" i="17"/>
  <c r="O28" i="16" s="1"/>
  <c r="L20" i="14"/>
  <c r="AC27" i="12"/>
  <c r="AC27" i="17"/>
  <c r="AC27" i="16" s="1"/>
  <c r="G28" i="12"/>
  <c r="G28" i="17"/>
  <c r="G28" i="16" s="1"/>
  <c r="K23" i="12"/>
  <c r="K23" i="17"/>
  <c r="K23" i="16" s="1"/>
  <c r="K31" i="12"/>
  <c r="K31" i="17"/>
  <c r="F30" i="12"/>
  <c r="F30" i="17"/>
  <c r="B30" i="12"/>
  <c r="B30" i="17"/>
  <c r="AN25" i="12"/>
  <c r="AN25" i="17"/>
  <c r="AN25" i="16" s="1"/>
  <c r="H24" i="12"/>
  <c r="H24" i="17"/>
  <c r="H24" i="16" s="1"/>
  <c r="AL27" i="12"/>
  <c r="AL27" i="17"/>
  <c r="AL27" i="16" s="1"/>
  <c r="I26" i="12"/>
  <c r="I26" i="17"/>
  <c r="I26" i="16" s="1"/>
  <c r="O19" i="14"/>
  <c r="AM25" i="12"/>
  <c r="AM25" i="17"/>
  <c r="AM25" i="16" s="1"/>
  <c r="O29" i="12"/>
  <c r="O29" i="17"/>
  <c r="O29" i="16" s="1"/>
  <c r="X24" i="12"/>
  <c r="X24" i="17"/>
  <c r="X24" i="16" s="1"/>
  <c r="AD26" i="12"/>
  <c r="AD26" i="17"/>
  <c r="AD26" i="16" s="1"/>
  <c r="AG24" i="12"/>
  <c r="AG24" i="17"/>
  <c r="AG24" i="16" s="1"/>
  <c r="AM31" i="12"/>
  <c r="AM31" i="17"/>
  <c r="S30" i="12"/>
  <c r="S30" i="17"/>
  <c r="AN30" i="12"/>
  <c r="AN30" i="17"/>
  <c r="AJ23" i="12"/>
  <c r="AJ23" i="17"/>
  <c r="AJ23" i="16" s="1"/>
  <c r="O31" i="12"/>
  <c r="O31" i="17"/>
  <c r="H23" i="12"/>
  <c r="H23" i="17"/>
  <c r="H23" i="16" s="1"/>
  <c r="AG27" i="12"/>
  <c r="AG27" i="17"/>
  <c r="AG27" i="16" s="1"/>
  <c r="J27" i="12"/>
  <c r="J27" i="17"/>
  <c r="J27" i="16" s="1"/>
  <c r="L27" i="12"/>
  <c r="L27" i="17"/>
  <c r="L27" i="16" s="1"/>
  <c r="AC23" i="12"/>
  <c r="AC23" i="17"/>
  <c r="AC23" i="16" s="1"/>
  <c r="R31" i="12"/>
  <c r="R31" i="17"/>
  <c r="W30" i="12"/>
  <c r="W30" i="17"/>
  <c r="C27" i="12"/>
  <c r="C27" i="17"/>
  <c r="C27" i="16" s="1"/>
  <c r="W28" i="12"/>
  <c r="W28" i="17"/>
  <c r="W28" i="16" s="1"/>
  <c r="K25" i="12"/>
  <c r="K25" i="17"/>
  <c r="K25" i="16" s="1"/>
  <c r="AD30" i="12"/>
  <c r="AD30" i="17"/>
  <c r="W24" i="12"/>
  <c r="W24" i="17"/>
  <c r="W24" i="16" s="1"/>
  <c r="AC19" i="14"/>
  <c r="N19" i="14"/>
  <c r="AB20" i="14"/>
  <c r="R19" i="14"/>
  <c r="B29" i="12"/>
  <c r="B29" i="17"/>
  <c r="B29" i="16" s="1"/>
  <c r="T23" i="17"/>
  <c r="T23" i="16" s="1"/>
  <c r="T23" i="12"/>
  <c r="Y23" i="12"/>
  <c r="Y23" i="17"/>
  <c r="Y23" i="16" s="1"/>
  <c r="X31" i="12"/>
  <c r="X31" i="17"/>
  <c r="Q23" i="12"/>
  <c r="Q23" i="17"/>
  <c r="Q23" i="16" s="1"/>
  <c r="E30" i="12"/>
  <c r="E30" i="17"/>
  <c r="AM28" i="12"/>
  <c r="AM28" i="17"/>
  <c r="AM28" i="16" s="1"/>
  <c r="AA25" i="12"/>
  <c r="AA25" i="17"/>
  <c r="AA25" i="16" s="1"/>
  <c r="W23" i="12"/>
  <c r="W23" i="17"/>
  <c r="W23" i="16" s="1"/>
  <c r="C29" i="12"/>
  <c r="C29" i="17"/>
  <c r="C29" i="16" s="1"/>
  <c r="V29" i="12"/>
  <c r="V29" i="17"/>
  <c r="V29" i="16" s="1"/>
  <c r="O23" i="12"/>
  <c r="O23" i="17"/>
  <c r="O23" i="16" s="1"/>
  <c r="F27" i="12"/>
  <c r="F27" i="17"/>
  <c r="F27" i="16" s="1"/>
  <c r="AF27" i="12"/>
  <c r="AF27" i="17"/>
  <c r="AF27" i="16" s="1"/>
  <c r="I28" i="12"/>
  <c r="I28" i="17"/>
  <c r="I28" i="16" s="1"/>
  <c r="I31" i="12"/>
  <c r="I31" i="17"/>
  <c r="N30" i="12"/>
  <c r="N30" i="17"/>
  <c r="H30" i="12"/>
  <c r="H30" i="17"/>
  <c r="B24" i="12"/>
  <c r="B24" i="17"/>
  <c r="B24" i="16" s="1"/>
  <c r="AE30" i="12"/>
  <c r="AE30" i="17"/>
  <c r="U28" i="12"/>
  <c r="U28" i="17"/>
  <c r="U28" i="16" s="1"/>
  <c r="O27" i="12"/>
  <c r="O27" i="17"/>
  <c r="O27" i="16" s="1"/>
  <c r="C24" i="17"/>
  <c r="C24" i="16" s="1"/>
  <c r="C24" i="12"/>
  <c r="L29" i="12"/>
  <c r="L29" i="17"/>
  <c r="L29" i="16" s="1"/>
  <c r="AN27" i="12"/>
  <c r="AN27" i="17"/>
  <c r="AN27" i="16" s="1"/>
  <c r="AJ25" i="12"/>
  <c r="AJ25" i="17"/>
  <c r="AJ25" i="16" s="1"/>
  <c r="O26" i="12"/>
  <c r="O26" i="17"/>
  <c r="O26" i="16" s="1"/>
  <c r="AK25" i="12"/>
  <c r="AK25" i="17"/>
  <c r="AK25" i="16" s="1"/>
  <c r="V27" i="12"/>
  <c r="V27" i="17"/>
  <c r="V27" i="16" s="1"/>
  <c r="U19" i="14"/>
  <c r="D19" i="14"/>
  <c r="AI29" i="12"/>
  <c r="AI29" i="17"/>
  <c r="AI29" i="16" s="1"/>
  <c r="AD28" i="12"/>
  <c r="AD28" i="17"/>
  <c r="AD28" i="16" s="1"/>
  <c r="AO26" i="12"/>
  <c r="AO26" i="17"/>
  <c r="AO26" i="16" s="1"/>
  <c r="AK28" i="12"/>
  <c r="AK28" i="17"/>
  <c r="AK28" i="16" s="1"/>
  <c r="S24" i="17"/>
  <c r="S24" i="16" s="1"/>
  <c r="S24" i="12"/>
  <c r="S29" i="12"/>
  <c r="S29" i="17"/>
  <c r="S29" i="16" s="1"/>
  <c r="P28" i="12"/>
  <c r="P28" i="17"/>
  <c r="P28" i="16" s="1"/>
  <c r="N28" i="12"/>
  <c r="N28" i="17"/>
  <c r="N28" i="16" s="1"/>
  <c r="AD24" i="12"/>
  <c r="AD24" i="17"/>
  <c r="AD24" i="16" s="1"/>
  <c r="AI31" i="12"/>
  <c r="AI31" i="17"/>
  <c r="W31" i="12"/>
  <c r="W31" i="17"/>
  <c r="Z30" i="12"/>
  <c r="Z30" i="17"/>
  <c r="S26" i="12"/>
  <c r="S26" i="17"/>
  <c r="S26" i="16" s="1"/>
  <c r="E27" i="12"/>
  <c r="E27" i="17"/>
  <c r="E27" i="16" s="1"/>
  <c r="C23" i="12"/>
  <c r="C23" i="17"/>
  <c r="C23" i="16" s="1"/>
  <c r="M27" i="12"/>
  <c r="M27" i="17"/>
  <c r="M27" i="16" s="1"/>
  <c r="G25" i="12"/>
  <c r="G25" i="17"/>
  <c r="G25" i="16" s="1"/>
  <c r="J31" i="12"/>
  <c r="J31" i="17"/>
  <c r="O30" i="12"/>
  <c r="O30" i="17"/>
  <c r="Y28" i="12"/>
  <c r="Y28" i="17"/>
  <c r="Y28" i="16" s="1"/>
  <c r="G23" i="12"/>
  <c r="G23" i="17"/>
  <c r="G23" i="16" s="1"/>
  <c r="K30" i="12"/>
  <c r="K30" i="17"/>
  <c r="Z24" i="12"/>
  <c r="Z24" i="17"/>
  <c r="Z24" i="16" s="1"/>
  <c r="AO20" i="14"/>
  <c r="AH22" i="14"/>
  <c r="H20" i="14"/>
  <c r="AE29" i="12"/>
  <c r="AE29" i="17"/>
  <c r="AE29" i="16" s="1"/>
  <c r="AI24" i="12"/>
  <c r="AI24" i="17"/>
  <c r="AI24" i="16" s="1"/>
  <c r="U27" i="12"/>
  <c r="U27" i="17"/>
  <c r="U27" i="16" s="1"/>
  <c r="D23" i="17"/>
  <c r="D23" i="16" s="1"/>
  <c r="D23" i="12"/>
  <c r="AO28" i="12"/>
  <c r="AO28" i="17"/>
  <c r="AO28" i="16" s="1"/>
  <c r="AB31" i="12"/>
  <c r="AB31" i="17"/>
  <c r="AH27" i="12"/>
  <c r="AH27" i="17"/>
  <c r="AH27" i="16" s="1"/>
  <c r="AB25" i="12"/>
  <c r="AB25" i="17"/>
  <c r="AB25" i="16" s="1"/>
  <c r="T31" i="12"/>
  <c r="T31" i="17"/>
  <c r="AB30" i="12"/>
  <c r="AB30" i="17"/>
  <c r="J30" i="12"/>
  <c r="J30" i="17"/>
  <c r="M30" i="12"/>
  <c r="M30" i="17"/>
  <c r="AI25" i="12"/>
  <c r="AI25" i="17"/>
  <c r="AI25" i="16" s="1"/>
  <c r="Q27" i="12"/>
  <c r="Q27" i="17"/>
  <c r="Q27" i="16" s="1"/>
  <c r="B28" i="12"/>
  <c r="B28" i="17"/>
  <c r="B28" i="16" s="1"/>
  <c r="R26" i="12"/>
  <c r="R26" i="17"/>
  <c r="R26" i="16" s="1"/>
  <c r="D30" i="12"/>
  <c r="D30" i="17"/>
  <c r="X27" i="12"/>
  <c r="X27" i="17"/>
  <c r="X27" i="16" s="1"/>
  <c r="T25" i="12"/>
  <c r="T25" i="17"/>
  <c r="T25" i="16" s="1"/>
  <c r="AG25" i="12"/>
  <c r="AG25" i="17"/>
  <c r="AG25" i="16" s="1"/>
  <c r="Y19" i="14"/>
  <c r="B26" i="12"/>
  <c r="B26" i="17"/>
  <c r="B26" i="16" s="1"/>
  <c r="T30" i="12"/>
  <c r="T30" i="17"/>
  <c r="AF28" i="12"/>
  <c r="AF28" i="17"/>
  <c r="AF28" i="16" s="1"/>
  <c r="Q29" i="12"/>
  <c r="Q29" i="17"/>
  <c r="Q29" i="16" s="1"/>
  <c r="Y26" i="12"/>
  <c r="Y26" i="17"/>
  <c r="Y26" i="16" s="1"/>
  <c r="AC24" i="12"/>
  <c r="AC24" i="17"/>
  <c r="AC24" i="16" s="1"/>
  <c r="T24" i="12"/>
  <c r="T24" i="17"/>
  <c r="T24" i="16" s="1"/>
  <c r="Z26" i="12"/>
  <c r="Z26" i="17"/>
  <c r="Z26" i="16" s="1"/>
  <c r="W26" i="12"/>
  <c r="W26" i="17"/>
  <c r="W26" i="16" s="1"/>
  <c r="B31" i="12"/>
  <c r="B31" i="17"/>
  <c r="G30" i="12"/>
  <c r="G30" i="17"/>
  <c r="AN26" i="12"/>
  <c r="AN26" i="17"/>
  <c r="AN26" i="16" s="1"/>
  <c r="G26" i="12"/>
  <c r="G26" i="17"/>
  <c r="G26" i="16" s="1"/>
  <c r="O24" i="12"/>
  <c r="O24" i="17"/>
  <c r="O24" i="16" s="1"/>
  <c r="E29" i="12"/>
  <c r="E29" i="17"/>
  <c r="E29" i="16" s="1"/>
  <c r="AM27" i="12"/>
  <c r="AM27" i="17"/>
  <c r="AM27" i="16" s="1"/>
  <c r="L31" i="12"/>
  <c r="L31" i="17"/>
  <c r="AK24" i="12"/>
  <c r="AK24" i="17"/>
  <c r="AK24" i="16" s="1"/>
  <c r="E24" i="12"/>
  <c r="E24" i="17"/>
  <c r="E24" i="16" s="1"/>
  <c r="AB24" i="12"/>
  <c r="AB24" i="17"/>
  <c r="AB24" i="16" s="1"/>
  <c r="AM26" i="12"/>
  <c r="AM26" i="17"/>
  <c r="AM26" i="16" s="1"/>
  <c r="AM24" i="12"/>
  <c r="AM24" i="17"/>
  <c r="AM24" i="16" s="1"/>
  <c r="N29" i="12"/>
  <c r="N29" i="17"/>
  <c r="N29" i="16" s="1"/>
  <c r="J23" i="12"/>
  <c r="J23" i="17"/>
  <c r="J23" i="16" s="1"/>
  <c r="AF30" i="12"/>
  <c r="AF30" i="17"/>
  <c r="I19" i="14"/>
  <c r="AI19" i="14"/>
  <c r="AJ20" i="14"/>
  <c r="M29" i="12"/>
  <c r="M29" i="17"/>
  <c r="M29" i="16" s="1"/>
  <c r="AJ29" i="12"/>
  <c r="AJ29" i="17"/>
  <c r="AJ29" i="16" s="1"/>
  <c r="L23" i="12"/>
  <c r="L23" i="17"/>
  <c r="L23" i="16" s="1"/>
  <c r="AD29" i="12"/>
  <c r="AD29" i="17"/>
  <c r="AD29" i="16" s="1"/>
  <c r="X29" i="12"/>
  <c r="X29" i="17"/>
  <c r="X29" i="16" s="1"/>
  <c r="R23" i="12"/>
  <c r="R23" i="17"/>
  <c r="R23" i="16" s="1"/>
  <c r="AF23" i="17"/>
  <c r="AF23" i="16" s="1"/>
  <c r="AF23" i="12"/>
  <c r="AA28" i="12"/>
  <c r="AA28" i="17"/>
  <c r="AA28" i="16" s="1"/>
  <c r="F29" i="12"/>
  <c r="F29" i="17"/>
  <c r="F29" i="16" s="1"/>
  <c r="B23" i="12"/>
  <c r="B23" i="17"/>
  <c r="B23" i="16" s="1"/>
  <c r="N27" i="12"/>
  <c r="N27" i="17"/>
  <c r="N27" i="16" s="1"/>
  <c r="J24" i="12"/>
  <c r="J24" i="17"/>
  <c r="J24" i="16" s="1"/>
  <c r="AM30" i="12"/>
  <c r="AM30" i="17"/>
  <c r="AL23" i="12"/>
  <c r="AL23" i="17"/>
  <c r="AL23" i="16" s="1"/>
  <c r="H26" i="12"/>
  <c r="H26" i="17"/>
  <c r="H26" i="16" s="1"/>
  <c r="AG30" i="12"/>
  <c r="AG30" i="17"/>
  <c r="AE23" i="12"/>
  <c r="AE23" i="17"/>
  <c r="AE23" i="16" s="1"/>
  <c r="AG31" i="12"/>
  <c r="AG31" i="17"/>
  <c r="AA20" i="14"/>
  <c r="AJ27" i="12"/>
  <c r="AJ27" i="17"/>
  <c r="AJ27" i="16" s="1"/>
  <c r="AB26" i="12"/>
  <c r="AB26" i="17"/>
  <c r="AB26" i="16" s="1"/>
  <c r="D29" i="12"/>
  <c r="D29" i="17"/>
  <c r="D29" i="16" s="1"/>
  <c r="R28" i="12"/>
  <c r="R28" i="17"/>
  <c r="R28" i="16" s="1"/>
  <c r="L26" i="12"/>
  <c r="L26" i="17"/>
  <c r="L26" i="16" s="1"/>
  <c r="D31" i="12"/>
  <c r="D31" i="17"/>
  <c r="AG20" i="14"/>
  <c r="AK30" i="12"/>
  <c r="AK30" i="17"/>
  <c r="Q31" i="12"/>
  <c r="Q31" i="17"/>
  <c r="V30" i="12"/>
  <c r="V30" i="17"/>
  <c r="AO27" i="12"/>
  <c r="AO27" i="17"/>
  <c r="AO27" i="16" s="1"/>
  <c r="C28" i="12"/>
  <c r="C28" i="17"/>
  <c r="C28" i="16" s="1"/>
  <c r="I25" i="12"/>
  <c r="I25" i="17"/>
  <c r="I25" i="16" s="1"/>
  <c r="B27" i="12"/>
  <c r="B27" i="17"/>
  <c r="B27" i="16" s="1"/>
  <c r="Y30" i="12"/>
  <c r="Y30" i="17"/>
  <c r="N31" i="12"/>
  <c r="N31" i="17"/>
  <c r="J25" i="12"/>
  <c r="J25" i="17"/>
  <c r="J25" i="16" s="1"/>
  <c r="AK29" i="12"/>
  <c r="AK29" i="17"/>
  <c r="AK29" i="16" s="1"/>
  <c r="F31" i="12"/>
  <c r="F31" i="17"/>
  <c r="B25" i="12"/>
  <c r="B25" i="17"/>
  <c r="B25" i="16" s="1"/>
  <c r="AI28" i="12"/>
  <c r="AI28" i="17"/>
  <c r="AI28" i="16" s="1"/>
  <c r="T29" i="12"/>
  <c r="T29" i="17"/>
  <c r="T29" i="16" s="1"/>
  <c r="V24" i="12"/>
  <c r="V24" i="17"/>
  <c r="V24" i="16" s="1"/>
  <c r="AF26" i="12"/>
  <c r="AF26" i="17"/>
  <c r="AF26" i="16" s="1"/>
  <c r="AI22" i="14"/>
  <c r="AG29" i="12"/>
  <c r="AG29" i="17"/>
  <c r="AG29" i="16" s="1"/>
  <c r="AL31" i="12"/>
  <c r="AL31" i="17"/>
  <c r="AE25" i="12"/>
  <c r="AE25" i="17"/>
  <c r="AE25" i="16" s="1"/>
  <c r="AH31" i="12"/>
  <c r="AH31" i="17"/>
  <c r="AD31" i="12"/>
  <c r="AD31" i="17"/>
  <c r="W25" i="12"/>
  <c r="W25" i="17"/>
  <c r="W25" i="16" s="1"/>
  <c r="Z31" i="12"/>
  <c r="Z31" i="17"/>
  <c r="V31" i="12"/>
  <c r="V31" i="17"/>
  <c r="R25" i="12"/>
  <c r="R25" i="17"/>
  <c r="R25" i="16" s="1"/>
  <c r="O25" i="12"/>
  <c r="O25" i="17"/>
  <c r="O25" i="16" s="1"/>
  <c r="AI30" i="12"/>
  <c r="AI30" i="17"/>
  <c r="Z29" i="12"/>
  <c r="Z29" i="17"/>
  <c r="Z29" i="16" s="1"/>
  <c r="N23" i="12"/>
  <c r="N23" i="17"/>
  <c r="N23" i="16" s="1"/>
  <c r="E28" i="12"/>
  <c r="E28" i="17"/>
  <c r="E28" i="16" s="1"/>
  <c r="AA23" i="17"/>
  <c r="AA23" i="16" s="1"/>
  <c r="AA23" i="12"/>
  <c r="H29" i="12"/>
  <c r="H29" i="17"/>
  <c r="H29" i="16" s="1"/>
  <c r="D27" i="12"/>
  <c r="D27" i="17"/>
  <c r="D27" i="16" s="1"/>
  <c r="M24" i="12"/>
  <c r="M24" i="17"/>
  <c r="M24" i="16" s="1"/>
  <c r="P27" i="12"/>
  <c r="P27" i="17"/>
  <c r="P27" i="16" s="1"/>
  <c r="Y25" i="12"/>
  <c r="Y25" i="17"/>
  <c r="Y25" i="16" s="1"/>
  <c r="S31" i="12"/>
  <c r="S31" i="17"/>
  <c r="P30" i="12"/>
  <c r="P30" i="17"/>
  <c r="F24" i="12"/>
  <c r="F24" i="17"/>
  <c r="F24" i="16" s="1"/>
  <c r="AL29" i="12"/>
  <c r="AL29" i="17"/>
  <c r="AL29" i="16" s="1"/>
  <c r="AH23" i="12"/>
  <c r="AH23" i="17"/>
  <c r="AH23" i="16" s="1"/>
  <c r="K29" i="12"/>
  <c r="K29" i="17"/>
  <c r="K29" i="16" s="1"/>
  <c r="F28" i="12"/>
  <c r="F28" i="17"/>
  <c r="F28" i="16" s="1"/>
  <c r="AN23" i="17"/>
  <c r="AN23" i="16" s="1"/>
  <c r="AN23" i="12"/>
  <c r="N26" i="12"/>
  <c r="N26" i="17"/>
  <c r="N26" i="16" s="1"/>
  <c r="Z27" i="12"/>
  <c r="Z27" i="17"/>
  <c r="Z27" i="16" s="1"/>
  <c r="AL25" i="12"/>
  <c r="AL25" i="17"/>
  <c r="AL25" i="16" s="1"/>
  <c r="AH28" i="12"/>
  <c r="AH28" i="17"/>
  <c r="AH28" i="16" s="1"/>
  <c r="P24" i="12"/>
  <c r="P24" i="17"/>
  <c r="P24" i="16" s="1"/>
  <c r="AE26" i="12"/>
  <c r="AE26" i="17"/>
  <c r="AE26" i="16" s="1"/>
  <c r="AO31" i="12"/>
  <c r="AO31" i="17"/>
  <c r="I30" i="12"/>
  <c r="I30" i="17"/>
  <c r="AE24" i="12"/>
  <c r="AE24" i="17"/>
  <c r="AE24" i="16" s="1"/>
  <c r="J26" i="12"/>
  <c r="J26" i="17"/>
  <c r="J26" i="16" s="1"/>
  <c r="M20" i="14"/>
  <c r="AN19" i="14"/>
  <c r="R24" i="12"/>
  <c r="R24" i="17"/>
  <c r="R24" i="16" s="1"/>
  <c r="W27" i="12"/>
  <c r="W27" i="17"/>
  <c r="W27" i="16" s="1"/>
  <c r="AC31" i="12"/>
  <c r="AC31" i="17"/>
  <c r="P29" i="12"/>
  <c r="P29" i="17"/>
  <c r="P29" i="16" s="1"/>
  <c r="AH30" i="12"/>
  <c r="AH30" i="17"/>
  <c r="J19" i="14"/>
  <c r="F21" i="14"/>
  <c r="F22" i="14"/>
  <c r="AH25" i="12"/>
  <c r="AH25" i="17"/>
  <c r="AH25" i="16" s="1"/>
  <c r="Z25" i="12"/>
  <c r="Z25" i="17"/>
  <c r="Z25" i="16" s="1"/>
  <c r="AB29" i="12"/>
  <c r="AB29" i="17"/>
  <c r="AB29" i="16" s="1"/>
  <c r="D28" i="12"/>
  <c r="D28" i="17"/>
  <c r="D28" i="16" s="1"/>
  <c r="AF29" i="12"/>
  <c r="AF29" i="17"/>
  <c r="AF29" i="16" s="1"/>
  <c r="V23" i="12"/>
  <c r="V23" i="17"/>
  <c r="V23" i="16" s="1"/>
  <c r="Z23" i="12"/>
  <c r="Z23" i="17"/>
  <c r="Z23" i="16" s="1"/>
  <c r="X25" i="12"/>
  <c r="X25" i="17"/>
  <c r="X25" i="16" s="1"/>
  <c r="E25" i="12"/>
  <c r="E25" i="17"/>
  <c r="E25" i="16" s="1"/>
  <c r="AJ31" i="12"/>
  <c r="AJ31" i="17"/>
  <c r="H25" i="12"/>
  <c r="H25" i="17"/>
  <c r="H25" i="16" s="1"/>
  <c r="Q20" i="14"/>
  <c r="T28" i="12"/>
  <c r="T28" i="17"/>
  <c r="T28" i="16" s="1"/>
  <c r="L25" i="12"/>
  <c r="L25" i="17"/>
  <c r="L25" i="16" s="1"/>
  <c r="P26" i="12"/>
  <c r="P26" i="17"/>
  <c r="P26" i="16" s="1"/>
  <c r="U30" i="12"/>
  <c r="U30" i="17"/>
  <c r="AO30" i="12"/>
  <c r="AO30" i="17"/>
  <c r="C26" i="12"/>
  <c r="C26" i="17"/>
  <c r="C26" i="16" s="1"/>
  <c r="C31" i="12"/>
  <c r="C31" i="17"/>
  <c r="AN29" i="12"/>
  <c r="AN29" i="17"/>
  <c r="AN29" i="16" s="1"/>
  <c r="AJ30" i="12"/>
  <c r="AJ30" i="17"/>
  <c r="H28" i="12"/>
  <c r="H28" i="17"/>
  <c r="H28" i="16" s="1"/>
  <c r="Q26" i="12"/>
  <c r="Q26" i="17"/>
  <c r="Q26" i="16" s="1"/>
  <c r="E23" i="12"/>
  <c r="E23" i="17"/>
  <c r="E23" i="16" s="1"/>
  <c r="AC26" i="12"/>
  <c r="AC26" i="17"/>
  <c r="AC26" i="16" s="1"/>
  <c r="AI23" i="12"/>
  <c r="AI23" i="17"/>
  <c r="AI23" i="16" s="1"/>
  <c r="Q24" i="12"/>
  <c r="Q24" i="17"/>
  <c r="Q24" i="16" s="1"/>
  <c r="U23" i="12"/>
  <c r="U23" i="17"/>
  <c r="U23" i="16" s="1"/>
  <c r="S23" i="17"/>
  <c r="S23" i="16" s="1"/>
  <c r="S23" i="12"/>
  <c r="X23" i="12"/>
  <c r="X23" i="17"/>
  <c r="X23" i="16" s="1"/>
  <c r="AO23" i="12"/>
  <c r="AO23" i="17"/>
  <c r="AO23" i="16" s="1"/>
  <c r="AC30" i="12"/>
  <c r="AC30" i="17"/>
  <c r="W29" i="12"/>
  <c r="W29" i="17"/>
  <c r="W29" i="16" s="1"/>
  <c r="AA24" i="12"/>
  <c r="AA24" i="17"/>
  <c r="AA24" i="16" s="1"/>
  <c r="AF24" i="12"/>
  <c r="AF24" i="17"/>
  <c r="AF24" i="16" s="1"/>
  <c r="AA29" i="12"/>
  <c r="AA29" i="17"/>
  <c r="AA29" i="16" s="1"/>
  <c r="V28" i="12"/>
  <c r="V28" i="17"/>
  <c r="V28" i="16" s="1"/>
  <c r="AG26" i="12"/>
  <c r="AG26" i="17"/>
  <c r="AG26" i="16" s="1"/>
  <c r="AC28" i="12"/>
  <c r="AC28" i="17"/>
  <c r="AC28" i="16" s="1"/>
  <c r="G29" i="12"/>
  <c r="G29" i="17"/>
  <c r="G29" i="16" s="1"/>
  <c r="AA27" i="12"/>
  <c r="AA27" i="17"/>
  <c r="AA27" i="16" s="1"/>
  <c r="V26" i="12"/>
  <c r="V26" i="17"/>
  <c r="V26" i="16" s="1"/>
  <c r="M31" i="12"/>
  <c r="M31" i="17"/>
  <c r="AI26" i="12"/>
  <c r="AI26" i="17"/>
  <c r="AI26" i="16" s="1"/>
  <c r="Q19" i="14"/>
  <c r="X30" i="12"/>
  <c r="X30" i="17"/>
  <c r="K28" i="12"/>
  <c r="K28" i="17"/>
  <c r="K28" i="16" s="1"/>
  <c r="U26" i="12"/>
  <c r="U26" i="17"/>
  <c r="U26" i="16" s="1"/>
  <c r="Q25" i="12"/>
  <c r="Q25" i="17"/>
  <c r="Q25" i="16" s="1"/>
  <c r="M25" i="12"/>
  <c r="M25" i="17"/>
  <c r="M25" i="16" s="1"/>
  <c r="M26" i="12"/>
  <c r="M26" i="17"/>
  <c r="M26" i="16" s="1"/>
  <c r="Y27" i="12"/>
  <c r="Y27" i="17"/>
  <c r="Y27" i="16" s="1"/>
  <c r="P31" i="12"/>
  <c r="P31" i="17"/>
  <c r="I23" i="12"/>
  <c r="I23" i="17"/>
  <c r="I23" i="16" s="1"/>
  <c r="Q30" i="12"/>
  <c r="Q30" i="17"/>
  <c r="AB27" i="12"/>
  <c r="AB27" i="17"/>
  <c r="AB27" i="16" s="1"/>
  <c r="R29" i="12"/>
  <c r="R29" i="17"/>
  <c r="R29" i="16" s="1"/>
  <c r="F23" i="12"/>
  <c r="F23" i="17"/>
  <c r="F23" i="16" s="1"/>
  <c r="AM29" i="12"/>
  <c r="AM29" i="17"/>
  <c r="AM29" i="16" s="1"/>
  <c r="AA26" i="12"/>
  <c r="AA26" i="17"/>
  <c r="AA26" i="16" s="1"/>
  <c r="I20" i="14"/>
  <c r="AG22" i="14"/>
  <c r="AB21" i="14"/>
  <c r="AO22" i="14"/>
  <c r="Z22" i="14"/>
  <c r="AL21" i="14"/>
  <c r="AA21" i="14"/>
  <c r="AD21" i="14"/>
  <c r="AL22" i="14"/>
  <c r="E21" i="14"/>
  <c r="U22" i="14"/>
  <c r="AE21" i="14"/>
  <c r="AK22" i="14"/>
  <c r="J22" i="14"/>
  <c r="M21" i="14"/>
  <c r="AM15" i="26"/>
  <c r="R10" i="14"/>
  <c r="AO20" i="26"/>
  <c r="AM22" i="17"/>
  <c r="AM22" i="16" s="1"/>
  <c r="AM22" i="14" s="1"/>
  <c r="L8" i="14"/>
  <c r="AD8" i="17"/>
  <c r="AD8" i="16" s="1"/>
  <c r="AD8" i="14" s="1"/>
  <c r="P4" i="17"/>
  <c r="P4" i="16" s="1"/>
  <c r="P5" i="26" s="1"/>
  <c r="N15" i="26"/>
  <c r="X18" i="26"/>
  <c r="AD5" i="12"/>
  <c r="AD5" i="14" s="1"/>
  <c r="J4" i="26"/>
  <c r="AJ3" i="14"/>
  <c r="O6" i="26"/>
  <c r="R20" i="17"/>
  <c r="R20" i="16" s="1"/>
  <c r="R21" i="26" s="1"/>
  <c r="S5" i="26"/>
  <c r="G13" i="17"/>
  <c r="G13" i="16" s="1"/>
  <c r="G14" i="26" s="1"/>
  <c r="Q7" i="26"/>
  <c r="D10" i="26"/>
  <c r="Q16" i="26"/>
  <c r="T14" i="12"/>
  <c r="T14" i="14" s="1"/>
  <c r="D9" i="14"/>
  <c r="M10" i="26"/>
  <c r="AN7" i="12"/>
  <c r="AN7" i="14" s="1"/>
  <c r="J19" i="26"/>
  <c r="X19" i="17"/>
  <c r="X19" i="16" s="1"/>
  <c r="X19" i="14" s="1"/>
  <c r="AC4" i="12"/>
  <c r="AC5" i="26" s="1"/>
  <c r="I17" i="14"/>
  <c r="B16" i="26"/>
  <c r="B15" i="14"/>
  <c r="AF15" i="26"/>
  <c r="S4" i="26"/>
  <c r="AE7" i="26"/>
  <c r="L16" i="26"/>
  <c r="AE15" i="17"/>
  <c r="AE15" i="16" s="1"/>
  <c r="AE16" i="26" s="1"/>
  <c r="K23" i="26"/>
  <c r="AM16" i="14"/>
  <c r="AM4" i="14"/>
  <c r="AO6" i="14"/>
  <c r="AJ13" i="26"/>
  <c r="I18" i="26"/>
  <c r="D7" i="14"/>
  <c r="F3" i="14"/>
  <c r="Q15" i="26"/>
  <c r="AD15" i="14"/>
  <c r="M18" i="14"/>
  <c r="J15" i="26"/>
  <c r="W8" i="26"/>
  <c r="P16" i="14"/>
  <c r="K18" i="12"/>
  <c r="K19" i="26" s="1"/>
  <c r="AK7" i="14"/>
  <c r="D12" i="26"/>
  <c r="AH10" i="14"/>
  <c r="AF10" i="14"/>
  <c r="AJ4" i="26"/>
  <c r="AF10" i="26"/>
  <c r="Y12" i="26"/>
  <c r="AC8" i="26"/>
  <c r="M14" i="14"/>
  <c r="G15" i="26"/>
  <c r="E6" i="26"/>
  <c r="V12" i="14"/>
  <c r="AA15" i="17"/>
  <c r="AA15" i="16" s="1"/>
  <c r="AA15" i="14" s="1"/>
  <c r="AF11" i="26"/>
  <c r="I11" i="14"/>
  <c r="AG23" i="26"/>
  <c r="O12" i="26"/>
  <c r="AG16" i="26"/>
  <c r="AG15" i="14"/>
  <c r="J3" i="14"/>
  <c r="AH11" i="26"/>
  <c r="W17" i="14"/>
  <c r="U17" i="26"/>
  <c r="Z10" i="26"/>
  <c r="E5" i="14"/>
  <c r="AN19" i="26"/>
  <c r="V13" i="26"/>
  <c r="E13" i="26"/>
  <c r="B6" i="14"/>
  <c r="L12" i="14"/>
  <c r="V17" i="26"/>
  <c r="AC3" i="14"/>
  <c r="N9" i="26"/>
  <c r="AI11" i="14"/>
  <c r="X11" i="26"/>
  <c r="AB4" i="26"/>
  <c r="AK7" i="26"/>
  <c r="AI5" i="26"/>
  <c r="AI4" i="14"/>
  <c r="AN18" i="26"/>
  <c r="R20" i="26"/>
  <c r="V16" i="14"/>
  <c r="AB18" i="17"/>
  <c r="AB18" i="16" s="1"/>
  <c r="AB18" i="14" s="1"/>
  <c r="AA4" i="26"/>
  <c r="L13" i="26"/>
  <c r="O16" i="12"/>
  <c r="O16" i="14" s="1"/>
  <c r="AA20" i="26"/>
  <c r="AN18" i="14"/>
  <c r="J11" i="14"/>
  <c r="AH4" i="14"/>
  <c r="AC4" i="26"/>
  <c r="AH8" i="26"/>
  <c r="AA12" i="26"/>
  <c r="M19" i="26"/>
  <c r="K17" i="17"/>
  <c r="K17" i="16" s="1"/>
  <c r="K18" i="26" s="1"/>
  <c r="N5" i="26"/>
  <c r="I12" i="26"/>
  <c r="AF14" i="14"/>
  <c r="R15" i="14"/>
  <c r="AO7" i="26"/>
  <c r="X20" i="17"/>
  <c r="X20" i="16" s="1"/>
  <c r="X20" i="14" s="1"/>
  <c r="AM6" i="14"/>
  <c r="AH5" i="26"/>
  <c r="V15" i="14"/>
  <c r="K17" i="26"/>
  <c r="J12" i="26"/>
  <c r="G10" i="14"/>
  <c r="AL8" i="14"/>
  <c r="I10" i="26"/>
  <c r="C14" i="17"/>
  <c r="C14" i="16" s="1"/>
  <c r="C15" i="26" s="1"/>
  <c r="P15" i="26"/>
  <c r="L18" i="26"/>
  <c r="AN16" i="14"/>
  <c r="AK6" i="14"/>
  <c r="AK11" i="26"/>
  <c r="G8" i="14"/>
  <c r="AN21" i="26"/>
  <c r="I12" i="14"/>
  <c r="AN17" i="26"/>
  <c r="B12" i="12"/>
  <c r="B12" i="14" s="1"/>
  <c r="Y8" i="17"/>
  <c r="Y8" i="16" s="1"/>
  <c r="Y8" i="14" s="1"/>
  <c r="E7" i="26"/>
  <c r="K8" i="26"/>
  <c r="V5" i="26"/>
  <c r="AC17" i="17"/>
  <c r="AC17" i="16" s="1"/>
  <c r="AC17" i="14" s="1"/>
  <c r="V6" i="14"/>
  <c r="O11" i="14"/>
  <c r="Q12" i="14"/>
  <c r="K7" i="14"/>
  <c r="S4" i="14"/>
  <c r="F10" i="17"/>
  <c r="F10" i="16" s="1"/>
  <c r="F11" i="26" s="1"/>
  <c r="F4" i="26"/>
  <c r="K15" i="14"/>
  <c r="X6" i="14"/>
  <c r="N14" i="26"/>
  <c r="AJ15" i="26"/>
  <c r="AJ10" i="26"/>
  <c r="Z9" i="14"/>
  <c r="AE21" i="26"/>
  <c r="O10" i="14"/>
  <c r="K12" i="26"/>
  <c r="G11" i="17"/>
  <c r="G11" i="16" s="1"/>
  <c r="G12" i="26" s="1"/>
  <c r="B18" i="14"/>
  <c r="AE9" i="14"/>
  <c r="N4" i="14"/>
  <c r="X7" i="17"/>
  <c r="X7" i="16" s="1"/>
  <c r="X7" i="14" s="1"/>
  <c r="V7" i="26"/>
  <c r="AD21" i="26"/>
  <c r="O21" i="26"/>
  <c r="N23" i="26"/>
  <c r="E11" i="14"/>
  <c r="P18" i="14"/>
  <c r="AM12" i="17"/>
  <c r="AM12" i="16" s="1"/>
  <c r="AM13" i="26" s="1"/>
  <c r="M13" i="26"/>
  <c r="AB12" i="26"/>
  <c r="AD14" i="14"/>
  <c r="F19" i="26"/>
  <c r="R15" i="26"/>
  <c r="P14" i="14"/>
  <c r="L22" i="26"/>
  <c r="T9" i="26"/>
  <c r="T17" i="26"/>
  <c r="Y9" i="14"/>
  <c r="X18" i="14"/>
  <c r="F12" i="26"/>
  <c r="J4" i="17"/>
  <c r="J4" i="16" s="1"/>
  <c r="J4" i="14" s="1"/>
  <c r="Y21" i="26"/>
  <c r="AM11" i="14"/>
  <c r="H7" i="14"/>
  <c r="B3" i="14"/>
  <c r="Q22" i="17"/>
  <c r="Q22" i="16" s="1"/>
  <c r="Q23" i="26" s="1"/>
  <c r="AK4" i="26"/>
  <c r="AC21" i="26"/>
  <c r="AA13" i="14"/>
  <c r="L17" i="26"/>
  <c r="N14" i="14"/>
  <c r="F23" i="26"/>
  <c r="S19" i="12"/>
  <c r="S19" i="14" s="1"/>
  <c r="H8" i="26"/>
  <c r="Q5" i="14"/>
  <c r="AH15" i="26"/>
  <c r="C10" i="14"/>
  <c r="N12" i="26"/>
  <c r="AC7" i="14"/>
  <c r="I4" i="26"/>
  <c r="I7" i="12"/>
  <c r="I7" i="14" s="1"/>
  <c r="H12" i="14"/>
  <c r="AK8" i="14"/>
  <c r="AB17" i="26"/>
  <c r="AL12" i="26"/>
  <c r="J9" i="12"/>
  <c r="J9" i="14" s="1"/>
  <c r="H8" i="17"/>
  <c r="H8" i="16" s="1"/>
  <c r="H8" i="14" s="1"/>
  <c r="C20" i="26"/>
  <c r="Y11" i="14"/>
  <c r="U4" i="26"/>
  <c r="Q9" i="14"/>
  <c r="Q10" i="26"/>
  <c r="AA10" i="26"/>
  <c r="N8" i="14"/>
  <c r="AN10" i="17"/>
  <c r="AN10" i="16" s="1"/>
  <c r="AN10" i="14" s="1"/>
  <c r="AK19" i="17"/>
  <c r="AK19" i="16" s="1"/>
  <c r="AK20" i="26" s="1"/>
  <c r="L23" i="26"/>
  <c r="F13" i="12"/>
  <c r="F13" i="14" s="1"/>
  <c r="U4" i="12"/>
  <c r="U4" i="14" s="1"/>
  <c r="Z14" i="14"/>
  <c r="O5" i="14"/>
  <c r="Q17" i="26"/>
  <c r="U17" i="14"/>
  <c r="AJ21" i="26"/>
  <c r="N9" i="14"/>
  <c r="H6" i="26"/>
  <c r="AG6" i="26"/>
  <c r="O9" i="14"/>
  <c r="AA9" i="14"/>
  <c r="AH18" i="17"/>
  <c r="AH18" i="16" s="1"/>
  <c r="AH19" i="26" s="1"/>
  <c r="AG5" i="26"/>
  <c r="W10" i="12"/>
  <c r="W10" i="14" s="1"/>
  <c r="I23" i="26"/>
  <c r="G7" i="26"/>
  <c r="AM10" i="17"/>
  <c r="AM10" i="16" s="1"/>
  <c r="AM11" i="26" s="1"/>
  <c r="F15" i="26"/>
  <c r="O13" i="26"/>
  <c r="AB22" i="12"/>
  <c r="AB22" i="14" s="1"/>
  <c r="N3" i="12"/>
  <c r="N4" i="26" s="1"/>
  <c r="AA16" i="14"/>
  <c r="G17" i="14"/>
  <c r="AA17" i="26"/>
  <c r="B11" i="14"/>
  <c r="T8" i="14"/>
  <c r="AN4" i="14"/>
  <c r="AF4" i="26"/>
  <c r="N11" i="14"/>
  <c r="M7" i="14"/>
  <c r="Y6" i="26"/>
  <c r="E19" i="12"/>
  <c r="P7" i="26"/>
  <c r="AE5" i="14"/>
  <c r="S11" i="26"/>
  <c r="Z22" i="26"/>
  <c r="AH14" i="14"/>
  <c r="AN17" i="14"/>
  <c r="G18" i="14"/>
  <c r="AA18" i="26"/>
  <c r="C19" i="26"/>
  <c r="V4" i="14"/>
  <c r="Z11" i="26"/>
  <c r="V10" i="14"/>
  <c r="U11" i="14"/>
  <c r="P13" i="14"/>
  <c r="AJ14" i="14"/>
  <c r="AJ7" i="26"/>
  <c r="P21" i="26"/>
  <c r="X7" i="26"/>
  <c r="AK13" i="26"/>
  <c r="Z13" i="26"/>
  <c r="S20" i="17"/>
  <c r="S20" i="16" s="1"/>
  <c r="S21" i="26" s="1"/>
  <c r="U6" i="14"/>
  <c r="G19" i="26"/>
  <c r="Z8" i="26"/>
  <c r="R6" i="26"/>
  <c r="AI16" i="17"/>
  <c r="AI16" i="16" s="1"/>
  <c r="AI16" i="14" s="1"/>
  <c r="V12" i="26"/>
  <c r="AB17" i="14"/>
  <c r="AB13" i="14"/>
  <c r="P12" i="14"/>
  <c r="I15" i="26"/>
  <c r="J7" i="17"/>
  <c r="J7" i="16" s="1"/>
  <c r="J8" i="26" s="1"/>
  <c r="W14" i="26"/>
  <c r="AG8" i="26"/>
  <c r="AE20" i="26"/>
  <c r="V18" i="26"/>
  <c r="AB21" i="26"/>
  <c r="AG9" i="14"/>
  <c r="G22" i="12"/>
  <c r="Q18" i="26"/>
  <c r="M20" i="26"/>
  <c r="X8" i="14"/>
  <c r="AE13" i="14"/>
  <c r="AJ9" i="14"/>
  <c r="V9" i="26"/>
  <c r="W3" i="14"/>
  <c r="E9" i="26"/>
  <c r="E8" i="14"/>
  <c r="I14" i="14"/>
  <c r="W21" i="12"/>
  <c r="I16" i="26"/>
  <c r="B7" i="26"/>
  <c r="AO5" i="26"/>
  <c r="AA9" i="26"/>
  <c r="P10" i="14"/>
  <c r="AN8" i="12"/>
  <c r="AN8" i="14" s="1"/>
  <c r="V11" i="14"/>
  <c r="AA10" i="14"/>
  <c r="AK9" i="26"/>
  <c r="W20" i="26"/>
  <c r="T17" i="14"/>
  <c r="Z6" i="26"/>
  <c r="O15" i="14"/>
  <c r="AB18" i="26"/>
  <c r="B22" i="26"/>
  <c r="AC11" i="17"/>
  <c r="AC11" i="16" s="1"/>
  <c r="AC12" i="26" s="1"/>
  <c r="X4" i="12"/>
  <c r="X5" i="26" s="1"/>
  <c r="X16" i="14"/>
  <c r="R5" i="14"/>
  <c r="P11" i="26"/>
  <c r="H21" i="26"/>
  <c r="S14" i="26"/>
  <c r="W9" i="14"/>
  <c r="AC19" i="26"/>
  <c r="AK18" i="26"/>
  <c r="G6" i="14"/>
  <c r="G3" i="14"/>
  <c r="R14" i="14"/>
  <c r="N8" i="26"/>
  <c r="AG20" i="26"/>
  <c r="S3" i="14"/>
  <c r="K9" i="17"/>
  <c r="K9" i="16" s="1"/>
  <c r="K10" i="26" s="1"/>
  <c r="Z8" i="17"/>
  <c r="Z8" i="16" s="1"/>
  <c r="Z8" i="14" s="1"/>
  <c r="I5" i="26"/>
  <c r="F16" i="26"/>
  <c r="Y16" i="26"/>
  <c r="AA7" i="26"/>
  <c r="B7" i="14"/>
  <c r="H17" i="26"/>
  <c r="U18" i="26"/>
  <c r="X17" i="26"/>
  <c r="W9" i="26"/>
  <c r="Q16" i="14"/>
  <c r="N13" i="14"/>
  <c r="I15" i="14"/>
  <c r="H10" i="14"/>
  <c r="H11" i="26"/>
  <c r="N20" i="26"/>
  <c r="B8" i="26"/>
  <c r="H16" i="14"/>
  <c r="L9" i="26"/>
  <c r="R16" i="26"/>
  <c r="AO4" i="14"/>
  <c r="AH20" i="26"/>
  <c r="AJ11" i="12"/>
  <c r="AJ11" i="14" s="1"/>
  <c r="AL5" i="17"/>
  <c r="AL5" i="16" s="1"/>
  <c r="AL5" i="14" s="1"/>
  <c r="AF21" i="12"/>
  <c r="AF13" i="14"/>
  <c r="Y18" i="14"/>
  <c r="T9" i="14"/>
  <c r="O10" i="26"/>
  <c r="AE3" i="14"/>
  <c r="U13" i="26"/>
  <c r="K13" i="26"/>
  <c r="I3" i="14"/>
  <c r="D6" i="26"/>
  <c r="AF14" i="26"/>
  <c r="AH20" i="12"/>
  <c r="AH20" i="14" s="1"/>
  <c r="S9" i="17"/>
  <c r="S9" i="16" s="1"/>
  <c r="S9" i="14" s="1"/>
  <c r="D12" i="14"/>
  <c r="T6" i="26"/>
  <c r="U22" i="26"/>
  <c r="F17" i="12"/>
  <c r="F18" i="26" s="1"/>
  <c r="F10" i="26"/>
  <c r="D7" i="26"/>
  <c r="H14" i="17"/>
  <c r="H14" i="16" s="1"/>
  <c r="H14" i="14" s="1"/>
  <c r="T10" i="14"/>
  <c r="AJ16" i="14"/>
  <c r="AD4" i="14"/>
  <c r="T11" i="26"/>
  <c r="AC16" i="14"/>
  <c r="Z12" i="14"/>
  <c r="I8" i="14"/>
  <c r="AA3" i="14"/>
  <c r="E3" i="14"/>
  <c r="C11" i="14"/>
  <c r="Y14" i="14"/>
  <c r="Z11" i="14"/>
  <c r="W7" i="26"/>
  <c r="H20" i="26"/>
  <c r="H13" i="26"/>
  <c r="AL7" i="14"/>
  <c r="J13" i="26"/>
  <c r="Q6" i="26"/>
  <c r="Z16" i="14"/>
  <c r="S18" i="14"/>
  <c r="P13" i="26"/>
  <c r="W11" i="14"/>
  <c r="AL11" i="26"/>
  <c r="Y13" i="26"/>
  <c r="AA14" i="14"/>
  <c r="Z6" i="12"/>
  <c r="Z6" i="14" s="1"/>
  <c r="Y10" i="12"/>
  <c r="Y10" i="14" s="1"/>
  <c r="AB10" i="26"/>
  <c r="T20" i="26"/>
  <c r="AJ22" i="26"/>
  <c r="N6" i="14"/>
  <c r="AB14" i="26"/>
  <c r="AG11" i="12"/>
  <c r="AG12" i="26" s="1"/>
  <c r="AC6" i="17"/>
  <c r="AC6" i="16" s="1"/>
  <c r="AC6" i="14" s="1"/>
  <c r="M4" i="26"/>
  <c r="AJ17" i="14"/>
  <c r="Q8" i="26"/>
  <c r="T21" i="26"/>
  <c r="AG13" i="17"/>
  <c r="AG13" i="16" s="1"/>
  <c r="AG13" i="14" s="1"/>
  <c r="B11" i="26"/>
  <c r="AI13" i="26"/>
  <c r="Y17" i="26"/>
  <c r="J11" i="26"/>
  <c r="AO15" i="14"/>
  <c r="F9" i="14"/>
  <c r="AL13" i="26"/>
  <c r="AG17" i="26"/>
  <c r="AI6" i="14"/>
  <c r="X10" i="14"/>
  <c r="K21" i="26"/>
  <c r="Y3" i="12"/>
  <c r="Y4" i="26" s="1"/>
  <c r="AO17" i="14"/>
  <c r="V19" i="26"/>
  <c r="X6" i="26"/>
  <c r="Y5" i="26"/>
  <c r="W16" i="26"/>
  <c r="AB9" i="26"/>
  <c r="U21" i="26"/>
  <c r="Z3" i="14"/>
  <c r="AA19" i="26"/>
  <c r="N15" i="14"/>
  <c r="AA5" i="26"/>
  <c r="AE18" i="26"/>
  <c r="AN15" i="26"/>
  <c r="M3" i="14"/>
  <c r="U6" i="26"/>
  <c r="S7" i="26"/>
  <c r="AH11" i="14"/>
  <c r="AB8" i="14"/>
  <c r="AA15" i="26"/>
  <c r="C3" i="14"/>
  <c r="C4" i="26"/>
  <c r="J21" i="26"/>
  <c r="AE8" i="14"/>
  <c r="E15" i="26"/>
  <c r="X9" i="26"/>
  <c r="Z13" i="17"/>
  <c r="Z13" i="16" s="1"/>
  <c r="Z13" i="14" s="1"/>
  <c r="N11" i="26"/>
  <c r="G5" i="26"/>
  <c r="X11" i="12"/>
  <c r="X11" i="14" s="1"/>
  <c r="J6" i="12"/>
  <c r="J7" i="26" s="1"/>
  <c r="AN4" i="26"/>
  <c r="AD4" i="26"/>
  <c r="Y14" i="26"/>
  <c r="T14" i="26"/>
  <c r="F14" i="14"/>
  <c r="B13" i="17"/>
  <c r="B13" i="16" s="1"/>
  <c r="B14" i="26" s="1"/>
  <c r="O4" i="12"/>
  <c r="O5" i="26" s="1"/>
  <c r="Z4" i="14"/>
  <c r="H19" i="26"/>
  <c r="AH8" i="14"/>
  <c r="E7" i="14"/>
  <c r="N7" i="14"/>
  <c r="AE9" i="26"/>
  <c r="E14" i="14"/>
  <c r="AE14" i="26"/>
  <c r="AE4" i="26"/>
  <c r="E11" i="26"/>
  <c r="Z20" i="26"/>
  <c r="R19" i="26"/>
  <c r="N17" i="12"/>
  <c r="N17" i="14" s="1"/>
  <c r="G5" i="14"/>
  <c r="AE16" i="14"/>
  <c r="F8" i="14"/>
  <c r="V22" i="12"/>
  <c r="V22" i="14" s="1"/>
  <c r="D3" i="12"/>
  <c r="D3" i="14" s="1"/>
  <c r="R12" i="17"/>
  <c r="R12" i="16" s="1"/>
  <c r="R12" i="14" s="1"/>
  <c r="J13" i="12"/>
  <c r="J13" i="14" s="1"/>
  <c r="H4" i="14"/>
  <c r="Y6" i="12"/>
  <c r="Y7" i="26" s="1"/>
  <c r="D17" i="17"/>
  <c r="D17" i="16" s="1"/>
  <c r="D17" i="14" s="1"/>
  <c r="Q8" i="14"/>
  <c r="W15" i="14"/>
  <c r="N7" i="26"/>
  <c r="F7" i="26"/>
  <c r="AB3" i="14"/>
  <c r="X22" i="12"/>
  <c r="X22" i="14" s="1"/>
  <c r="P3" i="12"/>
  <c r="P4" i="26" s="1"/>
  <c r="AM14" i="26"/>
  <c r="H15" i="14"/>
  <c r="AA22" i="26"/>
  <c r="H10" i="26"/>
  <c r="T7" i="14"/>
  <c r="K12" i="14"/>
  <c r="M11" i="17"/>
  <c r="M11" i="16" s="1"/>
  <c r="M11" i="14" s="1"/>
  <c r="B15" i="26"/>
  <c r="B14" i="14"/>
  <c r="AJ13" i="14"/>
  <c r="AJ15" i="14"/>
  <c r="AN7" i="26"/>
  <c r="AI12" i="14"/>
  <c r="H9" i="14"/>
  <c r="H16" i="26"/>
  <c r="C4" i="12"/>
  <c r="C4" i="14" s="1"/>
  <c r="L4" i="12"/>
  <c r="L5" i="26" s="1"/>
  <c r="AI11" i="26"/>
  <c r="U9" i="26"/>
  <c r="L5" i="17"/>
  <c r="L5" i="16" s="1"/>
  <c r="L6" i="26" s="1"/>
  <c r="AB4" i="14"/>
  <c r="AD11" i="26"/>
  <c r="F21" i="26"/>
  <c r="B17" i="14"/>
  <c r="L14" i="26"/>
  <c r="G9" i="14"/>
  <c r="F6" i="14"/>
  <c r="AF18" i="26"/>
  <c r="B10" i="14"/>
  <c r="AN13" i="26"/>
  <c r="AD18" i="17"/>
  <c r="AD18" i="16" s="1"/>
  <c r="AD18" i="14" s="1"/>
  <c r="K19" i="12"/>
  <c r="K19" i="14" s="1"/>
  <c r="AM17" i="14"/>
  <c r="B20" i="26"/>
  <c r="AB16" i="26"/>
  <c r="AN14" i="26"/>
  <c r="T8" i="26"/>
  <c r="R8" i="26"/>
  <c r="C6" i="12"/>
  <c r="C6" i="14" s="1"/>
  <c r="P8" i="26"/>
  <c r="T3" i="14"/>
  <c r="AF6" i="12"/>
  <c r="AF6" i="14" s="1"/>
  <c r="L6" i="14"/>
  <c r="M4" i="14"/>
  <c r="C15" i="14"/>
  <c r="X5" i="14"/>
  <c r="H5" i="26"/>
  <c r="R8" i="14"/>
  <c r="AG18" i="14"/>
  <c r="O8" i="26"/>
  <c r="AH12" i="17"/>
  <c r="AH12" i="16" s="1"/>
  <c r="AH12" i="14" s="1"/>
  <c r="M5" i="26"/>
  <c r="L9" i="14"/>
  <c r="S7" i="12"/>
  <c r="S7" i="14" s="1"/>
  <c r="AI18" i="12"/>
  <c r="AI19" i="26" s="1"/>
  <c r="AD20" i="26"/>
  <c r="Q11" i="26"/>
  <c r="AC11" i="26"/>
  <c r="AG12" i="14"/>
  <c r="AD7" i="14"/>
  <c r="N10" i="14"/>
  <c r="AF15" i="14"/>
  <c r="Q7" i="14"/>
  <c r="N17" i="26"/>
  <c r="Q14" i="26"/>
  <c r="B18" i="26"/>
  <c r="T15" i="14"/>
  <c r="M5" i="17"/>
  <c r="M5" i="16" s="1"/>
  <c r="M5" i="14" s="1"/>
  <c r="Z18" i="26"/>
  <c r="AL14" i="12"/>
  <c r="AL15" i="26" s="1"/>
  <c r="AN22" i="17"/>
  <c r="AN22" i="16" s="1"/>
  <c r="AN22" i="14" s="1"/>
  <c r="AJ5" i="14"/>
  <c r="W16" i="12"/>
  <c r="W16" i="14" s="1"/>
  <c r="AE18" i="17"/>
  <c r="AE18" i="16" s="1"/>
  <c r="AE19" i="26" s="1"/>
  <c r="AA6" i="14"/>
  <c r="AL20" i="26"/>
  <c r="C16" i="14"/>
  <c r="D13" i="14"/>
  <c r="D9" i="26"/>
  <c r="AE5" i="26"/>
  <c r="AK4" i="14"/>
  <c r="N22" i="26"/>
  <c r="U19" i="26"/>
  <c r="Y19" i="26"/>
  <c r="AO16" i="26"/>
  <c r="N12" i="14"/>
  <c r="Q19" i="26"/>
  <c r="AM21" i="12"/>
  <c r="Z5" i="26"/>
  <c r="AK16" i="26"/>
  <c r="AB5" i="17"/>
  <c r="AB5" i="16" s="1"/>
  <c r="AB5" i="14" s="1"/>
  <c r="O17" i="14"/>
  <c r="U12" i="14"/>
  <c r="P20" i="26"/>
  <c r="AE11" i="26"/>
  <c r="P16" i="26"/>
  <c r="AF12" i="26"/>
  <c r="AL18" i="26"/>
  <c r="H18" i="14"/>
  <c r="F13" i="26"/>
  <c r="AN9" i="14"/>
  <c r="C11" i="26"/>
  <c r="K6" i="14"/>
  <c r="AH18" i="26"/>
  <c r="AC8" i="17"/>
  <c r="AC8" i="16" s="1"/>
  <c r="AC8" i="14" s="1"/>
  <c r="D16" i="17"/>
  <c r="D16" i="16" s="1"/>
  <c r="D17" i="26" s="1"/>
  <c r="F8" i="26"/>
  <c r="C16" i="26"/>
  <c r="L7" i="26"/>
  <c r="L7" i="14"/>
  <c r="T6" i="12"/>
  <c r="T6" i="14" s="1"/>
  <c r="U10" i="26"/>
  <c r="H17" i="17"/>
  <c r="H17" i="16" s="1"/>
  <c r="H17" i="14" s="1"/>
  <c r="D19" i="26"/>
  <c r="AK17" i="26"/>
  <c r="AK14" i="14"/>
  <c r="O13" i="14"/>
  <c r="U16" i="26"/>
  <c r="B17" i="26"/>
  <c r="AB8" i="26"/>
  <c r="AE13" i="26"/>
  <c r="AE12" i="14"/>
  <c r="X10" i="26"/>
  <c r="AD7" i="26"/>
  <c r="AF12" i="14"/>
  <c r="G16" i="26"/>
  <c r="C10" i="26"/>
  <c r="AM7" i="12"/>
  <c r="AM8" i="26" s="1"/>
  <c r="X4" i="26"/>
  <c r="AA5" i="17"/>
  <c r="AA5" i="16" s="1"/>
  <c r="AA5" i="14" s="1"/>
  <c r="T12" i="17"/>
  <c r="T12" i="16" s="1"/>
  <c r="T13" i="26" s="1"/>
  <c r="AC5" i="17"/>
  <c r="AC5" i="16" s="1"/>
  <c r="AC5" i="14" s="1"/>
  <c r="O8" i="12"/>
  <c r="O8" i="14" s="1"/>
  <c r="E5" i="26"/>
  <c r="F16" i="14"/>
  <c r="U15" i="26"/>
  <c r="R16" i="17"/>
  <c r="R16" i="16" s="1"/>
  <c r="R17" i="26" s="1"/>
  <c r="Q3" i="14"/>
  <c r="AE22" i="12"/>
  <c r="AH9" i="14"/>
  <c r="AK15" i="26"/>
  <c r="Q4" i="12"/>
  <c r="Q4" i="14" s="1"/>
  <c r="R6" i="17"/>
  <c r="R6" i="16" s="1"/>
  <c r="R7" i="26" s="1"/>
  <c r="U7" i="14"/>
  <c r="B19" i="26"/>
  <c r="AM18" i="26"/>
  <c r="AD6" i="14"/>
  <c r="AF13" i="26"/>
  <c r="E9" i="17"/>
  <c r="E9" i="16" s="1"/>
  <c r="E10" i="26" s="1"/>
  <c r="AJ19" i="12"/>
  <c r="AO13" i="17"/>
  <c r="AO13" i="16" s="1"/>
  <c r="AO13" i="14" s="1"/>
  <c r="M7" i="26"/>
  <c r="AM13" i="14"/>
  <c r="O3" i="12"/>
  <c r="O3" i="14" s="1"/>
  <c r="M15" i="14"/>
  <c r="H14" i="26"/>
  <c r="V20" i="17"/>
  <c r="V20" i="16" s="1"/>
  <c r="V20" i="14" s="1"/>
  <c r="AH7" i="26"/>
  <c r="C9" i="14"/>
  <c r="O14" i="26"/>
  <c r="W13" i="26"/>
  <c r="AM18" i="14"/>
  <c r="J15" i="14"/>
  <c r="P8" i="14"/>
  <c r="G15" i="14"/>
  <c r="E4" i="14"/>
  <c r="U9" i="14"/>
  <c r="Q18" i="14"/>
  <c r="AI21" i="26"/>
  <c r="AJ18" i="12"/>
  <c r="AJ18" i="14" s="1"/>
  <c r="AI9" i="26"/>
  <c r="U3" i="14"/>
  <c r="AH17" i="26"/>
  <c r="Y4" i="14"/>
  <c r="AO3" i="17"/>
  <c r="AO3" i="16" s="1"/>
  <c r="AO4" i="26" s="1"/>
  <c r="AI18" i="26"/>
  <c r="M10" i="12"/>
  <c r="M10" i="14" s="1"/>
  <c r="P10" i="26"/>
  <c r="AC18" i="14"/>
  <c r="AH4" i="26"/>
  <c r="AO12" i="26"/>
  <c r="R9" i="12"/>
  <c r="R9" i="14" s="1"/>
  <c r="AH23" i="26"/>
  <c r="P9" i="26"/>
  <c r="D15" i="14"/>
  <c r="AL16" i="12"/>
  <c r="AL17" i="26" s="1"/>
  <c r="R23" i="26"/>
  <c r="J16" i="26"/>
  <c r="N18" i="14"/>
  <c r="F17" i="26"/>
  <c r="AM19" i="26"/>
  <c r="L12" i="26"/>
  <c r="AD14" i="26"/>
  <c r="O18" i="26"/>
  <c r="M17" i="26"/>
  <c r="S15" i="14"/>
  <c r="W5" i="14"/>
  <c r="AL13" i="14"/>
  <c r="F22" i="26"/>
  <c r="AC14" i="26"/>
  <c r="AI20" i="26"/>
  <c r="U15" i="14"/>
  <c r="AK11" i="14"/>
  <c r="AK12" i="26"/>
  <c r="D11" i="26"/>
  <c r="U14" i="14"/>
  <c r="D18" i="14"/>
  <c r="AD22" i="26"/>
  <c r="W12" i="14"/>
  <c r="S11" i="14"/>
  <c r="V6" i="26"/>
  <c r="AL14" i="26"/>
  <c r="S5" i="17"/>
  <c r="S5" i="16" s="1"/>
  <c r="S6" i="26" s="1"/>
  <c r="T12" i="26"/>
  <c r="AK6" i="26"/>
  <c r="AJ9" i="26"/>
  <c r="AC13" i="14"/>
  <c r="G21" i="26"/>
  <c r="R17" i="14"/>
  <c r="Z15" i="26"/>
  <c r="AN11" i="12"/>
  <c r="AN12" i="26" s="1"/>
  <c r="J22" i="26"/>
  <c r="K13" i="17"/>
  <c r="K13" i="16" s="1"/>
  <c r="K14" i="26" s="1"/>
  <c r="AG6" i="12"/>
  <c r="AG7" i="26" s="1"/>
  <c r="W21" i="26"/>
  <c r="G8" i="26"/>
  <c r="AA8" i="26"/>
  <c r="X12" i="14"/>
  <c r="Q12" i="26"/>
  <c r="AL3" i="17"/>
  <c r="AL3" i="16" s="1"/>
  <c r="AL3" i="14" s="1"/>
  <c r="N16" i="14"/>
  <c r="AB6" i="14"/>
  <c r="G13" i="26"/>
  <c r="R12" i="26"/>
  <c r="X14" i="14"/>
  <c r="AO18" i="14"/>
  <c r="G17" i="26"/>
  <c r="U14" i="26"/>
  <c r="AD10" i="26"/>
  <c r="X9" i="14"/>
  <c r="W5" i="26"/>
  <c r="S10" i="14"/>
  <c r="R3" i="14"/>
  <c r="R4" i="26"/>
  <c r="G7" i="14"/>
  <c r="AL12" i="14"/>
  <c r="D15" i="26"/>
  <c r="AL18" i="14"/>
  <c r="K9" i="26"/>
  <c r="AO9" i="14"/>
  <c r="T19" i="26"/>
  <c r="AO10" i="14"/>
  <c r="B5" i="26"/>
  <c r="AE7" i="17"/>
  <c r="AE7" i="16" s="1"/>
  <c r="AE7" i="14" s="1"/>
  <c r="K4" i="26"/>
  <c r="S12" i="12"/>
  <c r="S12" i="14" s="1"/>
  <c r="Y7" i="17"/>
  <c r="Y7" i="16" s="1"/>
  <c r="Y7" i="14" s="1"/>
  <c r="AI3" i="14"/>
  <c r="AL15" i="17"/>
  <c r="AL15" i="16" s="1"/>
  <c r="AL15" i="14" s="1"/>
  <c r="X13" i="17"/>
  <c r="X13" i="16" s="1"/>
  <c r="X13" i="14" s="1"/>
  <c r="I10" i="12"/>
  <c r="I11" i="26" s="1"/>
  <c r="AI9" i="17"/>
  <c r="AI9" i="16" s="1"/>
  <c r="AI10" i="26" s="1"/>
  <c r="AA4" i="14"/>
  <c r="L8" i="26"/>
  <c r="AK16" i="14"/>
  <c r="Y15" i="26"/>
  <c r="J6" i="26"/>
  <c r="X15" i="17"/>
  <c r="X15" i="16" s="1"/>
  <c r="X15" i="14" s="1"/>
  <c r="W18" i="17"/>
  <c r="W18" i="16" s="1"/>
  <c r="W18" i="14" s="1"/>
  <c r="B16" i="14"/>
  <c r="E21" i="26"/>
  <c r="AL17" i="14"/>
  <c r="E17" i="14"/>
  <c r="C14" i="26"/>
  <c r="O22" i="26"/>
  <c r="AK14" i="26"/>
  <c r="H11" i="14"/>
  <c r="AE15" i="26"/>
  <c r="AB7" i="14"/>
  <c r="AF7" i="12"/>
  <c r="AF7" i="14" s="1"/>
  <c r="S17" i="12"/>
  <c r="S18" i="26" s="1"/>
  <c r="AH5" i="12"/>
  <c r="AH6" i="26" s="1"/>
  <c r="J17" i="12"/>
  <c r="J18" i="26" s="1"/>
  <c r="C12" i="14"/>
  <c r="AN16" i="26"/>
  <c r="AN15" i="14"/>
  <c r="AC16" i="26"/>
  <c r="I4" i="14"/>
  <c r="N10" i="26"/>
  <c r="AF9" i="26"/>
  <c r="T4" i="14"/>
  <c r="AD18" i="26"/>
  <c r="H5" i="14"/>
  <c r="L3" i="17"/>
  <c r="L3" i="16" s="1"/>
  <c r="L4" i="26" s="1"/>
  <c r="AM15" i="17"/>
  <c r="AM15" i="16" s="1"/>
  <c r="AM15" i="14" s="1"/>
  <c r="AO11" i="26"/>
  <c r="R11" i="14"/>
  <c r="G20" i="26"/>
  <c r="AL6" i="12"/>
  <c r="AL6" i="14" s="1"/>
  <c r="M17" i="17"/>
  <c r="M17" i="16" s="1"/>
  <c r="M17" i="14" s="1"/>
  <c r="AK9" i="17"/>
  <c r="AK9" i="16" s="1"/>
  <c r="AK10" i="26" s="1"/>
  <c r="AA12" i="14"/>
  <c r="AF5" i="14"/>
  <c r="R4" i="14"/>
  <c r="J16" i="14"/>
  <c r="W6" i="26"/>
  <c r="C21" i="26"/>
  <c r="X15" i="26"/>
  <c r="L15" i="26"/>
  <c r="AM9" i="14"/>
  <c r="X13" i="26"/>
  <c r="U10" i="14"/>
  <c r="AB10" i="17"/>
  <c r="AB10" i="16" s="1"/>
  <c r="AB11" i="26" s="1"/>
  <c r="AO10" i="26"/>
  <c r="AH16" i="26"/>
  <c r="S16" i="26"/>
  <c r="AJ7" i="12"/>
  <c r="AJ7" i="14" s="1"/>
  <c r="AD17" i="26"/>
  <c r="I6" i="14"/>
  <c r="D22" i="26"/>
  <c r="Y12" i="14"/>
  <c r="T11" i="14"/>
  <c r="AO14" i="17"/>
  <c r="AO14" i="16" s="1"/>
  <c r="AO15" i="26" s="1"/>
  <c r="I18" i="17"/>
  <c r="I18" i="16" s="1"/>
  <c r="I18" i="14" s="1"/>
  <c r="C17" i="14"/>
  <c r="M16" i="26"/>
  <c r="G12" i="14"/>
  <c r="V18" i="14"/>
  <c r="C6" i="26"/>
  <c r="AB7" i="26"/>
  <c r="T18" i="14"/>
  <c r="B4" i="14"/>
  <c r="AG4" i="14"/>
  <c r="W4" i="14"/>
  <c r="AB15" i="26"/>
  <c r="AD11" i="12"/>
  <c r="AD12" i="26" s="1"/>
  <c r="AI5" i="12"/>
  <c r="AI5" i="14" s="1"/>
  <c r="AH6" i="14"/>
  <c r="K15" i="26"/>
  <c r="AG3" i="14"/>
  <c r="G4" i="26"/>
  <c r="AH14" i="26"/>
  <c r="O19" i="26"/>
  <c r="AI14" i="26"/>
  <c r="T4" i="26"/>
  <c r="V13" i="14"/>
  <c r="AI13" i="14"/>
  <c r="AF23" i="26"/>
  <c r="B21" i="26"/>
  <c r="C5" i="14"/>
  <c r="Q22" i="26"/>
  <c r="AG17" i="14"/>
  <c r="W14" i="14"/>
  <c r="E14" i="26"/>
  <c r="AK20" i="17"/>
  <c r="AK20" i="16" s="1"/>
  <c r="AK21" i="26" s="1"/>
  <c r="I7" i="26"/>
  <c r="AF16" i="17"/>
  <c r="AF16" i="16" s="1"/>
  <c r="AF16" i="14" s="1"/>
  <c r="C8" i="17"/>
  <c r="C8" i="16" s="1"/>
  <c r="C9" i="26" s="1"/>
  <c r="P5" i="14"/>
  <c r="J20" i="26"/>
  <c r="K4" i="17"/>
  <c r="K4" i="16" s="1"/>
  <c r="K5" i="26" s="1"/>
  <c r="E18" i="14"/>
  <c r="G16" i="14"/>
  <c r="V7" i="14"/>
  <c r="V8" i="26"/>
  <c r="AM6" i="26"/>
  <c r="AM5" i="14"/>
  <c r="C13" i="26"/>
  <c r="D4" i="14"/>
  <c r="AI12" i="26"/>
  <c r="E19" i="26"/>
  <c r="H7" i="26"/>
  <c r="Y18" i="26"/>
  <c r="P6" i="26"/>
  <c r="C18" i="26"/>
  <c r="E16" i="17"/>
  <c r="E16" i="16" s="1"/>
  <c r="E16" i="14" s="1"/>
  <c r="AF18" i="12"/>
  <c r="AF19" i="26" s="1"/>
  <c r="J9" i="26"/>
  <c r="AD13" i="26"/>
  <c r="AM12" i="26"/>
  <c r="G21" i="17"/>
  <c r="G21" i="16" s="1"/>
  <c r="G22" i="26" s="1"/>
  <c r="I16" i="12"/>
  <c r="I16" i="14" s="1"/>
  <c r="V4" i="26"/>
  <c r="AL4" i="14"/>
  <c r="M14" i="26"/>
  <c r="R13" i="14"/>
  <c r="R14" i="26"/>
  <c r="S14" i="17"/>
  <c r="S14" i="16" s="1"/>
  <c r="S15" i="26" s="1"/>
  <c r="V3" i="14"/>
  <c r="AL5" i="26"/>
  <c r="C7" i="17"/>
  <c r="C7" i="16" s="1"/>
  <c r="C8" i="26" s="1"/>
  <c r="O14" i="12"/>
  <c r="O14" i="14" s="1"/>
  <c r="V19" i="17"/>
  <c r="V19" i="16" s="1"/>
  <c r="V20" i="26" s="1"/>
  <c r="B5" i="17"/>
  <c r="B5" i="16" s="1"/>
  <c r="B5" i="14" s="1"/>
  <c r="AK21" i="12"/>
  <c r="AK21" i="14" s="1"/>
  <c r="AC13" i="26"/>
  <c r="K5" i="14"/>
  <c r="K6" i="26"/>
  <c r="AG15" i="26"/>
  <c r="AO5" i="14"/>
  <c r="AC12" i="14"/>
  <c r="E15" i="17"/>
  <c r="E15" i="16" s="1"/>
  <c r="E15" i="14" s="1"/>
  <c r="AL9" i="14"/>
  <c r="AN5" i="14"/>
  <c r="AO16" i="14"/>
  <c r="AM3" i="14"/>
  <c r="V10" i="26"/>
  <c r="B9" i="14"/>
  <c r="AG8" i="14"/>
  <c r="AO17" i="26"/>
  <c r="AN6" i="26"/>
  <c r="L20" i="26"/>
  <c r="P17" i="12"/>
  <c r="P18" i="26" s="1"/>
  <c r="AG10" i="12"/>
  <c r="AG11" i="26" s="1"/>
  <c r="O18" i="14"/>
  <c r="AL10" i="26"/>
  <c r="S22" i="26"/>
  <c r="AJ10" i="14"/>
  <c r="AJ11" i="26"/>
  <c r="AK18" i="17"/>
  <c r="AK18" i="16" s="1"/>
  <c r="AK18" i="14" s="1"/>
  <c r="AO9" i="26"/>
  <c r="N5" i="14"/>
  <c r="AO12" i="14"/>
  <c r="AI15" i="17"/>
  <c r="AI15" i="16" s="1"/>
  <c r="AI15" i="14" s="1"/>
  <c r="L19" i="26"/>
  <c r="B10" i="26"/>
  <c r="AG9" i="26"/>
  <c r="AO13" i="26"/>
  <c r="S8" i="14"/>
  <c r="M13" i="14"/>
  <c r="D21" i="26"/>
  <c r="AM8" i="14"/>
  <c r="L18" i="14"/>
  <c r="AE11" i="12"/>
  <c r="AE11" i="14" s="1"/>
  <c r="AI7" i="17"/>
  <c r="AI7" i="16" s="1"/>
  <c r="AI8" i="26" s="1"/>
  <c r="AJ5" i="26"/>
  <c r="O6" i="17"/>
  <c r="O6" i="16" s="1"/>
  <c r="O6" i="14" s="1"/>
  <c r="AF21" i="26"/>
  <c r="P12" i="26"/>
  <c r="P11" i="14"/>
  <c r="Z16" i="26"/>
  <c r="S17" i="26"/>
  <c r="I5" i="14"/>
  <c r="AC9" i="17"/>
  <c r="AC9" i="16" s="1"/>
  <c r="AC9" i="14" s="1"/>
  <c r="H6" i="14"/>
  <c r="P9" i="14"/>
  <c r="AC15" i="26"/>
  <c r="AF5" i="26"/>
  <c r="AO8" i="14"/>
  <c r="F19" i="17"/>
  <c r="F19" i="16" s="1"/>
  <c r="F20" i="26" s="1"/>
  <c r="K10" i="14"/>
  <c r="K11" i="26"/>
  <c r="Z15" i="14"/>
  <c r="AO8" i="26"/>
  <c r="I6" i="26"/>
  <c r="V14" i="17"/>
  <c r="V14" i="16" s="1"/>
  <c r="V14" i="14" s="1"/>
  <c r="M16" i="14"/>
  <c r="M8" i="17"/>
  <c r="M8" i="16" s="1"/>
  <c r="M8" i="12"/>
  <c r="F5" i="12"/>
  <c r="S22" i="17"/>
  <c r="S22" i="16" s="1"/>
  <c r="S22" i="14" s="1"/>
  <c r="AI14" i="12"/>
  <c r="AI14" i="14" s="1"/>
  <c r="N20" i="17"/>
  <c r="N20" i="16" s="1"/>
  <c r="N20" i="12"/>
  <c r="AF19" i="17"/>
  <c r="AF19" i="16" s="1"/>
  <c r="AF19" i="14" s="1"/>
  <c r="I13" i="12"/>
  <c r="I13" i="17"/>
  <c r="I13" i="16" s="1"/>
  <c r="E22" i="14" l="1"/>
  <c r="AN21" i="14"/>
  <c r="F5" i="26"/>
  <c r="AI21" i="14"/>
  <c r="AA23" i="26"/>
  <c r="AO22" i="26"/>
  <c r="H22" i="14"/>
  <c r="R22" i="26"/>
  <c r="Y21" i="14"/>
  <c r="Y22" i="14"/>
  <c r="C22" i="14"/>
  <c r="Z19" i="26"/>
  <c r="V22" i="26"/>
  <c r="C22" i="26"/>
  <c r="M22" i="14"/>
  <c r="AH21" i="14"/>
  <c r="O22" i="14"/>
  <c r="P22" i="14"/>
  <c r="AD23" i="26"/>
  <c r="AC22" i="26"/>
  <c r="W23" i="26"/>
  <c r="H22" i="26"/>
  <c r="T23" i="26"/>
  <c r="K22" i="26"/>
  <c r="X23" i="14"/>
  <c r="X25" i="14"/>
  <c r="X21" i="14"/>
  <c r="P22" i="26"/>
  <c r="T21" i="14"/>
  <c r="AC22" i="14"/>
  <c r="AJ23" i="26"/>
  <c r="D23" i="26"/>
  <c r="L24" i="14"/>
  <c r="AD25" i="14"/>
  <c r="AJ26" i="14"/>
  <c r="X26" i="14"/>
  <c r="I21" i="14"/>
  <c r="K26" i="14"/>
  <c r="W25" i="14"/>
  <c r="T24" i="14"/>
  <c r="AD9" i="26"/>
  <c r="AE23" i="14"/>
  <c r="D23" i="14"/>
  <c r="G23" i="14"/>
  <c r="S26" i="14"/>
  <c r="S24" i="14"/>
  <c r="C24" i="14"/>
  <c r="Y23" i="14"/>
  <c r="N20" i="14"/>
  <c r="AD26" i="14"/>
  <c r="X22" i="26"/>
  <c r="Q25" i="14"/>
  <c r="AE26" i="14"/>
  <c r="M24" i="14"/>
  <c r="O25" i="14"/>
  <c r="E24" i="14"/>
  <c r="AI26" i="14"/>
  <c r="U23" i="14"/>
  <c r="E23" i="14"/>
  <c r="G13" i="14"/>
  <c r="AK24" i="14"/>
  <c r="O24" i="14"/>
  <c r="AC24" i="14"/>
  <c r="AN24" i="14"/>
  <c r="D25" i="14"/>
  <c r="AF24" i="14"/>
  <c r="AO23" i="14"/>
  <c r="Q24" i="14"/>
  <c r="Q26" i="14"/>
  <c r="P26" i="14"/>
  <c r="J25" i="14"/>
  <c r="I25" i="14"/>
  <c r="H26" i="14"/>
  <c r="L23" i="14"/>
  <c r="Z24" i="14"/>
  <c r="C23" i="14"/>
  <c r="AO26" i="14"/>
  <c r="W23" i="14"/>
  <c r="Q23" i="14"/>
  <c r="B23" i="26"/>
  <c r="K24" i="14"/>
  <c r="AC26" i="14"/>
  <c r="I22" i="26"/>
  <c r="AB23" i="14"/>
  <c r="P23" i="14"/>
  <c r="B22" i="14"/>
  <c r="P25" i="14"/>
  <c r="M23" i="14"/>
  <c r="AK26" i="14"/>
  <c r="AM26" i="14"/>
  <c r="G26" i="14"/>
  <c r="W26" i="14"/>
  <c r="Y26" i="14"/>
  <c r="B26" i="14"/>
  <c r="AJ23" i="14"/>
  <c r="AG24" i="14"/>
  <c r="AM25" i="14"/>
  <c r="N25" i="14"/>
  <c r="AG23" i="14"/>
  <c r="AI23" i="14"/>
  <c r="L25" i="14"/>
  <c r="AA23" i="14"/>
  <c r="AL23" i="14"/>
  <c r="B23" i="14"/>
  <c r="R23" i="14"/>
  <c r="AI25" i="14"/>
  <c r="AA25" i="14"/>
  <c r="D24" i="14"/>
  <c r="AL24" i="14"/>
  <c r="AK23" i="14"/>
  <c r="K25" i="14"/>
  <c r="V24" i="14"/>
  <c r="I26" i="14"/>
  <c r="I24" i="14"/>
  <c r="C25" i="14"/>
  <c r="J24" i="14"/>
  <c r="F25" i="14"/>
  <c r="E26" i="14"/>
  <c r="X24" i="14"/>
  <c r="AM23" i="26"/>
  <c r="P24" i="14"/>
  <c r="AJ20" i="26"/>
  <c r="AJ19" i="14"/>
  <c r="AA26" i="14"/>
  <c r="U26" i="14"/>
  <c r="H25" i="14"/>
  <c r="Z23" i="14"/>
  <c r="AE24" i="14"/>
  <c r="N26" i="14"/>
  <c r="AH23" i="14"/>
  <c r="N23" i="14"/>
  <c r="R25" i="14"/>
  <c r="AB26" i="14"/>
  <c r="J23" i="14"/>
  <c r="AB24" i="14"/>
  <c r="AN26" i="14"/>
  <c r="Z26" i="14"/>
  <c r="O23" i="14"/>
  <c r="AC23" i="14"/>
  <c r="H23" i="14"/>
  <c r="AO25" i="14"/>
  <c r="V25" i="14"/>
  <c r="AC25" i="14"/>
  <c r="AJ24" i="14"/>
  <c r="N24" i="14"/>
  <c r="AK20" i="14"/>
  <c r="L26" i="14"/>
  <c r="AG25" i="14"/>
  <c r="R26" i="14"/>
  <c r="AB25" i="14"/>
  <c r="AK25" i="14"/>
  <c r="AO24" i="14"/>
  <c r="AH24" i="14"/>
  <c r="G24" i="14"/>
  <c r="AF25" i="14"/>
  <c r="M26" i="14"/>
  <c r="C26" i="14"/>
  <c r="V23" i="14"/>
  <c r="Z25" i="14"/>
  <c r="R24" i="14"/>
  <c r="AN23" i="14"/>
  <c r="Y25" i="14"/>
  <c r="V19" i="14"/>
  <c r="R20" i="14"/>
  <c r="W24" i="14"/>
  <c r="V26" i="14"/>
  <c r="AG26" i="14"/>
  <c r="AA24" i="14"/>
  <c r="AF23" i="14"/>
  <c r="AM24" i="14"/>
  <c r="T25" i="14"/>
  <c r="F19" i="14"/>
  <c r="G25" i="14"/>
  <c r="AD24" i="14"/>
  <c r="O26" i="14"/>
  <c r="B24" i="14"/>
  <c r="H24" i="14"/>
  <c r="Y24" i="14"/>
  <c r="T26" i="14"/>
  <c r="S20" i="14"/>
  <c r="AL26" i="14"/>
  <c r="E20" i="26"/>
  <c r="E19" i="14"/>
  <c r="F23" i="14"/>
  <c r="I23" i="14"/>
  <c r="M25" i="14"/>
  <c r="S23" i="14"/>
  <c r="E25" i="14"/>
  <c r="AH25" i="14"/>
  <c r="AL25" i="14"/>
  <c r="F24" i="14"/>
  <c r="AE25" i="14"/>
  <c r="AF26" i="14"/>
  <c r="B25" i="14"/>
  <c r="AI24" i="14"/>
  <c r="AJ25" i="14"/>
  <c r="AN25" i="14"/>
  <c r="K23" i="14"/>
  <c r="AD23" i="14"/>
  <c r="U25" i="14"/>
  <c r="U24" i="14"/>
  <c r="F26" i="14"/>
  <c r="AH26" i="14"/>
  <c r="D26" i="14"/>
  <c r="J26" i="14"/>
  <c r="T23" i="14"/>
  <c r="AK19" i="14"/>
  <c r="AM23" i="14"/>
  <c r="S25" i="14"/>
  <c r="AE23" i="26"/>
  <c r="AE22" i="14"/>
  <c r="G21" i="14"/>
  <c r="G23" i="26"/>
  <c r="G22" i="14"/>
  <c r="AM22" i="26"/>
  <c r="AM21" i="14"/>
  <c r="AF22" i="26"/>
  <c r="AF21" i="14"/>
  <c r="W22" i="26"/>
  <c r="W21" i="14"/>
  <c r="Q22" i="14"/>
  <c r="P4" i="14"/>
  <c r="AD6" i="26"/>
  <c r="K18" i="14"/>
  <c r="K17" i="14"/>
  <c r="AN8" i="26"/>
  <c r="AC4" i="14"/>
  <c r="AE15" i="14"/>
  <c r="X20" i="26"/>
  <c r="T15" i="26"/>
  <c r="AA16" i="26"/>
  <c r="F10" i="14"/>
  <c r="S20" i="26"/>
  <c r="J5" i="26"/>
  <c r="B13" i="26"/>
  <c r="O17" i="26"/>
  <c r="AM10" i="14"/>
  <c r="Y9" i="26"/>
  <c r="C14" i="14"/>
  <c r="G11" i="14"/>
  <c r="AB19" i="26"/>
  <c r="X8" i="26"/>
  <c r="H9" i="26"/>
  <c r="X21" i="26"/>
  <c r="AC18" i="26"/>
  <c r="F14" i="26"/>
  <c r="H15" i="26"/>
  <c r="U5" i="26"/>
  <c r="J10" i="26"/>
  <c r="AH18" i="14"/>
  <c r="I8" i="26"/>
  <c r="AL6" i="26"/>
  <c r="AM12" i="14"/>
  <c r="F17" i="14"/>
  <c r="AN11" i="26"/>
  <c r="V23" i="26"/>
  <c r="N3" i="14"/>
  <c r="AB6" i="26"/>
  <c r="AI17" i="26"/>
  <c r="AL14" i="14"/>
  <c r="AN9" i="26"/>
  <c r="W11" i="26"/>
  <c r="Z7" i="26"/>
  <c r="X4" i="14"/>
  <c r="AB23" i="26"/>
  <c r="AH21" i="26"/>
  <c r="J14" i="26"/>
  <c r="AC9" i="26"/>
  <c r="S10" i="26"/>
  <c r="AJ12" i="26"/>
  <c r="AC11" i="14"/>
  <c r="Y3" i="14"/>
  <c r="J7" i="14"/>
  <c r="AG11" i="14"/>
  <c r="AM16" i="26"/>
  <c r="AA6" i="26"/>
  <c r="Z9" i="26"/>
  <c r="K9" i="14"/>
  <c r="W17" i="26"/>
  <c r="O4" i="14"/>
  <c r="X23" i="26"/>
  <c r="Y6" i="14"/>
  <c r="M12" i="26"/>
  <c r="X12" i="26"/>
  <c r="S8" i="26"/>
  <c r="AF7" i="26"/>
  <c r="AD19" i="26"/>
  <c r="R13" i="26"/>
  <c r="P3" i="14"/>
  <c r="J6" i="14"/>
  <c r="AE18" i="14"/>
  <c r="N18" i="26"/>
  <c r="K20" i="26"/>
  <c r="B13" i="14"/>
  <c r="AN23" i="26"/>
  <c r="AC7" i="26"/>
  <c r="AI9" i="14"/>
  <c r="E9" i="14"/>
  <c r="Q5" i="26"/>
  <c r="AL16" i="26"/>
  <c r="Y11" i="26"/>
  <c r="AG14" i="26"/>
  <c r="T7" i="26"/>
  <c r="Y8" i="26"/>
  <c r="C5" i="26"/>
  <c r="AJ19" i="26"/>
  <c r="D4" i="26"/>
  <c r="AN11" i="14"/>
  <c r="O9" i="26"/>
  <c r="L4" i="14"/>
  <c r="Z14" i="26"/>
  <c r="AH5" i="14"/>
  <c r="AI18" i="14"/>
  <c r="M6" i="26"/>
  <c r="D18" i="26"/>
  <c r="AC6" i="26"/>
  <c r="R10" i="26"/>
  <c r="L5" i="14"/>
  <c r="AM7" i="14"/>
  <c r="R6" i="14"/>
  <c r="C7" i="26"/>
  <c r="AG6" i="14"/>
  <c r="M18" i="26"/>
  <c r="AO14" i="26"/>
  <c r="AH13" i="26"/>
  <c r="R16" i="14"/>
  <c r="I10" i="14"/>
  <c r="H18" i="26"/>
  <c r="AF8" i="26"/>
  <c r="O4" i="26"/>
  <c r="AL7" i="26"/>
  <c r="AO3" i="14"/>
  <c r="D16" i="14"/>
  <c r="AL16" i="14"/>
  <c r="AI6" i="26"/>
  <c r="T12" i="14"/>
  <c r="V21" i="26"/>
  <c r="M11" i="26"/>
  <c r="S17" i="14"/>
  <c r="S5" i="14"/>
  <c r="X16" i="26"/>
  <c r="B6" i="26"/>
  <c r="AD11" i="14"/>
  <c r="K4" i="14"/>
  <c r="I19" i="26"/>
  <c r="C8" i="14"/>
  <c r="AF18" i="14"/>
  <c r="AL4" i="26"/>
  <c r="S13" i="26"/>
  <c r="AB10" i="14"/>
  <c r="W19" i="26"/>
  <c r="K13" i="14"/>
  <c r="P17" i="14"/>
  <c r="C7" i="14"/>
  <c r="O15" i="26"/>
  <c r="AK9" i="14"/>
  <c r="L3" i="14"/>
  <c r="AO14" i="14"/>
  <c r="J17" i="14"/>
  <c r="AJ8" i="26"/>
  <c r="X14" i="26"/>
  <c r="AE8" i="26"/>
  <c r="I17" i="26"/>
  <c r="AF17" i="26"/>
  <c r="E16" i="26"/>
  <c r="S14" i="14"/>
  <c r="E17" i="26"/>
  <c r="AK22" i="26"/>
  <c r="AG10" i="14"/>
  <c r="AI7" i="14"/>
  <c r="AK19" i="26"/>
  <c r="AI16" i="26"/>
  <c r="AE12" i="26"/>
  <c r="O7" i="26"/>
  <c r="AI15" i="26"/>
  <c r="AC10" i="26"/>
  <c r="V15" i="26"/>
  <c r="M8" i="14"/>
  <c r="M9" i="26"/>
  <c r="S23" i="26"/>
  <c r="F5" i="14"/>
  <c r="F6" i="26"/>
  <c r="N21" i="26"/>
  <c r="AF20" i="26"/>
  <c r="I14" i="26"/>
  <c r="I1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Maeda Toshinori</author>
  </authors>
  <commentList>
    <comment ref="H15" authorId="0" shapeId="0" xr:uid="{00000000-0006-0000-0000-000001000000}">
      <text>
        <r>
          <rPr>
            <b/>
            <sz val="9"/>
            <color indexed="81"/>
            <rFont val="ＭＳ Ｐゴシック"/>
            <family val="3"/>
            <charset val="128"/>
          </rPr>
          <t>サンプル</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Maeda Toshinori</author>
  </authors>
  <commentList>
    <comment ref="H15" authorId="0" shapeId="0" xr:uid="{00000000-0006-0000-0200-000001000000}">
      <text>
        <r>
          <rPr>
            <b/>
            <sz val="9"/>
            <color indexed="81"/>
            <rFont val="ＭＳ Ｐゴシック"/>
            <family val="3"/>
            <charset val="128"/>
          </rPr>
          <t>サンプル</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Maeda Toshinori</author>
  </authors>
  <commentList>
    <comment ref="C5" authorId="0" shapeId="0" xr:uid="{00000000-0006-0000-0400-000001000000}">
      <text>
        <r>
          <rPr>
            <b/>
            <sz val="12"/>
            <color indexed="81"/>
            <rFont val="ＭＳ Ｐゴシック"/>
            <family val="3"/>
            <charset val="128"/>
          </rPr>
          <t>パネル型式を入力してください
存在しない場合は、太陽電池モジュールリストのシートにパネル情報を追加してください</t>
        </r>
      </text>
    </comment>
    <comment ref="E7" authorId="1" shapeId="0" xr:uid="{00000000-0006-0000-0400-000002000000}">
      <text>
        <r>
          <rPr>
            <b/>
            <sz val="9"/>
            <color indexed="81"/>
            <rFont val="ＭＳ Ｐゴシック"/>
            <family val="3"/>
            <charset val="128"/>
          </rPr>
          <t>ＰＣＳ１台に接続したいパネルの枚数を入力してください</t>
        </r>
      </text>
    </comment>
    <comment ref="H7" authorId="1" shapeId="0" xr:uid="{00000000-0006-0000-0400-000003000000}">
      <text>
        <r>
          <rPr>
            <b/>
            <sz val="9"/>
            <color indexed="81"/>
            <rFont val="ＭＳ Ｐゴシック"/>
            <family val="3"/>
            <charset val="128"/>
          </rPr>
          <t>ＰＣＳ１台あたりの過積載率となります
過積載率は接続可能直列数に影響するため必ず数値を確認ください</t>
        </r>
      </text>
    </comment>
    <comment ref="C9" authorId="1" shapeId="0" xr:uid="{00000000-0006-0000-0400-000004000000}">
      <text>
        <r>
          <rPr>
            <b/>
            <sz val="9"/>
            <color indexed="81"/>
            <rFont val="ＭＳ Ｐゴシック"/>
            <family val="3"/>
            <charset val="128"/>
          </rPr>
          <t>ＰＣＳ型式を選択して下さい。</t>
        </r>
      </text>
    </comment>
    <comment ref="C13" authorId="1" shapeId="0" xr:uid="{00000000-0006-0000-0400-000005000000}">
      <text>
        <r>
          <rPr>
            <b/>
            <sz val="9"/>
            <color indexed="81"/>
            <rFont val="ＭＳ Ｐゴシック"/>
            <family val="3"/>
            <charset val="128"/>
          </rPr>
          <t>設置環境に合わせて必要があれば変更下さい</t>
        </r>
      </text>
    </comment>
    <comment ref="F13" authorId="1" shapeId="0" xr:uid="{00000000-0006-0000-0400-000006000000}">
      <text>
        <r>
          <rPr>
            <b/>
            <sz val="9"/>
            <color indexed="81"/>
            <rFont val="ＭＳ Ｐゴシック"/>
            <family val="3"/>
            <charset val="128"/>
          </rPr>
          <t>標準は「30℃」です。設置環境に合わせて必要があれば変更下さい</t>
        </r>
      </text>
    </comment>
    <comment ref="I13" authorId="1" shapeId="0" xr:uid="{00000000-0006-0000-0400-000007000000}">
      <text>
        <r>
          <rPr>
            <b/>
            <sz val="9"/>
            <color indexed="81"/>
            <rFont val="ＭＳ Ｐゴシック"/>
            <family val="3"/>
            <charset val="128"/>
          </rPr>
          <t>通常は変更不要です
設置環境に合わせて必要があれば変更下さい</t>
        </r>
      </text>
    </comment>
    <comment ref="J13" authorId="1" shapeId="0" xr:uid="{00000000-0006-0000-0400-000008000000}">
      <text>
        <r>
          <rPr>
            <b/>
            <sz val="9"/>
            <color indexed="81"/>
            <rFont val="ＭＳ Ｐゴシック"/>
            <family val="3"/>
            <charset val="128"/>
          </rPr>
          <t>ＰＣＳの最大短絡電流を超えないように接続枚数を制限するか決めることができます。
標準的な設計に於いては「適用」を選択ください。</t>
        </r>
      </text>
    </comment>
    <comment ref="C14" authorId="1" shapeId="0" xr:uid="{00000000-0006-0000-0400-000009000000}">
      <text>
        <r>
          <rPr>
            <b/>
            <sz val="9"/>
            <color indexed="81"/>
            <rFont val="ＭＳ Ｐゴシック"/>
            <family val="3"/>
            <charset val="128"/>
          </rPr>
          <t>設置環境に合わせて必要があれば変更下さい</t>
        </r>
      </text>
    </comment>
    <comment ref="I14" authorId="1" shapeId="0" xr:uid="{00000000-0006-0000-0400-00000A000000}">
      <text>
        <r>
          <rPr>
            <b/>
            <sz val="9"/>
            <color indexed="81"/>
            <rFont val="ＭＳ Ｐゴシック"/>
            <family val="3"/>
            <charset val="128"/>
          </rPr>
          <t>通常は変更不要です
設置環境に合わせて必要があれば変更下さい</t>
        </r>
      </text>
    </comment>
    <comment ref="M22" authorId="1" shapeId="0" xr:uid="{00000000-0006-0000-0400-00000B000000}">
      <text>
        <r>
          <rPr>
            <b/>
            <sz val="9"/>
            <color indexed="81"/>
            <rFont val="ＭＳ Ｐゴシック"/>
            <family val="3"/>
            <charset val="128"/>
          </rPr>
          <t>入力直列数が少なく運転制限によりパネル接続容量よりＰＣＳ出力が低くなる場合、「制限あり」と表示されます
「接続不可」の場合は直列数か回路数を見直してください。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Maeda Toshinori</author>
  </authors>
  <commentList>
    <comment ref="A2" authorId="0" shapeId="0" xr:uid="{00000000-0006-0000-0500-000001000000}">
      <text>
        <r>
          <rPr>
            <b/>
            <sz val="9"/>
            <color indexed="81"/>
            <rFont val="ＭＳ Ｐゴシック"/>
            <family val="3"/>
            <charset val="128"/>
          </rPr>
          <t>モジュールのＳＴＣスペックデータを入力してください。
正式な計算には温度係数が必要となりますので、モジュールメーカー様までご依頼の上、入手ください。
温度係数が不明かつ概算での計算を行う場合は近しい性能のモジュール温度係数を入力ください。</t>
        </r>
      </text>
    </comment>
    <comment ref="K3" authorId="0" shapeId="0" xr:uid="{00000000-0006-0000-0500-000002000000}">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J4" authorId="0" shapeId="0" xr:uid="{00000000-0006-0000-0500-000003000000}">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40" authorId="0" shapeId="0" xr:uid="{812D1AF5-1A22-4FBF-BC27-FD8160313686}">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42" authorId="0" shapeId="0" xr:uid="{588B0168-FEFE-4C14-AB32-DD52327EE7C9}">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44" authorId="0" shapeId="0" xr:uid="{085C5755-49E4-431C-87AA-F961932D941C}">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K76" authorId="0" shapeId="0" xr:uid="{334D8250-A5AF-4F2D-9921-CDCEBF7BE896}">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J136" authorId="0" shapeId="0" xr:uid="{3555064F-8A67-4B79-8D7B-4345443CE0DD}">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138" authorId="0" shapeId="0" xr:uid="{256658A6-8FA7-47E7-8DF2-771148B6C970}">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140" authorId="0" shapeId="0" xr:uid="{FA698037-EAEB-4C11-858A-DCC4499821FE}">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K172" authorId="0" shapeId="0" xr:uid="{1F0B4408-4595-4B11-8DA5-5B258CDA0952}">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199" authorId="0" shapeId="0" xr:uid="{D6B3F2DB-076D-4B2F-8E3E-DAD28957B05B}">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205" authorId="0" shapeId="0" xr:uid="{7AF55108-8AE2-44E6-8838-0478E77685AB}">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J231" authorId="0" shapeId="0" xr:uid="{5A8F1EDD-0CE7-470B-963E-96E77DFF8EAB}">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233" authorId="0" shapeId="0" xr:uid="{68356906-DB5A-46F3-B63B-696E1B23A496}">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235" authorId="0" shapeId="0" xr:uid="{97D987AD-201C-4650-A78D-DD3654DB4249}">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237" authorId="0" shapeId="0" xr:uid="{8EFA208B-7D27-4518-A41B-19FFE968E840}">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239" authorId="0" shapeId="0" xr:uid="{DD81891D-FD17-4D16-8D20-53DA461CD770}">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256" authorId="0" shapeId="0" xr:uid="{E725A9CC-195E-468B-BDFE-55037FEC2F99}">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K268" authorId="0" shapeId="0" xr:uid="{C2316571-4831-4EF7-8A34-4AA8302ACD24}">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284" authorId="0" shapeId="0" xr:uid="{E37AFDC0-5042-45D2-9B18-EA752CDA0C33}">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329" authorId="0" shapeId="0" xr:uid="{14694AB1-450B-49A0-9839-D25C58DA68CE}">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362" authorId="0" shapeId="0" xr:uid="{866C1A1F-FBA6-48DB-9257-893160DEDF7B}">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A379" authorId="0" shapeId="0" xr:uid="{B0661D09-73DC-4A54-95ED-51329D62A555}">
      <text>
        <r>
          <rPr>
            <sz val="9"/>
            <color indexed="81"/>
            <rFont val="ＭＳ Ｐゴシック"/>
            <family val="3"/>
            <charset val="128"/>
          </rPr>
          <t>両面モジュールは表面スペックを入力し、その下の行に左記の数式、裏面発電量の係数を入れることで裏面発電を考慮した両面のスペックを出すことができます。</t>
        </r>
      </text>
    </comment>
    <comment ref="K381" authorId="0" shapeId="0" xr:uid="{4B2D249A-84CB-47C5-A26B-32CBC6C3F938}">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J417" authorId="0" shapeId="0" xr:uid="{1ECC42F4-A363-4DD4-8861-B6DABC2B2FA2}">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419" authorId="0" shapeId="0" xr:uid="{30F6FE7B-025E-404D-BC32-A8CA990475AC}">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A436" authorId="0" shapeId="0" xr:uid="{6AB2E2DC-B971-4530-ABAA-0714D6495360}">
      <text>
        <r>
          <rPr>
            <sz val="9"/>
            <color indexed="81"/>
            <rFont val="ＭＳ Ｐゴシック"/>
            <family val="3"/>
            <charset val="128"/>
          </rPr>
          <t>両面モジュールは表面スペックを入力し、その下の行に左記の数式、裏面発電量の係数を入れることで裏面発電を考慮した両面のスペックを出すことができます。</t>
        </r>
      </text>
    </comment>
    <comment ref="A438" authorId="0" shapeId="0" xr:uid="{EA53FC80-454B-4FF9-AD65-3A3DD183F230}">
      <text>
        <r>
          <rPr>
            <sz val="9"/>
            <color indexed="81"/>
            <rFont val="ＭＳ Ｐゴシック"/>
            <family val="3"/>
            <charset val="128"/>
          </rPr>
          <t>両面モジュールは表面スペックを入力し、その下の行に左記の数式、裏面発電量の係数を入れることで裏面発電を考慮した両面のスペックを出すことができます。</t>
        </r>
      </text>
    </comment>
    <comment ref="A440" authorId="0" shapeId="0" xr:uid="{0FD5339A-2567-4C0E-8EFB-286E988BCB92}">
      <text>
        <r>
          <rPr>
            <sz val="9"/>
            <color indexed="81"/>
            <rFont val="ＭＳ Ｐゴシック"/>
            <family val="3"/>
            <charset val="128"/>
          </rPr>
          <t>両面モジュールは表面スペックを入力し、その下の行に左記の数式、裏面発電量の係数を入れることで裏面発電を考慮した両面のスペックを出すことができます。</t>
        </r>
      </text>
    </comment>
    <comment ref="K475" authorId="0" shapeId="0" xr:uid="{38E150DF-EF91-4BF4-8AEC-D32D64FDBCE1}">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J694" authorId="0" shapeId="0" xr:uid="{E2AEB00A-D8ED-4892-9103-7E9FDCFFEDF1}">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711" authorId="0" shapeId="0" xr:uid="{BB31E369-1149-4D11-ADE0-E4057AE1DE64}">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713" authorId="0" shapeId="0" xr:uid="{4499E297-45F9-450C-BBC3-05B3D47F364D}">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716" authorId="0" shapeId="0" xr:uid="{5728ED8A-EE7B-4F9F-8BE5-431735E594DA}">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K754" authorId="0" shapeId="0" xr:uid="{A0225F37-E2A3-497F-AD19-357CB5453185}">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826" authorId="0" shapeId="0" xr:uid="{48BD1E87-46ED-4802-864A-8E95D74EE287}">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828" authorId="0" shapeId="0" xr:uid="{E96B6D10-EE62-4EF7-8096-7394403A5636}">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J934" authorId="0" shapeId="0" xr:uid="{E0BC3178-FD76-420D-8D68-EFDE3FF0A985}">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J1009" authorId="0" shapeId="0" xr:uid="{18CC2980-4484-4634-9A35-7381AABB882B}">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K1066" authorId="0" shapeId="0" xr:uid="{9151BD81-3B39-43AD-8E55-419FDC92E85F}">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1076" authorId="0" shapeId="0" xr:uid="{BD700811-D939-4068-9F53-C7D84E2B8B8A}">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1108" authorId="0" shapeId="0" xr:uid="{DB019395-B82B-498B-A299-C4EC040A7CBB}">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1171" authorId="0" shapeId="0" xr:uid="{92160734-D1FF-43AD-A87E-BD74291836E8}">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1196" authorId="0" shapeId="0" xr:uid="{B9240F04-EDFE-4204-9B26-BF0C9AF3DCAF}">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A1220" authorId="0" shapeId="0" xr:uid="{5CD40C38-E360-4E63-9CAE-CF7EA8E52B98}">
      <text>
        <r>
          <rPr>
            <sz val="9"/>
            <color indexed="81"/>
            <rFont val="ＭＳ Ｐゴシック"/>
            <family val="3"/>
            <charset val="128"/>
          </rPr>
          <t>集電して接続するパネルは1枚のスペックを入力し、その下の行に左記の数式、集電数を入れることで集電により増加する電流値を考慮したスペックを出すことができます。</t>
        </r>
      </text>
    </comment>
    <comment ref="K1275" authorId="0" shapeId="0" xr:uid="{3AA62754-DB2D-46BB-9A76-3F4C4D56D720}">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1299" authorId="0" shapeId="0" xr:uid="{26AD4888-0A64-48D9-8809-CECE8A92A603}">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J1414" authorId="0" shapeId="0" xr:uid="{811EDCD1-8C0C-4A3B-89EF-E51BADCCB4A2}">
      <text>
        <r>
          <rPr>
            <b/>
            <sz val="9"/>
            <color indexed="81"/>
            <rFont val="ＭＳ Ｐゴシック"/>
            <family val="3"/>
            <charset val="128"/>
          </rPr>
          <t>両面モジュールは表面スペックを入力し、その下の行に左記の計算数式、裏面発電量の係数を入れることで裏面発電を考慮した両面のスペックを出すことができます。</t>
        </r>
      </text>
    </comment>
    <comment ref="A1562" authorId="0" shapeId="0" xr:uid="{92734AFB-8430-4792-B6B1-B6804B74E7AB}">
      <text>
        <r>
          <rPr>
            <sz val="9"/>
            <color indexed="81"/>
            <rFont val="ＭＳ Ｐゴシック"/>
            <family val="3"/>
            <charset val="128"/>
          </rPr>
          <t>集電して接続するパネルは1枚のスペックを入力し、その下の行に左記の数式、集電数を入れることで集電により増加する電流値を考慮したスペックを出すことができます。</t>
        </r>
      </text>
    </comment>
    <comment ref="A1564" authorId="0" shapeId="0" xr:uid="{95B98D26-34B6-49F0-84A9-C89DBF323A71}">
      <text>
        <r>
          <rPr>
            <sz val="9"/>
            <color indexed="81"/>
            <rFont val="ＭＳ Ｐゴシック"/>
            <family val="3"/>
            <charset val="128"/>
          </rPr>
          <t>集電して接続するパネルは1枚のスペックを入力し、その下の行に左記の数式、集電数を入れることで集電により増加する電流値を考慮したスペックを出すことができます。</t>
        </r>
      </text>
    </comment>
    <comment ref="A1566" authorId="0" shapeId="0" xr:uid="{34457C5D-C980-485D-8FC6-B26427CE64CD}">
      <text>
        <r>
          <rPr>
            <sz val="9"/>
            <color indexed="81"/>
            <rFont val="ＭＳ Ｐゴシック"/>
            <family val="3"/>
            <charset val="128"/>
          </rPr>
          <t>集電して接続するパネルは1枚のスペックを入力し、その下の行に左記の数式、集電数を入れることで集電により増加する電流値を考慮したスペックを出すことができます。</t>
        </r>
      </text>
    </comment>
    <comment ref="A1568" authorId="0" shapeId="0" xr:uid="{9E91E291-DA9A-42EF-AFEC-4370C0FD7FC2}">
      <text>
        <r>
          <rPr>
            <sz val="9"/>
            <color indexed="81"/>
            <rFont val="ＭＳ Ｐゴシック"/>
            <family val="3"/>
            <charset val="128"/>
          </rPr>
          <t>集電して接続するパネルは1枚のスペックを入力し、その下の行に左記の数式、集電数を入れることで集電により増加する電流値を考慮したスペックを出すことができます。</t>
        </r>
      </text>
    </comment>
    <comment ref="K1637" authorId="0" shapeId="0" xr:uid="{DBEA65B9-767C-4E68-A4BD-E9CC35431ED2}">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 ref="K1641" authorId="0" shapeId="0" xr:uid="{3BD2617F-03C5-4073-B745-33A0D4022F68}">
      <text>
        <r>
          <rPr>
            <b/>
            <sz val="9"/>
            <color indexed="81"/>
            <rFont val="ＭＳ Ｐゴシック"/>
            <family val="3"/>
            <charset val="128"/>
          </rPr>
          <t>リパワリングＰＣＳは接続箱で集電して接続されるため、集電数分、電流値が増えます。モジュールスペックを入力しその下の行に左記の計算数式、集電数を入力し使用してください。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Maeda Toshinori</author>
  </authors>
  <commentList>
    <comment ref="C5" authorId="0" shapeId="0" xr:uid="{00000000-0006-0000-0600-000001000000}">
      <text>
        <r>
          <rPr>
            <b/>
            <sz val="9"/>
            <color indexed="81"/>
            <rFont val="ＭＳ Ｐゴシック"/>
            <family val="3"/>
            <charset val="128"/>
          </rPr>
          <t>パネル型式を入力してください、両面発電パネルは裏面発電量を考慮したデータで計算してください
情報が表示されない場合は「太陽電池モジュールリスト」シートにパネル情報を追加してください</t>
        </r>
      </text>
    </comment>
    <comment ref="E7" authorId="1" shapeId="0" xr:uid="{00000000-0006-0000-0600-000002000000}">
      <text>
        <r>
          <rPr>
            <b/>
            <sz val="9"/>
            <color indexed="81"/>
            <rFont val="ＭＳ Ｐゴシック"/>
            <family val="3"/>
            <charset val="128"/>
          </rPr>
          <t>ＰＣＳ１台に接続したいパネルの枚数を入力してください</t>
        </r>
      </text>
    </comment>
    <comment ref="H7" authorId="1" shapeId="0" xr:uid="{00000000-0006-0000-0600-000003000000}">
      <text>
        <r>
          <rPr>
            <b/>
            <sz val="9"/>
            <color indexed="81"/>
            <rFont val="ＭＳ Ｐゴシック"/>
            <family val="3"/>
            <charset val="128"/>
          </rPr>
          <t>ＰＣＳ１台あたりの過積載率となります
過積載率は接続可能直列数に影響するため必ず数値を確認ください</t>
        </r>
      </text>
    </comment>
    <comment ref="C9" authorId="1" shapeId="0" xr:uid="{00000000-0006-0000-0600-000004000000}">
      <text>
        <r>
          <rPr>
            <b/>
            <sz val="9"/>
            <color indexed="81"/>
            <rFont val="ＭＳ Ｐゴシック"/>
            <family val="3"/>
            <charset val="128"/>
          </rPr>
          <t>ＰＣＳ型式を選択して下さい。</t>
        </r>
      </text>
    </comment>
    <comment ref="D18" authorId="1" shapeId="0" xr:uid="{00000000-0006-0000-0600-000005000000}">
      <text>
        <r>
          <rPr>
            <b/>
            <sz val="9"/>
            <color indexed="81"/>
            <rFont val="ＭＳ Ｐゴシック"/>
            <family val="3"/>
            <charset val="128"/>
          </rPr>
          <t>通常は30度なりますので、
パネルメーカーから指定が無い限り変更しないでください。</t>
        </r>
      </text>
    </comment>
    <comment ref="G18" authorId="1" shapeId="0" xr:uid="{00000000-0006-0000-0600-000006000000}">
      <text>
        <r>
          <rPr>
            <b/>
            <sz val="9"/>
            <color indexed="81"/>
            <rFont val="ＭＳ Ｐゴシック"/>
            <family val="3"/>
            <charset val="128"/>
          </rPr>
          <t>通常は変更しないでください</t>
        </r>
      </text>
    </comment>
    <comment ref="H18" authorId="1" shapeId="0" xr:uid="{00000000-0006-0000-0600-000007000000}">
      <text>
        <r>
          <rPr>
            <b/>
            <sz val="9"/>
            <color indexed="81"/>
            <rFont val="ＭＳ Ｐゴシック"/>
            <family val="3"/>
            <charset val="128"/>
          </rPr>
          <t>ＰＣＳの最大短絡電流値による回路数の制限を設けるか設けないか設定できます。
最大短絡電流値を超えるパネルを接続することが直接的な故障の要因とはなりませんが、パネルの極性を逆に接続するなど別の故障要因が発生した際にデバイスの損傷に繋がる可能性が高くなります。</t>
        </r>
      </text>
    </comment>
    <comment ref="G19" authorId="1" shapeId="0" xr:uid="{00000000-0006-0000-0600-000008000000}">
      <text>
        <r>
          <rPr>
            <b/>
            <sz val="9"/>
            <color indexed="81"/>
            <rFont val="ＭＳ Ｐゴシック"/>
            <family val="3"/>
            <charset val="128"/>
          </rPr>
          <t>通常は変更しないでください</t>
        </r>
      </text>
    </comment>
    <comment ref="L19" authorId="1" shapeId="0" xr:uid="{00000000-0006-0000-0600-000009000000}">
      <text>
        <r>
          <rPr>
            <b/>
            <sz val="9"/>
            <color indexed="81"/>
            <rFont val="ＭＳ Ｐゴシック"/>
            <family val="3"/>
            <charset val="128"/>
          </rPr>
          <t>力率一定制御時の設定力率を入力ください</t>
        </r>
      </text>
    </comment>
    <comment ref="R19" authorId="1" shapeId="0" xr:uid="{00000000-0006-0000-0600-00000A000000}">
      <text>
        <r>
          <rPr>
            <b/>
            <sz val="9"/>
            <color indexed="81"/>
            <rFont val="ＭＳ Ｐゴシック"/>
            <family val="3"/>
            <charset val="128"/>
          </rPr>
          <t>設置角度による発電量低下の要素を考慮するか</t>
        </r>
      </text>
    </comment>
    <comment ref="AD51" authorId="1" shapeId="0" xr:uid="{00000000-0006-0000-0600-00000B000000}">
      <text>
        <r>
          <rPr>
            <b/>
            <sz val="9"/>
            <color indexed="81"/>
            <rFont val="ＭＳ Ｐゴシック"/>
            <family val="3"/>
            <charset val="128"/>
          </rPr>
          <t>入力した組み合わせにより、ＰＣＳ出力が制限されない場合は「影響なし」と表示します。
最大入力電流の制限により定格出力が出力できないと想定される場合、「影響あり」と表示します。
接続可否欄が「接続不可」の場合は、この欄も「接続不可」と表示されます。</t>
        </r>
      </text>
    </comment>
    <comment ref="AD52" authorId="1" shapeId="0" xr:uid="{00000000-0006-0000-0600-00000C000000}">
      <text>
        <r>
          <rPr>
            <b/>
            <sz val="9"/>
            <color indexed="81"/>
            <rFont val="ＭＳ Ｐゴシック"/>
            <family val="3"/>
            <charset val="128"/>
          </rPr>
          <t>MPPT運転電流の制限により、
定格出力が出ないケースがあるか確認するのに使用します。
発生しやすい環境は両面発電パネルを2入力MPPTに入力した場合などです。
接続可能である場合、ＰＣＳの合計出力か接続パネル容量が表示されます。
接続可否欄が「接続不可」の場合はこの欄も「接続不可」と表示されます。</t>
        </r>
      </text>
    </comment>
    <comment ref="C53" authorId="1" shapeId="0" xr:uid="{00000000-0006-0000-0600-00000D000000}">
      <text>
        <r>
          <rPr>
            <b/>
            <sz val="9"/>
            <color indexed="81"/>
            <rFont val="ＭＳ Ｐゴシック"/>
            <family val="3"/>
            <charset val="128"/>
          </rPr>
          <t>接続可能であることを確認してください
「接続不可」である場合、直列数か回路数を変更してください。</t>
        </r>
      </text>
    </comment>
    <comment ref="D59" authorId="1" shapeId="0" xr:uid="{00000000-0006-0000-0600-00000E000000}">
      <text>
        <r>
          <rPr>
            <b/>
            <sz val="9"/>
            <color indexed="81"/>
            <rFont val="ＭＳ Ｐゴシック"/>
            <family val="3"/>
            <charset val="128"/>
          </rPr>
          <t>入力直列数が少なく運転制限により
パネル接続容量よりＰＣＳ出力が低くなる場合、
「運転制限あり」と表示されます
「接続不可」の場合は直列数か回路数を見直してください。</t>
        </r>
      </text>
    </comment>
    <comment ref="F63" authorId="1" shapeId="0" xr:uid="{00000000-0006-0000-0600-00000F000000}">
      <text>
        <r>
          <rPr>
            <b/>
            <sz val="9"/>
            <color indexed="81"/>
            <rFont val="ＭＳ Ｐゴシック"/>
            <family val="3"/>
            <charset val="128"/>
          </rPr>
          <t>蓄電池接続時は定格4.95kW以上発電時に蓄電池に充電が可能です。
MPPT入力電流の制限により充電量が制限される際に赤字で表示します
蓄電池容量により最大充電量は下記のように変動します。
5kWh　1.5kW
10kWh　3.0kW
15kWh　4.5kW</t>
        </r>
      </text>
    </comment>
    <comment ref="B70" authorId="1" shapeId="0" xr:uid="{00000000-0006-0000-0600-000010000000}">
      <text>
        <r>
          <rPr>
            <b/>
            <sz val="9"/>
            <color indexed="81"/>
            <rFont val="ＭＳ Ｐゴシック"/>
            <family val="3"/>
            <charset val="128"/>
          </rPr>
          <t>1回路にハーフパネルや三角パネルが含まれている場合に使用してください</t>
        </r>
      </text>
    </comment>
    <comment ref="I71" authorId="1" shapeId="0" xr:uid="{00000000-0006-0000-0600-000011000000}">
      <text>
        <r>
          <rPr>
            <b/>
            <sz val="9"/>
            <color indexed="81"/>
            <rFont val="ＭＳ Ｐゴシック"/>
            <family val="3"/>
            <charset val="128"/>
          </rPr>
          <t>計算結果の直列数として回路構成表や接続確認欄を参照ください</t>
        </r>
      </text>
    </comment>
    <comment ref="B75" authorId="1" shapeId="0" xr:uid="{00000000-0006-0000-0600-000012000000}">
      <text>
        <r>
          <rPr>
            <b/>
            <sz val="9"/>
            <color indexed="81"/>
            <rFont val="ＭＳ Ｐゴシック"/>
            <family val="3"/>
            <charset val="128"/>
          </rPr>
          <t>この表の見方は「表の見方」シートをご確認ください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Maeda Toshinori</author>
  </authors>
  <commentList>
    <comment ref="C5" authorId="0" shapeId="0" xr:uid="{00000000-0006-0000-0700-000001000000}">
      <text>
        <r>
          <rPr>
            <b/>
            <sz val="12"/>
            <color indexed="81"/>
            <rFont val="ＭＳ Ｐゴシック"/>
            <family val="3"/>
            <charset val="128"/>
          </rPr>
          <t>パネル型式を入力してください
存在しない場合は、太陽電池モジュールリストのシートにパネル情報を追加してください</t>
        </r>
      </text>
    </comment>
    <comment ref="E7" authorId="1" shapeId="0" xr:uid="{00000000-0006-0000-0700-000002000000}">
      <text>
        <r>
          <rPr>
            <b/>
            <sz val="9"/>
            <color indexed="81"/>
            <rFont val="ＭＳ Ｐゴシック"/>
            <family val="3"/>
            <charset val="128"/>
          </rPr>
          <t>ＰＣＳ１台に接続したいパネルの枚数を入力してください</t>
        </r>
      </text>
    </comment>
    <comment ref="H7" authorId="1" shapeId="0" xr:uid="{00000000-0006-0000-0700-000003000000}">
      <text>
        <r>
          <rPr>
            <b/>
            <sz val="9"/>
            <color indexed="81"/>
            <rFont val="ＭＳ Ｐゴシック"/>
            <family val="3"/>
            <charset val="128"/>
          </rPr>
          <t>ＰＣＳ１台あたりの過積載率となります
過積載率は接続可能直列数に影響するため必ず数値を確認ください</t>
        </r>
      </text>
    </comment>
    <comment ref="C9" authorId="1" shapeId="0" xr:uid="{00000000-0006-0000-0700-000004000000}">
      <text>
        <r>
          <rPr>
            <b/>
            <sz val="9"/>
            <color indexed="81"/>
            <rFont val="ＭＳ Ｐゴシック"/>
            <family val="3"/>
            <charset val="128"/>
          </rPr>
          <t>ＰＣＳ型式を選択して下さい。</t>
        </r>
      </text>
    </comment>
    <comment ref="C14" authorId="1" shapeId="0" xr:uid="{00000000-0006-0000-0700-000005000000}">
      <text>
        <r>
          <rPr>
            <b/>
            <sz val="9"/>
            <color indexed="81"/>
            <rFont val="ＭＳ Ｐゴシック"/>
            <family val="3"/>
            <charset val="128"/>
          </rPr>
          <t>設置環境に合わせて必要があれば変更下さい</t>
        </r>
      </text>
    </comment>
    <comment ref="F14" authorId="1" shapeId="0" xr:uid="{00000000-0006-0000-0700-000006000000}">
      <text>
        <r>
          <rPr>
            <b/>
            <sz val="9"/>
            <color indexed="81"/>
            <rFont val="ＭＳ Ｐゴシック"/>
            <family val="3"/>
            <charset val="128"/>
          </rPr>
          <t>設置環境に合わせて必要があれば変更下さい</t>
        </r>
      </text>
    </comment>
    <comment ref="I14" authorId="1" shapeId="0" xr:uid="{00000000-0006-0000-0700-000007000000}">
      <text>
        <r>
          <rPr>
            <b/>
            <sz val="9"/>
            <color indexed="81"/>
            <rFont val="ＭＳ Ｐゴシック"/>
            <family val="3"/>
            <charset val="128"/>
          </rPr>
          <t>通常は変更不要です
設置環境に合わせて必要があれば変更下さい</t>
        </r>
      </text>
    </comment>
    <comment ref="J14" authorId="1" shapeId="0" xr:uid="{00000000-0006-0000-0700-000008000000}">
      <text>
        <r>
          <rPr>
            <b/>
            <sz val="9"/>
            <color indexed="81"/>
            <rFont val="ＭＳ Ｐゴシック"/>
            <family val="3"/>
            <charset val="128"/>
          </rPr>
          <t>ＰＣＳの最大短絡電流を超えないように接続枚数を制限するか決めることができます</t>
        </r>
      </text>
    </comment>
    <comment ref="C15" authorId="1" shapeId="0" xr:uid="{00000000-0006-0000-0700-000009000000}">
      <text>
        <r>
          <rPr>
            <b/>
            <sz val="9"/>
            <color indexed="81"/>
            <rFont val="ＭＳ Ｐゴシック"/>
            <family val="3"/>
            <charset val="128"/>
          </rPr>
          <t>設置環境に合わせて必要があれば変更下さい</t>
        </r>
      </text>
    </comment>
    <comment ref="I15" authorId="1" shapeId="0" xr:uid="{00000000-0006-0000-0700-00000A000000}">
      <text>
        <r>
          <rPr>
            <b/>
            <sz val="9"/>
            <color indexed="81"/>
            <rFont val="ＭＳ Ｐゴシック"/>
            <family val="3"/>
            <charset val="128"/>
          </rPr>
          <t>通常は変更不要です
設置環境に合わせて必要があれば変更下さい</t>
        </r>
      </text>
    </comment>
    <comment ref="T53" authorId="1" shapeId="0" xr:uid="{00000000-0006-0000-0700-00000B000000}">
      <text>
        <r>
          <rPr>
            <b/>
            <sz val="9"/>
            <color indexed="81"/>
            <rFont val="ＭＳ Ｐゴシック"/>
            <family val="3"/>
            <charset val="128"/>
          </rPr>
          <t>接続可能である場合、パネルの合計出力が表示されます。
接続可否欄が「接続不可」の場合はこの欄も「接続不可」と表示されます。</t>
        </r>
      </text>
    </comment>
    <comment ref="Q54" authorId="1" shapeId="0" xr:uid="{00000000-0006-0000-0700-00000C000000}">
      <text>
        <r>
          <rPr>
            <b/>
            <sz val="9"/>
            <color indexed="81"/>
            <rFont val="ＭＳ Ｐゴシック"/>
            <family val="3"/>
            <charset val="128"/>
          </rPr>
          <t>接続可能であることを確認してください
「接続不可」である場合、直列数か回路数が標準設計目安の範囲に収めてください。</t>
        </r>
      </text>
    </comment>
    <comment ref="T54" authorId="1" shapeId="0" xr:uid="{00000000-0006-0000-0700-00000D000000}">
      <text>
        <r>
          <rPr>
            <b/>
            <sz val="9"/>
            <color indexed="81"/>
            <rFont val="ＭＳ Ｐゴシック"/>
            <family val="3"/>
            <charset val="128"/>
          </rPr>
          <t xml:space="preserve">問題ない場合、「影響なし」と表示します。
最大入力電流の制限により定格出力が出力できないと想定される場合、「影響あり」と表示します。
接続可否欄が「接続不可」の場合は、この欄も「接続不可」と表示されます。
</t>
        </r>
      </text>
    </comment>
    <comment ref="P59" authorId="1" shapeId="0" xr:uid="{00000000-0006-0000-0700-00000E000000}">
      <text>
        <r>
          <rPr>
            <b/>
            <sz val="9"/>
            <color indexed="81"/>
            <rFont val="ＭＳ Ｐゴシック"/>
            <family val="3"/>
            <charset val="128"/>
          </rPr>
          <t>入力直列数が少なく運転制限によりパネル接続容量よりＰＣＳ出力が低くなる場合、「運転制限あり」と表示されます
「接続不可」の場合は直列数か回路数を見直してください。</t>
        </r>
      </text>
    </comment>
  </commentList>
</comments>
</file>

<file path=xl/sharedStrings.xml><?xml version="1.0" encoding="utf-8"?>
<sst xmlns="http://schemas.openxmlformats.org/spreadsheetml/2006/main" count="2430" uniqueCount="2042">
  <si>
    <t>はじめに</t>
    <phoneticPr fontId="21"/>
  </si>
  <si>
    <t>・本ツールはHUAWEI製ＰＣＳ向けのパネル接続の検討ツールです。</t>
    <rPh sb="1" eb="2">
      <t>ホン</t>
    </rPh>
    <rPh sb="12" eb="13">
      <t>セイ</t>
    </rPh>
    <rPh sb="16" eb="17">
      <t>ム</t>
    </rPh>
    <rPh sb="22" eb="24">
      <t>セツゾク</t>
    </rPh>
    <rPh sb="25" eb="27">
      <t>ケントウ</t>
    </rPh>
    <phoneticPr fontId="21"/>
  </si>
  <si>
    <t>・本ツールの使用手順は以下のとおりです。</t>
    <rPh sb="1" eb="2">
      <t>ホン</t>
    </rPh>
    <rPh sb="6" eb="8">
      <t>シヨウ</t>
    </rPh>
    <rPh sb="8" eb="10">
      <t>テジュン</t>
    </rPh>
    <rPh sb="11" eb="13">
      <t>イカ</t>
    </rPh>
    <phoneticPr fontId="21"/>
  </si>
  <si>
    <t>色付きのセルは左記を示しています</t>
    <rPh sb="0" eb="2">
      <t>イロツ</t>
    </rPh>
    <rPh sb="7" eb="9">
      <t>サキ</t>
    </rPh>
    <rPh sb="10" eb="11">
      <t>シメ</t>
    </rPh>
    <phoneticPr fontId="21"/>
  </si>
  <si>
    <t>入力項目</t>
    <rPh sb="0" eb="2">
      <t>ニュウリョク</t>
    </rPh>
    <rPh sb="2" eb="4">
      <t>コウモク</t>
    </rPh>
    <phoneticPr fontId="9"/>
  </si>
  <si>
    <t>計算結果</t>
    <rPh sb="0" eb="2">
      <t>ケイサン</t>
    </rPh>
    <rPh sb="2" eb="4">
      <t>ケッカ</t>
    </rPh>
    <phoneticPr fontId="9"/>
  </si>
  <si>
    <t>１．「太陽電池モジュールリスト」シートに接続したいモジュール仕様を入力
　</t>
    <phoneticPr fontId="21"/>
  </si>
  <si>
    <t>２．「HUAWEI製ＰＣＳ接続枚数計算ツール」シートに接続したいモジュール型番を入力
　</t>
    <rPh sb="37" eb="39">
      <t>カタバン</t>
    </rPh>
    <phoneticPr fontId="21"/>
  </si>
  <si>
    <t>３．「HUAWEI製ＰＣＳ接続枚数計算ツール」シートへ検討したいＰＣＳ型番を選択</t>
    <rPh sb="27" eb="29">
      <t>ケントウ</t>
    </rPh>
    <rPh sb="35" eb="37">
      <t>カタバン</t>
    </rPh>
    <rPh sb="38" eb="40">
      <t>センタク</t>
    </rPh>
    <phoneticPr fontId="21"/>
  </si>
  <si>
    <t>４．「HUAWEI製ＰＣＳ接続枚数計算ツール」シートへ「設計条件」欄を入力</t>
    <rPh sb="28" eb="30">
      <t>セッケイ</t>
    </rPh>
    <rPh sb="30" eb="32">
      <t>ジョウケン</t>
    </rPh>
    <rPh sb="33" eb="34">
      <t>ラン</t>
    </rPh>
    <rPh sb="35" eb="37">
      <t>ニュウリョク</t>
    </rPh>
    <phoneticPr fontId="21"/>
  </si>
  <si>
    <t>５．「HUAWEI製ＰＣＳ接続枚数計算ツール」シートの標準回路組み合わせに表示されている組み合わせが、計算結果です。詳しくは「表の見方」のシートをご覧ください。</t>
    <rPh sb="37" eb="39">
      <t>ヒョウジ</t>
    </rPh>
    <rPh sb="44" eb="45">
      <t>ク</t>
    </rPh>
    <rPh sb="46" eb="47">
      <t>ア</t>
    </rPh>
    <rPh sb="51" eb="53">
      <t>ケイサン</t>
    </rPh>
    <rPh sb="53" eb="55">
      <t>ケッカ</t>
    </rPh>
    <rPh sb="58" eb="59">
      <t>クワ</t>
    </rPh>
    <rPh sb="63" eb="64">
      <t>ヒョウ</t>
    </rPh>
    <rPh sb="65" eb="67">
      <t>ミカタ</t>
    </rPh>
    <rPh sb="74" eb="75">
      <t>ラン</t>
    </rPh>
    <phoneticPr fontId="21"/>
  </si>
  <si>
    <t>６．「HUAWEI製ＰＣＳ接続枚数計算ツール」シートの「電圧、最大出力確認（直列数同一,標準直列数）」欄へ接続したい構成を入力することで、想定される電圧、電流値を確認可能です。</t>
    <rPh sb="28" eb="30">
      <t>デンアツ</t>
    </rPh>
    <rPh sb="31" eb="33">
      <t>サイダイ</t>
    </rPh>
    <rPh sb="33" eb="35">
      <t>シュツリョク</t>
    </rPh>
    <rPh sb="35" eb="37">
      <t>カクニン</t>
    </rPh>
    <rPh sb="38" eb="40">
      <t>チョクレツ</t>
    </rPh>
    <rPh sb="40" eb="41">
      <t>スウ</t>
    </rPh>
    <rPh sb="41" eb="43">
      <t>ドウイツ</t>
    </rPh>
    <rPh sb="44" eb="46">
      <t>ヒョウジュン</t>
    </rPh>
    <rPh sb="46" eb="48">
      <t>チョクレツ</t>
    </rPh>
    <rPh sb="48" eb="49">
      <t>スウ</t>
    </rPh>
    <rPh sb="51" eb="52">
      <t>ラン</t>
    </rPh>
    <rPh sb="53" eb="55">
      <t>セツゾク</t>
    </rPh>
    <rPh sb="58" eb="60">
      <t>コウセイ</t>
    </rPh>
    <rPh sb="61" eb="63">
      <t>ニュウリョク</t>
    </rPh>
    <rPh sb="69" eb="71">
      <t>ソウテイ</t>
    </rPh>
    <rPh sb="74" eb="76">
      <t>デンアツ</t>
    </rPh>
    <rPh sb="77" eb="80">
      <t>デンリュウチ</t>
    </rPh>
    <rPh sb="81" eb="83">
      <t>カクニン</t>
    </rPh>
    <rPh sb="83" eb="85">
      <t>カノウ</t>
    </rPh>
    <phoneticPr fontId="21"/>
  </si>
  <si>
    <t>７．「HUAWEI製ＰＣＳ接続枚数計算ツール」シートの「複数直列組み合わせ回路構成判定」で複数の直列数を組み合わせた場合の接続確認が可能です。</t>
    <rPh sb="45" eb="47">
      <t>フクスウ</t>
    </rPh>
    <rPh sb="48" eb="50">
      <t>チョクレツ</t>
    </rPh>
    <rPh sb="50" eb="51">
      <t>スウ</t>
    </rPh>
    <rPh sb="52" eb="53">
      <t>ク</t>
    </rPh>
    <rPh sb="54" eb="55">
      <t>ア</t>
    </rPh>
    <rPh sb="58" eb="60">
      <t>バアイ</t>
    </rPh>
    <rPh sb="61" eb="63">
      <t>セツゾク</t>
    </rPh>
    <rPh sb="63" eb="65">
      <t>カクニン</t>
    </rPh>
    <rPh sb="66" eb="68">
      <t>カノウ</t>
    </rPh>
    <phoneticPr fontId="21"/>
  </si>
  <si>
    <r>
      <t>・セル右上に赤い</t>
    </r>
    <r>
      <rPr>
        <sz val="11"/>
        <color rgb="FFFF0000"/>
        <rFont val="ＭＳ Ｐゴシック"/>
        <family val="3"/>
        <charset val="128"/>
        <scheme val="minor"/>
      </rPr>
      <t>🔻</t>
    </r>
    <r>
      <rPr>
        <sz val="11"/>
        <rFont val="ＭＳ Ｐゴシック"/>
        <family val="3"/>
        <charset val="128"/>
        <scheme val="minor"/>
      </rPr>
      <t>があるセルにはコメントが付いています。</t>
    </r>
    <rPh sb="3" eb="5">
      <t>ミギウエ</t>
    </rPh>
    <rPh sb="6" eb="7">
      <t>アカ</t>
    </rPh>
    <rPh sb="22" eb="23">
      <t>ツ</t>
    </rPh>
    <phoneticPr fontId="21"/>
  </si>
  <si>
    <t>サンプル</t>
    <phoneticPr fontId="21"/>
  </si>
  <si>
    <t>・初期で「太陽電池モジュールリスト」シートに記載されているモジュール情報は過去に検討した際の情報であり、</t>
    <rPh sb="1" eb="3">
      <t>ショキ</t>
    </rPh>
    <rPh sb="22" eb="24">
      <t>キサイ</t>
    </rPh>
    <rPh sb="34" eb="36">
      <t>ジョウホウ</t>
    </rPh>
    <rPh sb="37" eb="39">
      <t>カコ</t>
    </rPh>
    <rPh sb="40" eb="42">
      <t>ケントウ</t>
    </rPh>
    <rPh sb="44" eb="45">
      <t>サイ</t>
    </rPh>
    <rPh sb="46" eb="48">
      <t>ジョウホウ</t>
    </rPh>
    <phoneticPr fontId="21"/>
  </si>
  <si>
    <t>　最新ではない可能性がありますので仕様書等をご確認の上、仕様更新をしてください。</t>
    <rPh sb="30" eb="32">
      <t>コウシン</t>
    </rPh>
    <phoneticPr fontId="21"/>
  </si>
  <si>
    <t>・結晶系パネルに対しての使用を想定した計算結果となります。</t>
    <rPh sb="1" eb="3">
      <t>ケッショウ</t>
    </rPh>
    <rPh sb="3" eb="4">
      <t>ケイ</t>
    </rPh>
    <rPh sb="8" eb="9">
      <t>タイ</t>
    </rPh>
    <rPh sb="12" eb="14">
      <t>シヨウ</t>
    </rPh>
    <rPh sb="15" eb="17">
      <t>ソウテイ</t>
    </rPh>
    <rPh sb="19" eb="23">
      <t>ケイサンケッカ</t>
    </rPh>
    <phoneticPr fontId="21"/>
  </si>
  <si>
    <t xml:space="preserve">
　化合物系、薄膜系の計算にも使用可能ですが、これらの低電流パネルで行われる集電しての接続を考慮した計算結果にはなっておりません。</t>
    <phoneticPr fontId="21"/>
  </si>
  <si>
    <t>・ＰＣＳの環境温度は-20度から40度までの範囲の出力をもとに算定しています。</t>
    <rPh sb="5" eb="7">
      <t>カンキョウ</t>
    </rPh>
    <rPh sb="7" eb="9">
      <t>オンド</t>
    </rPh>
    <rPh sb="13" eb="14">
      <t>ド</t>
    </rPh>
    <rPh sb="18" eb="19">
      <t>ド</t>
    </rPh>
    <rPh sb="22" eb="24">
      <t>ハンイ</t>
    </rPh>
    <rPh sb="25" eb="27">
      <t>シュツリョク</t>
    </rPh>
    <rPh sb="31" eb="33">
      <t>サンテイ</t>
    </rPh>
    <phoneticPr fontId="21"/>
  </si>
  <si>
    <t>・条件により過積載が全くできないように表示されるケースがあります。　その際は弊社代理店若しくは弊社担当まで接続枚数検討をご依頼ください。</t>
    <rPh sb="1" eb="3">
      <t>ジョウケン</t>
    </rPh>
    <rPh sb="6" eb="9">
      <t>カセキサイ</t>
    </rPh>
    <rPh sb="10" eb="11">
      <t>マッタ</t>
    </rPh>
    <rPh sb="19" eb="21">
      <t>ヒョウジ</t>
    </rPh>
    <rPh sb="36" eb="37">
      <t>サイ</t>
    </rPh>
    <rPh sb="53" eb="55">
      <t>セツゾク</t>
    </rPh>
    <rPh sb="55" eb="57">
      <t>マイスウ</t>
    </rPh>
    <rPh sb="57" eb="59">
      <t>ケントウ</t>
    </rPh>
    <phoneticPr fontId="21"/>
  </si>
  <si>
    <t>・一部機種は皮相電力(力率)、AC出力電圧により接続可能枚数が変わります。</t>
    <rPh sb="1" eb="3">
      <t>イチブ</t>
    </rPh>
    <rPh sb="3" eb="5">
      <t>キシュ</t>
    </rPh>
    <rPh sb="6" eb="8">
      <t>ヒソウ</t>
    </rPh>
    <rPh sb="8" eb="10">
      <t>デンリョク</t>
    </rPh>
    <rPh sb="11" eb="12">
      <t>リキ</t>
    </rPh>
    <rPh sb="12" eb="13">
      <t>リツ</t>
    </rPh>
    <rPh sb="17" eb="19">
      <t>シュツリョク</t>
    </rPh>
    <rPh sb="19" eb="21">
      <t>デンアツ</t>
    </rPh>
    <rPh sb="24" eb="26">
      <t>セツゾク</t>
    </rPh>
    <rPh sb="26" eb="28">
      <t>カノウ</t>
    </rPh>
    <rPh sb="28" eb="30">
      <t>マイスウ</t>
    </rPh>
    <rPh sb="31" eb="32">
      <t>カ</t>
    </rPh>
    <phoneticPr fontId="21"/>
  </si>
  <si>
    <t>・本ツールで示された直列数、回路数の範囲外での具体的な接続検討が必要な場合は、弊社代理店若しくは弊社担当までご依頼ください。</t>
    <rPh sb="1" eb="2">
      <t>ホン</t>
    </rPh>
    <rPh sb="6" eb="7">
      <t>シメ</t>
    </rPh>
    <rPh sb="10" eb="12">
      <t>チョクレツ</t>
    </rPh>
    <rPh sb="12" eb="13">
      <t>スウ</t>
    </rPh>
    <rPh sb="14" eb="17">
      <t>カイロスウ</t>
    </rPh>
    <rPh sb="18" eb="21">
      <t>ハンイガイ</t>
    </rPh>
    <rPh sb="23" eb="26">
      <t>グタイテキ</t>
    </rPh>
    <rPh sb="27" eb="29">
      <t>セツゾク</t>
    </rPh>
    <rPh sb="29" eb="31">
      <t>ケントウ</t>
    </rPh>
    <rPh sb="32" eb="34">
      <t>ヒツヨウ</t>
    </rPh>
    <rPh sb="35" eb="37">
      <t>バアイ</t>
    </rPh>
    <rPh sb="39" eb="41">
      <t>ヘイシャ</t>
    </rPh>
    <rPh sb="41" eb="44">
      <t>ダイリテン</t>
    </rPh>
    <rPh sb="44" eb="45">
      <t>モ</t>
    </rPh>
    <rPh sb="48" eb="50">
      <t>ヘイシャ</t>
    </rPh>
    <rPh sb="50" eb="52">
      <t>タントウ</t>
    </rPh>
    <rPh sb="55" eb="57">
      <t>イライ</t>
    </rPh>
    <phoneticPr fontId="21"/>
  </si>
  <si>
    <t>・本ツールの改造は行わないで下さい。</t>
    <rPh sb="1" eb="2">
      <t>ホン</t>
    </rPh>
    <rPh sb="6" eb="8">
      <t>カイゾウ</t>
    </rPh>
    <rPh sb="9" eb="10">
      <t>オコナ</t>
    </rPh>
    <rPh sb="14" eb="15">
      <t>クダ</t>
    </rPh>
    <phoneticPr fontId="21"/>
  </si>
  <si>
    <t>・本ツールを他社PCSメーカーに公開することは禁止です。</t>
    <rPh sb="1" eb="2">
      <t>ホン</t>
    </rPh>
    <rPh sb="6" eb="8">
      <t>タシャ</t>
    </rPh>
    <rPh sb="16" eb="18">
      <t>コウカイ</t>
    </rPh>
    <rPh sb="23" eb="25">
      <t>キンシ</t>
    </rPh>
    <phoneticPr fontId="21"/>
  </si>
  <si>
    <t>※ＰＣＳは２回路につき１ＭＰＰＴとなっています。</t>
    <rPh sb="6" eb="8">
      <t>カイロ</t>
    </rPh>
    <phoneticPr fontId="21"/>
  </si>
  <si>
    <t>　ＭＰＰＴ内の直列数は同じになるようにしてください。</t>
    <rPh sb="5" eb="6">
      <t>ナイ</t>
    </rPh>
    <rPh sb="7" eb="9">
      <t>チョクレツ</t>
    </rPh>
    <rPh sb="9" eb="10">
      <t>スウ</t>
    </rPh>
    <rPh sb="11" eb="12">
      <t>オナ</t>
    </rPh>
    <phoneticPr fontId="21"/>
  </si>
  <si>
    <t>　やむを得ず異直列が発生する場合は１枚差までとしてください。</t>
    <rPh sb="4" eb="5">
      <t>エ</t>
    </rPh>
    <rPh sb="6" eb="9">
      <t>イチョクレツ</t>
    </rPh>
    <rPh sb="10" eb="12">
      <t>ハッセイ</t>
    </rPh>
    <rPh sb="14" eb="16">
      <t>バアイ</t>
    </rPh>
    <rPh sb="18" eb="20">
      <t>マイサ</t>
    </rPh>
    <phoneticPr fontId="21"/>
  </si>
  <si>
    <t>　（発電への影響を最小限に抑えるためです）</t>
    <phoneticPr fontId="21"/>
  </si>
  <si>
    <t>SUN2000-50KTL-JPM0の入力回路の優先順位（参考）</t>
    <rPh sb="19" eb="21">
      <t>ニュウリョク</t>
    </rPh>
    <rPh sb="21" eb="23">
      <t>カイロ</t>
    </rPh>
    <rPh sb="24" eb="28">
      <t>ユウセンジュンイ</t>
    </rPh>
    <rPh sb="29" eb="31">
      <t>サンコウ</t>
    </rPh>
    <phoneticPr fontId="21"/>
  </si>
  <si>
    <t>２．「HUAWEI製ＰＣＳ接続枚数計算ツール」シートの「ﾓｼﾞｭｰﾙ型式」接続したいモジュール型番を入力
　</t>
    <rPh sb="47" eb="49">
      <t>カタバン</t>
    </rPh>
    <phoneticPr fontId="21"/>
  </si>
  <si>
    <t>３．「HUAWEI製ＰＣＳ接続枚数計算ツール」シートの「設計条件」欄を入力</t>
    <rPh sb="28" eb="30">
      <t>セッケイ</t>
    </rPh>
    <rPh sb="30" eb="32">
      <t>ジョウケン</t>
    </rPh>
    <rPh sb="33" eb="34">
      <t>ラン</t>
    </rPh>
    <rPh sb="35" eb="37">
      <t>ニュウリョク</t>
    </rPh>
    <phoneticPr fontId="21"/>
  </si>
  <si>
    <t>４．「HUAWEI製ＰＣＳ接続枚数計算ツール」シートの標準回路組み合わせに表示されている組み合わせが、計算結果です。詳しくは「表の見方」のシートをご覧ください。</t>
    <rPh sb="37" eb="39">
      <t>ヒョウジ</t>
    </rPh>
    <rPh sb="44" eb="45">
      <t>ク</t>
    </rPh>
    <rPh sb="46" eb="47">
      <t>ア</t>
    </rPh>
    <rPh sb="51" eb="53">
      <t>ケイサン</t>
    </rPh>
    <rPh sb="53" eb="55">
      <t>ケッカ</t>
    </rPh>
    <rPh sb="58" eb="59">
      <t>クワ</t>
    </rPh>
    <rPh sb="63" eb="64">
      <t>ヒョウ</t>
    </rPh>
    <rPh sb="65" eb="67">
      <t>ミカタ</t>
    </rPh>
    <rPh sb="74" eb="75">
      <t>ラン</t>
    </rPh>
    <phoneticPr fontId="21"/>
  </si>
  <si>
    <t>５．標準電圧に満たない組み合わせを検討したい場合や、ＰＣＳ定格以上発電時の蓄電池への充電量を確認したい場合は、「SUN2000-4.95KTL-JPL1 接続確認」へ入力下さい。</t>
    <rPh sb="2" eb="4">
      <t>ヒョウジュン</t>
    </rPh>
    <rPh sb="4" eb="6">
      <t>デンアツ</t>
    </rPh>
    <rPh sb="7" eb="8">
      <t>ミ</t>
    </rPh>
    <rPh sb="11" eb="12">
      <t>ク</t>
    </rPh>
    <rPh sb="13" eb="14">
      <t>ア</t>
    </rPh>
    <rPh sb="17" eb="19">
      <t>ケントウ</t>
    </rPh>
    <rPh sb="22" eb="24">
      <t>バアイ</t>
    </rPh>
    <rPh sb="29" eb="31">
      <t>テイカク</t>
    </rPh>
    <rPh sb="31" eb="33">
      <t>イジョウ</t>
    </rPh>
    <rPh sb="33" eb="35">
      <t>ハツデン</t>
    </rPh>
    <rPh sb="35" eb="36">
      <t>ジ</t>
    </rPh>
    <rPh sb="37" eb="40">
      <t>チクデンチ</t>
    </rPh>
    <rPh sb="42" eb="45">
      <t>ジュウデンリョウ</t>
    </rPh>
    <rPh sb="46" eb="48">
      <t>カクニン</t>
    </rPh>
    <rPh sb="51" eb="53">
      <t>バアイ</t>
    </rPh>
    <rPh sb="77" eb="81">
      <t>セツゾクカクニン</t>
    </rPh>
    <rPh sb="83" eb="85">
      <t>ニュウリョク</t>
    </rPh>
    <rPh sb="85" eb="86">
      <t>クダ</t>
    </rPh>
    <phoneticPr fontId="21"/>
  </si>
  <si>
    <t>HUAWEI製ＰＣＳ接続枚数計算ツール</t>
    <rPh sb="6" eb="7">
      <t>セイ</t>
    </rPh>
    <rPh sb="10" eb="12">
      <t>セツゾク</t>
    </rPh>
    <rPh sb="12" eb="14">
      <t>マイスウ</t>
    </rPh>
    <rPh sb="14" eb="16">
      <t>ケイサン</t>
    </rPh>
    <phoneticPr fontId="9"/>
  </si>
  <si>
    <t>太陽電池モジュール条件</t>
    <rPh sb="0" eb="4">
      <t>タイヨウデンチ</t>
    </rPh>
    <rPh sb="9" eb="11">
      <t>ジョウケン</t>
    </rPh>
    <phoneticPr fontId="9"/>
  </si>
  <si>
    <t>ﾓｼﾞｭｰﾙ型式</t>
    <rPh sb="6" eb="8">
      <t>カタシキ</t>
    </rPh>
    <phoneticPr fontId="2"/>
  </si>
  <si>
    <t>XLB120-380LD-2</t>
    <phoneticPr fontId="2"/>
  </si>
  <si>
    <t>最大動作電流(Imax)</t>
    <rPh sb="0" eb="2">
      <t>サイダイ</t>
    </rPh>
    <rPh sb="2" eb="4">
      <t>ドウサ</t>
    </rPh>
    <phoneticPr fontId="2"/>
  </si>
  <si>
    <t>短絡電流(Isc)</t>
    <phoneticPr fontId="2"/>
  </si>
  <si>
    <t>短絡電流温度係数(％/℃)</t>
    <rPh sb="0" eb="2">
      <t>タンラク</t>
    </rPh>
    <rPh sb="2" eb="4">
      <t>デンリュウ</t>
    </rPh>
    <rPh sb="4" eb="6">
      <t>オンド</t>
    </rPh>
    <rPh sb="6" eb="8">
      <t>ケイスウ</t>
    </rPh>
    <phoneticPr fontId="2"/>
  </si>
  <si>
    <t>最大出力（Pmax）</t>
    <rPh sb="0" eb="2">
      <t>サイダイ</t>
    </rPh>
    <rPh sb="2" eb="4">
      <t>シュツリョク</t>
    </rPh>
    <phoneticPr fontId="2"/>
  </si>
  <si>
    <t>最大出力温度係数(％/℃)</t>
    <rPh sb="0" eb="2">
      <t>サイダイ</t>
    </rPh>
    <rPh sb="2" eb="4">
      <t>シュツリョク</t>
    </rPh>
    <rPh sb="4" eb="6">
      <t>オンド</t>
    </rPh>
    <rPh sb="6" eb="8">
      <t>ケイスウ</t>
    </rPh>
    <phoneticPr fontId="9"/>
  </si>
  <si>
    <t>最大動作電圧（Vmax）</t>
    <rPh sb="0" eb="2">
      <t>サイダイ</t>
    </rPh>
    <rPh sb="2" eb="4">
      <t>ドウサ</t>
    </rPh>
    <phoneticPr fontId="2"/>
  </si>
  <si>
    <t>開放電圧(Voc)</t>
    <phoneticPr fontId="2"/>
  </si>
  <si>
    <t>開放電圧温度係数(％/℃)</t>
    <phoneticPr fontId="2"/>
  </si>
  <si>
    <t>接続希望パネル枚数(PCS1台につき)</t>
    <rPh sb="0" eb="2">
      <t>セツゾク</t>
    </rPh>
    <rPh sb="2" eb="4">
      <t>キボウ</t>
    </rPh>
    <rPh sb="7" eb="9">
      <t>マイスウ</t>
    </rPh>
    <rPh sb="14" eb="15">
      <t>ダイ</t>
    </rPh>
    <phoneticPr fontId="9"/>
  </si>
  <si>
    <t>過積載率</t>
    <rPh sb="0" eb="4">
      <t>カセキサイリツ</t>
    </rPh>
    <phoneticPr fontId="2"/>
  </si>
  <si>
    <t>PCS型式</t>
    <rPh sb="3" eb="5">
      <t>カタシキ</t>
    </rPh>
    <phoneticPr fontId="2"/>
  </si>
  <si>
    <t>SUN2000-4.95KTL-JPL1</t>
  </si>
  <si>
    <t>設計条件</t>
    <rPh sb="0" eb="2">
      <t>セッケイ</t>
    </rPh>
    <rPh sb="2" eb="4">
      <t>ジョウケン</t>
    </rPh>
    <phoneticPr fontId="9"/>
  </si>
  <si>
    <t>環境温度</t>
    <rPh sb="0" eb="4">
      <t>カンキョウオンド</t>
    </rPh>
    <phoneticPr fontId="9"/>
  </si>
  <si>
    <t>発電によるパネル温度上昇</t>
    <rPh sb="0" eb="2">
      <t>ハツデン</t>
    </rPh>
    <rPh sb="8" eb="10">
      <t>オンド</t>
    </rPh>
    <rPh sb="10" eb="12">
      <t>ジョウショウ</t>
    </rPh>
    <phoneticPr fontId="9"/>
  </si>
  <si>
    <t>ＤＣ電圧降下</t>
    <rPh sb="2" eb="4">
      <t>デンアツ</t>
    </rPh>
    <rPh sb="4" eb="6">
      <t>コウカ</t>
    </rPh>
    <phoneticPr fontId="9"/>
  </si>
  <si>
    <t>最大短絡電流制限</t>
    <rPh sb="0" eb="2">
      <t>サイダイ</t>
    </rPh>
    <rPh sb="2" eb="4">
      <t>タンラク</t>
    </rPh>
    <rPh sb="4" eb="6">
      <t>デンリュウ</t>
    </rPh>
    <rPh sb="6" eb="8">
      <t>セイゲン</t>
    </rPh>
    <phoneticPr fontId="9"/>
  </si>
  <si>
    <t>高温時</t>
    <rPh sb="0" eb="2">
      <t>コウオン</t>
    </rPh>
    <rPh sb="2" eb="3">
      <t>ジ</t>
    </rPh>
    <phoneticPr fontId="2"/>
  </si>
  <si>
    <t>最大温度上昇</t>
    <rPh sb="0" eb="2">
      <t>サイダイ</t>
    </rPh>
    <rPh sb="2" eb="4">
      <t>オンド</t>
    </rPh>
    <rPh sb="4" eb="6">
      <t>ジョウショウ</t>
    </rPh>
    <phoneticPr fontId="9"/>
  </si>
  <si>
    <t>パネル過積載時</t>
    <rPh sb="3" eb="6">
      <t>カセキサイ</t>
    </rPh>
    <rPh sb="6" eb="7">
      <t>ジ</t>
    </rPh>
    <phoneticPr fontId="9"/>
  </si>
  <si>
    <t>適用</t>
    <rPh sb="0" eb="2">
      <t>テキヨウ</t>
    </rPh>
    <phoneticPr fontId="9"/>
  </si>
  <si>
    <t>低温時</t>
    <rPh sb="0" eb="2">
      <t>テイオン</t>
    </rPh>
    <rPh sb="2" eb="3">
      <t>ジ</t>
    </rPh>
    <phoneticPr fontId="2"/>
  </si>
  <si>
    <t>パネル非過積載時</t>
    <rPh sb="3" eb="4">
      <t>ヒ</t>
    </rPh>
    <rPh sb="4" eb="7">
      <t>カセキサイ</t>
    </rPh>
    <rPh sb="7" eb="8">
      <t>ジ</t>
    </rPh>
    <phoneticPr fontId="9"/>
  </si>
  <si>
    <t>標準設計目安</t>
    <rPh sb="0" eb="2">
      <t>ヒョウジュン</t>
    </rPh>
    <rPh sb="2" eb="4">
      <t>セッケイ</t>
    </rPh>
    <rPh sb="4" eb="6">
      <t>メヤス</t>
    </rPh>
    <phoneticPr fontId="9"/>
  </si>
  <si>
    <t>定格出力を出力するには下記の直列数範囲のストリングが必要です。</t>
    <phoneticPr fontId="21"/>
  </si>
  <si>
    <t>最小直列数</t>
    <rPh sb="0" eb="2">
      <t>サイショウ</t>
    </rPh>
    <rPh sb="2" eb="4">
      <t>チョクレツ</t>
    </rPh>
    <rPh sb="4" eb="5">
      <t>スウ</t>
    </rPh>
    <phoneticPr fontId="9"/>
  </si>
  <si>
    <t>MPPT辺りの入力可能回路数</t>
    <rPh sb="4" eb="5">
      <t>アタ</t>
    </rPh>
    <rPh sb="7" eb="9">
      <t>ニュウリョク</t>
    </rPh>
    <rPh sb="9" eb="11">
      <t>カノウ</t>
    </rPh>
    <rPh sb="11" eb="13">
      <t>カイロ</t>
    </rPh>
    <rPh sb="13" eb="14">
      <t>スウ</t>
    </rPh>
    <phoneticPr fontId="9"/>
  </si>
  <si>
    <t>最大直列数</t>
    <rPh sb="0" eb="2">
      <t>サイダイ</t>
    </rPh>
    <rPh sb="2" eb="4">
      <t>チョクレツ</t>
    </rPh>
    <rPh sb="4" eb="5">
      <t>スウ</t>
    </rPh>
    <phoneticPr fontId="9"/>
  </si>
  <si>
    <t>最大入力回路数</t>
    <rPh sb="0" eb="2">
      <t>サイダイ</t>
    </rPh>
    <rPh sb="2" eb="4">
      <t>ニュウリョク</t>
    </rPh>
    <rPh sb="4" eb="7">
      <t>カイロスウ</t>
    </rPh>
    <phoneticPr fontId="9"/>
  </si>
  <si>
    <t>最大過積載率</t>
    <rPh sb="0" eb="2">
      <t>サイダイ</t>
    </rPh>
    <rPh sb="2" eb="5">
      <t>カセキサイ</t>
    </rPh>
    <rPh sb="5" eb="6">
      <t>リツ</t>
    </rPh>
    <phoneticPr fontId="9"/>
  </si>
  <si>
    <t>SUN2000-4.95KTL-JPL1 低電圧接続検討</t>
    <rPh sb="21" eb="24">
      <t>テイデンアツ</t>
    </rPh>
    <rPh sb="24" eb="26">
      <t>セツゾク</t>
    </rPh>
    <rPh sb="26" eb="28">
      <t>ケントウ</t>
    </rPh>
    <phoneticPr fontId="9"/>
  </si>
  <si>
    <t>起動電圧である100V+α程度での接続は低日照時の電圧低下による発電時間の減少リスクがあります。</t>
    <rPh sb="0" eb="2">
      <t>キドウ</t>
    </rPh>
    <rPh sb="2" eb="4">
      <t>デンアツ</t>
    </rPh>
    <rPh sb="13" eb="15">
      <t>テイド</t>
    </rPh>
    <rPh sb="17" eb="19">
      <t>セツゾク</t>
    </rPh>
    <rPh sb="20" eb="24">
      <t>テイニッショウジ</t>
    </rPh>
    <rPh sb="25" eb="27">
      <t>デンアツ</t>
    </rPh>
    <rPh sb="27" eb="29">
      <t>テイカ</t>
    </rPh>
    <rPh sb="32" eb="34">
      <t>ハツデン</t>
    </rPh>
    <rPh sb="34" eb="37">
      <t>ジカンオ</t>
    </rPh>
    <rPh sb="37" eb="39">
      <t>ゲンショウ</t>
    </rPh>
    <phoneticPr fontId="9"/>
  </si>
  <si>
    <t>MPPT1入力直列数</t>
    <rPh sb="5" eb="7">
      <t>ニュウリョク</t>
    </rPh>
    <rPh sb="7" eb="9">
      <t>チョクレツ</t>
    </rPh>
    <rPh sb="9" eb="10">
      <t>スウ</t>
    </rPh>
    <phoneticPr fontId="9"/>
  </si>
  <si>
    <t>MPPT1入力回路数</t>
    <rPh sb="5" eb="7">
      <t>ニュウリョク</t>
    </rPh>
    <rPh sb="7" eb="9">
      <t>カイロ</t>
    </rPh>
    <rPh sb="9" eb="10">
      <t>スウ</t>
    </rPh>
    <phoneticPr fontId="2"/>
  </si>
  <si>
    <t>接続パネル容量</t>
    <rPh sb="0" eb="2">
      <t>セツゾク</t>
    </rPh>
    <rPh sb="5" eb="7">
      <t>ヨウリョウ</t>
    </rPh>
    <phoneticPr fontId="9"/>
  </si>
  <si>
    <t>MPPT2入力直列数</t>
    <rPh sb="5" eb="7">
      <t>ニュウリョク</t>
    </rPh>
    <rPh sb="7" eb="9">
      <t>チョクレツ</t>
    </rPh>
    <rPh sb="9" eb="10">
      <t>スウ</t>
    </rPh>
    <phoneticPr fontId="9"/>
  </si>
  <si>
    <t>MPPT2入力回路数</t>
    <rPh sb="5" eb="7">
      <t>ニュウリョク</t>
    </rPh>
    <rPh sb="7" eb="9">
      <t>カイロ</t>
    </rPh>
    <rPh sb="9" eb="10">
      <t>スウ</t>
    </rPh>
    <phoneticPr fontId="2"/>
  </si>
  <si>
    <t>ＰＣＳ最大出力電力</t>
    <rPh sb="3" eb="5">
      <t>サイダイ</t>
    </rPh>
    <rPh sb="5" eb="7">
      <t>シュツリョク</t>
    </rPh>
    <rPh sb="7" eb="9">
      <t>デンリョク</t>
    </rPh>
    <phoneticPr fontId="2"/>
  </si>
  <si>
    <t>接続可否</t>
    <rPh sb="0" eb="2">
      <t>セツゾク</t>
    </rPh>
    <rPh sb="2" eb="4">
      <t>カヒ</t>
    </rPh>
    <phoneticPr fontId="9"/>
  </si>
  <si>
    <t>パネル温度係数計算</t>
    <rPh sb="3" eb="5">
      <t>オンド</t>
    </rPh>
    <rPh sb="5" eb="7">
      <t>ケイスウ</t>
    </rPh>
    <rPh sb="7" eb="9">
      <t>ケイサン</t>
    </rPh>
    <phoneticPr fontId="21"/>
  </si>
  <si>
    <t>最大動作電流(低温)</t>
    <rPh sb="0" eb="2">
      <t>サイダイ</t>
    </rPh>
    <rPh sb="2" eb="4">
      <t>ドウサ</t>
    </rPh>
    <rPh sb="4" eb="6">
      <t>デンリュウ</t>
    </rPh>
    <rPh sb="7" eb="9">
      <t>テイオン</t>
    </rPh>
    <phoneticPr fontId="2"/>
  </si>
  <si>
    <t>解放電圧(低温)</t>
    <rPh sb="0" eb="4">
      <t>カイホウデンアツ</t>
    </rPh>
    <phoneticPr fontId="2"/>
  </si>
  <si>
    <t>運転電圧過積載なし(高温)</t>
    <rPh sb="0" eb="2">
      <t>ウンテン</t>
    </rPh>
    <rPh sb="2" eb="4">
      <t>デンアツ</t>
    </rPh>
    <rPh sb="4" eb="7">
      <t>カセキサイ</t>
    </rPh>
    <phoneticPr fontId="2"/>
  </si>
  <si>
    <t>最大過積載運転電圧(低温)</t>
    <rPh sb="0" eb="2">
      <t>サイダイ</t>
    </rPh>
    <rPh sb="2" eb="5">
      <t>カセキサイ</t>
    </rPh>
    <rPh sb="5" eb="7">
      <t>ウンテン</t>
    </rPh>
    <rPh sb="7" eb="9">
      <t>デンアツ</t>
    </rPh>
    <phoneticPr fontId="2"/>
  </si>
  <si>
    <t>希望過積載運転電圧(高温)</t>
    <rPh sb="0" eb="2">
      <t>キボウ</t>
    </rPh>
    <rPh sb="2" eb="5">
      <t>カセキサイ</t>
    </rPh>
    <rPh sb="5" eb="7">
      <t>ウンテン</t>
    </rPh>
    <rPh sb="7" eb="9">
      <t>デンアツ</t>
    </rPh>
    <phoneticPr fontId="2"/>
  </si>
  <si>
    <t>最大直列数(低温)</t>
    <rPh sb="0" eb="2">
      <t>サイダイ</t>
    </rPh>
    <rPh sb="2" eb="4">
      <t>チョクレツ</t>
    </rPh>
    <rPh sb="4" eb="5">
      <t>スウ</t>
    </rPh>
    <phoneticPr fontId="2"/>
  </si>
  <si>
    <t>希望過積載最大直列数(高温)</t>
    <rPh sb="0" eb="2">
      <t>キボウ</t>
    </rPh>
    <rPh sb="2" eb="5">
      <t>カセキサイ</t>
    </rPh>
    <rPh sb="5" eb="7">
      <t>サイダイ</t>
    </rPh>
    <rPh sb="7" eb="9">
      <t>チョクレツ</t>
    </rPh>
    <rPh sb="9" eb="10">
      <t>スウ</t>
    </rPh>
    <phoneticPr fontId="2"/>
  </si>
  <si>
    <t>希望過積載最小直列数(高温)</t>
    <rPh sb="0" eb="2">
      <t>キボウ</t>
    </rPh>
    <rPh sb="2" eb="5">
      <t>カセキサイ</t>
    </rPh>
    <rPh sb="5" eb="7">
      <t>サイショウ</t>
    </rPh>
    <rPh sb="7" eb="9">
      <t>チョクレツ</t>
    </rPh>
    <rPh sb="9" eb="10">
      <t>スウ</t>
    </rPh>
    <phoneticPr fontId="2"/>
  </si>
  <si>
    <t>最大動作電流(高温)</t>
    <rPh sb="0" eb="2">
      <t>サイダイ</t>
    </rPh>
    <rPh sb="2" eb="4">
      <t>ドウサ</t>
    </rPh>
    <rPh sb="4" eb="6">
      <t>デンリュウ</t>
    </rPh>
    <rPh sb="7" eb="9">
      <t>コウオン</t>
    </rPh>
    <phoneticPr fontId="2"/>
  </si>
  <si>
    <t>最大短絡電流(高温)</t>
    <rPh sb="0" eb="2">
      <t>サイダイ</t>
    </rPh>
    <rPh sb="2" eb="4">
      <t>タンラク</t>
    </rPh>
    <rPh sb="4" eb="6">
      <t>デンリュウ</t>
    </rPh>
    <phoneticPr fontId="2"/>
  </si>
  <si>
    <t>最大過積載運転電圧(高温)</t>
    <rPh sb="0" eb="2">
      <t>サイダイ</t>
    </rPh>
    <rPh sb="2" eb="5">
      <t>カセキサイ</t>
    </rPh>
    <rPh sb="5" eb="7">
      <t>ウンテン</t>
    </rPh>
    <rPh sb="7" eb="9">
      <t>デンアツ</t>
    </rPh>
    <phoneticPr fontId="2"/>
  </si>
  <si>
    <t>希望過積載運転電圧(低温)</t>
    <rPh sb="0" eb="2">
      <t>キボウ</t>
    </rPh>
    <rPh sb="2" eb="5">
      <t>カセキサイ</t>
    </rPh>
    <rPh sb="5" eb="7">
      <t>ウンテン</t>
    </rPh>
    <rPh sb="7" eb="9">
      <t>デンアツ</t>
    </rPh>
    <phoneticPr fontId="2"/>
  </si>
  <si>
    <t>最大直流電圧(低温)</t>
    <rPh sb="0" eb="2">
      <t>サイダイ</t>
    </rPh>
    <rPh sb="2" eb="4">
      <t>チョクリュウ</t>
    </rPh>
    <rPh sb="4" eb="6">
      <t>デンアツ</t>
    </rPh>
    <phoneticPr fontId="2"/>
  </si>
  <si>
    <t>希望過積載最大直流電圧(高温)</t>
    <rPh sb="0" eb="2">
      <t>キボウ</t>
    </rPh>
    <rPh sb="2" eb="5">
      <t>カセキサイ</t>
    </rPh>
    <rPh sb="5" eb="7">
      <t>サイダイ</t>
    </rPh>
    <rPh sb="7" eb="9">
      <t>チョクリュウ</t>
    </rPh>
    <rPh sb="9" eb="11">
      <t>デンアツ</t>
    </rPh>
    <phoneticPr fontId="2"/>
  </si>
  <si>
    <t>希望過積載最小直流電圧(高温)</t>
    <rPh sb="0" eb="2">
      <t>キボウ</t>
    </rPh>
    <rPh sb="2" eb="5">
      <t>カセキサイ</t>
    </rPh>
    <rPh sb="5" eb="7">
      <t>サイショウ</t>
    </rPh>
    <rPh sb="7" eb="9">
      <t>チョクリュウ</t>
    </rPh>
    <rPh sb="9" eb="11">
      <t>デンアツ</t>
    </rPh>
    <phoneticPr fontId="2"/>
  </si>
  <si>
    <t>標準設計目安計算</t>
    <rPh sb="6" eb="8">
      <t>ケイサン</t>
    </rPh>
    <phoneticPr fontId="21"/>
  </si>
  <si>
    <t>過積載率</t>
    <rPh sb="0" eb="3">
      <t>カセキサイ</t>
    </rPh>
    <rPh sb="3" eb="4">
      <t>リツ</t>
    </rPh>
    <phoneticPr fontId="2"/>
  </si>
  <si>
    <t>MPPT短絡電流</t>
    <rPh sb="4" eb="6">
      <t>タンラク</t>
    </rPh>
    <rPh sb="6" eb="8">
      <t>デンリュウ</t>
    </rPh>
    <phoneticPr fontId="2"/>
  </si>
  <si>
    <t>MPPT電流最大回路数</t>
    <rPh sb="4" eb="6">
      <t>デンリュウ</t>
    </rPh>
    <rPh sb="6" eb="8">
      <t>サイダイ</t>
    </rPh>
    <rPh sb="8" eb="10">
      <t>カイロ</t>
    </rPh>
    <rPh sb="10" eb="11">
      <t>スウ</t>
    </rPh>
    <phoneticPr fontId="2"/>
  </si>
  <si>
    <t>最大直流電圧</t>
    <rPh sb="0" eb="2">
      <t>サイダイ</t>
    </rPh>
    <rPh sb="2" eb="4">
      <t>チョクリュウ</t>
    </rPh>
    <rPh sb="4" eb="6">
      <t>デンアツ</t>
    </rPh>
    <phoneticPr fontId="2"/>
  </si>
  <si>
    <t>最小運転電圧(高温)</t>
    <rPh sb="0" eb="2">
      <t>サイショウ</t>
    </rPh>
    <rPh sb="2" eb="4">
      <t>ウンテン</t>
    </rPh>
    <rPh sb="4" eb="6">
      <t>デンアツ</t>
    </rPh>
    <rPh sb="7" eb="9">
      <t>コウオン</t>
    </rPh>
    <phoneticPr fontId="2"/>
  </si>
  <si>
    <t>最大運転電圧(低温)</t>
    <rPh sb="0" eb="2">
      <t>サイダイ</t>
    </rPh>
    <rPh sb="2" eb="4">
      <t>ウンテン</t>
    </rPh>
    <rPh sb="4" eb="6">
      <t>デンアツ</t>
    </rPh>
    <phoneticPr fontId="2"/>
  </si>
  <si>
    <t>最大運転電圧(高温)</t>
    <rPh sb="0" eb="2">
      <t>サイダイ</t>
    </rPh>
    <rPh sb="2" eb="4">
      <t>ウンテン</t>
    </rPh>
    <rPh sb="4" eb="6">
      <t>デンアツ</t>
    </rPh>
    <phoneticPr fontId="2"/>
  </si>
  <si>
    <t>最小運転電圧(高温)</t>
    <rPh sb="0" eb="2">
      <t>サイショウ</t>
    </rPh>
    <rPh sb="2" eb="4">
      <t>ウンテン</t>
    </rPh>
    <rPh sb="4" eb="6">
      <t>デンアツ</t>
    </rPh>
    <phoneticPr fontId="2"/>
  </si>
  <si>
    <t>MPPT入力回路数</t>
    <rPh sb="4" eb="6">
      <t>ニュウリョク</t>
    </rPh>
    <rPh sb="6" eb="8">
      <t>カイロ</t>
    </rPh>
    <rPh sb="8" eb="9">
      <t>スウ</t>
    </rPh>
    <phoneticPr fontId="2"/>
  </si>
  <si>
    <t>MPPT電流通常回路数</t>
    <rPh sb="4" eb="6">
      <t>デンリュウ</t>
    </rPh>
    <rPh sb="6" eb="8">
      <t>ツウジョウ</t>
    </rPh>
    <rPh sb="8" eb="10">
      <t>カイロ</t>
    </rPh>
    <rPh sb="10" eb="11">
      <t>スウ</t>
    </rPh>
    <phoneticPr fontId="2"/>
  </si>
  <si>
    <t>最大直流数(低温)</t>
    <rPh sb="0" eb="2">
      <t>サイダイ</t>
    </rPh>
    <phoneticPr fontId="2"/>
  </si>
  <si>
    <t>最小直列数(高温)</t>
    <rPh sb="0" eb="2">
      <t>サイショウ</t>
    </rPh>
    <rPh sb="2" eb="4">
      <t>チョクレツ</t>
    </rPh>
    <rPh sb="4" eb="5">
      <t>スウ</t>
    </rPh>
    <phoneticPr fontId="2"/>
  </si>
  <si>
    <t>最大直列数(高温)</t>
    <rPh sb="0" eb="2">
      <t>サイダイ</t>
    </rPh>
    <rPh sb="2" eb="4">
      <t>チョクレツ</t>
    </rPh>
    <rPh sb="4" eb="5">
      <t>スウ</t>
    </rPh>
    <phoneticPr fontId="2"/>
  </si>
  <si>
    <t>最大出力電力</t>
    <rPh sb="0" eb="2">
      <t>サイダイ</t>
    </rPh>
    <rPh sb="2" eb="4">
      <t>シュツリョク</t>
    </rPh>
    <rPh sb="4" eb="6">
      <t>デンリョク</t>
    </rPh>
    <phoneticPr fontId="2"/>
  </si>
  <si>
    <t>最大解放電圧(低温)</t>
    <rPh sb="0" eb="2">
      <t>サイダイ</t>
    </rPh>
    <rPh sb="2" eb="4">
      <t>カイホウ</t>
    </rPh>
    <rPh sb="4" eb="6">
      <t>デンアツ</t>
    </rPh>
    <phoneticPr fontId="2"/>
  </si>
  <si>
    <t>最小直流電圧(高温)</t>
    <rPh sb="0" eb="2">
      <t>サイショウ</t>
    </rPh>
    <rPh sb="2" eb="4">
      <t>チョクリュウ</t>
    </rPh>
    <rPh sb="4" eb="6">
      <t>デンアツ</t>
    </rPh>
    <phoneticPr fontId="2"/>
  </si>
  <si>
    <t>最大直流電圧(高温)</t>
    <rPh sb="0" eb="2">
      <t>サイダイ</t>
    </rPh>
    <rPh sb="2" eb="4">
      <t>チョクリュウ</t>
    </rPh>
    <rPh sb="4" eb="6">
      <t>デンアツ</t>
    </rPh>
    <phoneticPr fontId="2"/>
  </si>
  <si>
    <t>入力回路数</t>
  </si>
  <si>
    <t>MPPT制限</t>
    <rPh sb="4" eb="6">
      <t>セイゲン</t>
    </rPh>
    <phoneticPr fontId="2"/>
  </si>
  <si>
    <t>非適用</t>
    <rPh sb="0" eb="1">
      <t>ヒ</t>
    </rPh>
    <rPh sb="1" eb="3">
      <t>テキヨウ</t>
    </rPh>
    <phoneticPr fontId="9"/>
  </si>
  <si>
    <t>SUN2000-4.95KTL-JPL1 低電圧,蓄電池接続検討</t>
    <phoneticPr fontId="21"/>
  </si>
  <si>
    <t>4.95KTL-JPL1運転制限</t>
    <rPh sb="12" eb="14">
      <t>ウンテン</t>
    </rPh>
    <rPh sb="14" eb="16">
      <t>セイゲン</t>
    </rPh>
    <phoneticPr fontId="9"/>
  </si>
  <si>
    <t>出力制限</t>
    <rPh sb="0" eb="2">
      <t>シュツリョク</t>
    </rPh>
    <rPh sb="2" eb="4">
      <t>セイゲン</t>
    </rPh>
    <phoneticPr fontId="9"/>
  </si>
  <si>
    <t>運転制限</t>
    <rPh sb="0" eb="2">
      <t>ウンテン</t>
    </rPh>
    <rPh sb="2" eb="4">
      <t>セイゲン</t>
    </rPh>
    <phoneticPr fontId="9"/>
  </si>
  <si>
    <t>最小電圧</t>
    <rPh sb="0" eb="2">
      <t>サイショウ</t>
    </rPh>
    <rPh sb="2" eb="4">
      <t>デンアツ</t>
    </rPh>
    <phoneticPr fontId="21"/>
  </si>
  <si>
    <t>最大短絡電流確認</t>
    <rPh sb="0" eb="2">
      <t>サイダイ</t>
    </rPh>
    <rPh sb="2" eb="4">
      <t>タンラク</t>
    </rPh>
    <rPh sb="4" eb="6">
      <t>デンリュウ</t>
    </rPh>
    <rPh sb="6" eb="8">
      <t>カクニン</t>
    </rPh>
    <phoneticPr fontId="21"/>
  </si>
  <si>
    <t>制限後出力</t>
    <rPh sb="0" eb="2">
      <t>セイゲン</t>
    </rPh>
    <rPh sb="2" eb="3">
      <t>ゴ</t>
    </rPh>
    <rPh sb="3" eb="5">
      <t>シュツリョク</t>
    </rPh>
    <phoneticPr fontId="9"/>
  </si>
  <si>
    <t>最大電圧確認</t>
    <rPh sb="0" eb="2">
      <t>サイダイ</t>
    </rPh>
    <rPh sb="2" eb="4">
      <t>デンアツ</t>
    </rPh>
    <rPh sb="3" eb="4">
      <t>ホウデン</t>
    </rPh>
    <rPh sb="4" eb="6">
      <t>カクニン</t>
    </rPh>
    <phoneticPr fontId="9"/>
  </si>
  <si>
    <t>最小電圧判定</t>
    <rPh sb="0" eb="2">
      <t>サイショウ</t>
    </rPh>
    <rPh sb="2" eb="4">
      <t>デンアツ</t>
    </rPh>
    <rPh sb="4" eb="6">
      <t>ハンテイ</t>
    </rPh>
    <phoneticPr fontId="21"/>
  </si>
  <si>
    <t>出力可能電力</t>
    <rPh sb="0" eb="4">
      <t>シュツリョクカノウ</t>
    </rPh>
    <rPh sb="4" eb="6">
      <t>デンリョク</t>
    </rPh>
    <phoneticPr fontId="9"/>
  </si>
  <si>
    <t>ＰＣＳ機種</t>
    <rPh sb="3" eb="5">
      <t>キシュ</t>
    </rPh>
    <phoneticPr fontId="2"/>
  </si>
  <si>
    <t>定格出力</t>
    <rPh sb="0" eb="4">
      <t>テイカクシュツリョク</t>
    </rPh>
    <phoneticPr fontId="2"/>
  </si>
  <si>
    <t>40℃最低直流電圧</t>
    <rPh sb="3" eb="5">
      <t>サイテイ</t>
    </rPh>
    <rPh sb="5" eb="7">
      <t>チョクリュウ</t>
    </rPh>
    <rPh sb="7" eb="9">
      <t>デンアツ</t>
    </rPh>
    <phoneticPr fontId="2"/>
  </si>
  <si>
    <t>-10℃最大直流電圧</t>
    <rPh sb="4" eb="6">
      <t>サイダイ</t>
    </rPh>
    <rPh sb="6" eb="8">
      <t>チョクリュウ</t>
    </rPh>
    <rPh sb="8" eb="10">
      <t>デンアツ</t>
    </rPh>
    <phoneticPr fontId="2"/>
  </si>
  <si>
    <t>40℃最大直流電圧</t>
    <rPh sb="3" eb="5">
      <t>サイダイ</t>
    </rPh>
    <rPh sb="5" eb="9">
      <t>チョクリュウデンアツ</t>
    </rPh>
    <phoneticPr fontId="2"/>
  </si>
  <si>
    <t>短絡電流</t>
    <rPh sb="0" eb="2">
      <t>タンラク</t>
    </rPh>
    <rPh sb="2" eb="4">
      <t>デンリュウ</t>
    </rPh>
    <phoneticPr fontId="2"/>
  </si>
  <si>
    <t>入力電流</t>
    <rPh sb="0" eb="2">
      <t>ニュウリョク</t>
    </rPh>
    <rPh sb="2" eb="4">
      <t>デンリュウ</t>
    </rPh>
    <phoneticPr fontId="2"/>
  </si>
  <si>
    <t>入力回路数</t>
    <rPh sb="0" eb="2">
      <t>ニュウリョク</t>
    </rPh>
    <rPh sb="2" eb="4">
      <t>カイロ</t>
    </rPh>
    <rPh sb="4" eb="5">
      <t>スウ</t>
    </rPh>
    <phoneticPr fontId="2"/>
  </si>
  <si>
    <t>変換効率</t>
    <rPh sb="0" eb="2">
      <t>ヘンカン</t>
    </rPh>
    <rPh sb="2" eb="4">
      <t>コウリツ</t>
    </rPh>
    <phoneticPr fontId="9"/>
  </si>
  <si>
    <t>最小電圧</t>
    <rPh sb="0" eb="2">
      <t>サイショウ</t>
    </rPh>
    <rPh sb="2" eb="4">
      <t>デンアツ</t>
    </rPh>
    <phoneticPr fontId="9"/>
  </si>
  <si>
    <t>最小電圧出力</t>
    <rPh sb="0" eb="1">
      <t>サイショウ</t>
    </rPh>
    <rPh sb="1" eb="3">
      <t>デンアツ</t>
    </rPh>
    <rPh sb="3" eb="5">
      <t>シュツリョク</t>
    </rPh>
    <phoneticPr fontId="9"/>
  </si>
  <si>
    <t>標準電圧</t>
    <rPh sb="0" eb="1">
      <t>ヒョウジュン</t>
    </rPh>
    <rPh sb="1" eb="3">
      <t>デンアツ</t>
    </rPh>
    <phoneticPr fontId="9"/>
  </si>
  <si>
    <t>電流値</t>
    <rPh sb="0" eb="3">
      <t>デンリュウチ</t>
    </rPh>
    <phoneticPr fontId="2"/>
  </si>
  <si>
    <t>SUN2000-125KTL-JPH0 力率1.0</t>
    <rPh sb="20" eb="22">
      <t>リキリツ</t>
    </rPh>
    <phoneticPr fontId="0"/>
  </si>
  <si>
    <t>SUN2000-125KTL-JPH0 力率0.9</t>
    <rPh sb="20" eb="22">
      <t>リキリツ</t>
    </rPh>
    <phoneticPr fontId="0"/>
  </si>
  <si>
    <t>SUN2000-111KTL-NHM0　力率1.0　AC420V.440V</t>
    <rPh sb="20" eb="22">
      <t>リキリツ</t>
    </rPh>
    <phoneticPr fontId="0"/>
  </si>
  <si>
    <t>SUN2000-111KTL-NHM0　力率0.9 AC420V.440V</t>
    <rPh sb="20" eb="22">
      <t>リキリツ</t>
    </rPh>
    <phoneticPr fontId="0"/>
  </si>
  <si>
    <r>
      <t>SUN2000-63KTL-JP</t>
    </r>
    <r>
      <rPr>
        <sz val="11"/>
        <color rgb="FFFF0000"/>
        <rFont val="ＭＳ Ｐゴシック"/>
        <family val="3"/>
        <charset val="128"/>
      </rPr>
      <t>M</t>
    </r>
    <r>
      <rPr>
        <sz val="11"/>
        <rFont val="ＭＳ Ｐゴシック"/>
        <family val="3"/>
        <charset val="128"/>
      </rPr>
      <t>0</t>
    </r>
    <phoneticPr fontId="9"/>
  </si>
  <si>
    <r>
      <t>SUN2000-63KTL-JP</t>
    </r>
    <r>
      <rPr>
        <sz val="11"/>
        <color rgb="FF0070C0"/>
        <rFont val="ＭＳ Ｐゴシック"/>
        <family val="3"/>
        <charset val="128"/>
      </rPr>
      <t>H</t>
    </r>
    <r>
      <rPr>
        <sz val="11"/>
        <rFont val="ＭＳ Ｐゴシック"/>
        <family val="3"/>
        <charset val="128"/>
      </rPr>
      <t>0</t>
    </r>
    <phoneticPr fontId="9"/>
  </si>
  <si>
    <t>SUN2000-50KTL-JPM0</t>
  </si>
  <si>
    <t>SUN2000-40KTL-NH AC420V</t>
  </si>
  <si>
    <t>SUN2000-40KTL-NH AC440V</t>
  </si>
  <si>
    <t>SUN2000-33KTL-NH AC420V</t>
  </si>
  <si>
    <t>SUN2000-33KTL-NH AC440V</t>
  </si>
  <si>
    <t>SUN2000-20KTL-M3 AC202V</t>
  </si>
  <si>
    <t>SUN2000-4.95KTL-NHL2</t>
  </si>
  <si>
    <t>SUN2000-4.95KTL-JPL0</t>
  </si>
  <si>
    <t>SUN2000-111KTL-NHM0　力率1.0 AC480V</t>
    <rPh sb="20" eb="22">
      <t>リキリツ</t>
    </rPh>
    <phoneticPr fontId="0"/>
  </si>
  <si>
    <t>SUN2000-111KTL-NHM0　力率0.9 AC480V</t>
    <rPh sb="20" eb="22">
      <t>リキリツ</t>
    </rPh>
    <phoneticPr fontId="0"/>
  </si>
  <si>
    <t>SUN2000-20KTL-M3 AC220V</t>
  </si>
  <si>
    <t>太陽電池モジュール型式</t>
    <rPh sb="0" eb="4">
      <t>ﾀｲﾖｳﾃﾞﾝﾁ</t>
    </rPh>
    <rPh sb="9" eb="11">
      <t>ｶﾀｼｷ</t>
    </rPh>
    <phoneticPr fontId="1" type="noConversion"/>
  </si>
  <si>
    <t>最大出力（Pmax）</t>
    <phoneticPr fontId="1" type="noConversion"/>
  </si>
  <si>
    <t>開放電圧(Voc)</t>
    <phoneticPr fontId="1" type="noConversion"/>
  </si>
  <si>
    <t>最大動作電圧（Vmax）</t>
    <phoneticPr fontId="1" type="noConversion"/>
  </si>
  <si>
    <t>短絡電流(Isc)</t>
    <phoneticPr fontId="1" type="noConversion"/>
  </si>
  <si>
    <t>最大動作電流(Imax)</t>
    <phoneticPr fontId="1" type="noConversion"/>
  </si>
  <si>
    <t>最大出力温度係数(％/℃)</t>
    <phoneticPr fontId="1" type="noConversion"/>
  </si>
  <si>
    <t>開放電圧温度係数(％/℃)</t>
    <phoneticPr fontId="1" type="noConversion"/>
  </si>
  <si>
    <t>短絡電流温度係数(％/℃)</t>
    <phoneticPr fontId="1" type="noConversion"/>
  </si>
  <si>
    <t>裏面発電量(％)</t>
    <rPh sb="0" eb="2">
      <t>ｳﾗﾒﾝ</t>
    </rPh>
    <rPh sb="2" eb="5">
      <t>ﾊﾂﾃﾞﾝﾘｮｳ</t>
    </rPh>
    <phoneticPr fontId="1" type="noConversion"/>
  </si>
  <si>
    <t>集電数</t>
    <rPh sb="0" eb="2">
      <t>ｼｭｳﾃﾞﾝ</t>
    </rPh>
    <rPh sb="2" eb="3">
      <t>ｽｳ</t>
    </rPh>
    <phoneticPr fontId="1" type="noConversion"/>
  </si>
  <si>
    <t>　サンプル</t>
    <phoneticPr fontId="1" type="noConversion"/>
  </si>
  <si>
    <t>　サンプル（集電）</t>
    <rPh sb="6" eb="8">
      <t>ｼｭｳﾃﾞﾝ</t>
    </rPh>
    <phoneticPr fontId="1" type="noConversion"/>
  </si>
  <si>
    <t>　サンプル（両面）</t>
    <rPh sb="6" eb="8">
      <t>ﾘｮｳﾒﾝ</t>
    </rPh>
    <phoneticPr fontId="1" type="noConversion"/>
  </si>
  <si>
    <t xml:space="preserve">	CS-304B61</t>
    <phoneticPr fontId="1" type="noConversion"/>
  </si>
  <si>
    <t>260W</t>
    <phoneticPr fontId="1" type="noConversion"/>
  </si>
  <si>
    <t>305-Panel</t>
    <phoneticPr fontId="2"/>
  </si>
  <si>
    <t>48HL4M-DV-455</t>
    <phoneticPr fontId="1" type="noConversion"/>
  </si>
  <si>
    <t>54HL4M-BDV-525</t>
  </si>
  <si>
    <t>590N</t>
    <phoneticPr fontId="2"/>
  </si>
  <si>
    <t>6MN5A210</t>
    <phoneticPr fontId="1" type="noConversion"/>
  </si>
  <si>
    <t>AC-320M/60S</t>
    <phoneticPr fontId="2"/>
  </si>
  <si>
    <t xml:space="preserve">AC-330MH/120S </t>
    <phoneticPr fontId="2"/>
  </si>
  <si>
    <t>AC-345MH/120S</t>
    <phoneticPr fontId="2"/>
  </si>
  <si>
    <t>AC-370MH/120S</t>
    <phoneticPr fontId="2"/>
  </si>
  <si>
    <t>AC-370MH/144S</t>
    <phoneticPr fontId="2"/>
  </si>
  <si>
    <t>AC-375MH/120S</t>
    <phoneticPr fontId="2"/>
  </si>
  <si>
    <t>AC-380MH/120S</t>
    <phoneticPr fontId="2"/>
  </si>
  <si>
    <t>AC-400MH/108V</t>
    <phoneticPr fontId="2"/>
  </si>
  <si>
    <t>AC-410MH/108V</t>
    <phoneticPr fontId="2"/>
  </si>
  <si>
    <t>AC-410MH/144S</t>
    <phoneticPr fontId="2"/>
  </si>
  <si>
    <t>AC-440MH/144S</t>
    <phoneticPr fontId="2"/>
  </si>
  <si>
    <t xml:space="preserve">AC-440MH/144S </t>
    <phoneticPr fontId="2"/>
  </si>
  <si>
    <t xml:space="preserve">AC-445MH/144S </t>
    <phoneticPr fontId="2"/>
  </si>
  <si>
    <t>AC-450MB/144V</t>
    <phoneticPr fontId="2"/>
  </si>
  <si>
    <t>AC-450MB/144V-2</t>
    <phoneticPr fontId="2"/>
  </si>
  <si>
    <t>AC-450MH/144S</t>
    <phoneticPr fontId="2"/>
  </si>
  <si>
    <t xml:space="preserve">AC-450MH/144S </t>
    <phoneticPr fontId="2"/>
  </si>
  <si>
    <t xml:space="preserve">AC-455MH/144S </t>
    <phoneticPr fontId="2"/>
  </si>
  <si>
    <t>AC-530MH/144V</t>
    <phoneticPr fontId="2"/>
  </si>
  <si>
    <t>AC-535MBT/144V</t>
    <phoneticPr fontId="2"/>
  </si>
  <si>
    <t>AC-535MBT/144V-2</t>
    <phoneticPr fontId="2"/>
  </si>
  <si>
    <t>AC-540MBT/144V</t>
    <phoneticPr fontId="2"/>
  </si>
  <si>
    <t>AC-540MBT/144V-2</t>
    <phoneticPr fontId="2"/>
  </si>
  <si>
    <t>AC-540MH/144V</t>
    <phoneticPr fontId="2"/>
  </si>
  <si>
    <t>AC-545MH/144V</t>
    <phoneticPr fontId="2"/>
  </si>
  <si>
    <t>AC-550MH/144V</t>
    <phoneticPr fontId="2"/>
  </si>
  <si>
    <t>AIKO-A615-MAH72Mw</t>
    <phoneticPr fontId="2"/>
  </si>
  <si>
    <t xml:space="preserve">AIKO-A700-MAE78Dw </t>
    <phoneticPr fontId="1" type="noConversion"/>
  </si>
  <si>
    <t>AIKO-A700-MAE78Dw （両面）</t>
    <rPh sb="19" eb="21">
      <t>ﾘｮｳﾒﾝ</t>
    </rPh>
    <phoneticPr fontId="1" type="noConversion"/>
  </si>
  <si>
    <t>AIKO-A770-GRH78Dw</t>
    <phoneticPr fontId="1" type="noConversion"/>
  </si>
  <si>
    <t>AIKO-A770-GRH78Dw（両面）</t>
    <rPh sb="18" eb="20">
      <t>ﾘｮｳﾒﾝ</t>
    </rPh>
    <phoneticPr fontId="1" type="noConversion"/>
  </si>
  <si>
    <t>AIKO-G640-MCH72Dw</t>
    <phoneticPr fontId="1" type="noConversion"/>
  </si>
  <si>
    <t>AIKO-G640-MCH72Dw(両面）</t>
    <rPh sb="18" eb="20">
      <t>ﾘｮｳﾒﾝ</t>
    </rPh>
    <phoneticPr fontId="1" type="noConversion"/>
  </si>
  <si>
    <t>AS-6M120-HC-370</t>
    <phoneticPr fontId="2"/>
  </si>
  <si>
    <t>AS-6M120-HC-380</t>
    <phoneticPr fontId="2"/>
  </si>
  <si>
    <t>AstroHalo</t>
    <phoneticPr fontId="2"/>
  </si>
  <si>
    <t>AstrroSemi-455</t>
    <phoneticPr fontId="2"/>
  </si>
  <si>
    <t>BSM310M-60</t>
    <phoneticPr fontId="2"/>
  </si>
  <si>
    <t>BYD 260P6C-30</t>
    <phoneticPr fontId="2"/>
  </si>
  <si>
    <t>Can_295</t>
  </si>
  <si>
    <t>Can_300</t>
  </si>
  <si>
    <t>Can_315</t>
  </si>
  <si>
    <t>Can_355</t>
  </si>
  <si>
    <t>Can_375</t>
  </si>
  <si>
    <t>Can_405P</t>
    <phoneticPr fontId="2"/>
  </si>
  <si>
    <t>Cana_355</t>
  </si>
  <si>
    <t>Cana_360</t>
  </si>
  <si>
    <t>Canadia_300_2</t>
    <phoneticPr fontId="2"/>
  </si>
  <si>
    <t>Canadian_265</t>
  </si>
  <si>
    <t>Canadian_275</t>
  </si>
  <si>
    <t>Canadian_330</t>
  </si>
  <si>
    <t>Candia_360</t>
    <phoneticPr fontId="2"/>
  </si>
  <si>
    <t>CANDia_405</t>
    <phoneticPr fontId="2"/>
  </si>
  <si>
    <t>CHSM6610P -250</t>
    <phoneticPr fontId="2"/>
  </si>
  <si>
    <t>CHSM6612M/HV-370</t>
    <phoneticPr fontId="2"/>
  </si>
  <si>
    <t>CHSM72M-HC-445</t>
    <phoneticPr fontId="2"/>
  </si>
  <si>
    <t>CHSM72M-HC-450</t>
    <phoneticPr fontId="2"/>
  </si>
  <si>
    <t>CHSM72M-HC-455</t>
    <phoneticPr fontId="2"/>
  </si>
  <si>
    <t>CHSM72M-HC-460</t>
    <phoneticPr fontId="2"/>
  </si>
  <si>
    <t>CHSM72M-HC-550</t>
    <phoneticPr fontId="2"/>
  </si>
  <si>
    <t>CHSM72N-HC590</t>
    <phoneticPr fontId="1" type="noConversion"/>
  </si>
  <si>
    <t>CP18-72HT-540</t>
    <phoneticPr fontId="2"/>
  </si>
  <si>
    <t>CP18-72HT-540-2</t>
    <phoneticPr fontId="2"/>
  </si>
  <si>
    <t>CP6P-250P</t>
    <phoneticPr fontId="2"/>
  </si>
  <si>
    <t>CP6P-250P（集電）</t>
    <phoneticPr fontId="2"/>
  </si>
  <si>
    <t>CP6P-265P</t>
    <phoneticPr fontId="2"/>
  </si>
  <si>
    <t>CS-109B81S</t>
    <phoneticPr fontId="1" type="noConversion"/>
  </si>
  <si>
    <t>CS-113B41S</t>
    <phoneticPr fontId="1" type="noConversion"/>
  </si>
  <si>
    <t>CS1H-335MS</t>
    <phoneticPr fontId="1" type="noConversion"/>
  </si>
  <si>
    <t>CS1U_405_1</t>
    <phoneticPr fontId="2"/>
  </si>
  <si>
    <t>CS1U-410MS</t>
    <phoneticPr fontId="2"/>
  </si>
  <si>
    <t>CS1U-415MS</t>
  </si>
  <si>
    <t>CS1V-265MS</t>
    <phoneticPr fontId="1" type="noConversion"/>
  </si>
  <si>
    <t>CS1VL-210MS CS1V-265MS換算　0.8枚</t>
    <rPh sb="22" eb="24">
      <t>ｶﾝｻﾝ</t>
    </rPh>
    <rPh sb="28" eb="29">
      <t>ﾏｲ</t>
    </rPh>
    <phoneticPr fontId="1" type="noConversion"/>
  </si>
  <si>
    <t>CS-210NH1</t>
    <phoneticPr fontId="1" type="noConversion"/>
  </si>
  <si>
    <t>CS-223B81S</t>
    <phoneticPr fontId="1" type="noConversion"/>
  </si>
  <si>
    <t>CS-226C31S</t>
    <phoneticPr fontId="1" type="noConversion"/>
  </si>
  <si>
    <t>CS-230B41S</t>
    <phoneticPr fontId="1" type="noConversion"/>
  </si>
  <si>
    <t>CS-240B31</t>
    <phoneticPr fontId="1" type="noConversion"/>
  </si>
  <si>
    <t>CS-250B41</t>
    <phoneticPr fontId="1" type="noConversion"/>
  </si>
  <si>
    <t>CS-250B61S</t>
    <phoneticPr fontId="2"/>
  </si>
  <si>
    <t>CS-260B61B</t>
    <phoneticPr fontId="1" type="noConversion"/>
  </si>
  <si>
    <t>CS-260B61S</t>
    <phoneticPr fontId="2"/>
  </si>
  <si>
    <t>CS-270C31</t>
    <phoneticPr fontId="1" type="noConversion"/>
  </si>
  <si>
    <t>CS-340B81</t>
    <phoneticPr fontId="1" type="noConversion"/>
  </si>
  <si>
    <t>CS-375K44H</t>
    <phoneticPr fontId="1" type="noConversion"/>
  </si>
  <si>
    <t>CS3K_300_1</t>
    <phoneticPr fontId="2"/>
  </si>
  <si>
    <t>CS3K-295</t>
  </si>
  <si>
    <t>CS3K-310MS</t>
    <phoneticPr fontId="2"/>
  </si>
  <si>
    <t>CS3K-315MS</t>
    <phoneticPr fontId="2"/>
  </si>
  <si>
    <t>CS3K-325MS </t>
    <phoneticPr fontId="2"/>
  </si>
  <si>
    <t>CS3K-MS</t>
    <phoneticPr fontId="2"/>
  </si>
  <si>
    <t>CS3L-360MS</t>
    <phoneticPr fontId="2"/>
  </si>
  <si>
    <t>CS3L-365MS</t>
    <phoneticPr fontId="2"/>
  </si>
  <si>
    <t>CS3L-370-375MS-L</t>
    <phoneticPr fontId="2"/>
  </si>
  <si>
    <t>CS3L-370MS</t>
    <phoneticPr fontId="2"/>
  </si>
  <si>
    <t>CS3L-375MS</t>
    <phoneticPr fontId="2"/>
  </si>
  <si>
    <t>CS3L-380MS</t>
    <phoneticPr fontId="2"/>
  </si>
  <si>
    <t>CS3L-405MS</t>
    <phoneticPr fontId="2"/>
  </si>
  <si>
    <t>CS3LA-300MS</t>
    <phoneticPr fontId="1" type="noConversion"/>
  </si>
  <si>
    <t>CS3LA-300MS 3 CS3L-375MS換算0.8枚</t>
    <rPh sb="24" eb="26">
      <t>ｶﾝｻﾝ</t>
    </rPh>
    <rPh sb="29" eb="30">
      <t>ﾏｲ</t>
    </rPh>
    <phoneticPr fontId="1" type="noConversion"/>
  </si>
  <si>
    <t>CS3LB-250MS</t>
    <phoneticPr fontId="2"/>
  </si>
  <si>
    <t>CS3U-355P</t>
  </si>
  <si>
    <t>CS3U-360</t>
    <phoneticPr fontId="2"/>
  </si>
  <si>
    <t>CS3U-360P</t>
    <phoneticPr fontId="2"/>
  </si>
  <si>
    <t>CS3U-365P</t>
    <phoneticPr fontId="2"/>
  </si>
  <si>
    <t>CS3U-380MS</t>
  </si>
  <si>
    <t>CS3U-390MS</t>
    <phoneticPr fontId="2"/>
  </si>
  <si>
    <t>CS3W_400</t>
    <phoneticPr fontId="2"/>
  </si>
  <si>
    <t>CS3W-405P</t>
    <phoneticPr fontId="2"/>
  </si>
  <si>
    <t>CS3W-410PB-AG</t>
    <phoneticPr fontId="2"/>
  </si>
  <si>
    <t>CS3W-410PB-AG-2</t>
    <phoneticPr fontId="2"/>
  </si>
  <si>
    <t>CS3W-440MS</t>
    <phoneticPr fontId="2"/>
  </si>
  <si>
    <t>CS3W-440MS-DE</t>
    <phoneticPr fontId="2"/>
  </si>
  <si>
    <t>CS3W-445MS</t>
    <phoneticPr fontId="2"/>
  </si>
  <si>
    <t>CS3W-450MS</t>
    <phoneticPr fontId="2"/>
  </si>
  <si>
    <t>CS3W-455MS</t>
    <phoneticPr fontId="2"/>
  </si>
  <si>
    <t>CS3W-460MS</t>
    <phoneticPr fontId="2"/>
  </si>
  <si>
    <t>CS3Y-450</t>
    <phoneticPr fontId="2"/>
  </si>
  <si>
    <t>CS3Y-490MS</t>
    <phoneticPr fontId="2"/>
  </si>
  <si>
    <t>CS3Y-495MS</t>
    <phoneticPr fontId="2"/>
  </si>
  <si>
    <t>CS5A-190M</t>
    <phoneticPr fontId="2"/>
  </si>
  <si>
    <t>CS5A-200M</t>
    <phoneticPr fontId="2"/>
  </si>
  <si>
    <t>CS6.1-60TB-500</t>
    <phoneticPr fontId="1" type="noConversion"/>
  </si>
  <si>
    <t>CS6.1-60TB-500（両面）</t>
    <phoneticPr fontId="1" type="noConversion"/>
  </si>
  <si>
    <t>CS6.1-60TB-505</t>
    <phoneticPr fontId="1" type="noConversion"/>
  </si>
  <si>
    <t>CS6.1-60TB-505（両面）</t>
    <phoneticPr fontId="1" type="noConversion"/>
  </si>
  <si>
    <t>CS6.1-72TB-610</t>
    <phoneticPr fontId="1" type="noConversion"/>
  </si>
  <si>
    <t>CS6.1-72TB-610（両面）</t>
    <phoneticPr fontId="1" type="noConversion"/>
  </si>
  <si>
    <t>CS6.1-72TD-610</t>
  </si>
  <si>
    <t>CS6.1-72TD-615</t>
    <phoneticPr fontId="1" type="noConversion"/>
  </si>
  <si>
    <t>CS6.1-72TD-620</t>
    <phoneticPr fontId="1" type="noConversion"/>
  </si>
  <si>
    <t>CS6.2-32TM-300</t>
    <phoneticPr fontId="1" type="noConversion"/>
  </si>
  <si>
    <t>CS6.2-36TM-340</t>
    <phoneticPr fontId="1" type="noConversion"/>
  </si>
  <si>
    <t>CS6.2-48TM-450</t>
    <phoneticPr fontId="1" type="noConversion"/>
  </si>
  <si>
    <t>CS6.2-48TM-455</t>
    <phoneticPr fontId="1" type="noConversion"/>
  </si>
  <si>
    <t>CS6.2-48TM-460</t>
    <phoneticPr fontId="1" type="noConversion"/>
  </si>
  <si>
    <t>CS6.2-54TM-505</t>
    <phoneticPr fontId="1" type="noConversion"/>
  </si>
  <si>
    <t>CS6.2-54TM-510</t>
    <phoneticPr fontId="1" type="noConversion"/>
  </si>
  <si>
    <t>CS6.2-54TM-515</t>
    <phoneticPr fontId="1" type="noConversion"/>
  </si>
  <si>
    <t>CS6.2-54TM-520</t>
    <phoneticPr fontId="1" type="noConversion"/>
  </si>
  <si>
    <t>CS6.2-66TB-610</t>
    <phoneticPr fontId="1" type="noConversion"/>
  </si>
  <si>
    <t>CS6.2-66TB-610（両面）</t>
    <phoneticPr fontId="1" type="noConversion"/>
  </si>
  <si>
    <t>CS6.2-66TB-615</t>
    <phoneticPr fontId="1" type="noConversion"/>
  </si>
  <si>
    <t>CS6.2-66TB-615（両面）</t>
    <phoneticPr fontId="1" type="noConversion"/>
  </si>
  <si>
    <t>CS6.2-66TB-620</t>
    <phoneticPr fontId="1" type="noConversion"/>
  </si>
  <si>
    <t>CS6.2-66TB-620（両面）</t>
    <phoneticPr fontId="1" type="noConversion"/>
  </si>
  <si>
    <t>CS6.2-66TB-625</t>
    <phoneticPr fontId="1" type="noConversion"/>
  </si>
  <si>
    <t>CS6.2-66TB-625（両面）</t>
    <phoneticPr fontId="1" type="noConversion"/>
  </si>
  <si>
    <t>CS6.2-66TB-630</t>
    <phoneticPr fontId="1" type="noConversion"/>
  </si>
  <si>
    <t>CS6.2-66TB-630（両面）</t>
    <phoneticPr fontId="1" type="noConversion"/>
  </si>
  <si>
    <t>CS6.2-66TM-620</t>
    <phoneticPr fontId="1" type="noConversion"/>
  </si>
  <si>
    <t>CS6.2-66TM-625</t>
    <phoneticPr fontId="1" type="noConversion"/>
  </si>
  <si>
    <t>CS6.2-66TM-630</t>
    <phoneticPr fontId="1" type="noConversion"/>
  </si>
  <si>
    <t>CS6.2-66TM-635</t>
    <phoneticPr fontId="1" type="noConversion"/>
  </si>
  <si>
    <t>CS6P-240P</t>
    <phoneticPr fontId="2"/>
  </si>
  <si>
    <t>CS6P-240P-18</t>
    <phoneticPr fontId="2"/>
  </si>
  <si>
    <t>CS6P-245P</t>
    <phoneticPr fontId="2"/>
  </si>
  <si>
    <t>CS6P-250P</t>
    <phoneticPr fontId="2"/>
  </si>
  <si>
    <t>CS6P-255P</t>
    <phoneticPr fontId="2"/>
  </si>
  <si>
    <t>CS6P-255P-集電</t>
    <rPh sb="10" eb="12">
      <t>シュウデン</t>
    </rPh>
    <phoneticPr fontId="2"/>
  </si>
  <si>
    <t>CS6P-260P</t>
    <phoneticPr fontId="2"/>
  </si>
  <si>
    <t>CS6P-265P</t>
  </si>
  <si>
    <t>CS6R-405MS</t>
    <phoneticPr fontId="2"/>
  </si>
  <si>
    <t>CS6R-410MS</t>
    <phoneticPr fontId="2"/>
  </si>
  <si>
    <t>CS6R-415MS</t>
    <phoneticPr fontId="2"/>
  </si>
  <si>
    <t>CS6R-420T</t>
    <phoneticPr fontId="2"/>
  </si>
  <si>
    <t>CS6R-425T</t>
    <phoneticPr fontId="2"/>
  </si>
  <si>
    <t>CS6R-430H-AG</t>
    <phoneticPr fontId="2"/>
  </si>
  <si>
    <t>CS6R-430T</t>
    <phoneticPr fontId="2"/>
  </si>
  <si>
    <t>CS6R-435T</t>
    <phoneticPr fontId="2"/>
  </si>
  <si>
    <t>CS6R-440T</t>
    <phoneticPr fontId="2"/>
  </si>
  <si>
    <t>CS6RA-315MS</t>
    <phoneticPr fontId="2"/>
  </si>
  <si>
    <t>CS6RA-315MS CS6R-410MS換算0.77枚</t>
    <rPh sb="22" eb="24">
      <t>カンサン</t>
    </rPh>
    <rPh sb="28" eb="29">
      <t>マイ</t>
    </rPh>
    <phoneticPr fontId="2"/>
  </si>
  <si>
    <t>CS6RB-270MS CS6R-410MS換算0.66枚</t>
    <rPh sb="22" eb="24">
      <t>カンサン</t>
    </rPh>
    <rPh sb="28" eb="29">
      <t>マイ</t>
    </rPh>
    <phoneticPr fontId="2"/>
  </si>
  <si>
    <t>CS6W-535MS</t>
    <phoneticPr fontId="2"/>
  </si>
  <si>
    <t>CS6W-545MS</t>
    <phoneticPr fontId="2"/>
  </si>
  <si>
    <t>CS6W-550MS</t>
    <phoneticPr fontId="1" type="noConversion"/>
  </si>
  <si>
    <t>CS6W-555TB-AG</t>
    <phoneticPr fontId="1" type="noConversion"/>
  </si>
  <si>
    <t>CS6W-555TB-AG-2</t>
    <phoneticPr fontId="1" type="noConversion"/>
  </si>
  <si>
    <t>CS6W-560T</t>
    <phoneticPr fontId="1" type="noConversion"/>
  </si>
  <si>
    <t>CS6W-575TB-AG</t>
    <phoneticPr fontId="1" type="noConversion"/>
  </si>
  <si>
    <t>CS6W-575TB-AG-2</t>
    <phoneticPr fontId="1" type="noConversion"/>
  </si>
  <si>
    <t>CS6W-580T</t>
    <phoneticPr fontId="1" type="noConversion"/>
  </si>
  <si>
    <t>CS6W-580TB-AG</t>
    <phoneticPr fontId="1" type="noConversion"/>
  </si>
  <si>
    <t>CS6W-580TB-AG-2</t>
    <phoneticPr fontId="1" type="noConversion"/>
  </si>
  <si>
    <t>CS6W-585T</t>
    <phoneticPr fontId="1" type="noConversion"/>
  </si>
  <si>
    <t>CS6W-585T（集電）</t>
    <phoneticPr fontId="1" type="noConversion"/>
  </si>
  <si>
    <t>CS6W-585TB-AG</t>
    <phoneticPr fontId="1" type="noConversion"/>
  </si>
  <si>
    <t>CS6W-585TB-AG-2</t>
    <phoneticPr fontId="1" type="noConversion"/>
  </si>
  <si>
    <t>CS6W-590T</t>
    <phoneticPr fontId="1" type="noConversion"/>
  </si>
  <si>
    <t>CS6W-595TB-AG</t>
    <phoneticPr fontId="1" type="noConversion"/>
  </si>
  <si>
    <t>CS6X-305P</t>
    <phoneticPr fontId="2"/>
  </si>
  <si>
    <t>CS6X-305P（集電）</t>
    <phoneticPr fontId="2"/>
  </si>
  <si>
    <t>CS7L-595MB-AG</t>
    <phoneticPr fontId="2"/>
  </si>
  <si>
    <t>CS7L-595MB-AG-2</t>
    <phoneticPr fontId="2"/>
  </si>
  <si>
    <t>CS7L-600MS</t>
    <phoneticPr fontId="2"/>
  </si>
  <si>
    <t>CS7L-630TB-AG</t>
    <phoneticPr fontId="1" type="noConversion"/>
  </si>
  <si>
    <t>CS7L-630TB-AG-2</t>
    <phoneticPr fontId="1" type="noConversion"/>
  </si>
  <si>
    <t>CS7L-640TB-AG</t>
    <phoneticPr fontId="1" type="noConversion"/>
  </si>
  <si>
    <t>CS7L-660MS</t>
    <phoneticPr fontId="2"/>
  </si>
  <si>
    <t>CS7L-720TB-AG</t>
    <phoneticPr fontId="1" type="noConversion"/>
  </si>
  <si>
    <t>CS7N-645MB-AG</t>
    <phoneticPr fontId="2"/>
  </si>
  <si>
    <t>CS7N-645MB-AG-2</t>
    <phoneticPr fontId="2"/>
  </si>
  <si>
    <t>CS7N-655MB-AG</t>
    <phoneticPr fontId="2"/>
  </si>
  <si>
    <t>CS7N-655MB-AG-2</t>
    <phoneticPr fontId="2"/>
  </si>
  <si>
    <t>CS7N-660MB-AG</t>
    <phoneticPr fontId="2"/>
  </si>
  <si>
    <t>CS7N-660MB-AG-2</t>
    <phoneticPr fontId="2"/>
  </si>
  <si>
    <t>CS7N-660MS</t>
    <phoneticPr fontId="2"/>
  </si>
  <si>
    <t>CS7N-660MS-AG</t>
    <phoneticPr fontId="2"/>
  </si>
  <si>
    <t>CS7N-660MS-AG-2</t>
    <phoneticPr fontId="2"/>
  </si>
  <si>
    <t>CS7N-665MS</t>
    <phoneticPr fontId="2"/>
  </si>
  <si>
    <t>CS7N-685TB-AG</t>
    <phoneticPr fontId="2"/>
  </si>
  <si>
    <t>CS7N-685TB-AG-2</t>
    <phoneticPr fontId="2"/>
  </si>
  <si>
    <t>CS7N-690TB-AG</t>
    <phoneticPr fontId="2"/>
  </si>
  <si>
    <t>CS7N-690TB-AG-2</t>
    <phoneticPr fontId="2"/>
  </si>
  <si>
    <t>CS7N-695TB-AG</t>
    <phoneticPr fontId="2"/>
  </si>
  <si>
    <t>CS7N-695TB-AG-2</t>
    <phoneticPr fontId="2"/>
  </si>
  <si>
    <t>CS7N-700TB-AG</t>
    <phoneticPr fontId="1" type="noConversion"/>
  </si>
  <si>
    <t>CS7N-700TB-AG（両面）</t>
    <phoneticPr fontId="1" type="noConversion"/>
  </si>
  <si>
    <t>CS7N-705TB-AG</t>
    <phoneticPr fontId="1" type="noConversion"/>
  </si>
  <si>
    <t>CS7N-705TB-AG（両面）</t>
    <phoneticPr fontId="1" type="noConversion"/>
  </si>
  <si>
    <t>CS7N-710TB-AG</t>
    <phoneticPr fontId="1" type="noConversion"/>
  </si>
  <si>
    <t>CS7N-710TB-AG（両面）</t>
    <phoneticPr fontId="1" type="noConversion"/>
  </si>
  <si>
    <t>CS7N-715TB-AG</t>
    <phoneticPr fontId="1" type="noConversion"/>
  </si>
  <si>
    <t>CS7N-715TB-AG（両面）</t>
    <phoneticPr fontId="1" type="noConversion"/>
  </si>
  <si>
    <t>CS7N-720TB-AG</t>
    <phoneticPr fontId="1" type="noConversion"/>
  </si>
  <si>
    <t>CS7N-720TB-AG（両面）</t>
    <phoneticPr fontId="1" type="noConversion"/>
  </si>
  <si>
    <t>CS8L-380MS</t>
    <phoneticPr fontId="2"/>
  </si>
  <si>
    <t>CSJ_300</t>
  </si>
  <si>
    <t>CS-N244SJ03</t>
    <phoneticPr fontId="2"/>
  </si>
  <si>
    <t>CS-N245SJ03</t>
    <phoneticPr fontId="2"/>
  </si>
  <si>
    <t>CSP17-72H450W</t>
    <phoneticPr fontId="2"/>
  </si>
  <si>
    <t>CSP18-72H545W</t>
    <phoneticPr fontId="2"/>
  </si>
  <si>
    <t>DAS-LH132PA</t>
    <phoneticPr fontId="2"/>
  </si>
  <si>
    <t>DAS-LOJP</t>
    <phoneticPr fontId="2"/>
  </si>
  <si>
    <t>DE08-375</t>
    <phoneticPr fontId="2"/>
  </si>
  <si>
    <t>DE17-445</t>
    <phoneticPr fontId="2"/>
  </si>
  <si>
    <t>DE17-455</t>
    <phoneticPr fontId="2"/>
  </si>
  <si>
    <t>DE18-500</t>
    <phoneticPr fontId="2"/>
  </si>
  <si>
    <t>DE20-590</t>
    <phoneticPr fontId="2"/>
  </si>
  <si>
    <t>DHN-72R20/DG625</t>
    <phoneticPr fontId="1" type="noConversion"/>
  </si>
  <si>
    <t>DHN-72R20/DG625（両面）</t>
    <phoneticPr fontId="1" type="noConversion"/>
  </si>
  <si>
    <t>DHN-72X16/DG-590W</t>
    <phoneticPr fontId="1" type="noConversion"/>
  </si>
  <si>
    <t>DHN-72X16/DG-590W（両面）</t>
    <rPh sb="18" eb="20">
      <t>ﾘｮｳﾒﾝ</t>
    </rPh>
    <phoneticPr fontId="1" type="noConversion"/>
  </si>
  <si>
    <t>DM360M6-60HSW</t>
  </si>
  <si>
    <t>DM375M6-60HSW</t>
    <phoneticPr fontId="2"/>
  </si>
  <si>
    <t>DM405M10-54HSW</t>
    <phoneticPr fontId="1" type="noConversion"/>
  </si>
  <si>
    <t>DM410M10-B54HSW</t>
    <phoneticPr fontId="1" type="noConversion"/>
  </si>
  <si>
    <t>DM410M10-B54HSW-2</t>
    <phoneticPr fontId="1" type="noConversion"/>
  </si>
  <si>
    <t>DME_300</t>
  </si>
  <si>
    <t>DMM6-60MA-360D</t>
    <phoneticPr fontId="2"/>
  </si>
  <si>
    <t>DMM6-60PH-340M</t>
    <phoneticPr fontId="1" type="noConversion"/>
  </si>
  <si>
    <t>DMM6-60PH-350M</t>
    <phoneticPr fontId="2"/>
  </si>
  <si>
    <t>DMM6-60PH-375J</t>
    <phoneticPr fontId="1" type="noConversion"/>
  </si>
  <si>
    <t>DMM70-5MA-280N</t>
    <phoneticPr fontId="1" type="noConversion"/>
  </si>
  <si>
    <t>DMM70-5MA-280N　集電</t>
    <rPh sb="15" eb="17">
      <t>ｼｭｳﾃﾞﾝ</t>
    </rPh>
    <phoneticPr fontId="1" type="noConversion"/>
  </si>
  <si>
    <t>DMM8-60MA-375D</t>
    <phoneticPr fontId="1" type="noConversion"/>
  </si>
  <si>
    <t>DMM8-60MA-375D-2</t>
    <phoneticPr fontId="1" type="noConversion"/>
  </si>
  <si>
    <t>E-A*430</t>
    <phoneticPr fontId="2"/>
  </si>
  <si>
    <t>E-AH420</t>
    <phoneticPr fontId="1" type="noConversion"/>
  </si>
  <si>
    <t>EG-DH120P6-380</t>
    <phoneticPr fontId="2"/>
  </si>
  <si>
    <t>EG-HT-120N-320-正背面</t>
    <rPh sb="15" eb="16">
      <t>セイ</t>
    </rPh>
    <rPh sb="16" eb="18">
      <t>ハイメン</t>
    </rPh>
    <phoneticPr fontId="2"/>
  </si>
  <si>
    <t>EG-HT-120N-320-正面</t>
    <phoneticPr fontId="2"/>
  </si>
  <si>
    <t>ET_355</t>
  </si>
  <si>
    <t>fists_120</t>
  </si>
  <si>
    <t>Fists_435</t>
  </si>
  <si>
    <t>FS_115</t>
  </si>
  <si>
    <t>FS_6430</t>
    <phoneticPr fontId="2"/>
  </si>
  <si>
    <t>FS-6XXX-P / FS-6XXXA-P-445</t>
    <phoneticPr fontId="2"/>
  </si>
  <si>
    <t>GBP280G1-M</t>
    <phoneticPr fontId="2"/>
  </si>
  <si>
    <t>GBP300G1-M</t>
    <phoneticPr fontId="2"/>
  </si>
  <si>
    <t>GBP300G1-M（集電）</t>
    <phoneticPr fontId="2"/>
  </si>
  <si>
    <t>GCL_285-1</t>
    <phoneticPr fontId="2"/>
  </si>
  <si>
    <t>GCL_320</t>
  </si>
  <si>
    <t>GCL-M10/72GDF 540W</t>
    <phoneticPr fontId="2"/>
  </si>
  <si>
    <t>GCL-M10/72GDF-555W</t>
    <phoneticPr fontId="2"/>
  </si>
  <si>
    <t>GCL-M10/72GDF-555W-2</t>
    <phoneticPr fontId="2"/>
  </si>
  <si>
    <t>GCL-M10/72H 525</t>
    <phoneticPr fontId="2"/>
  </si>
  <si>
    <t>GCL-M10/72H 535W</t>
    <phoneticPr fontId="2"/>
  </si>
  <si>
    <t>GCL-M10/72H 535W-2</t>
    <phoneticPr fontId="2"/>
  </si>
  <si>
    <t>GCL-M10/72H 545W</t>
    <phoneticPr fontId="2"/>
  </si>
  <si>
    <t>GCL-M10/72H 550W</t>
    <phoneticPr fontId="2"/>
  </si>
  <si>
    <t>GCL-M10/72H 560</t>
    <phoneticPr fontId="2"/>
  </si>
  <si>
    <t xml:space="preserve">GCL-M12/60GDF 630 </t>
    <phoneticPr fontId="1" type="noConversion"/>
  </si>
  <si>
    <t>GCL-M12/60H 615W</t>
    <phoneticPr fontId="2"/>
  </si>
  <si>
    <t>GCL-M12-60H 600W</t>
    <phoneticPr fontId="2"/>
  </si>
  <si>
    <t>GCL-M12-66H 660W</t>
    <phoneticPr fontId="2"/>
  </si>
  <si>
    <t>GCL-M2/72H 405</t>
    <phoneticPr fontId="2"/>
  </si>
  <si>
    <t>GCL-M2/72H 410</t>
    <phoneticPr fontId="2"/>
  </si>
  <si>
    <t>GCL-M3/60H 340W</t>
    <phoneticPr fontId="2"/>
  </si>
  <si>
    <t>GCL-M3/72H 410</t>
    <phoneticPr fontId="2"/>
  </si>
  <si>
    <t>GCL-M3/72H400</t>
    <phoneticPr fontId="2"/>
  </si>
  <si>
    <t>GCL-M3/72H410</t>
    <phoneticPr fontId="2"/>
  </si>
  <si>
    <t>GCL-M8/60H 375W</t>
    <phoneticPr fontId="2"/>
  </si>
  <si>
    <t>GCL-M8/72H 420</t>
    <phoneticPr fontId="2"/>
  </si>
  <si>
    <t>GCL-M8/72H 455W</t>
    <phoneticPr fontId="2"/>
  </si>
  <si>
    <t>GCL-M8/72H420</t>
    <phoneticPr fontId="2"/>
  </si>
  <si>
    <t>GCL-M8/72H440</t>
    <phoneticPr fontId="2"/>
  </si>
  <si>
    <t>GCL-M8/72H445</t>
    <phoneticPr fontId="2"/>
  </si>
  <si>
    <t>GCL-M8-72H-455W</t>
    <phoneticPr fontId="2"/>
  </si>
  <si>
    <t>GCL-P3/60H 325</t>
    <phoneticPr fontId="2"/>
  </si>
  <si>
    <t>GCL-P3/72GDF400-2</t>
    <phoneticPr fontId="2"/>
  </si>
  <si>
    <t>GCL-P3/72GDF405-2</t>
    <phoneticPr fontId="2"/>
  </si>
  <si>
    <t>GCL-P6/72 335</t>
    <phoneticPr fontId="2"/>
  </si>
  <si>
    <t>GNB211</t>
    <phoneticPr fontId="2"/>
  </si>
  <si>
    <t>GreenTriplex_PM060M02(270)</t>
  </si>
  <si>
    <t>GreenTriplex_PM060M02(275)</t>
  </si>
  <si>
    <t>GreenTriplex_PM060M02(280)</t>
  </si>
  <si>
    <t>GreenTriplex_PM060M02(285)</t>
  </si>
  <si>
    <t>GreenTriplex_PM060M02(290)</t>
  </si>
  <si>
    <t>GreenTriplex_PM060M02(295)</t>
  </si>
  <si>
    <t>G-S2245</t>
    <phoneticPr fontId="2"/>
  </si>
  <si>
    <t>GW-E100A</t>
    <phoneticPr fontId="2"/>
  </si>
  <si>
    <t>HeliaSol® 436-2000-55</t>
    <phoneticPr fontId="2"/>
  </si>
  <si>
    <t>helisasol-55</t>
    <phoneticPr fontId="2"/>
  </si>
  <si>
    <t>HEM115PA</t>
    <phoneticPr fontId="1" type="noConversion"/>
  </si>
  <si>
    <t>HEM115PA（集電）</t>
    <phoneticPr fontId="1" type="noConversion"/>
  </si>
  <si>
    <t>HEM125PCA</t>
    <phoneticPr fontId="1" type="noConversion"/>
  </si>
  <si>
    <t>HEM125PSA</t>
    <phoneticPr fontId="1" type="noConversion"/>
  </si>
  <si>
    <t>HeneyMplus+_285</t>
    <phoneticPr fontId="2"/>
  </si>
  <si>
    <t>HIP-190N1</t>
    <phoneticPr fontId="2"/>
  </si>
  <si>
    <t>HIP-200B2</t>
    <phoneticPr fontId="2"/>
  </si>
  <si>
    <t>HIP-200BK1</t>
    <phoneticPr fontId="2"/>
  </si>
  <si>
    <t>HIP-210BKH1</t>
    <phoneticPr fontId="2"/>
  </si>
  <si>
    <t>HIP-210BKH5</t>
    <phoneticPr fontId="2"/>
  </si>
  <si>
    <t>HIP-210NKH5</t>
    <phoneticPr fontId="2"/>
  </si>
  <si>
    <t>HIP-215NKH5</t>
    <phoneticPr fontId="2"/>
  </si>
  <si>
    <t>HIP-F48B1</t>
    <phoneticPr fontId="2"/>
  </si>
  <si>
    <t>HIP-J50B1</t>
    <phoneticPr fontId="2"/>
  </si>
  <si>
    <t>HIPRO TP660M-300</t>
    <phoneticPr fontId="2"/>
  </si>
  <si>
    <t>HIS-S245MG</t>
    <phoneticPr fontId="1" type="noConversion"/>
  </si>
  <si>
    <t>HIS-S245MG-32</t>
    <phoneticPr fontId="1" type="noConversion"/>
  </si>
  <si>
    <t>HIS-S260MG</t>
    <phoneticPr fontId="2"/>
  </si>
  <si>
    <t>HIS-S290RG</t>
    <phoneticPr fontId="1" type="noConversion"/>
  </si>
  <si>
    <t>HIT-B205J-01</t>
    <phoneticPr fontId="2"/>
  </si>
  <si>
    <t>HLS 60S-250</t>
    <phoneticPr fontId="2"/>
  </si>
  <si>
    <t>HML660M-315PR</t>
    <phoneticPr fontId="2"/>
  </si>
  <si>
    <t>HMN-270-G8MH</t>
    <phoneticPr fontId="1" type="noConversion"/>
  </si>
  <si>
    <t>honey_270</t>
  </si>
  <si>
    <t>honey_280</t>
  </si>
  <si>
    <t>HR-255W</t>
    <phoneticPr fontId="2"/>
  </si>
  <si>
    <t>HS-210-B132-DS680</t>
    <phoneticPr fontId="1" type="noConversion"/>
  </si>
  <si>
    <t>HS-210-B132-DS680-2</t>
    <phoneticPr fontId="1" type="noConversion"/>
  </si>
  <si>
    <t>HSL-60P6-PB-1-245</t>
    <phoneticPr fontId="2"/>
  </si>
  <si>
    <t>HSL60P6-PC-1-250</t>
    <phoneticPr fontId="2"/>
  </si>
  <si>
    <t>HSL60P6-PC-1-260</t>
    <phoneticPr fontId="2"/>
  </si>
  <si>
    <t>HSL60P6-PC-1-260  接続箱</t>
    <rPh sb="18" eb="21">
      <t>セツゾクバコ</t>
    </rPh>
    <phoneticPr fontId="2"/>
  </si>
  <si>
    <t>HSL60P6-PC-1-270L</t>
    <phoneticPr fontId="2"/>
  </si>
  <si>
    <t>HSL72P6-PC-1-310</t>
    <phoneticPr fontId="1" type="noConversion"/>
  </si>
  <si>
    <t>HSL72P6-PC-1-310（集電）</t>
    <phoneticPr fontId="1" type="noConversion"/>
  </si>
  <si>
    <t>HSS-M255BC</t>
    <phoneticPr fontId="1" type="noConversion"/>
  </si>
  <si>
    <t>HT-300</t>
    <phoneticPr fontId="2"/>
  </si>
  <si>
    <t>HT60-156M/HT60-156(V)</t>
    <phoneticPr fontId="2"/>
  </si>
  <si>
    <t>HT60-156M/HT60-156M(V)</t>
    <phoneticPr fontId="2"/>
  </si>
  <si>
    <t>HT60-156M-300</t>
    <phoneticPr fontId="2"/>
  </si>
  <si>
    <t>HT60-156M-320</t>
    <phoneticPr fontId="2"/>
  </si>
  <si>
    <t>HT72-166M-445</t>
    <phoneticPr fontId="2"/>
  </si>
  <si>
    <t>HT72-166M-460</t>
    <phoneticPr fontId="2"/>
  </si>
  <si>
    <t>HT72-18X-545W</t>
    <phoneticPr fontId="2"/>
  </si>
  <si>
    <t>HTM380MH3-60</t>
    <phoneticPr fontId="2"/>
  </si>
  <si>
    <t>HTM545MH5-72</t>
    <phoneticPr fontId="2"/>
  </si>
  <si>
    <t>HTM575MH5-72NT</t>
    <phoneticPr fontId="2"/>
  </si>
  <si>
    <t>HTM-TSB-410MH2</t>
    <phoneticPr fontId="2"/>
  </si>
  <si>
    <t>HTM-TSB-440M2</t>
    <phoneticPr fontId="2"/>
  </si>
  <si>
    <t>HY6-6C-290M</t>
    <phoneticPr fontId="2"/>
  </si>
  <si>
    <t>I-AH250</t>
    <phoneticPr fontId="1" type="noConversion"/>
  </si>
  <si>
    <t>I-AH251-26</t>
    <phoneticPr fontId="1" type="noConversion"/>
  </si>
  <si>
    <t>I-AH260</t>
    <phoneticPr fontId="1" type="noConversion"/>
  </si>
  <si>
    <t>I-AH260（集電）</t>
    <phoneticPr fontId="1" type="noConversion"/>
  </si>
  <si>
    <t>IM60D3-255</t>
    <phoneticPr fontId="1" type="noConversion"/>
  </si>
  <si>
    <t>IM60D3-255（集電）</t>
    <rPh sb="11" eb="13">
      <t>ｼｭｳﾃﾞﾝ</t>
    </rPh>
    <phoneticPr fontId="1" type="noConversion"/>
  </si>
  <si>
    <t>JA_270</t>
  </si>
  <si>
    <t>JA_270_2</t>
    <phoneticPr fontId="2"/>
  </si>
  <si>
    <t>JA_275</t>
    <phoneticPr fontId="2"/>
  </si>
  <si>
    <t>JA_290</t>
  </si>
  <si>
    <t>JA_295</t>
  </si>
  <si>
    <t>JA_310</t>
  </si>
  <si>
    <t>JA_315</t>
  </si>
  <si>
    <t>JA_325</t>
  </si>
  <si>
    <t>JA_360</t>
    <phoneticPr fontId="2"/>
  </si>
  <si>
    <t>JA_370</t>
    <phoneticPr fontId="2"/>
  </si>
  <si>
    <t>JAM_360</t>
  </si>
  <si>
    <t>JAM42D30-535/MB</t>
    <phoneticPr fontId="2"/>
  </si>
  <si>
    <t>JAM-540</t>
    <phoneticPr fontId="2"/>
  </si>
  <si>
    <t>JAM-540-2</t>
    <phoneticPr fontId="2"/>
  </si>
  <si>
    <t>JAM54S30 405/MR</t>
    <phoneticPr fontId="2"/>
  </si>
  <si>
    <t>JAM54S30-410/MR</t>
    <phoneticPr fontId="2"/>
  </si>
  <si>
    <t>JAM6(K)-60-300/PR</t>
    <phoneticPr fontId="2"/>
  </si>
  <si>
    <t>JAM60D20-385/MB</t>
    <phoneticPr fontId="2"/>
  </si>
  <si>
    <t>JAM60D20-385/MB-2</t>
    <phoneticPr fontId="2"/>
  </si>
  <si>
    <t>JAM60S01-315/PR</t>
    <phoneticPr fontId="2"/>
  </si>
  <si>
    <t>JAM60S01-320/PR</t>
    <phoneticPr fontId="2"/>
  </si>
  <si>
    <t>JAM60S09-320/PR</t>
    <phoneticPr fontId="2"/>
  </si>
  <si>
    <t>JAM60S09-325/PR</t>
    <phoneticPr fontId="2"/>
  </si>
  <si>
    <t>JAM60S10 340/MR</t>
    <phoneticPr fontId="2"/>
  </si>
  <si>
    <t>JAM60S10-340/MR</t>
    <phoneticPr fontId="2"/>
  </si>
  <si>
    <t>JAM60S10-340/PR</t>
    <phoneticPr fontId="2"/>
  </si>
  <si>
    <t>JAM60S10-345/MR</t>
    <phoneticPr fontId="2"/>
  </si>
  <si>
    <t>JAM60S20-380/MR</t>
    <phoneticPr fontId="2"/>
  </si>
  <si>
    <t>JAM60S20-385/MR</t>
    <phoneticPr fontId="2"/>
  </si>
  <si>
    <t>JAM60S20-390/MR</t>
    <phoneticPr fontId="2"/>
  </si>
  <si>
    <t>JAM66D42-585/MB</t>
    <phoneticPr fontId="2"/>
  </si>
  <si>
    <t>JAM66D42-585/MB-両面</t>
    <rPh sb="16" eb="18">
      <t>リョウメン</t>
    </rPh>
    <phoneticPr fontId="2"/>
  </si>
  <si>
    <t>JAM66D45-615/LB</t>
    <phoneticPr fontId="1" type="noConversion"/>
  </si>
  <si>
    <t>JAM66D45-615/LB（両面）</t>
    <rPh sb="16" eb="18">
      <t>ﾘｮｳﾒﾝ</t>
    </rPh>
    <phoneticPr fontId="1" type="noConversion"/>
  </si>
  <si>
    <t>JAM66D45-620/LB</t>
    <phoneticPr fontId="1" type="noConversion"/>
  </si>
  <si>
    <t>JAM66D45-620/LB（両面）</t>
    <rPh sb="16" eb="18">
      <t>ﾘｮｳﾒﾝ</t>
    </rPh>
    <phoneticPr fontId="1" type="noConversion"/>
  </si>
  <si>
    <t>JAM72D30 540/MB</t>
    <phoneticPr fontId="2"/>
  </si>
  <si>
    <t>JAM72D30 540/MB-2</t>
    <phoneticPr fontId="2"/>
  </si>
  <si>
    <t>JAM72D30 545/MB</t>
    <phoneticPr fontId="2"/>
  </si>
  <si>
    <t>JAM72D30 545/MB-2</t>
    <phoneticPr fontId="2"/>
  </si>
  <si>
    <t>JAM72D30 550/MB</t>
    <phoneticPr fontId="2"/>
  </si>
  <si>
    <t>JAM72D30-535/MB</t>
    <phoneticPr fontId="2"/>
  </si>
  <si>
    <t>JAM72D30-535/MB-2</t>
    <phoneticPr fontId="2"/>
  </si>
  <si>
    <t>JAM72D30-540/MB</t>
    <phoneticPr fontId="2"/>
  </si>
  <si>
    <t>JAM72D30-540/MB-2</t>
    <phoneticPr fontId="2"/>
  </si>
  <si>
    <t>JAM72D30-550/GB</t>
  </si>
  <si>
    <t>JAM72D30-550/GB-2</t>
    <phoneticPr fontId="1" type="noConversion"/>
  </si>
  <si>
    <t>JAM72D30-550/MB</t>
    <phoneticPr fontId="2"/>
  </si>
  <si>
    <t>JAM72D30-550/MB-2</t>
    <phoneticPr fontId="2"/>
  </si>
  <si>
    <t>JAM72D40-570/GB</t>
    <phoneticPr fontId="2"/>
  </si>
  <si>
    <t>JAM72D40-570/GB-2</t>
    <phoneticPr fontId="2"/>
  </si>
  <si>
    <t>JAM72D42-620/LB</t>
    <phoneticPr fontId="1" type="noConversion"/>
  </si>
  <si>
    <t>JAM72D42-620/LB-両面</t>
    <rPh sb="16" eb="18">
      <t>ﾘｮｳﾒﾝ</t>
    </rPh>
    <phoneticPr fontId="1" type="noConversion"/>
  </si>
  <si>
    <t>JAM72D42-625/LB</t>
    <phoneticPr fontId="1" type="noConversion"/>
  </si>
  <si>
    <t>JAM72D42-625/LB-2</t>
    <phoneticPr fontId="1" type="noConversion"/>
  </si>
  <si>
    <t>JAM72D42-630/LB</t>
    <phoneticPr fontId="1" type="noConversion"/>
  </si>
  <si>
    <t>JAM72D42-630/LB-2</t>
    <phoneticPr fontId="1" type="noConversion"/>
  </si>
  <si>
    <t>JAM72S01-370/PR</t>
    <phoneticPr fontId="2"/>
  </si>
  <si>
    <t>JAM72S01-385/PR</t>
    <phoneticPr fontId="2"/>
  </si>
  <si>
    <t>JAM72S03-380/PR</t>
    <phoneticPr fontId="2"/>
  </si>
  <si>
    <t>JAM72S09-390/PR</t>
    <phoneticPr fontId="2"/>
  </si>
  <si>
    <t>JAM72S10 420/MR</t>
    <phoneticPr fontId="2"/>
  </si>
  <si>
    <t>JAM72S10 420/MR-2</t>
    <phoneticPr fontId="2"/>
  </si>
  <si>
    <t>JAM72S10-400/MR</t>
    <phoneticPr fontId="2"/>
  </si>
  <si>
    <t>JAM72S10-405/MR</t>
    <phoneticPr fontId="2"/>
  </si>
  <si>
    <t>JAM72S10-415/MR</t>
    <phoneticPr fontId="2"/>
  </si>
  <si>
    <t>JAM72S20 460/MR</t>
    <phoneticPr fontId="2"/>
  </si>
  <si>
    <t>JAM72S20-445/MR</t>
    <phoneticPr fontId="2"/>
  </si>
  <si>
    <t>JAM72S20-455/MR/1000V</t>
    <phoneticPr fontId="2"/>
  </si>
  <si>
    <t>JAM72S20-460/MB</t>
    <phoneticPr fontId="2"/>
  </si>
  <si>
    <t>JAM72S20-460/MB-2</t>
    <phoneticPr fontId="2"/>
  </si>
  <si>
    <t>JAM72S20-460/MR</t>
    <phoneticPr fontId="2"/>
  </si>
  <si>
    <t>JAM72S20-460/MR-old</t>
    <phoneticPr fontId="2"/>
  </si>
  <si>
    <t>JAM72S30 540/MR</t>
    <phoneticPr fontId="2"/>
  </si>
  <si>
    <t>JAM72S30 540/MR-1.1</t>
    <phoneticPr fontId="2"/>
  </si>
  <si>
    <t>JAM72S30 545/MR</t>
  </si>
  <si>
    <t>JAM72S30 550/MR</t>
    <phoneticPr fontId="2"/>
  </si>
  <si>
    <t>JAM72S30-530/MR</t>
    <phoneticPr fontId="2"/>
  </si>
  <si>
    <t>JAM72S30-540/MR</t>
    <phoneticPr fontId="2"/>
  </si>
  <si>
    <t>JAM72S30-545/MR</t>
    <phoneticPr fontId="2"/>
  </si>
  <si>
    <t>JAM72S30-550/MR</t>
    <phoneticPr fontId="2"/>
  </si>
  <si>
    <t>JAM72S30-570/MR</t>
    <phoneticPr fontId="2"/>
  </si>
  <si>
    <t>JAM760S10-335/PR</t>
    <phoneticPr fontId="2"/>
  </si>
  <si>
    <t>JAM78D30-585/MB</t>
    <phoneticPr fontId="2"/>
  </si>
  <si>
    <t>JAM78D30-585/MB-2</t>
    <phoneticPr fontId="2"/>
  </si>
  <si>
    <t>JAM78D30-590/MB</t>
    <phoneticPr fontId="2"/>
  </si>
  <si>
    <t>JAM78D30-590/MB-2</t>
    <phoneticPr fontId="2"/>
  </si>
  <si>
    <t>JAM78D40-625/GB</t>
    <phoneticPr fontId="2"/>
  </si>
  <si>
    <t>JAM78S10 445/MR</t>
    <phoneticPr fontId="2"/>
  </si>
  <si>
    <t>JAM78S10-435/MR</t>
    <phoneticPr fontId="2"/>
  </si>
  <si>
    <t>JAP660-250/3BB</t>
    <phoneticPr fontId="2"/>
  </si>
  <si>
    <t>JAP660-250/3BB（集電）</t>
    <phoneticPr fontId="2"/>
  </si>
  <si>
    <t>JAP72s01-330/SC</t>
    <phoneticPr fontId="2"/>
  </si>
  <si>
    <t>JASR_315</t>
    <phoneticPr fontId="2"/>
  </si>
  <si>
    <t>J-AV350</t>
    <phoneticPr fontId="1" type="noConversion"/>
  </si>
  <si>
    <t>J-AV350（集電）</t>
    <rPh sb="8" eb="10">
      <t>ｼｭｳﾃﾞﾝ</t>
    </rPh>
    <phoneticPr fontId="1" type="noConversion"/>
  </si>
  <si>
    <t>JC250M-24/Bb</t>
    <phoneticPr fontId="2"/>
  </si>
  <si>
    <t>JC260M-24/Bbs</t>
    <phoneticPr fontId="2"/>
  </si>
  <si>
    <t>JCLP6_330</t>
    <phoneticPr fontId="2"/>
  </si>
  <si>
    <t>JINK_JKM370</t>
    <phoneticPr fontId="2"/>
  </si>
  <si>
    <t>Jinko_305</t>
  </si>
  <si>
    <t>Jinko_305-1</t>
    <phoneticPr fontId="2"/>
  </si>
  <si>
    <t>Jinko_310</t>
    <phoneticPr fontId="2"/>
  </si>
  <si>
    <t>Jinko_330</t>
  </si>
  <si>
    <t>jinko_340</t>
  </si>
  <si>
    <t>Jinko_390-1</t>
    <phoneticPr fontId="2"/>
  </si>
  <si>
    <t>JinKo_JKM255PP-60-J(NOCT)</t>
  </si>
  <si>
    <t>JinKo_JKM255PP-60-J(STC)</t>
  </si>
  <si>
    <t>JinKo_JKM260PP-60-J(NOCT)</t>
  </si>
  <si>
    <t>JinKo_JKM260PP-60-J(STC)</t>
  </si>
  <si>
    <t>JinKo_JKM265PP-60-J(NOCT)</t>
  </si>
  <si>
    <t>JinKo_JKM265PP-60-J(STC)</t>
    <phoneticPr fontId="1" type="noConversion"/>
  </si>
  <si>
    <t>JinKo_JKM265PP-60-J(STC)（集電）</t>
    <phoneticPr fontId="1" type="noConversion"/>
  </si>
  <si>
    <t>JinKo_JKM270PP-60-J(NOCT)</t>
  </si>
  <si>
    <t>JinKo_JKM270PP-60-J(STC)</t>
  </si>
  <si>
    <t>JinKo_JKM275PP-60-J(NOCT)</t>
  </si>
  <si>
    <t>JinKo_JKM275PP-60-J(STC)</t>
  </si>
  <si>
    <t>JinKo_JKM285(China)</t>
  </si>
  <si>
    <t>JinKo_JKM310PP(Plus)(NOCT)</t>
  </si>
  <si>
    <t>JinKo_JKM310PP(Plus)(STC)</t>
  </si>
  <si>
    <t>JinKo_JKM315PP(Plus)(NOCT)</t>
  </si>
  <si>
    <t>JinKo_JKM315PP(Plus)(STC)</t>
  </si>
  <si>
    <t>JinKo_JKM320PP(Plus)(NOCT)</t>
  </si>
  <si>
    <t>JinKo_JKM320PP(Plus)(STC)</t>
  </si>
  <si>
    <t>JinKo_JKM325PP(Plus)(NOCT)</t>
  </si>
  <si>
    <t>JinKo_JKM325PP(Plus)(STC)</t>
    <phoneticPr fontId="1" type="noConversion"/>
  </si>
  <si>
    <t>Jinko144_380</t>
    <phoneticPr fontId="2"/>
  </si>
  <si>
    <t>JKM_275</t>
  </si>
  <si>
    <t>JKM_275-2</t>
    <phoneticPr fontId="2"/>
  </si>
  <si>
    <t>JKM_280_1</t>
    <phoneticPr fontId="2"/>
  </si>
  <si>
    <t>JKM_310</t>
  </si>
  <si>
    <t>JKM_315</t>
  </si>
  <si>
    <t>JKM_315_1</t>
    <phoneticPr fontId="2"/>
  </si>
  <si>
    <t>JKM_315_2</t>
    <phoneticPr fontId="2"/>
  </si>
  <si>
    <t>JKM_320</t>
    <phoneticPr fontId="2"/>
  </si>
  <si>
    <t>JKM_320_2</t>
    <phoneticPr fontId="2"/>
  </si>
  <si>
    <t>JKM_320_3</t>
    <phoneticPr fontId="2"/>
  </si>
  <si>
    <t>JKM_330</t>
    <phoneticPr fontId="2"/>
  </si>
  <si>
    <t>JKM_335-1</t>
    <phoneticPr fontId="2"/>
  </si>
  <si>
    <t>JKM_340</t>
  </si>
  <si>
    <t>JKM_340M-72</t>
    <phoneticPr fontId="2"/>
  </si>
  <si>
    <t>JKM_355</t>
    <phoneticPr fontId="2"/>
  </si>
  <si>
    <t>JKM_370-2</t>
    <phoneticPr fontId="2"/>
  </si>
  <si>
    <t>JKM_400</t>
    <phoneticPr fontId="2"/>
  </si>
  <si>
    <t>JKM235-240N</t>
    <phoneticPr fontId="1" type="noConversion"/>
  </si>
  <si>
    <t>JKM260P-60</t>
    <phoneticPr fontId="1" type="noConversion"/>
  </si>
  <si>
    <t>JKM260P-60（集電）</t>
    <rPh sb="11" eb="13">
      <t>ｼｭｳﾃﾞﾝ</t>
    </rPh>
    <phoneticPr fontId="1" type="noConversion"/>
  </si>
  <si>
    <t>JKM285PP-60H</t>
    <phoneticPr fontId="2"/>
  </si>
  <si>
    <t>JKM290M-60-J</t>
    <phoneticPr fontId="2"/>
  </si>
  <si>
    <t>JKM305M-60-J</t>
    <phoneticPr fontId="2"/>
  </si>
  <si>
    <t>JKM310M-60-J</t>
    <phoneticPr fontId="2"/>
  </si>
  <si>
    <t>JKM310PP-72-J</t>
    <phoneticPr fontId="2"/>
  </si>
  <si>
    <t>JKM325M-60H</t>
    <phoneticPr fontId="2"/>
  </si>
  <si>
    <t>JKM-330-1</t>
    <phoneticPr fontId="2"/>
  </si>
  <si>
    <t>JKM330M-60H</t>
    <phoneticPr fontId="2"/>
  </si>
  <si>
    <t>JKM330M-60H-2</t>
    <phoneticPr fontId="2"/>
  </si>
  <si>
    <t>JKM330M-60H-3</t>
    <phoneticPr fontId="2"/>
  </si>
  <si>
    <t>JKM330M-60H-TV</t>
    <phoneticPr fontId="2"/>
  </si>
  <si>
    <t>JKM330M-60H-TV-2</t>
    <phoneticPr fontId="2"/>
  </si>
  <si>
    <t>JKM330PP-72-J</t>
    <phoneticPr fontId="2"/>
  </si>
  <si>
    <t>JKM335M-60H</t>
    <phoneticPr fontId="2"/>
  </si>
  <si>
    <t>JKM335M-60H-1</t>
    <phoneticPr fontId="2"/>
  </si>
  <si>
    <t>JKM335M-60H-TV</t>
    <phoneticPr fontId="2"/>
  </si>
  <si>
    <t>JKM335M-60H-TV-2</t>
    <phoneticPr fontId="2"/>
  </si>
  <si>
    <t>JKM335M-60H-V</t>
    <phoneticPr fontId="2"/>
  </si>
  <si>
    <t>JKM340M-60H</t>
    <phoneticPr fontId="2"/>
  </si>
  <si>
    <t>JKM340M-60H-1</t>
    <phoneticPr fontId="2"/>
  </si>
  <si>
    <t>JKM340M-60H-test</t>
    <phoneticPr fontId="2"/>
  </si>
  <si>
    <t>JKM340M-60H-V</t>
    <phoneticPr fontId="2"/>
  </si>
  <si>
    <t>JKM340M-60H-V-2</t>
    <phoneticPr fontId="2"/>
  </si>
  <si>
    <t>JKM340M-J</t>
    <phoneticPr fontId="2"/>
  </si>
  <si>
    <t>JKM345M-60H</t>
    <phoneticPr fontId="2"/>
  </si>
  <si>
    <t>JKM345M-60H-V</t>
    <phoneticPr fontId="2"/>
  </si>
  <si>
    <t>JKM370M-72H</t>
    <phoneticPr fontId="2"/>
  </si>
  <si>
    <t>JKM370M-72-J</t>
    <phoneticPr fontId="2"/>
  </si>
  <si>
    <t>JKM-375-1</t>
    <phoneticPr fontId="2"/>
  </si>
  <si>
    <t>JKM-385-2</t>
    <phoneticPr fontId="2"/>
  </si>
  <si>
    <t>JKM385M-6RL3</t>
    <phoneticPr fontId="2"/>
  </si>
  <si>
    <t>JKM385M-6RL3-B</t>
    <phoneticPr fontId="2"/>
  </si>
  <si>
    <t>JKM385M-72H-TV</t>
    <phoneticPr fontId="2"/>
  </si>
  <si>
    <t>JKM385M-72H-TV-2</t>
    <phoneticPr fontId="2"/>
  </si>
  <si>
    <t>JKM390M-6RL3-TV-J</t>
    <phoneticPr fontId="2"/>
  </si>
  <si>
    <t>JKM390M-72</t>
    <phoneticPr fontId="2"/>
  </si>
  <si>
    <t>JKM390M-72-2</t>
    <phoneticPr fontId="2"/>
  </si>
  <si>
    <t>JKM-390M-72H</t>
    <phoneticPr fontId="2"/>
  </si>
  <si>
    <t>JKM390N-6RJ3-TV-J</t>
    <phoneticPr fontId="2"/>
  </si>
  <si>
    <t>JKM390N-6RJ3-TV-J-2</t>
    <phoneticPr fontId="2"/>
  </si>
  <si>
    <t>JKM395-6RL3-V</t>
    <phoneticPr fontId="2"/>
  </si>
  <si>
    <t>JKM395M-6RL3-J</t>
    <phoneticPr fontId="2"/>
  </si>
  <si>
    <t>JKM395M-6RL3-TV-J</t>
    <phoneticPr fontId="2"/>
  </si>
  <si>
    <t>JKM395M-6RL3-V-J</t>
    <phoneticPr fontId="2"/>
  </si>
  <si>
    <t>JKM395M-6RL3-V-J-0.9</t>
    <phoneticPr fontId="2"/>
  </si>
  <si>
    <t>JKM395N-6RL3</t>
    <phoneticPr fontId="2"/>
  </si>
  <si>
    <t>JKM395N-6RL3-J</t>
    <phoneticPr fontId="2"/>
  </si>
  <si>
    <t>JKM395N-6RL3-TV-J</t>
    <phoneticPr fontId="2"/>
  </si>
  <si>
    <t>JKM395N-6RL3-TV-J-2</t>
    <phoneticPr fontId="2"/>
  </si>
  <si>
    <t>JKM400M-6RL3-J</t>
    <phoneticPr fontId="2"/>
  </si>
  <si>
    <t>JKM400M-72H</t>
    <phoneticPr fontId="2"/>
  </si>
  <si>
    <t>JKM405M-54HL4-V</t>
    <phoneticPr fontId="2"/>
  </si>
  <si>
    <t>JKM405M-72H</t>
    <phoneticPr fontId="2"/>
  </si>
  <si>
    <t>JKM405M-72H-V</t>
    <phoneticPr fontId="2"/>
  </si>
  <si>
    <t>JKM410-72H</t>
    <phoneticPr fontId="2"/>
  </si>
  <si>
    <t>JKM410M-72H</t>
    <phoneticPr fontId="2"/>
  </si>
  <si>
    <t>JKM410M-72H-V</t>
    <phoneticPr fontId="2"/>
  </si>
  <si>
    <t>JKM410M-72H-V-1.1</t>
    <phoneticPr fontId="2"/>
  </si>
  <si>
    <t>JKM415M-72H-V</t>
    <phoneticPr fontId="2"/>
  </si>
  <si>
    <t>JKM415M-72H-V-1.1</t>
    <phoneticPr fontId="2"/>
  </si>
  <si>
    <t>JKM440M-60HL4-V</t>
    <phoneticPr fontId="2"/>
  </si>
  <si>
    <t>JKM440M-7RL3-V</t>
    <phoneticPr fontId="2"/>
  </si>
  <si>
    <t>JKM445M-7RL3-TV-J</t>
  </si>
  <si>
    <t>JKM445M-7RL3-TV-J-2</t>
    <phoneticPr fontId="2"/>
  </si>
  <si>
    <t>JKM445N-54HL4R</t>
    <phoneticPr fontId="2"/>
  </si>
  <si>
    <t>JKM450-7RL3-TV-J</t>
    <phoneticPr fontId="2"/>
  </si>
  <si>
    <t>JKM450M-60HL4</t>
    <phoneticPr fontId="2"/>
  </si>
  <si>
    <t>JKM455-60HL4-V</t>
  </si>
  <si>
    <t>JKM455M-60HL4-V</t>
  </si>
  <si>
    <t>JKM455M-7RL3-J</t>
    <phoneticPr fontId="2"/>
  </si>
  <si>
    <t>JKM460M-60HL4-V</t>
    <phoneticPr fontId="2"/>
  </si>
  <si>
    <t>JKM460M-7RL3-J</t>
    <phoneticPr fontId="2"/>
  </si>
  <si>
    <t>JKM460M-7RL3-J-0.9</t>
    <phoneticPr fontId="2"/>
  </si>
  <si>
    <t>JKM460M-7RL3-TV-J</t>
    <phoneticPr fontId="2"/>
  </si>
  <si>
    <t>JKM465-7RL3-V-J</t>
    <phoneticPr fontId="2"/>
  </si>
  <si>
    <t>JKM465M-60HL4-V</t>
    <phoneticPr fontId="2"/>
  </si>
  <si>
    <t>JKM465M-7RL3-J</t>
    <phoneticPr fontId="2"/>
  </si>
  <si>
    <t>JKM465M-7RL3-TV-J</t>
    <phoneticPr fontId="2"/>
  </si>
  <si>
    <t>JKM465M-7RL3-TV-J-2</t>
    <phoneticPr fontId="2"/>
  </si>
  <si>
    <t>JKM465M-7RL3-V-J</t>
    <phoneticPr fontId="2"/>
  </si>
  <si>
    <t>JKM470-7RL3-J</t>
    <phoneticPr fontId="2"/>
  </si>
  <si>
    <t>JKM470M-7RL3-J</t>
    <phoneticPr fontId="2"/>
  </si>
  <si>
    <t>JKM470M-7RL3-V-J</t>
    <phoneticPr fontId="2"/>
  </si>
  <si>
    <t>JKM475M-7RL3-J</t>
    <phoneticPr fontId="2"/>
  </si>
  <si>
    <t>JKM475M-7RL3V-J</t>
    <phoneticPr fontId="2"/>
  </si>
  <si>
    <t>JKM475N-60HL4-V</t>
    <phoneticPr fontId="2"/>
  </si>
  <si>
    <t>JKM480N-60HL4R-V</t>
    <phoneticPr fontId="2"/>
  </si>
  <si>
    <t>JKM480N-60HL4-V</t>
    <phoneticPr fontId="2"/>
  </si>
  <si>
    <t>JKM485N-60HL4-V</t>
    <phoneticPr fontId="2"/>
  </si>
  <si>
    <t>JKM490N-60HL4R-V</t>
    <phoneticPr fontId="2"/>
  </si>
  <si>
    <t>JKM490N-60HL4R-V 電流0.86</t>
    <rPh sb="17" eb="19">
      <t>デンリュウ</t>
    </rPh>
    <phoneticPr fontId="2"/>
  </si>
  <si>
    <t>JKM515M-7TL4-TV-1</t>
    <phoneticPr fontId="2"/>
  </si>
  <si>
    <t>JKM515M-7TL4-TV-2</t>
    <phoneticPr fontId="2"/>
  </si>
  <si>
    <t>JKM520M-7TL4-TV-J</t>
    <phoneticPr fontId="2"/>
  </si>
  <si>
    <t>JKM520M-7TL4-TV-J-2</t>
    <phoneticPr fontId="2"/>
  </si>
  <si>
    <t>JKM520M-7TL4-V</t>
    <phoneticPr fontId="2"/>
  </si>
  <si>
    <t>JKM525M-72HL4-BDVP</t>
    <phoneticPr fontId="2"/>
  </si>
  <si>
    <t>JKM525M-72HL4-BDVP-2</t>
    <phoneticPr fontId="2"/>
  </si>
  <si>
    <t>JKM525M-7TL4-TV-1</t>
    <phoneticPr fontId="2"/>
  </si>
  <si>
    <t>JKM525M-7TL4-TV-2</t>
    <phoneticPr fontId="2"/>
  </si>
  <si>
    <t>JKM525M-7TL4-V</t>
    <phoneticPr fontId="2"/>
  </si>
  <si>
    <t>JKM525M-7TL4-V-J</t>
    <phoneticPr fontId="2"/>
  </si>
  <si>
    <t>JKM530M-72HL4-BDVP</t>
    <phoneticPr fontId="2"/>
  </si>
  <si>
    <t>JKM530M-72HL4-BDVP-2</t>
    <phoneticPr fontId="2"/>
  </si>
  <si>
    <t>JKM530M-72HL4-TV</t>
    <phoneticPr fontId="2"/>
  </si>
  <si>
    <t>JKM530M-72HL4-TV-2</t>
    <phoneticPr fontId="2"/>
  </si>
  <si>
    <t>JKM530M-72HL4-TV-3</t>
    <phoneticPr fontId="2"/>
  </si>
  <si>
    <t>JKM530M-72HL4-V</t>
    <phoneticPr fontId="2"/>
  </si>
  <si>
    <t>JKM530M-7TL4-V</t>
    <phoneticPr fontId="2"/>
  </si>
  <si>
    <t>JKM535M-72HL4-TV</t>
    <phoneticPr fontId="2"/>
  </si>
  <si>
    <t>JKM535M-72HL4-TV-2</t>
    <phoneticPr fontId="2"/>
  </si>
  <si>
    <t>JKM535M-72HL4-V</t>
    <phoneticPr fontId="2"/>
  </si>
  <si>
    <t>JKM540M-72HL4-BDVP</t>
  </si>
  <si>
    <t>JKM540M-72HL4-BDVP-2</t>
    <phoneticPr fontId="2"/>
  </si>
  <si>
    <t>JKM540M-72HL4-TV</t>
    <phoneticPr fontId="2"/>
  </si>
  <si>
    <t>JKM540M-72HL4-TV-2</t>
    <phoneticPr fontId="2"/>
  </si>
  <si>
    <t>JKM540M-72HL4-V</t>
    <phoneticPr fontId="2"/>
  </si>
  <si>
    <t>JKM540M-72HL4-V-2</t>
    <phoneticPr fontId="2"/>
  </si>
  <si>
    <t>JKM545M-72HL4-BDVP</t>
    <phoneticPr fontId="2"/>
  </si>
  <si>
    <t>JKM545M-72HL4-BDVP-2</t>
    <phoneticPr fontId="2"/>
  </si>
  <si>
    <t>JKM545M-72HL4-BDVP-J</t>
    <phoneticPr fontId="2"/>
  </si>
  <si>
    <t>JKM545M-72HL4-BDVP-J-2</t>
    <phoneticPr fontId="2"/>
  </si>
  <si>
    <t>JKM545M-72HL4-V</t>
    <phoneticPr fontId="2"/>
  </si>
  <si>
    <t>JKM550M-72HL4-V</t>
    <phoneticPr fontId="2"/>
  </si>
  <si>
    <t>JKM555N-72HL4-V</t>
    <phoneticPr fontId="2"/>
  </si>
  <si>
    <t>JKM560M-7RL4-TV</t>
    <phoneticPr fontId="2"/>
  </si>
  <si>
    <t>JKM560N-72HL4-BDV</t>
    <phoneticPr fontId="2"/>
  </si>
  <si>
    <t>JKM560N-72HL4-BDV-2</t>
    <phoneticPr fontId="2"/>
  </si>
  <si>
    <t>JKM560N-72HL4-V</t>
    <phoneticPr fontId="2"/>
  </si>
  <si>
    <t>JKM560N-7RL4-TV-2</t>
    <phoneticPr fontId="2"/>
  </si>
  <si>
    <t>JKM560N-7RL4-V</t>
    <phoneticPr fontId="2"/>
  </si>
  <si>
    <t>JKM565-72HL4-V</t>
    <phoneticPr fontId="2"/>
  </si>
  <si>
    <t>JKM565M-7RL4-TV-1</t>
    <phoneticPr fontId="2"/>
  </si>
  <si>
    <t>JKM565M-7RL4-TV-2</t>
    <phoneticPr fontId="2"/>
  </si>
  <si>
    <t>JKM565M-7RL4-V-J</t>
    <phoneticPr fontId="2"/>
  </si>
  <si>
    <t>JKM565N-72HL4-BDV</t>
    <phoneticPr fontId="2"/>
  </si>
  <si>
    <t>JKM565N-72HL4-BDV-2</t>
    <phoneticPr fontId="2"/>
  </si>
  <si>
    <t>JKM565N-72HL4-V</t>
    <phoneticPr fontId="2"/>
  </si>
  <si>
    <t>JKM570M-7RL4-TV-1</t>
    <phoneticPr fontId="2"/>
  </si>
  <si>
    <t>JKM570M-7RL4-TV-2</t>
    <phoneticPr fontId="2"/>
  </si>
  <si>
    <t>JKM570M-7RL4-V-J</t>
    <phoneticPr fontId="2"/>
  </si>
  <si>
    <t>JKM570N-72HL4-BDV</t>
    <phoneticPr fontId="2"/>
  </si>
  <si>
    <t>JKM570N-72HL4-BDV-2</t>
    <phoneticPr fontId="2"/>
  </si>
  <si>
    <t>JKM570N-72HL4-V</t>
    <phoneticPr fontId="2"/>
  </si>
  <si>
    <t>JKM575M-7RL4-V</t>
    <phoneticPr fontId="2"/>
  </si>
  <si>
    <t>JKM575N-72HL4-BDV</t>
    <phoneticPr fontId="2"/>
  </si>
  <si>
    <t>JKM575N-72HL4-BDV-2</t>
    <phoneticPr fontId="2"/>
  </si>
  <si>
    <t>JKM575N-72HL4-V</t>
    <phoneticPr fontId="2"/>
  </si>
  <si>
    <t>JKM580M-7RL4-V</t>
    <phoneticPr fontId="2"/>
  </si>
  <si>
    <t>JKM580N-72HL4-BDV</t>
    <phoneticPr fontId="2"/>
  </si>
  <si>
    <t>JKM580N-72HL4-BDV-2</t>
    <phoneticPr fontId="2"/>
  </si>
  <si>
    <t>JKM580N-72HL4-V</t>
    <phoneticPr fontId="2"/>
  </si>
  <si>
    <t>JKM585M-7RL4-V-J</t>
    <phoneticPr fontId="2"/>
  </si>
  <si>
    <t>JKM585N-72HL4-BDV</t>
    <phoneticPr fontId="2"/>
  </si>
  <si>
    <t>JKM585N-72HL4-BDV-2</t>
    <phoneticPr fontId="2"/>
  </si>
  <si>
    <t>JKM585N-72HL4-V</t>
    <phoneticPr fontId="2"/>
  </si>
  <si>
    <t>JKM590M-72HL4-V</t>
    <phoneticPr fontId="1" type="noConversion"/>
  </si>
  <si>
    <t>JKM590N-72HL4-V</t>
    <phoneticPr fontId="2"/>
  </si>
  <si>
    <t>JKM595N-72HL4-V</t>
    <phoneticPr fontId="2"/>
  </si>
  <si>
    <t>JKM595N-78HL4-BDV</t>
    <phoneticPr fontId="2"/>
  </si>
  <si>
    <t>JKM595N-78HL4-BDV-2</t>
    <phoneticPr fontId="2"/>
  </si>
  <si>
    <t>JKM6 N-78HL4-J</t>
  </si>
  <si>
    <t>JKM600N-72HL4-BDV</t>
    <phoneticPr fontId="2"/>
  </si>
  <si>
    <t>JKM600N-72HL4-BDV（両面）</t>
    <rPh sb="18" eb="20">
      <t>ﾘｮｳﾒﾝ</t>
    </rPh>
    <phoneticPr fontId="1" type="noConversion"/>
  </si>
  <si>
    <t>JKM600N-72HL4-V</t>
    <phoneticPr fontId="2"/>
  </si>
  <si>
    <t>JKM600N-78HL4-BDV</t>
    <phoneticPr fontId="2"/>
  </si>
  <si>
    <t>JKM600N-78HL4-BDV-2</t>
    <phoneticPr fontId="2"/>
  </si>
  <si>
    <t>JKM605N-78HL4-BDV</t>
    <phoneticPr fontId="2"/>
  </si>
  <si>
    <t>JKM605N-78HL4-BDV-2</t>
    <phoneticPr fontId="2"/>
  </si>
  <si>
    <t>JKM605N-78HL4-V</t>
    <phoneticPr fontId="2"/>
  </si>
  <si>
    <t>JKM610N-78HL4-BDV</t>
    <phoneticPr fontId="2"/>
  </si>
  <si>
    <t>JKM610N-78HL4-BDV-2</t>
    <phoneticPr fontId="2"/>
  </si>
  <si>
    <t>JKM615N-78HL4-BDV</t>
    <phoneticPr fontId="2"/>
  </si>
  <si>
    <t>JKM615N-78HL4-BDV-2</t>
    <phoneticPr fontId="2"/>
  </si>
  <si>
    <t>JKM615N-78HL4-V</t>
    <phoneticPr fontId="2"/>
  </si>
  <si>
    <t>JKM620M-78HL4-BDV-J</t>
    <phoneticPr fontId="1" type="noConversion"/>
  </si>
  <si>
    <t>JKM620M-78HL4-BDV-J（両面）</t>
    <rPh sb="20" eb="22">
      <t>ﾘｮｳﾒﾝ</t>
    </rPh>
    <phoneticPr fontId="1" type="noConversion"/>
  </si>
  <si>
    <t>JKM620N-78HL4-BDV</t>
    <phoneticPr fontId="2"/>
  </si>
  <si>
    <t>JKM620N-78HL4-BDV-2</t>
    <phoneticPr fontId="2"/>
  </si>
  <si>
    <t>JKM625N-66HL4M-BDV</t>
  </si>
  <si>
    <t>JKM625N-66HL4M-BDV（両面）</t>
    <phoneticPr fontId="1" type="noConversion"/>
  </si>
  <si>
    <t>JKM630N-78HL4-BDV</t>
    <phoneticPr fontId="1" type="noConversion"/>
  </si>
  <si>
    <t>JKM630N-78HL4-BDV（両面）</t>
    <rPh sb="18" eb="20">
      <t>ﾘｮｳﾒﾝ</t>
    </rPh>
    <phoneticPr fontId="1" type="noConversion"/>
  </si>
  <si>
    <t>JKM635N-66HL4M</t>
    <phoneticPr fontId="1" type="noConversion"/>
  </si>
  <si>
    <t>JKM640N-66HL4M-BDV</t>
    <phoneticPr fontId="1" type="noConversion"/>
  </si>
  <si>
    <t>JKM640N-66HL4M-BDV（両面）</t>
    <rPh sb="19" eb="21">
      <t>ﾘｮｳﾒﾝ</t>
    </rPh>
    <phoneticPr fontId="1" type="noConversion"/>
  </si>
  <si>
    <t>JPM-410W-M1054H-GWW</t>
    <phoneticPr fontId="1" type="noConversion"/>
  </si>
  <si>
    <t>JPS_270</t>
  </si>
  <si>
    <t>kanaka150</t>
    <phoneticPr fontId="2"/>
  </si>
  <si>
    <t>Kce-420</t>
    <phoneticPr fontId="2"/>
  </si>
  <si>
    <t>KCR-320</t>
    <phoneticPr fontId="2"/>
  </si>
  <si>
    <t>KCR-330</t>
    <phoneticPr fontId="2"/>
  </si>
  <si>
    <t>KH305HX-BWEL3-S</t>
    <phoneticPr fontId="2"/>
  </si>
  <si>
    <t>KHM139P-5CGTCW　KHM167P-5CGTCW換算0.83</t>
    <rPh sb="29" eb="31">
      <t>ｶﾝｻﾝ</t>
    </rPh>
    <phoneticPr fontId="1" type="noConversion"/>
  </si>
  <si>
    <t>KHM167P-5CGTCW</t>
    <phoneticPr fontId="1" type="noConversion"/>
  </si>
  <si>
    <t>KJ137P-5ETCG</t>
    <phoneticPr fontId="2"/>
  </si>
  <si>
    <t>KJ178P-5ETCG</t>
    <phoneticPr fontId="2"/>
  </si>
  <si>
    <t>KJ186P-3CRCE</t>
    <phoneticPr fontId="2"/>
  </si>
  <si>
    <t>KJ190P-3CRCE</t>
    <phoneticPr fontId="2"/>
  </si>
  <si>
    <t>KJ200P-3CJ2CE</t>
    <phoneticPr fontId="2"/>
  </si>
  <si>
    <t>KJ200P-3CRCE</t>
    <phoneticPr fontId="2"/>
  </si>
  <si>
    <t>KJ200P-3CRCE（集電）</t>
    <phoneticPr fontId="2"/>
  </si>
  <si>
    <t>KJ200P-3CUCE</t>
    <phoneticPr fontId="1" type="noConversion"/>
  </si>
  <si>
    <t>KJ210P-5ETCG</t>
    <phoneticPr fontId="2"/>
  </si>
  <si>
    <t>KJ249P-5CTCG</t>
    <phoneticPr fontId="2"/>
  </si>
  <si>
    <t>KJ270P-5ETCG</t>
    <phoneticPr fontId="2"/>
  </si>
  <si>
    <t>KJ39P-4AYCB</t>
    <phoneticPr fontId="1" type="noConversion"/>
  </si>
  <si>
    <t>KJ46P-3CSCA　KJ775P-3CSCA換算0.6枚</t>
    <phoneticPr fontId="1" type="noConversion"/>
  </si>
  <si>
    <t>KJ48P-3CSCA　KJ80P-3CSCA換算0.6枚</t>
    <phoneticPr fontId="1" type="noConversion"/>
  </si>
  <si>
    <t>KJ50P-4AYCB</t>
    <phoneticPr fontId="1" type="noConversion"/>
  </si>
  <si>
    <t>KJ61P-4AYCB</t>
    <phoneticPr fontId="1" type="noConversion"/>
  </si>
  <si>
    <t>KJ62P-3CSCA  KJ775P-3CSCA換算0.8枚</t>
    <rPh sb="25" eb="27">
      <t>ｶﾝｻﾝ</t>
    </rPh>
    <rPh sb="30" eb="31">
      <t>ﾏｲ</t>
    </rPh>
    <phoneticPr fontId="1" type="noConversion"/>
  </si>
  <si>
    <t>KJ64P-3CSCA　KJ80P-3CSCA換算0.8枚</t>
    <rPh sb="23" eb="25">
      <t>ｶﾝｻﾝ</t>
    </rPh>
    <rPh sb="28" eb="29">
      <t>ﾏｲ</t>
    </rPh>
    <phoneticPr fontId="1" type="noConversion"/>
  </si>
  <si>
    <t>KJ775P-3CSCA</t>
    <phoneticPr fontId="1" type="noConversion"/>
  </si>
  <si>
    <t>KJ775P-3CSCA 【450V以下まで】</t>
    <rPh sb="18" eb="20">
      <t>ｲｶ</t>
    </rPh>
    <phoneticPr fontId="1" type="noConversion"/>
  </si>
  <si>
    <t>KJ80P-3CSCA</t>
    <phoneticPr fontId="1" type="noConversion"/>
  </si>
  <si>
    <t>KJ87P-5ETCG</t>
    <phoneticPr fontId="2"/>
  </si>
  <si>
    <t>KJ97P-5ETCG</t>
    <phoneticPr fontId="2"/>
  </si>
  <si>
    <t>KK1</t>
  </si>
  <si>
    <t>KK2</t>
  </si>
  <si>
    <t>KK250P-5CG3CG</t>
    <phoneticPr fontId="2"/>
  </si>
  <si>
    <t>KK260P‐3CF3C5</t>
    <phoneticPr fontId="1" type="noConversion"/>
  </si>
  <si>
    <t>KK265P‐3CD3CG</t>
    <phoneticPr fontId="1" type="noConversion"/>
  </si>
  <si>
    <t>KK265P‐3CD3CG（集電）</t>
    <phoneticPr fontId="1" type="noConversion"/>
  </si>
  <si>
    <t>KK270P‐3CF3CG</t>
    <phoneticPr fontId="1" type="noConversion"/>
  </si>
  <si>
    <t>KK275‐3CD3CG</t>
    <phoneticPr fontId="1" type="noConversion"/>
  </si>
  <si>
    <t>KK275P‐3CD3CG</t>
    <phoneticPr fontId="1" type="noConversion"/>
  </si>
  <si>
    <t>KK280P-3CD3CG</t>
    <phoneticPr fontId="2"/>
  </si>
  <si>
    <t>KK280P‐3CD3CG</t>
    <phoneticPr fontId="1" type="noConversion"/>
  </si>
  <si>
    <t>KK285P-5CD3CG</t>
    <phoneticPr fontId="2"/>
  </si>
  <si>
    <t>KK3</t>
  </si>
  <si>
    <t>KK305P-5EL3CG</t>
    <phoneticPr fontId="2"/>
  </si>
  <si>
    <t>KKM-SM-2397</t>
    <phoneticPr fontId="2"/>
  </si>
  <si>
    <t>KN315-120HL3</t>
    <phoneticPr fontId="2"/>
  </si>
  <si>
    <t>KN315HX-BWEL3-S</t>
    <phoneticPr fontId="2"/>
  </si>
  <si>
    <t>KN320-120HL3</t>
    <phoneticPr fontId="2"/>
  </si>
  <si>
    <t>KN330-120HL3</t>
    <phoneticPr fontId="2"/>
  </si>
  <si>
    <t>KN365-120HL4</t>
    <phoneticPr fontId="2"/>
  </si>
  <si>
    <t>KS1924P-3CRCE</t>
    <phoneticPr fontId="1" type="noConversion"/>
  </si>
  <si>
    <t>KS2084P-3CJCA</t>
    <phoneticPr fontId="2"/>
  </si>
  <si>
    <t>KS2084P-3CJCA（集電）</t>
    <rPh sb="14" eb="16">
      <t>ｼｭｳﾃﾞﾝ</t>
    </rPh>
    <phoneticPr fontId="1" type="noConversion"/>
  </si>
  <si>
    <t>%</t>
    <phoneticPr fontId="1" type="noConversion"/>
  </si>
  <si>
    <t>KS215P-3CJ2CE</t>
    <phoneticPr fontId="1" type="noConversion"/>
  </si>
  <si>
    <t>KS242P-3CF3CE</t>
    <phoneticPr fontId="2"/>
  </si>
  <si>
    <t>KS242P-3CF3CE（集電）</t>
    <rPh sb="14" eb="16">
      <t>ｼｭｳﾃﾞﾝ</t>
    </rPh>
    <phoneticPr fontId="1" type="noConversion"/>
  </si>
  <si>
    <t>KS322P-3CF3CE</t>
    <phoneticPr fontId="2"/>
  </si>
  <si>
    <t>KS322P-3CF3CE（集電）</t>
    <rPh sb="14" eb="16">
      <t>ｼｭｳﾃﾞﾝ</t>
    </rPh>
    <phoneticPr fontId="1" type="noConversion"/>
  </si>
  <si>
    <t>KSR-325</t>
    <phoneticPr fontId="2"/>
  </si>
  <si>
    <t>KSR-365W</t>
    <phoneticPr fontId="2"/>
  </si>
  <si>
    <t>KSR-455W</t>
    <phoneticPr fontId="2"/>
  </si>
  <si>
    <t>KSS-700-2724-2</t>
    <phoneticPr fontId="2"/>
  </si>
  <si>
    <t>KT365-120HL4</t>
    <phoneticPr fontId="2"/>
  </si>
  <si>
    <t>KT370-120HL4</t>
    <phoneticPr fontId="2"/>
  </si>
  <si>
    <t>KT370-120HL4-2</t>
    <phoneticPr fontId="2"/>
  </si>
  <si>
    <t>KT375-120HL4</t>
    <phoneticPr fontId="2"/>
  </si>
  <si>
    <t>KT390G-108HL4</t>
    <phoneticPr fontId="1" type="noConversion"/>
  </si>
  <si>
    <t>KT390G-108HL4-2</t>
    <phoneticPr fontId="1" type="noConversion"/>
  </si>
  <si>
    <t>KT395G-108HL4</t>
    <phoneticPr fontId="1" type="noConversion"/>
  </si>
  <si>
    <t>KT395G-108HL4-2</t>
    <phoneticPr fontId="1" type="noConversion"/>
  </si>
  <si>
    <t>KT405W-108HL4</t>
  </si>
  <si>
    <t>KT405W-108HL4-2</t>
    <phoneticPr fontId="1" type="noConversion"/>
  </si>
  <si>
    <t>KT410W-108HL4</t>
  </si>
  <si>
    <t>KT410W-108HL4-2</t>
    <phoneticPr fontId="1" type="noConversion"/>
  </si>
  <si>
    <t>KT415W-108HL4</t>
    <phoneticPr fontId="1" type="noConversion"/>
  </si>
  <si>
    <t>KT415W-108HL4-2</t>
    <phoneticPr fontId="1" type="noConversion"/>
  </si>
  <si>
    <t>KT435-144HL4</t>
    <phoneticPr fontId="2"/>
  </si>
  <si>
    <t>KT440-144HL4</t>
    <phoneticPr fontId="2"/>
  </si>
  <si>
    <t>KT445-144HL4</t>
    <phoneticPr fontId="2"/>
  </si>
  <si>
    <t>KT450-144HL4</t>
    <phoneticPr fontId="2"/>
  </si>
  <si>
    <t>KT520G-144HL4</t>
  </si>
  <si>
    <t>KT520G-144HL4-2</t>
    <phoneticPr fontId="1" type="noConversion"/>
  </si>
  <si>
    <t>KT525W-144HL4</t>
    <phoneticPr fontId="1" type="noConversion"/>
  </si>
  <si>
    <t>KT525W-144HL4-2</t>
    <phoneticPr fontId="1" type="noConversion"/>
  </si>
  <si>
    <t>KT530W-144HL4</t>
  </si>
  <si>
    <t>KT530W-144HL4-2</t>
    <phoneticPr fontId="1" type="noConversion"/>
  </si>
  <si>
    <t>KT535W-144HL4</t>
    <phoneticPr fontId="2"/>
  </si>
  <si>
    <t>KT540W-144HL4</t>
  </si>
  <si>
    <t>KT540W-144HL4-2</t>
    <phoneticPr fontId="1" type="noConversion"/>
  </si>
  <si>
    <t>KT545-144HL4</t>
    <phoneticPr fontId="1" type="noConversion"/>
  </si>
  <si>
    <t>KT545W-144HL4</t>
    <phoneticPr fontId="1" type="noConversion"/>
  </si>
  <si>
    <t>KT545W-144HL4-2</t>
    <phoneticPr fontId="1" type="noConversion"/>
  </si>
  <si>
    <t>KT550W-144HL4</t>
  </si>
  <si>
    <t>KT550W-144HL4-2</t>
    <phoneticPr fontId="1" type="noConversion"/>
  </si>
  <si>
    <t>LG_340</t>
  </si>
  <si>
    <t>LG_340_1</t>
  </si>
  <si>
    <t>LG_340_2</t>
  </si>
  <si>
    <t>LG_400</t>
    <phoneticPr fontId="2"/>
  </si>
  <si>
    <t>LG255S1C-G2</t>
    <phoneticPr fontId="2"/>
  </si>
  <si>
    <t>LG255S1C-G2（集電）</t>
    <phoneticPr fontId="2"/>
  </si>
  <si>
    <t>LG260S1C-G3</t>
    <phoneticPr fontId="2"/>
  </si>
  <si>
    <t>LG260S1C-G3（集電）</t>
    <phoneticPr fontId="2"/>
  </si>
  <si>
    <t>LG280S1C-A3</t>
    <phoneticPr fontId="1" type="noConversion"/>
  </si>
  <si>
    <t>LG280S1C-A3(集電)</t>
    <rPh sb="12" eb="14">
      <t>ｼｭｳﾃﾞﾝ</t>
    </rPh>
    <phoneticPr fontId="1" type="noConversion"/>
  </si>
  <si>
    <t>LG280S1W-A4</t>
    <phoneticPr fontId="2"/>
  </si>
  <si>
    <t>LG300N1C-A3</t>
    <phoneticPr fontId="2"/>
  </si>
  <si>
    <t>LG335</t>
    <phoneticPr fontId="2"/>
  </si>
  <si>
    <t>LG370</t>
    <phoneticPr fontId="2"/>
  </si>
  <si>
    <t>LG450</t>
    <phoneticPr fontId="2"/>
  </si>
  <si>
    <t>LG94-C1576B</t>
    <phoneticPr fontId="2"/>
  </si>
  <si>
    <t>LM205BA5A00</t>
    <phoneticPr fontId="1" type="noConversion"/>
  </si>
  <si>
    <t>Longgi_310</t>
    <phoneticPr fontId="2"/>
  </si>
  <si>
    <t>Longgi_310_3</t>
    <phoneticPr fontId="2"/>
  </si>
  <si>
    <t>Longi_LR6_310_1</t>
    <phoneticPr fontId="2"/>
  </si>
  <si>
    <t>Longi_LR6_310_2</t>
    <phoneticPr fontId="2"/>
  </si>
  <si>
    <t>Longi_LR6_310_3</t>
    <phoneticPr fontId="2"/>
  </si>
  <si>
    <t>LonGi320</t>
    <phoneticPr fontId="2"/>
  </si>
  <si>
    <t>Looop_270</t>
  </si>
  <si>
    <t>LP156*156-M-60-310W</t>
    <phoneticPr fontId="2"/>
  </si>
  <si>
    <t>LP182*182-M-54-MH-410W</t>
    <phoneticPr fontId="2"/>
  </si>
  <si>
    <t>LP182*182-M-60-MH-450W</t>
    <phoneticPr fontId="2"/>
  </si>
  <si>
    <t>LP182*182-M-60-MH-460W</t>
    <phoneticPr fontId="2"/>
  </si>
  <si>
    <t>LP-280M-60MH</t>
    <phoneticPr fontId="2"/>
  </si>
  <si>
    <t>LP-300P-H72</t>
    <phoneticPr fontId="2"/>
  </si>
  <si>
    <t>LP-320M-60MH</t>
    <phoneticPr fontId="2"/>
  </si>
  <si>
    <t>LP440DRX-KBC-72H</t>
    <phoneticPr fontId="2"/>
  </si>
  <si>
    <t>LP440DRX-KBC-72H-2</t>
    <phoneticPr fontId="2"/>
  </si>
  <si>
    <t>LP4-60HPH-380M</t>
    <phoneticPr fontId="2"/>
  </si>
  <si>
    <t>LP4-72HPH-455M</t>
    <phoneticPr fontId="2"/>
  </si>
  <si>
    <t>LP-550MCV-144MB</t>
    <phoneticPr fontId="2"/>
  </si>
  <si>
    <t>LP-550MCV-144MB-2</t>
    <phoneticPr fontId="2"/>
  </si>
  <si>
    <t>LP-550MCV-144MH</t>
    <phoneticPr fontId="2"/>
  </si>
  <si>
    <t>LP-575NCV-144MH-002</t>
    <phoneticPr fontId="2"/>
  </si>
  <si>
    <t>LR4-60HBD-355M</t>
  </si>
  <si>
    <t>LR4-60HBD-355M-2</t>
    <phoneticPr fontId="2"/>
  </si>
  <si>
    <t>LR4-60HBD-360M</t>
    <phoneticPr fontId="2"/>
  </si>
  <si>
    <t>LR4-60HBD-360M-2</t>
    <phoneticPr fontId="2"/>
  </si>
  <si>
    <t>LR4-60HBD-365M</t>
    <phoneticPr fontId="2"/>
  </si>
  <si>
    <t>LR4-60HBD-365M-2</t>
    <phoneticPr fontId="2"/>
  </si>
  <si>
    <t>LR4-60HPH-360M</t>
    <phoneticPr fontId="2"/>
  </si>
  <si>
    <t>LR4-60HPH-365M</t>
    <phoneticPr fontId="2"/>
  </si>
  <si>
    <t>LR4-60HPH-375M</t>
    <phoneticPr fontId="2"/>
  </si>
  <si>
    <t>LR4-60HPH-380M</t>
    <phoneticPr fontId="2"/>
  </si>
  <si>
    <t>LR4-72HBD-405M</t>
    <phoneticPr fontId="2"/>
  </si>
  <si>
    <t>LR4-72HBD-405M-2</t>
    <phoneticPr fontId="2"/>
  </si>
  <si>
    <t>LR4-72HBD-440M</t>
    <phoneticPr fontId="2"/>
  </si>
  <si>
    <t>LR4-72HBD-440M(past)</t>
    <phoneticPr fontId="2"/>
  </si>
  <si>
    <t>LR4-72HBD-440M-2</t>
    <phoneticPr fontId="2"/>
  </si>
  <si>
    <t>LR4-72HBD-445M</t>
    <phoneticPr fontId="2"/>
  </si>
  <si>
    <t>LR4-72HBD-445M-2</t>
    <phoneticPr fontId="2"/>
  </si>
  <si>
    <t>LR4-72HBD-450M</t>
    <phoneticPr fontId="2"/>
  </si>
  <si>
    <t>LR4-72HBD-450M-2</t>
    <phoneticPr fontId="2"/>
  </si>
  <si>
    <t>LR4-72HBD-455M</t>
    <phoneticPr fontId="2"/>
  </si>
  <si>
    <t>LR4-72HBD-455M-1</t>
    <phoneticPr fontId="2"/>
  </si>
  <si>
    <t>LR4-72HBD-455M-2</t>
    <phoneticPr fontId="2"/>
  </si>
  <si>
    <t>LR4-72HPH-420M</t>
    <phoneticPr fontId="2"/>
  </si>
  <si>
    <t>LR4-72HPH-435M</t>
    <phoneticPr fontId="2"/>
  </si>
  <si>
    <t>LR4-72HPH-440Mpast</t>
    <phoneticPr fontId="2"/>
  </si>
  <si>
    <t>LR4-72HPH-445M</t>
    <phoneticPr fontId="2"/>
  </si>
  <si>
    <t>LR4-72HPH-450M</t>
    <phoneticPr fontId="2"/>
  </si>
  <si>
    <t>LR4-72HPH-455M</t>
    <phoneticPr fontId="2"/>
  </si>
  <si>
    <t>LR4-72HPH-460M</t>
    <phoneticPr fontId="2"/>
  </si>
  <si>
    <t>LR4-72PHP-455M</t>
    <phoneticPr fontId="2"/>
  </si>
  <si>
    <t>LR5-54HPH-410M</t>
    <phoneticPr fontId="2"/>
  </si>
  <si>
    <t>LR5-54HPH-415M</t>
    <phoneticPr fontId="2"/>
  </si>
  <si>
    <t>LR5-54HPH-420M</t>
    <phoneticPr fontId="2"/>
  </si>
  <si>
    <t>LR5-54HPH-425M</t>
    <phoneticPr fontId="2"/>
  </si>
  <si>
    <t>LR5-66HPH-495M</t>
    <phoneticPr fontId="2"/>
  </si>
  <si>
    <t>LR5-72HBD-535M</t>
    <phoneticPr fontId="2"/>
  </si>
  <si>
    <t>LR5-72HBD-535M-2</t>
    <phoneticPr fontId="2"/>
  </si>
  <si>
    <t>LR5-72HBD-540M</t>
  </si>
  <si>
    <t>LR5-72HBD-540M-2</t>
    <phoneticPr fontId="2"/>
  </si>
  <si>
    <t>LR5-72HBD-550M</t>
    <phoneticPr fontId="1" type="noConversion"/>
  </si>
  <si>
    <t>LR5-72HBD-550M-2</t>
    <phoneticPr fontId="2"/>
  </si>
  <si>
    <t>LR5-72HBD-555M</t>
    <phoneticPr fontId="1" type="noConversion"/>
  </si>
  <si>
    <t>LR5-72HBD-555M-2</t>
    <phoneticPr fontId="2"/>
  </si>
  <si>
    <t>LR5-72HPH-535M</t>
    <phoneticPr fontId="2"/>
  </si>
  <si>
    <t>LR5-72HPH-540M</t>
    <phoneticPr fontId="2"/>
  </si>
  <si>
    <t>LR5-72HPH-545M</t>
    <phoneticPr fontId="2"/>
  </si>
  <si>
    <t>LR5-72HPH-550M</t>
    <phoneticPr fontId="1" type="noConversion"/>
  </si>
  <si>
    <t>LR5-72HPH-555M</t>
    <phoneticPr fontId="1" type="noConversion"/>
  </si>
  <si>
    <t>LR5-72HTH-575M</t>
    <phoneticPr fontId="1" type="noConversion"/>
  </si>
  <si>
    <t>LR5-72HTH-580M</t>
    <phoneticPr fontId="1" type="noConversion"/>
  </si>
  <si>
    <t>LR6_385-1</t>
    <phoneticPr fontId="2"/>
  </si>
  <si>
    <t>LR60_310</t>
    <phoneticPr fontId="2"/>
  </si>
  <si>
    <t>LR60_320</t>
    <phoneticPr fontId="2"/>
  </si>
  <si>
    <t>LR60_320_2</t>
    <phoneticPr fontId="2"/>
  </si>
  <si>
    <t>LR-60HBD-315M</t>
    <phoneticPr fontId="2"/>
  </si>
  <si>
    <t>LR-60HBD-315M-2</t>
    <phoneticPr fontId="2"/>
  </si>
  <si>
    <t>LR6310</t>
    <phoneticPr fontId="2"/>
  </si>
  <si>
    <t>LR6-60HBD-310</t>
    <phoneticPr fontId="2"/>
  </si>
  <si>
    <t>LR6-60HBD-310+2</t>
    <phoneticPr fontId="2"/>
  </si>
  <si>
    <t>LR6-60HPH-320M</t>
    <phoneticPr fontId="2"/>
  </si>
  <si>
    <t>LR6-60PE-300M</t>
    <phoneticPr fontId="2"/>
  </si>
  <si>
    <t>LR6-60PE-310M</t>
    <phoneticPr fontId="2"/>
  </si>
  <si>
    <t>LR6-60PE-315M</t>
    <phoneticPr fontId="1" type="noConversion"/>
  </si>
  <si>
    <t>LR6-720PH-400M</t>
    <phoneticPr fontId="2"/>
  </si>
  <si>
    <t>LR6-72BP-370M-1</t>
    <phoneticPr fontId="2"/>
  </si>
  <si>
    <t>LR6-72BP-370M-2</t>
    <phoneticPr fontId="2"/>
  </si>
  <si>
    <t>LR6-72BP-370M-3</t>
    <phoneticPr fontId="2"/>
  </si>
  <si>
    <t>LR6-72OPH-400M</t>
    <phoneticPr fontId="2"/>
  </si>
  <si>
    <t>LR7-54HTH-465M</t>
    <phoneticPr fontId="1" type="noConversion"/>
  </si>
  <si>
    <t>LR7-54HVH-480M</t>
    <phoneticPr fontId="1" type="noConversion"/>
  </si>
  <si>
    <t>LR7-72HGD-600M</t>
    <phoneticPr fontId="2"/>
  </si>
  <si>
    <t>LR7-72HGD-600M-2</t>
    <phoneticPr fontId="2"/>
  </si>
  <si>
    <t>LR7-72HVD-650M</t>
    <phoneticPr fontId="2"/>
  </si>
  <si>
    <t>LR7-72HVH-650M</t>
    <phoneticPr fontId="2"/>
  </si>
  <si>
    <t>LR7-72HVH-650M-2</t>
    <phoneticPr fontId="2"/>
  </si>
  <si>
    <t>LR8-66HYD-675M</t>
    <phoneticPr fontId="1" type="noConversion"/>
  </si>
  <si>
    <t>LR8-66HYD-675M（両面）</t>
    <phoneticPr fontId="1" type="noConversion"/>
  </si>
  <si>
    <t>LW6M60-300</t>
    <phoneticPr fontId="1" type="noConversion"/>
  </si>
  <si>
    <t>LW6P60b-255</t>
    <phoneticPr fontId="1" type="noConversion"/>
  </si>
  <si>
    <t>LY410</t>
    <phoneticPr fontId="2"/>
  </si>
  <si>
    <t>LY410-2</t>
    <phoneticPr fontId="2"/>
  </si>
  <si>
    <t>M144-540</t>
    <phoneticPr fontId="2"/>
  </si>
  <si>
    <t>M144-540-2</t>
    <phoneticPr fontId="2"/>
  </si>
  <si>
    <t>MDL_285</t>
    <phoneticPr fontId="2"/>
  </si>
  <si>
    <t>MDL_335</t>
    <phoneticPr fontId="2"/>
  </si>
  <si>
    <t>MONO60CELLS310</t>
    <phoneticPr fontId="2"/>
  </si>
  <si>
    <t>MTPVp-240-MSDJ</t>
    <phoneticPr fontId="1" type="noConversion"/>
  </si>
  <si>
    <t>MTPVp-240-MSDJ-23</t>
    <phoneticPr fontId="1" type="noConversion"/>
  </si>
  <si>
    <t>NA-H135H</t>
    <phoneticPr fontId="1" type="noConversion"/>
  </si>
  <si>
    <t>NB-245AB</t>
    <phoneticPr fontId="1" type="noConversion"/>
  </si>
  <si>
    <t>NB-550KG</t>
    <phoneticPr fontId="1" type="noConversion"/>
  </si>
  <si>
    <t>ND-061LRW</t>
    <phoneticPr fontId="1" type="noConversion"/>
  </si>
  <si>
    <t>ND-073LNRN</t>
    <phoneticPr fontId="2"/>
  </si>
  <si>
    <t>ND-114CV</t>
    <phoneticPr fontId="1" type="noConversion"/>
  </si>
  <si>
    <t>ND-114CW</t>
    <phoneticPr fontId="1" type="noConversion"/>
  </si>
  <si>
    <t>ND-119CA</t>
    <phoneticPr fontId="2"/>
  </si>
  <si>
    <t>ND-142CU</t>
    <phoneticPr fontId="2"/>
  </si>
  <si>
    <t>ND-146CN</t>
    <phoneticPr fontId="2"/>
  </si>
  <si>
    <t>ND-146CR</t>
    <phoneticPr fontId="2"/>
  </si>
  <si>
    <t>ND-153AU</t>
    <phoneticPr fontId="2"/>
  </si>
  <si>
    <t>ND-157AR</t>
    <phoneticPr fontId="2"/>
  </si>
  <si>
    <t>ND-160AV</t>
    <phoneticPr fontId="1" type="noConversion"/>
  </si>
  <si>
    <t>ND-160BW</t>
    <phoneticPr fontId="1" type="noConversion"/>
  </si>
  <si>
    <t>ND-163AW</t>
    <phoneticPr fontId="1" type="noConversion"/>
  </si>
  <si>
    <t>ND-165AA</t>
    <phoneticPr fontId="1" type="noConversion"/>
  </si>
  <si>
    <t>ND-170AA</t>
    <phoneticPr fontId="1" type="noConversion"/>
  </si>
  <si>
    <t>ND-240CA</t>
    <phoneticPr fontId="2"/>
  </si>
  <si>
    <t>ND240HA</t>
    <phoneticPr fontId="2"/>
  </si>
  <si>
    <t>ND-240HA</t>
    <phoneticPr fontId="2"/>
  </si>
  <si>
    <t>ND-245HA</t>
    <phoneticPr fontId="2"/>
  </si>
  <si>
    <t>ND-245HA（集電）</t>
    <phoneticPr fontId="2"/>
  </si>
  <si>
    <t>ND-250FB</t>
    <phoneticPr fontId="2"/>
  </si>
  <si>
    <t>ND-250FB-集電</t>
    <rPh sb="9" eb="11">
      <t>シュウデン</t>
    </rPh>
    <phoneticPr fontId="2"/>
  </si>
  <si>
    <t>ND-260MB</t>
    <phoneticPr fontId="2"/>
  </si>
  <si>
    <t>ND-265MM</t>
    <phoneticPr fontId="2"/>
  </si>
  <si>
    <t>ND-265MM（集電）</t>
    <phoneticPr fontId="2"/>
  </si>
  <si>
    <t>ND-R1C1C</t>
    <phoneticPr fontId="1" type="noConversion"/>
  </si>
  <si>
    <t>NE-130AH</t>
    <phoneticPr fontId="2"/>
  </si>
  <si>
    <t xml:space="preserve">NE-132AK </t>
    <phoneticPr fontId="1" type="noConversion"/>
  </si>
  <si>
    <t>NE-53K1R</t>
    <phoneticPr fontId="1" type="noConversion"/>
  </si>
  <si>
    <t>NE-53KS</t>
    <phoneticPr fontId="1" type="noConversion"/>
  </si>
  <si>
    <t>NE-65E01</t>
    <phoneticPr fontId="1" type="noConversion"/>
  </si>
  <si>
    <t>NER108M410B-MD</t>
    <phoneticPr fontId="2"/>
  </si>
  <si>
    <t>NER108M415B-MD</t>
    <phoneticPr fontId="2"/>
  </si>
  <si>
    <t>NER108M430B-ND</t>
    <phoneticPr fontId="2"/>
  </si>
  <si>
    <t>NER120M340J-MBD</t>
    <phoneticPr fontId="2"/>
  </si>
  <si>
    <t>NER120M340J-MBD-2</t>
    <phoneticPr fontId="2"/>
  </si>
  <si>
    <t>NER120M345J-MB</t>
    <phoneticPr fontId="1" type="noConversion"/>
  </si>
  <si>
    <t>NER120M375C-MC</t>
    <phoneticPr fontId="1" type="noConversion"/>
  </si>
  <si>
    <t>NER120M375D-MCH</t>
    <phoneticPr fontId="2"/>
  </si>
  <si>
    <t>NER120M375D-MCL</t>
    <phoneticPr fontId="1" type="noConversion"/>
  </si>
  <si>
    <t>NER144M445C-MCD</t>
    <phoneticPr fontId="2"/>
  </si>
  <si>
    <t>NER144M445C-MCD-2</t>
    <phoneticPr fontId="2"/>
  </si>
  <si>
    <t>NER144M450C-MC</t>
    <phoneticPr fontId="2"/>
  </si>
  <si>
    <t>NER144M450C-MCD</t>
    <phoneticPr fontId="2"/>
  </si>
  <si>
    <t>NER144M450C-MCD-2</t>
    <phoneticPr fontId="2"/>
  </si>
  <si>
    <t>NER144M540B-MDD</t>
    <phoneticPr fontId="1" type="noConversion"/>
  </si>
  <si>
    <t>NER144M540B-MDD+15%</t>
    <phoneticPr fontId="1" type="noConversion"/>
  </si>
  <si>
    <t>NER144M540B-MDD+25%</t>
    <phoneticPr fontId="1" type="noConversion"/>
  </si>
  <si>
    <t>NER144M545A-MDD</t>
    <phoneticPr fontId="1" type="noConversion"/>
  </si>
  <si>
    <t>NER144M545A-MDD+15%</t>
    <phoneticPr fontId="1" type="noConversion"/>
  </si>
  <si>
    <t>NER144M545A-MDD-2</t>
    <phoneticPr fontId="1" type="noConversion"/>
  </si>
  <si>
    <t>NER144M545B-MD</t>
    <phoneticPr fontId="1" type="noConversion"/>
  </si>
  <si>
    <t>NER144M545B-MDD</t>
    <phoneticPr fontId="1" type="noConversion"/>
  </si>
  <si>
    <t>NER144M545B-MDD+15%</t>
    <phoneticPr fontId="1" type="noConversion"/>
  </si>
  <si>
    <t>NER144M545B-MDD-2</t>
    <phoneticPr fontId="2"/>
  </si>
  <si>
    <t>NER144M545J-MD</t>
    <phoneticPr fontId="2"/>
  </si>
  <si>
    <t>NER144M550A-MDD</t>
    <phoneticPr fontId="1" type="noConversion"/>
  </si>
  <si>
    <t>NER144M550A-MDD+15%</t>
    <phoneticPr fontId="1" type="noConversion"/>
  </si>
  <si>
    <t>NER144M550B-MD</t>
    <phoneticPr fontId="1" type="noConversion"/>
  </si>
  <si>
    <t>NER144M575E-NDD</t>
    <phoneticPr fontId="1" type="noConversion"/>
  </si>
  <si>
    <t>NER144M575E-NDD（両面）</t>
    <phoneticPr fontId="1" type="noConversion"/>
  </si>
  <si>
    <t>NER14M455L-MC</t>
    <phoneticPr fontId="2"/>
  </si>
  <si>
    <t>NER156M585B-MDD</t>
    <phoneticPr fontId="1" type="noConversion"/>
  </si>
  <si>
    <t>NER156M585B-MDD+15%</t>
    <phoneticPr fontId="1" type="noConversion"/>
  </si>
  <si>
    <t>NER156M590B-MDD</t>
    <phoneticPr fontId="1" type="noConversion"/>
  </si>
  <si>
    <t>NER156M590B-MDD+15%</t>
    <phoneticPr fontId="1" type="noConversion"/>
  </si>
  <si>
    <t>NER156M590B-MDD+25%</t>
    <phoneticPr fontId="1" type="noConversion"/>
  </si>
  <si>
    <t>NER660M310</t>
    <phoneticPr fontId="2"/>
  </si>
  <si>
    <t>NERM156×156-60-M SI 270W</t>
    <phoneticPr fontId="1" type="noConversion"/>
  </si>
  <si>
    <t>NQ-103LG/RG</t>
    <phoneticPr fontId="2"/>
  </si>
  <si>
    <t>NQ-159AG</t>
    <phoneticPr fontId="2"/>
  </si>
  <si>
    <t>NQ-180BM</t>
    <phoneticPr fontId="1" type="noConversion"/>
  </si>
  <si>
    <t>NQ-190AA</t>
    <phoneticPr fontId="2"/>
  </si>
  <si>
    <t>NQ-210AD</t>
    <phoneticPr fontId="2"/>
  </si>
  <si>
    <t>NQ-220AE</t>
    <phoneticPr fontId="2"/>
  </si>
  <si>
    <t>NQ-225AG</t>
    <phoneticPr fontId="2"/>
  </si>
  <si>
    <t>NRG9R.28</t>
  </si>
  <si>
    <t>NT-150AX</t>
    <phoneticPr fontId="1" type="noConversion"/>
  </si>
  <si>
    <t>NU-119CA</t>
    <phoneticPr fontId="1" type="noConversion"/>
  </si>
  <si>
    <t>NU-122CB</t>
    <phoneticPr fontId="1" type="noConversion"/>
  </si>
  <si>
    <t>NU-172BB</t>
    <phoneticPr fontId="1" type="noConversion"/>
  </si>
  <si>
    <t>NU-228AP</t>
    <phoneticPr fontId="1" type="noConversion"/>
  </si>
  <si>
    <t>NU-250AJ</t>
    <phoneticPr fontId="1" type="noConversion"/>
  </si>
  <si>
    <t>NU-259AM</t>
    <phoneticPr fontId="1" type="noConversion"/>
  </si>
  <si>
    <t>NU310SB</t>
    <phoneticPr fontId="2"/>
  </si>
  <si>
    <t>NU-330KC </t>
    <phoneticPr fontId="2"/>
  </si>
  <si>
    <t>ＮＵ－３７５ＳＧ</t>
    <phoneticPr fontId="2"/>
  </si>
  <si>
    <t>NU440KG</t>
    <phoneticPr fontId="2"/>
  </si>
  <si>
    <t>NU-440KG</t>
    <phoneticPr fontId="2"/>
  </si>
  <si>
    <t>ＮＵ－４４５ＫＧ</t>
    <phoneticPr fontId="2"/>
  </si>
  <si>
    <t>NU-81LB/RB</t>
    <phoneticPr fontId="1" type="noConversion"/>
  </si>
  <si>
    <t>NU-V5C1B</t>
    <phoneticPr fontId="1" type="noConversion"/>
  </si>
  <si>
    <t>Pana_240</t>
    <phoneticPr fontId="2"/>
  </si>
  <si>
    <t>P-AV590</t>
    <phoneticPr fontId="2"/>
  </si>
  <si>
    <t>PM060MW2_300</t>
    <phoneticPr fontId="2"/>
  </si>
  <si>
    <t>PS_280</t>
  </si>
  <si>
    <t>PVL_250</t>
  </si>
  <si>
    <t>PVM M250P R1</t>
    <phoneticPr fontId="2"/>
  </si>
  <si>
    <t>PVM-000140</t>
    <phoneticPr fontId="1" type="noConversion"/>
  </si>
  <si>
    <t>PVM-700200</t>
    <phoneticPr fontId="1" type="noConversion"/>
  </si>
  <si>
    <t>PV-MA1000HB</t>
    <phoneticPr fontId="2"/>
  </si>
  <si>
    <t>PV-MA1050JH　PV-MA2120J換算0.5枚</t>
    <rPh sb="22" eb="24">
      <t>カンサン</t>
    </rPh>
    <rPh sb="27" eb="28">
      <t>マイ</t>
    </rPh>
    <phoneticPr fontId="2"/>
  </si>
  <si>
    <t>PV-MA1080</t>
    <phoneticPr fontId="2"/>
  </si>
  <si>
    <t>PV-MA1220N</t>
    <phoneticPr fontId="2"/>
  </si>
  <si>
    <t>PV-MA1680JW　PV-MA2120J換算0.8枚</t>
    <rPh sb="22" eb="24">
      <t>カンサン</t>
    </rPh>
    <rPh sb="27" eb="28">
      <t>マイ</t>
    </rPh>
    <phoneticPr fontId="2"/>
  </si>
  <si>
    <t>PV-MA1740KW PV-MA2200K換算0.8枚</t>
    <rPh sb="22" eb="24">
      <t>カンサン</t>
    </rPh>
    <rPh sb="27" eb="28">
      <t>マイ</t>
    </rPh>
    <phoneticPr fontId="2"/>
  </si>
  <si>
    <t>PV-MA1970NW</t>
    <phoneticPr fontId="2"/>
  </si>
  <si>
    <t>PV-MA2000B</t>
    <phoneticPr fontId="2"/>
  </si>
  <si>
    <t>PV-MA2070J</t>
    <phoneticPr fontId="2"/>
  </si>
  <si>
    <t>PV-MA2100KS</t>
    <phoneticPr fontId="2"/>
  </si>
  <si>
    <t>PV-MA2120J</t>
    <phoneticPr fontId="2"/>
  </si>
  <si>
    <t>PV-MA2200K</t>
    <phoneticPr fontId="2"/>
  </si>
  <si>
    <t>PV-MA2300L</t>
    <phoneticPr fontId="2"/>
  </si>
  <si>
    <t>PV-MA2450M</t>
    <phoneticPr fontId="2"/>
  </si>
  <si>
    <t>PV-MA2500N</t>
    <phoneticPr fontId="2"/>
  </si>
  <si>
    <t>PV-MA2530N</t>
    <phoneticPr fontId="2"/>
  </si>
  <si>
    <t>PV-MGJ250BBFS</t>
  </si>
  <si>
    <t>PV-MGJ250BBFS-8集電</t>
    <rPh sb="15" eb="17">
      <t>シュウデン</t>
    </rPh>
    <phoneticPr fontId="2"/>
  </si>
  <si>
    <t>PV-MR134E</t>
    <phoneticPr fontId="2"/>
  </si>
  <si>
    <t>PVMS175</t>
    <phoneticPr fontId="2"/>
  </si>
  <si>
    <t>PV-MX0925H</t>
    <phoneticPr fontId="2"/>
  </si>
  <si>
    <t>PV-MX095H</t>
    <phoneticPr fontId="2"/>
  </si>
  <si>
    <t>PV-MX185H</t>
    <phoneticPr fontId="2"/>
  </si>
  <si>
    <t>PV-MX190HA</t>
    <phoneticPr fontId="2"/>
  </si>
  <si>
    <t>PVX-10-001</t>
    <phoneticPr fontId="1" type="noConversion"/>
  </si>
  <si>
    <t>PVX-10-001-10</t>
    <phoneticPr fontId="1" type="noConversion"/>
  </si>
  <si>
    <t>Q .PLVS -G4.1-270</t>
    <phoneticPr fontId="1" type="noConversion"/>
  </si>
  <si>
    <t>Q .PLVS -G4.1-270（集電）</t>
    <phoneticPr fontId="1" type="noConversion"/>
  </si>
  <si>
    <t>Q .PROG4.1 265</t>
    <phoneticPr fontId="1" type="noConversion"/>
  </si>
  <si>
    <t>Q.PEAK DUO L-G6.3 425</t>
    <phoneticPr fontId="2"/>
  </si>
  <si>
    <t>Q.PEAK DUO M-G11 400</t>
    <phoneticPr fontId="1" type="noConversion"/>
  </si>
  <si>
    <t>Q.PEAK DUO M-G11S 405</t>
    <phoneticPr fontId="1" type="noConversion"/>
  </si>
  <si>
    <t>Q.PEAK DUO ML-G9 385</t>
    <phoneticPr fontId="2"/>
  </si>
  <si>
    <t>Q.PEAK DUO ML-G9 390</t>
    <phoneticPr fontId="2"/>
  </si>
  <si>
    <t>Q.PEAK DUO ML-G9 390-1.1</t>
    <phoneticPr fontId="2"/>
  </si>
  <si>
    <t>Q.PEAK DUO MS-G9 235</t>
    <phoneticPr fontId="1" type="noConversion"/>
  </si>
  <si>
    <t>Q.PEAK DUO S-G11 265　Q.PEAK DUO M-G11 400換算0.66枚</t>
    <rPh sb="41" eb="43">
      <t>カンサン</t>
    </rPh>
    <rPh sb="47" eb="48">
      <t>マイ</t>
    </rPh>
    <phoneticPr fontId="2"/>
  </si>
  <si>
    <t>Q.PEAK DUO S-G6 280</t>
    <phoneticPr fontId="2"/>
  </si>
  <si>
    <t>Q.PEAK DUO XL-G11.3 580</t>
    <phoneticPr fontId="2"/>
  </si>
  <si>
    <t>Ｑ．ＰＥＡＫ　ＤＵＯ　ＸＬ－Ｇ１１．３　５８５</t>
    <phoneticPr fontId="2"/>
  </si>
  <si>
    <t>Q.PEAK DUO XL-G9.3 460</t>
    <phoneticPr fontId="2"/>
  </si>
  <si>
    <t>Q.PEAK DUO XL-G9.3 460-(2)</t>
    <phoneticPr fontId="2"/>
  </si>
  <si>
    <t>Q.PEAK DUO XS-G6 185 Q.PEAK DUO-G6 355換算0.52</t>
    <rPh sb="38" eb="40">
      <t>カンサン</t>
    </rPh>
    <phoneticPr fontId="2"/>
  </si>
  <si>
    <t>Q.PEAK DUO-G6 355</t>
    <phoneticPr fontId="2"/>
  </si>
  <si>
    <t>Q.PEAK DUO-G7 335</t>
    <phoneticPr fontId="2"/>
  </si>
  <si>
    <t>Q.PEAK DUO-G9 355</t>
    <phoneticPr fontId="2"/>
  </si>
  <si>
    <t>Q.PEAK L-G4.5 375</t>
    <phoneticPr fontId="2"/>
  </si>
  <si>
    <t xml:space="preserve">Q.PEAK L-G4.5 375 </t>
    <phoneticPr fontId="2"/>
  </si>
  <si>
    <t>Q.PEAK L-G5.2 365</t>
    <phoneticPr fontId="2"/>
  </si>
  <si>
    <t>Q.PEAK XS-G4.1 160</t>
    <phoneticPr fontId="2"/>
  </si>
  <si>
    <t>Q.PEAK_305</t>
  </si>
  <si>
    <t>Q.PEAK-G4.1 300</t>
    <phoneticPr fontId="2"/>
  </si>
  <si>
    <t>Q.PEAK-G5.1 245 Q.PEAK-G5.1 310換算0.79枚</t>
    <rPh sb="31" eb="33">
      <t>カンサン</t>
    </rPh>
    <rPh sb="37" eb="38">
      <t>マイ</t>
    </rPh>
    <phoneticPr fontId="2"/>
  </si>
  <si>
    <t>Q.PEAK-G5.1 310</t>
    <phoneticPr fontId="2"/>
  </si>
  <si>
    <t>Q.PEAK-G5.1 315</t>
    <phoneticPr fontId="2"/>
  </si>
  <si>
    <t>Q.PEAKL-G5.2.370</t>
    <phoneticPr fontId="2"/>
  </si>
  <si>
    <t>Q.PEAKL-G5.2.375</t>
    <phoneticPr fontId="2"/>
  </si>
  <si>
    <t>Q.PERK DUD L-G5.3 395</t>
    <phoneticPr fontId="2"/>
  </si>
  <si>
    <t>Q.PLUS BFR-G4.1 285</t>
    <phoneticPr fontId="2"/>
  </si>
  <si>
    <t>Q.PLUS BFR-G4.1 285　集電</t>
    <rPh sb="20" eb="22">
      <t>シュウデン</t>
    </rPh>
    <phoneticPr fontId="2"/>
  </si>
  <si>
    <t>Q.PLUS L-G4.1 345</t>
    <phoneticPr fontId="2"/>
  </si>
  <si>
    <t>Q.PLUS-G4.1 270</t>
    <phoneticPr fontId="2"/>
  </si>
  <si>
    <t>Q.PLUS-G4.1 275</t>
    <phoneticPr fontId="2"/>
  </si>
  <si>
    <t>Q.PLUS-G4.3 290</t>
    <phoneticPr fontId="2"/>
  </si>
  <si>
    <t>Q.POWER-G5.1 275</t>
  </si>
  <si>
    <t>Q.POWER-G5.1 330</t>
    <phoneticPr fontId="2"/>
  </si>
  <si>
    <t>Q.PRO MJ+245</t>
    <phoneticPr fontId="2"/>
  </si>
  <si>
    <t>Q.PRO-G3 255</t>
    <phoneticPr fontId="2"/>
  </si>
  <si>
    <t>Q.PRO-G3 255-33</t>
    <phoneticPr fontId="2"/>
  </si>
  <si>
    <t>Q.RISE L 555</t>
    <phoneticPr fontId="2"/>
  </si>
  <si>
    <t>QC_325</t>
    <phoneticPr fontId="2"/>
  </si>
  <si>
    <t>Qcell_420</t>
    <phoneticPr fontId="2"/>
  </si>
  <si>
    <t>QceLLS_255</t>
  </si>
  <si>
    <t>QCELLS_285</t>
    <phoneticPr fontId="2"/>
  </si>
  <si>
    <t>Qcells_330-1</t>
    <phoneticPr fontId="2"/>
  </si>
  <si>
    <t>QP_270</t>
  </si>
  <si>
    <t>QP_305</t>
  </si>
  <si>
    <t>QP_325</t>
    <phoneticPr fontId="2"/>
  </si>
  <si>
    <t>Qpeak_305_1</t>
    <phoneticPr fontId="2"/>
  </si>
  <si>
    <t>Qpeak_325</t>
    <phoneticPr fontId="2"/>
  </si>
  <si>
    <t>Qpeak_390_1</t>
    <phoneticPr fontId="2"/>
  </si>
  <si>
    <t>Qpeak_400_1</t>
    <phoneticPr fontId="2"/>
  </si>
  <si>
    <t>QPLUS_290-1</t>
    <phoneticPr fontId="2"/>
  </si>
  <si>
    <t>QPLUS_340</t>
    <phoneticPr fontId="2"/>
  </si>
  <si>
    <t>Qpulse_285</t>
  </si>
  <si>
    <t>R150-04</t>
    <phoneticPr fontId="1" type="noConversion"/>
  </si>
  <si>
    <t>R162A-02</t>
    <phoneticPr fontId="1" type="noConversion"/>
  </si>
  <si>
    <t>R180T-02</t>
    <phoneticPr fontId="1" type="noConversion"/>
  </si>
  <si>
    <t>R421-1</t>
    <phoneticPr fontId="2"/>
  </si>
  <si>
    <t>RD183X-QP-R</t>
    <phoneticPr fontId="2"/>
  </si>
  <si>
    <t>RD186X-QP-R</t>
    <phoneticPr fontId="2"/>
  </si>
  <si>
    <t>REC_380</t>
    <phoneticPr fontId="2"/>
  </si>
  <si>
    <t>REC290TP2</t>
    <phoneticPr fontId="2"/>
  </si>
  <si>
    <t>REC365TP4</t>
    <phoneticPr fontId="2"/>
  </si>
  <si>
    <t>REC410AA Pure-R</t>
    <phoneticPr fontId="2"/>
  </si>
  <si>
    <t>REC410TP5</t>
    <phoneticPr fontId="2"/>
  </si>
  <si>
    <t>REC430AA Pure-R</t>
    <phoneticPr fontId="2"/>
  </si>
  <si>
    <t>RS275P-60</t>
    <phoneticPr fontId="2"/>
  </si>
  <si>
    <t>RS340S-120</t>
    <phoneticPr fontId="2"/>
  </si>
  <si>
    <t>RSM 60-6-310 M</t>
  </si>
  <si>
    <t>RSM120-330M</t>
    <phoneticPr fontId="2"/>
  </si>
  <si>
    <t>RSM120-6-280M</t>
    <phoneticPr fontId="2"/>
  </si>
  <si>
    <t>RSM120-6-320M</t>
    <phoneticPr fontId="2"/>
  </si>
  <si>
    <t>RSM130-8-440M</t>
    <phoneticPr fontId="2"/>
  </si>
  <si>
    <t>RSM132-8-650BMDG</t>
    <phoneticPr fontId="2"/>
  </si>
  <si>
    <t>RSM132-8-655BMDG</t>
    <phoneticPr fontId="2"/>
  </si>
  <si>
    <t>RSM132-8-660M</t>
    <phoneticPr fontId="2"/>
  </si>
  <si>
    <t>RSM132-8-700BHDG</t>
    <phoneticPr fontId="2"/>
  </si>
  <si>
    <t>RSM132-8-700BHDG-2</t>
    <phoneticPr fontId="2"/>
  </si>
  <si>
    <t>RSM60-6-280P</t>
    <phoneticPr fontId="2"/>
  </si>
  <si>
    <t>RSM72-6-330P</t>
    <phoneticPr fontId="2"/>
  </si>
  <si>
    <t>RSM72-6-375M</t>
    <phoneticPr fontId="2"/>
  </si>
  <si>
    <t>S270-660</t>
    <phoneticPr fontId="2"/>
  </si>
  <si>
    <t>SD46X-QPS-B</t>
    <phoneticPr fontId="1" type="noConversion"/>
  </si>
  <si>
    <t>SD62X-QPS-B</t>
    <phoneticPr fontId="1" type="noConversion"/>
  </si>
  <si>
    <t>SERAPHIM SRP-610-BMB-HV</t>
    <phoneticPr fontId="1" type="noConversion"/>
  </si>
  <si>
    <t>SF150-K</t>
    <phoneticPr fontId="2"/>
  </si>
  <si>
    <t>SF150-K 48集電</t>
    <phoneticPr fontId="2"/>
  </si>
  <si>
    <t>SF160-S</t>
    <phoneticPr fontId="2"/>
  </si>
  <si>
    <t>SF160-S 集電</t>
    <rPh sb="8" eb="10">
      <t>シュウデン</t>
    </rPh>
    <phoneticPr fontId="2"/>
  </si>
  <si>
    <t>SF165-S</t>
    <phoneticPr fontId="2"/>
  </si>
  <si>
    <t>SF165-S 4集電</t>
    <rPh sb="9" eb="11">
      <t>シュウデン</t>
    </rPh>
    <phoneticPr fontId="2"/>
  </si>
  <si>
    <t>SF165-S　集電</t>
    <rPh sb="8" eb="10">
      <t>シュウデン</t>
    </rPh>
    <phoneticPr fontId="2"/>
  </si>
  <si>
    <t>SF170-S</t>
    <phoneticPr fontId="2"/>
  </si>
  <si>
    <t>SF170-S 4集電</t>
    <rPh sb="9" eb="11">
      <t>シュウデン</t>
    </rPh>
    <phoneticPr fontId="2"/>
  </si>
  <si>
    <t>SF175-S</t>
    <phoneticPr fontId="2"/>
  </si>
  <si>
    <t>SF185-S</t>
    <phoneticPr fontId="2"/>
  </si>
  <si>
    <t>SFA375-120A</t>
    <phoneticPr fontId="2"/>
  </si>
  <si>
    <t>SFA380-120A</t>
    <phoneticPr fontId="2"/>
  </si>
  <si>
    <t>SFA430-144A</t>
    <phoneticPr fontId="2"/>
  </si>
  <si>
    <t>SFA450-144A</t>
    <phoneticPr fontId="2"/>
  </si>
  <si>
    <t>SFA455-144A</t>
    <phoneticPr fontId="2"/>
  </si>
  <si>
    <t>SFC410-108B</t>
    <phoneticPr fontId="2"/>
  </si>
  <si>
    <t>SFJ-265-GB</t>
    <phoneticPr fontId="2"/>
  </si>
  <si>
    <t>SFJ-300W-EWA</t>
    <phoneticPr fontId="2"/>
  </si>
  <si>
    <t>SFK_180-S</t>
    <phoneticPr fontId="2"/>
  </si>
  <si>
    <t>SFK175-LS</t>
    <phoneticPr fontId="2"/>
  </si>
  <si>
    <t>SFK185-S</t>
    <phoneticPr fontId="2"/>
  </si>
  <si>
    <t>SFK185-S-4</t>
    <phoneticPr fontId="2"/>
  </si>
  <si>
    <t>SFK185-S-D</t>
    <phoneticPr fontId="2"/>
  </si>
  <si>
    <t>SFK190-S</t>
    <phoneticPr fontId="2"/>
  </si>
  <si>
    <t>SFL100-C</t>
    <phoneticPr fontId="1" type="noConversion"/>
  </si>
  <si>
    <t>SFL90-C</t>
    <phoneticPr fontId="1" type="noConversion"/>
  </si>
  <si>
    <t>SFL95-C</t>
    <phoneticPr fontId="1" type="noConversion"/>
  </si>
  <si>
    <t>SFM110-R</t>
    <phoneticPr fontId="1" type="noConversion"/>
  </si>
  <si>
    <t>SFM110-R 4集電</t>
    <rPh sb="10" eb="12">
      <t>ｼｭｳﾃﾞﾝ</t>
    </rPh>
    <phoneticPr fontId="1" type="noConversion"/>
  </si>
  <si>
    <t>SFM115-R</t>
    <phoneticPr fontId="1" type="noConversion"/>
  </si>
  <si>
    <t>SFM115-R 4集電</t>
    <rPh sb="10" eb="12">
      <t>ｼｭｳﾃﾞﾝ</t>
    </rPh>
    <phoneticPr fontId="1" type="noConversion"/>
  </si>
  <si>
    <t>SFT175-A</t>
    <phoneticPr fontId="1" type="noConversion"/>
  </si>
  <si>
    <t>SHARP ＮＵ-４４０ＫＧ</t>
    <phoneticPr fontId="2"/>
  </si>
  <si>
    <t>Sharp_265</t>
    <phoneticPr fontId="1" type="noConversion"/>
  </si>
  <si>
    <t>Sharp_275</t>
  </si>
  <si>
    <t>Sharp_275_1</t>
  </si>
  <si>
    <t>Sharp_335</t>
    <phoneticPr fontId="2"/>
  </si>
  <si>
    <t>Sharp-310</t>
    <phoneticPr fontId="2"/>
  </si>
  <si>
    <t>SHARP-440</t>
    <phoneticPr fontId="2"/>
  </si>
  <si>
    <t>Shartp_265</t>
    <phoneticPr fontId="2"/>
  </si>
  <si>
    <t>SJ-370M-120L</t>
    <phoneticPr fontId="2"/>
  </si>
  <si>
    <t>SKA611HDGDC 710</t>
    <phoneticPr fontId="2"/>
  </si>
  <si>
    <t>SKA611HDGDC 710-2</t>
    <phoneticPr fontId="2"/>
  </si>
  <si>
    <t>SKA611MHVC 660</t>
    <phoneticPr fontId="1" type="noConversion"/>
  </si>
  <si>
    <t>SKF185-S</t>
    <phoneticPr fontId="2"/>
  </si>
  <si>
    <t>SKY_P660</t>
    <phoneticPr fontId="2"/>
  </si>
  <si>
    <t>SL65-72MAJ-545C</t>
  </si>
  <si>
    <t>SLE185S-24/Adb+</t>
    <phoneticPr fontId="1" type="noConversion"/>
  </si>
  <si>
    <t>SM660-285</t>
    <phoneticPr fontId="2"/>
  </si>
  <si>
    <t>SolarF_185</t>
    <phoneticPr fontId="2"/>
  </si>
  <si>
    <t>Solarfrontier_175</t>
  </si>
  <si>
    <t>Solarfrontier_185</t>
  </si>
  <si>
    <t>SPP090QH1S</t>
    <phoneticPr fontId="1" type="noConversion"/>
  </si>
  <si>
    <t>SPP090QH1S　3直列</t>
    <rPh sb="12" eb="14">
      <t>ﾁｮｸﾚﾂ</t>
    </rPh>
    <phoneticPr fontId="1" type="noConversion"/>
  </si>
  <si>
    <t>SPP090QH1S　4集電</t>
    <rPh sb="12" eb="14">
      <t>ｼｭｳﾃﾞﾝ</t>
    </rPh>
    <phoneticPr fontId="1" type="noConversion"/>
  </si>
  <si>
    <t>SP-P19_400</t>
  </si>
  <si>
    <t>SPP365QHES</t>
    <phoneticPr fontId="1" type="noConversion"/>
  </si>
  <si>
    <t>SPP375QHES</t>
    <phoneticPr fontId="1" type="noConversion"/>
  </si>
  <si>
    <t>SPR_390_1</t>
    <phoneticPr fontId="2"/>
  </si>
  <si>
    <t>SPR-210N-WHT-J</t>
    <phoneticPr fontId="2"/>
  </si>
  <si>
    <t>SPR-240NE-WHT-J</t>
    <phoneticPr fontId="1" type="noConversion"/>
  </si>
  <si>
    <t>SPR-250NE-WHT-J</t>
    <phoneticPr fontId="1" type="noConversion"/>
  </si>
  <si>
    <t>SPR-253NX-WHT-J</t>
    <phoneticPr fontId="1" type="noConversion"/>
  </si>
  <si>
    <t>SPR-327</t>
  </si>
  <si>
    <t>SPR-E0-327-COM</t>
    <phoneticPr fontId="2"/>
  </si>
  <si>
    <t>SPR-E20-327-COM</t>
    <phoneticPr fontId="2"/>
  </si>
  <si>
    <t>SPR-MAX3-400</t>
    <phoneticPr fontId="2"/>
  </si>
  <si>
    <t>SPR-P19_390</t>
    <phoneticPr fontId="2"/>
  </si>
  <si>
    <t>SPR-P19_400</t>
    <phoneticPr fontId="2"/>
  </si>
  <si>
    <t>SPR-P19-400-COM</t>
    <phoneticPr fontId="2"/>
  </si>
  <si>
    <t>SPR-P19-405-COM</t>
    <phoneticPr fontId="2"/>
  </si>
  <si>
    <t>SPR-P3-415-COM</t>
    <phoneticPr fontId="2"/>
  </si>
  <si>
    <t>SPR-P3-480-COM</t>
    <phoneticPr fontId="2"/>
  </si>
  <si>
    <t>SPR-P3-480-UPP</t>
    <phoneticPr fontId="2"/>
  </si>
  <si>
    <t>SPR-P-415-BLK</t>
    <phoneticPr fontId="2"/>
  </si>
  <si>
    <t>SPR-P5-520-UPP</t>
    <phoneticPr fontId="2"/>
  </si>
  <si>
    <t>SPR-P5-520-UPP-2</t>
    <phoneticPr fontId="2"/>
  </si>
  <si>
    <t>SPR-P5-530-UPP</t>
    <phoneticPr fontId="2"/>
  </si>
  <si>
    <t>SPR-P5-530-UPP-2</t>
    <phoneticPr fontId="2"/>
  </si>
  <si>
    <t>SPR-P5-535-UPP</t>
    <phoneticPr fontId="2"/>
  </si>
  <si>
    <t>SPR-P5-535-UPP-2</t>
    <phoneticPr fontId="2"/>
  </si>
  <si>
    <t>SPR-P5-545-UPP</t>
    <phoneticPr fontId="2"/>
  </si>
  <si>
    <t>SPR-P5-545-UPP-2</t>
    <phoneticPr fontId="2"/>
  </si>
  <si>
    <t>SPR-P6-500-COM-S-BF</t>
    <phoneticPr fontId="2"/>
  </si>
  <si>
    <t>SPR-P6-500-COM-S-BF-2</t>
    <phoneticPr fontId="2"/>
  </si>
  <si>
    <t>SPR-P6-535-COM-M-BF</t>
    <phoneticPr fontId="2"/>
  </si>
  <si>
    <t>SPR-P6-535-COM-M-BF-2</t>
    <phoneticPr fontId="2"/>
  </si>
  <si>
    <t>SPR-P6-540-COM-M-BF</t>
    <phoneticPr fontId="2"/>
  </si>
  <si>
    <t>SPR-P6-540-COM-M-BF-2</t>
    <phoneticPr fontId="2"/>
  </si>
  <si>
    <t>SPR-P6-545-COM-M-BF</t>
  </si>
  <si>
    <t>SPR-P6-545-COM-M-BF-2</t>
    <phoneticPr fontId="2"/>
  </si>
  <si>
    <t>SPR-P6-550-COM-M-BF</t>
    <phoneticPr fontId="2"/>
  </si>
  <si>
    <t>SPR-P6-550-COM-M-BF-2</t>
    <phoneticPr fontId="2"/>
  </si>
  <si>
    <t>SPR-X21-265</t>
    <phoneticPr fontId="1" type="noConversion"/>
  </si>
  <si>
    <t>SPR-X21-345</t>
    <phoneticPr fontId="2"/>
  </si>
  <si>
    <t>SPR-X22-360</t>
    <phoneticPr fontId="1" type="noConversion"/>
  </si>
  <si>
    <t>SRM308P-72N</t>
    <phoneticPr fontId="2"/>
  </si>
  <si>
    <t>SRM440M-72H</t>
    <phoneticPr fontId="2"/>
  </si>
  <si>
    <t>SRP-535-BMA-HV</t>
    <phoneticPr fontId="2"/>
  </si>
  <si>
    <t>SRP-550-BMA-BG</t>
    <phoneticPr fontId="2"/>
  </si>
  <si>
    <t>STP_275-20</t>
    <phoneticPr fontId="2"/>
  </si>
  <si>
    <t>STP_300S</t>
    <phoneticPr fontId="2"/>
  </si>
  <si>
    <t>STP190S-24/Ad+</t>
    <phoneticPr fontId="2"/>
  </si>
  <si>
    <t>STP195S-24/Ad+</t>
    <phoneticPr fontId="2"/>
  </si>
  <si>
    <t>STP245-20/Wd</t>
    <phoneticPr fontId="2"/>
  </si>
  <si>
    <t>STP245-20/Wd　（集電）</t>
    <phoneticPr fontId="2"/>
  </si>
  <si>
    <t>STP270-20/Wem</t>
    <phoneticPr fontId="2"/>
  </si>
  <si>
    <t>STP280-20/Wfw</t>
    <phoneticPr fontId="2"/>
  </si>
  <si>
    <t>STP295-24/Ve</t>
    <phoneticPr fontId="2"/>
  </si>
  <si>
    <t>STP295-24/Ve（集電）</t>
    <phoneticPr fontId="2"/>
  </si>
  <si>
    <t>STP320S-20/Wfh</t>
    <phoneticPr fontId="2"/>
  </si>
  <si>
    <t>STP375S-B60/Wnh</t>
    <phoneticPr fontId="1" type="noConversion"/>
  </si>
  <si>
    <t>STP375S-B60/Wnhｍ</t>
    <phoneticPr fontId="1" type="noConversion"/>
  </si>
  <si>
    <t>STP380S-B60/Wnh</t>
    <phoneticPr fontId="2"/>
  </si>
  <si>
    <t>STP395-A72/vfh</t>
    <phoneticPr fontId="2"/>
  </si>
  <si>
    <t>STP395S-A72/Vfh</t>
    <phoneticPr fontId="2"/>
  </si>
  <si>
    <t>STP410S-C54/Umh</t>
    <phoneticPr fontId="2"/>
  </si>
  <si>
    <t>STP545SC72/Vmh</t>
    <phoneticPr fontId="2"/>
  </si>
  <si>
    <t>STP560SC72/Nmh+</t>
    <phoneticPr fontId="2"/>
  </si>
  <si>
    <t>STP560SC72/Nmh+-2</t>
    <phoneticPr fontId="2"/>
  </si>
  <si>
    <t>STP565SC72/Nmh+</t>
    <phoneticPr fontId="2"/>
  </si>
  <si>
    <t>STP565SC72/Nmh+-2</t>
    <phoneticPr fontId="2"/>
  </si>
  <si>
    <t>STP580S-C72/Nsh</t>
    <phoneticPr fontId="2"/>
  </si>
  <si>
    <t>STP585S-C72/Nsh</t>
    <phoneticPr fontId="2"/>
  </si>
  <si>
    <t>STP585S-C72/Nsh（両面）</t>
    <phoneticPr fontId="2"/>
  </si>
  <si>
    <t>STP5S-0/Wfw</t>
    <phoneticPr fontId="2"/>
  </si>
  <si>
    <t>SU45T-02</t>
    <phoneticPr fontId="1" type="noConversion"/>
  </si>
  <si>
    <t>SU60T-02</t>
    <phoneticPr fontId="1" type="noConversion"/>
  </si>
  <si>
    <t>Sun_390</t>
  </si>
  <si>
    <t>Sunforte_327</t>
  </si>
  <si>
    <t>Sunpower_390</t>
    <phoneticPr fontId="2"/>
  </si>
  <si>
    <t>SUNPower_435_1</t>
    <phoneticPr fontId="2"/>
  </si>
  <si>
    <t>SW 250 poly</t>
    <phoneticPr fontId="1" type="noConversion"/>
  </si>
  <si>
    <t>SW 250 poly（集電）</t>
    <rPh sb="12" eb="14">
      <t>ｼｭｳﾃﾞﾝ</t>
    </rPh>
    <phoneticPr fontId="1" type="noConversion"/>
  </si>
  <si>
    <t>SW300</t>
    <phoneticPr fontId="2"/>
  </si>
  <si>
    <t>TA54E400WA/H</t>
    <phoneticPr fontId="2"/>
  </si>
  <si>
    <t>TA60E335WA/H</t>
    <phoneticPr fontId="2"/>
  </si>
  <si>
    <t>TA60E375WA/H</t>
    <phoneticPr fontId="2"/>
  </si>
  <si>
    <t>TA60M250WA/E</t>
    <phoneticPr fontId="2"/>
  </si>
  <si>
    <t>TA60R270WA/E</t>
    <phoneticPr fontId="2"/>
  </si>
  <si>
    <t>TA72E390WB/H</t>
    <phoneticPr fontId="2"/>
  </si>
  <si>
    <t>TAKESUN</t>
    <phoneticPr fontId="2"/>
  </si>
  <si>
    <t>TALESUN_TP660(270)</t>
  </si>
  <si>
    <t>TALESUN_TP672(300)</t>
  </si>
  <si>
    <t>TALLMAX_330</t>
    <phoneticPr fontId="2"/>
  </si>
  <si>
    <t>TALLMAX_335</t>
    <phoneticPr fontId="2"/>
  </si>
  <si>
    <t>TC72E545WA/H</t>
    <phoneticPr fontId="1" type="noConversion"/>
  </si>
  <si>
    <t>TC72E550WA/H</t>
    <phoneticPr fontId="1" type="noConversion"/>
  </si>
  <si>
    <t>TE_325</t>
  </si>
  <si>
    <t>THM545MH-72</t>
    <phoneticPr fontId="2"/>
  </si>
  <si>
    <t>ＴＭ６０Ｍ２５０ＷＡ</t>
    <phoneticPr fontId="2"/>
  </si>
  <si>
    <t>toshiba_270</t>
  </si>
  <si>
    <t>Toshiba_285</t>
  </si>
  <si>
    <t>toshiba_310</t>
  </si>
  <si>
    <t>TP6F72M-410</t>
    <phoneticPr fontId="2"/>
  </si>
  <si>
    <t>TP6H60M-330</t>
    <phoneticPr fontId="2"/>
  </si>
  <si>
    <t>Trina_275</t>
  </si>
  <si>
    <t>Trina_275_</t>
  </si>
  <si>
    <t>Trina_285</t>
  </si>
  <si>
    <t>Trina_285_</t>
  </si>
  <si>
    <t>Trina_285_2</t>
    <phoneticPr fontId="2"/>
  </si>
  <si>
    <t>Trina_285PD05</t>
  </si>
  <si>
    <t>Trina_290_2</t>
    <phoneticPr fontId="2"/>
  </si>
  <si>
    <t>Trina_295_2</t>
    <phoneticPr fontId="2"/>
  </si>
  <si>
    <t>Trina_300</t>
  </si>
  <si>
    <t>Trina_300_2</t>
    <phoneticPr fontId="2"/>
  </si>
  <si>
    <t>Trina_305</t>
  </si>
  <si>
    <t>Trina_310</t>
  </si>
  <si>
    <t>Trina_315</t>
  </si>
  <si>
    <t>Trina_330</t>
  </si>
  <si>
    <t>Trina_330_3</t>
    <phoneticPr fontId="2"/>
  </si>
  <si>
    <t>Trina_335</t>
  </si>
  <si>
    <t>Trina_340</t>
  </si>
  <si>
    <t>Trina_340_1</t>
  </si>
  <si>
    <t>Trina_345</t>
    <phoneticPr fontId="2"/>
  </si>
  <si>
    <t>Trina_360_1</t>
    <phoneticPr fontId="2"/>
  </si>
  <si>
    <t>Trina-400</t>
    <phoneticPr fontId="2"/>
  </si>
  <si>
    <t>Trina495</t>
    <phoneticPr fontId="2"/>
  </si>
  <si>
    <t>Trina-B-415</t>
    <phoneticPr fontId="2"/>
  </si>
  <si>
    <t>Trina-B-415-2</t>
    <phoneticPr fontId="2"/>
  </si>
  <si>
    <t>TSH_270</t>
  </si>
  <si>
    <t>TSM_270</t>
    <phoneticPr fontId="2"/>
  </si>
  <si>
    <t>TSM_280</t>
    <phoneticPr fontId="2"/>
  </si>
  <si>
    <t>TSM-205DC80.08</t>
    <phoneticPr fontId="1" type="noConversion"/>
  </si>
  <si>
    <t>TSM-210DC80.08</t>
    <phoneticPr fontId="2"/>
  </si>
  <si>
    <t>TSM-250PC05A</t>
    <phoneticPr fontId="2"/>
  </si>
  <si>
    <t>TSM-260PD05</t>
    <phoneticPr fontId="2"/>
  </si>
  <si>
    <t>TSM-270 PD05</t>
    <phoneticPr fontId="2"/>
  </si>
  <si>
    <t>TSM-315DE0H.08(II)</t>
    <phoneticPr fontId="2"/>
  </si>
  <si>
    <t>TSM360-72</t>
    <phoneticPr fontId="2"/>
  </si>
  <si>
    <t>TSM-375DD14A(II)</t>
    <phoneticPr fontId="2"/>
  </si>
  <si>
    <t>TSM-375DE08M(II)</t>
    <phoneticPr fontId="2"/>
  </si>
  <si>
    <t>TSM-400DE09</t>
    <phoneticPr fontId="2"/>
  </si>
  <si>
    <t>TSM-400DE15M(II)</t>
    <phoneticPr fontId="2"/>
  </si>
  <si>
    <t>TSM-405DE09</t>
    <phoneticPr fontId="2"/>
  </si>
  <si>
    <t>TSM-405DE15M(II)</t>
    <phoneticPr fontId="2"/>
  </si>
  <si>
    <t>TSM-410DE09</t>
    <phoneticPr fontId="2"/>
  </si>
  <si>
    <t>TSM-415DE15M(II)</t>
    <phoneticPr fontId="2"/>
  </si>
  <si>
    <t>TSM-425DE09R</t>
    <phoneticPr fontId="2"/>
  </si>
  <si>
    <t>TSM-425NEG9R.28</t>
    <phoneticPr fontId="2"/>
  </si>
  <si>
    <t>TSM-435DE09R</t>
    <phoneticPr fontId="2"/>
  </si>
  <si>
    <t>TSM-440DE17M(Ⅱ)</t>
    <phoneticPr fontId="2"/>
  </si>
  <si>
    <t>TSM-440NEG9R.28</t>
    <phoneticPr fontId="2"/>
  </si>
  <si>
    <t>TSM-450DE17M（Ⅱ）</t>
    <phoneticPr fontId="2"/>
  </si>
  <si>
    <t>TSM-455DE17M(II)</t>
    <phoneticPr fontId="2"/>
  </si>
  <si>
    <t>TSM-455NEG9R.28</t>
  </si>
  <si>
    <t>TSM-480DE18M(II)</t>
    <phoneticPr fontId="2"/>
  </si>
  <si>
    <t>TSM-490NEG18R.20</t>
    <phoneticPr fontId="1" type="noConversion"/>
  </si>
  <si>
    <t>TSM-495DE18M(II)</t>
    <phoneticPr fontId="2"/>
  </si>
  <si>
    <t>TSM-495DEG18MC.20(II)</t>
    <phoneticPr fontId="2"/>
  </si>
  <si>
    <t>TSM-495DEG18MC.20(II)-2</t>
    <phoneticPr fontId="2"/>
  </si>
  <si>
    <t>TSM-500DE18M(II)</t>
    <phoneticPr fontId="2"/>
  </si>
  <si>
    <t>TSM-500DEG18MC.20(II)</t>
    <phoneticPr fontId="2"/>
  </si>
  <si>
    <t>TSM-500DEG18MC.20(II)-2</t>
    <phoneticPr fontId="2"/>
  </si>
  <si>
    <t>TSM-500NEG18R.28</t>
    <phoneticPr fontId="1" type="noConversion"/>
  </si>
  <si>
    <t>TSM-505DE18M(II)</t>
    <phoneticPr fontId="2"/>
  </si>
  <si>
    <t>TSM-510DE18M(II)</t>
    <phoneticPr fontId="2"/>
  </si>
  <si>
    <t>TSM-510NEG18R.28</t>
    <phoneticPr fontId="1" type="noConversion"/>
  </si>
  <si>
    <t>TSM-535DEG19C.20</t>
    <phoneticPr fontId="2"/>
  </si>
  <si>
    <t>TSM-540DE19</t>
    <phoneticPr fontId="2"/>
  </si>
  <si>
    <t>TSM-545DE19</t>
    <phoneticPr fontId="2"/>
  </si>
  <si>
    <t>TSM-545DEG19C.20</t>
    <phoneticPr fontId="2"/>
  </si>
  <si>
    <t>TSM-545DEG19C.20-2</t>
    <phoneticPr fontId="2"/>
  </si>
  <si>
    <t>TSM-555DE19</t>
    <phoneticPr fontId="2"/>
  </si>
  <si>
    <t>TSM-555DE19R</t>
    <phoneticPr fontId="2"/>
  </si>
  <si>
    <t>TSM-560DE19R</t>
    <phoneticPr fontId="2"/>
  </si>
  <si>
    <t>TSM-565DE19R</t>
    <phoneticPr fontId="2"/>
  </si>
  <si>
    <t>TSM-570DE19R</t>
    <phoneticPr fontId="2"/>
  </si>
  <si>
    <t>TSM-575DE19R</t>
    <phoneticPr fontId="2"/>
  </si>
  <si>
    <t>TSM-580DE19R</t>
    <phoneticPr fontId="2"/>
  </si>
  <si>
    <t>TSM-580NEG19MR.20</t>
    <phoneticPr fontId="1" type="noConversion"/>
  </si>
  <si>
    <t>TSM-580NEG19MR.20-2</t>
  </si>
  <si>
    <t>TSM-585NEG19MR.20</t>
    <phoneticPr fontId="1" type="noConversion"/>
  </si>
  <si>
    <t>TSM-585NEG19MR.20-2</t>
    <phoneticPr fontId="1" type="noConversion"/>
  </si>
  <si>
    <t>TSM-600DE20</t>
    <phoneticPr fontId="2"/>
  </si>
  <si>
    <t>TSM-600NEG19R.20</t>
    <phoneticPr fontId="2"/>
  </si>
  <si>
    <t>TSM-600NEG19R.20-2</t>
    <phoneticPr fontId="2"/>
  </si>
  <si>
    <t>TSM-605DE20</t>
    <phoneticPr fontId="2"/>
  </si>
  <si>
    <t>TSM-605NE19R</t>
    <phoneticPr fontId="1" type="noConversion"/>
  </si>
  <si>
    <t>TSM-605NEG19MR.20</t>
    <phoneticPr fontId="2"/>
  </si>
  <si>
    <t>TSM-605NEG19MR.20-2</t>
    <phoneticPr fontId="2"/>
  </si>
  <si>
    <t>TSM-605NEG19R.20</t>
    <phoneticPr fontId="2"/>
  </si>
  <si>
    <t>TSM-605NEG19R.20-2</t>
    <phoneticPr fontId="2"/>
  </si>
  <si>
    <t>TSM-610DE20</t>
    <phoneticPr fontId="2"/>
  </si>
  <si>
    <t>TSM-615NEG20C.20</t>
    <phoneticPr fontId="2"/>
  </si>
  <si>
    <t>TSM-615NEG20C.20-2</t>
    <phoneticPr fontId="2"/>
  </si>
  <si>
    <t>TSM-650DE21</t>
    <phoneticPr fontId="2"/>
  </si>
  <si>
    <t>TSM-650NEG20C.20</t>
    <phoneticPr fontId="2"/>
  </si>
  <si>
    <t>TSM-650NEG20C.20（両面）</t>
    <rPh sb="17" eb="19">
      <t>ﾘｮｳﾒﾝ</t>
    </rPh>
    <phoneticPr fontId="1" type="noConversion"/>
  </si>
  <si>
    <t>TSM-655DE21</t>
    <phoneticPr fontId="2"/>
  </si>
  <si>
    <t>TSM-655DEG21C.20</t>
    <phoneticPr fontId="2"/>
  </si>
  <si>
    <t>TSM-655DEG21C.20-2</t>
    <phoneticPr fontId="2"/>
  </si>
  <si>
    <t>TSM-660DE21</t>
    <phoneticPr fontId="2"/>
  </si>
  <si>
    <t>TSM-665DE21</t>
    <phoneticPr fontId="2"/>
  </si>
  <si>
    <t>TSM-665DEG21C.20</t>
    <phoneticPr fontId="2"/>
  </si>
  <si>
    <t>TSM-665DEG21C.20-2</t>
    <phoneticPr fontId="2"/>
  </si>
  <si>
    <t>TSM-670DE21</t>
    <phoneticPr fontId="2"/>
  </si>
  <si>
    <t>TSM-670DEG21C.20</t>
    <phoneticPr fontId="2"/>
  </si>
  <si>
    <t>TSM-670DEG21C.20-2</t>
    <phoneticPr fontId="2"/>
  </si>
  <si>
    <t>TSM-680NEG21C.20</t>
    <phoneticPr fontId="2"/>
  </si>
  <si>
    <t>TSM-680NEG21C.20-2</t>
    <phoneticPr fontId="2"/>
  </si>
  <si>
    <t>TSM-690NEG21C.20</t>
    <phoneticPr fontId="2"/>
  </si>
  <si>
    <t>TSM-690NEG21C.20-2</t>
    <phoneticPr fontId="2"/>
  </si>
  <si>
    <t>TSM-DD05A.08-310</t>
    <phoneticPr fontId="2"/>
  </si>
  <si>
    <t>TSM-DE06M(II)-340</t>
    <phoneticPr fontId="2"/>
  </si>
  <si>
    <t>TSM-DE06M(II)-345</t>
    <phoneticPr fontId="2"/>
  </si>
  <si>
    <t>TSMDE08M(II)-375</t>
    <phoneticPr fontId="2"/>
  </si>
  <si>
    <t>TSM-DE08M(II)-375</t>
    <phoneticPr fontId="2"/>
  </si>
  <si>
    <t>TSM-DE08M(II)-380</t>
    <phoneticPr fontId="2"/>
  </si>
  <si>
    <t>TSM-DE09.08 400W</t>
    <phoneticPr fontId="2"/>
  </si>
  <si>
    <t>TSM-DE09.08 500W</t>
    <phoneticPr fontId="2"/>
  </si>
  <si>
    <t>TSM-DE09-405</t>
    <phoneticPr fontId="2"/>
  </si>
  <si>
    <t>TSM-DE14H(2)-380</t>
    <phoneticPr fontId="2"/>
  </si>
  <si>
    <t>TSM-DE15M.20(II)-405</t>
    <phoneticPr fontId="2"/>
  </si>
  <si>
    <t>TSM-DE17M（II）-455</t>
    <phoneticPr fontId="2"/>
  </si>
  <si>
    <t>TSM-DE18M(II)-505</t>
    <phoneticPr fontId="2"/>
  </si>
  <si>
    <t>TSM-DE18M(II)-510</t>
    <phoneticPr fontId="2"/>
  </si>
  <si>
    <t>TSM-DE18M(II)-515</t>
    <phoneticPr fontId="2"/>
  </si>
  <si>
    <t>TSM-DE19-550</t>
    <phoneticPr fontId="2"/>
  </si>
  <si>
    <t>TSM-DE20-600</t>
    <phoneticPr fontId="2"/>
  </si>
  <si>
    <t>TSM-DE21-650</t>
    <phoneticPr fontId="2"/>
  </si>
  <si>
    <t>TSM-DE21-655</t>
    <phoneticPr fontId="2"/>
  </si>
  <si>
    <t>TSM-DE21-660</t>
    <phoneticPr fontId="2"/>
  </si>
  <si>
    <t>TSM-DEG15M.20(II)</t>
    <phoneticPr fontId="2"/>
  </si>
  <si>
    <t>TSMDEG17MC.20(II)-430</t>
    <phoneticPr fontId="2"/>
  </si>
  <si>
    <t>TSM-DEG17MC.20(II)-430</t>
    <phoneticPr fontId="2"/>
  </si>
  <si>
    <t>TSMDEG17MC.20(II)-430-2</t>
    <phoneticPr fontId="2"/>
  </si>
  <si>
    <t>TSM-DEG17MC.20(II)-430-2</t>
    <phoneticPr fontId="2"/>
  </si>
  <si>
    <t>TSMDEG17MC.20(II)-450</t>
    <phoneticPr fontId="2"/>
  </si>
  <si>
    <t>TSM-DEG17MC.20(II)-450</t>
    <phoneticPr fontId="2"/>
  </si>
  <si>
    <t>TSMDEG17MC.20(II)-450-2</t>
    <phoneticPr fontId="2"/>
  </si>
  <si>
    <t>TSM-DEG17MC.20(II)-450-2</t>
    <phoneticPr fontId="2"/>
  </si>
  <si>
    <t>TSM-DEG18C20-550</t>
    <phoneticPr fontId="2"/>
  </si>
  <si>
    <t>TSM-DEG18C20-550-2</t>
    <phoneticPr fontId="2"/>
  </si>
  <si>
    <t>TSM-DEG19C-545</t>
    <phoneticPr fontId="2"/>
  </si>
  <si>
    <t>TSM-DEG19C-545-2</t>
    <phoneticPr fontId="2"/>
  </si>
  <si>
    <t>TSM-DEG19C-550</t>
    <phoneticPr fontId="2"/>
  </si>
  <si>
    <t>TSM-DEG19C-550-2</t>
    <phoneticPr fontId="2"/>
  </si>
  <si>
    <t>TSM-DEG20C.20-595</t>
    <phoneticPr fontId="2"/>
  </si>
  <si>
    <t>TSM-DEG21C.20-650</t>
    <phoneticPr fontId="2"/>
  </si>
  <si>
    <t>TSM-DEG21C.20-650-2</t>
    <phoneticPr fontId="2"/>
  </si>
  <si>
    <t>TSM-DEG21C.20-660</t>
    <phoneticPr fontId="2"/>
  </si>
  <si>
    <t>TSM-DEG21C.20-660-2</t>
    <phoneticPr fontId="2"/>
  </si>
  <si>
    <t>TSM-DEG21C.20-665</t>
    <phoneticPr fontId="2"/>
  </si>
  <si>
    <t>TSM-DEG21C.20-665-2</t>
    <phoneticPr fontId="2"/>
  </si>
  <si>
    <t>TSM-DEG21C.20-665-T</t>
    <phoneticPr fontId="2"/>
  </si>
  <si>
    <t>TSM-DEG21C20-660</t>
    <phoneticPr fontId="2"/>
  </si>
  <si>
    <t>TSM-DEG21C20-660-2</t>
    <phoneticPr fontId="2"/>
  </si>
  <si>
    <t>TSM-DEG21MC.20-645</t>
    <phoneticPr fontId="2"/>
  </si>
  <si>
    <t>TSM-DEG21MC.20-645-2</t>
    <phoneticPr fontId="2"/>
  </si>
  <si>
    <t>TSM-NE19R 595</t>
  </si>
  <si>
    <t>TSM-NE19R 600</t>
  </si>
  <si>
    <t>TSM-NE19R 605</t>
  </si>
  <si>
    <t>TSM-NE19R 610</t>
  </si>
  <si>
    <t>TSM-NE19R 615</t>
  </si>
  <si>
    <t>TSM-NE19R 620</t>
  </si>
  <si>
    <t>TSM-NE19R 625</t>
  </si>
  <si>
    <t>TSM-NE19R 630</t>
  </si>
  <si>
    <t>TSM-NE21 695</t>
  </si>
  <si>
    <t>TSM-NE21 700</t>
  </si>
  <si>
    <t>TSM-NE21 705</t>
  </si>
  <si>
    <t>TSM-NE21 710</t>
  </si>
  <si>
    <t>TSM-NE21 715</t>
  </si>
  <si>
    <t>TSM-NE21 720</t>
  </si>
  <si>
    <t>TSM-NEG16MC.20(Ⅱ)</t>
    <phoneticPr fontId="2"/>
  </si>
  <si>
    <t>TSM-NEG16MC.20(Ⅱ)-2</t>
    <phoneticPr fontId="2"/>
  </si>
  <si>
    <t>TSM-NEG18R.2X 475</t>
  </si>
  <si>
    <t>TSM-NEG18R.2X 480</t>
  </si>
  <si>
    <t>TSM-NEG18R.2X 485</t>
  </si>
  <si>
    <t>TSM-NEG18R.2X 490</t>
  </si>
  <si>
    <t>TSM-NEG18R.2X 495</t>
  </si>
  <si>
    <t>TSM-NEG18R.2X 500</t>
  </si>
  <si>
    <t>TSM-NEG18R.2X 505</t>
  </si>
  <si>
    <t>TSM-NEG18R.2X 510</t>
  </si>
  <si>
    <t>TSM-NEG18R.2X 515</t>
  </si>
  <si>
    <t>TSM-NEG19RC.20 580</t>
  </si>
  <si>
    <t>TSM-NEG19RC.20 585</t>
  </si>
  <si>
    <t>TSM-NEG19RC.20 590</t>
  </si>
  <si>
    <t>TSM-NEG19RC.20 595</t>
  </si>
  <si>
    <t>TSM-NEG19RC.20 600</t>
  </si>
  <si>
    <t>TSM-NEG19RC.20 605</t>
  </si>
  <si>
    <t>TSM-NEG19RC.20 610</t>
  </si>
  <si>
    <t>TSM-NEG19RC.20 615</t>
  </si>
  <si>
    <t>TSM-NEG19RC.20 620</t>
  </si>
  <si>
    <t>TSM-NEG19RC.20 625</t>
  </si>
  <si>
    <t>TSM-NEG19RC.20 630</t>
  </si>
  <si>
    <t>TSM-NEG19RC.20 640</t>
  </si>
  <si>
    <t>TSM-NEG19RC.20 645</t>
  </si>
  <si>
    <t>TSM-NEG19RC.20 650</t>
  </si>
  <si>
    <t>TSM-NEG19RC.20 655</t>
  </si>
  <si>
    <t>TSM-NEG19RC.20 660</t>
  </si>
  <si>
    <t>TSM-NEG19RC.20 665</t>
  </si>
  <si>
    <t>TSM-NEG20C.20 615</t>
  </si>
  <si>
    <t>TSM-NEG20C.20 620</t>
  </si>
  <si>
    <t>TSM-NEG20C.20 625</t>
  </si>
  <si>
    <t>TSM-NEG20C.20 630</t>
  </si>
  <si>
    <t>TSM-NEG20C.20 635</t>
  </si>
  <si>
    <t>TSM-NEG20C.20 640</t>
  </si>
  <si>
    <t>TSM-NEG20C.20 645</t>
  </si>
  <si>
    <t>TSM-NEG20C.20 650</t>
  </si>
  <si>
    <t>TSM-NEG20C.20 655</t>
  </si>
  <si>
    <t>TSM-NEG21C.20 695</t>
  </si>
  <si>
    <t>TSM-NEG21C.20 700</t>
  </si>
  <si>
    <t>TSM-NEG21C.20 705</t>
  </si>
  <si>
    <t>TSM-NEG21C.20 710</t>
  </si>
  <si>
    <t>TSM-NEG21C.20 715</t>
  </si>
  <si>
    <t>TSM-NEG21C.20 720</t>
  </si>
  <si>
    <t>TSM-NEG21C.20 725</t>
  </si>
  <si>
    <t>TSM-NEG21C.20 730</t>
  </si>
  <si>
    <t>TSM-NEG21C.20 735</t>
  </si>
  <si>
    <t>TSM-NEG21C.20 740</t>
  </si>
  <si>
    <t>TSM-NEG9R.25/.28 430</t>
  </si>
  <si>
    <t>TSM-NEG9R.25/.28 435</t>
  </si>
  <si>
    <t>TSM-NEG9R.25/.28 440</t>
  </si>
  <si>
    <t>TSM-NEG9R.25/.28 445</t>
  </si>
  <si>
    <t>TSM-NEG9R.25/.28 450</t>
  </si>
  <si>
    <t>TSM-NEG9R.25/.28 455</t>
  </si>
  <si>
    <t>TSM-NEG9R.25/.28 460</t>
  </si>
  <si>
    <t>TSM-NEG9R.2X 465</t>
  </si>
  <si>
    <t>TSM-NEG9R.2X 470</t>
  </si>
  <si>
    <t>TSM-NEG9R.2X 475</t>
  </si>
  <si>
    <t>TSM-NEG9R.2X 480</t>
  </si>
  <si>
    <t>TSM-NEG9R.2X 485</t>
  </si>
  <si>
    <t>TSM-NEG9R.2X 490</t>
  </si>
  <si>
    <t>TSM-NEG9R.2X 495</t>
  </si>
  <si>
    <t>TSM-NEG9RC.27 420</t>
  </si>
  <si>
    <t>TSM-NEG9RC.27 425</t>
  </si>
  <si>
    <t>TSM-NEG9RC.27 430</t>
  </si>
  <si>
    <t>TSM-NEG9RC.27 435</t>
  </si>
  <si>
    <t>TSM-NEG9RC.27 440</t>
  </si>
  <si>
    <t>TSM-NEG9RC.27 445</t>
  </si>
  <si>
    <t>TSM-NEG9RC.27 450</t>
  </si>
  <si>
    <t>TSM-PD05-275</t>
    <phoneticPr fontId="2"/>
  </si>
  <si>
    <t>TSM-PD14_325</t>
  </si>
  <si>
    <t>TSM-PD14_330</t>
  </si>
  <si>
    <t>TYM195NOAK-HX54</t>
    <phoneticPr fontId="1" type="noConversion"/>
  </si>
  <si>
    <t>TYM195NOAK-HX54（2集電）</t>
    <rPh sb="17" eb="19">
      <t>ｼｭｳﾃﾞﾝ</t>
    </rPh>
    <phoneticPr fontId="1" type="noConversion"/>
  </si>
  <si>
    <t>TYM200NOAK-HX54</t>
    <phoneticPr fontId="1" type="noConversion"/>
  </si>
  <si>
    <t>TYM200NOAK-HX54（2集電）</t>
    <rPh sb="17" eb="19">
      <t>ｼｭｳﾃﾞﾝ</t>
    </rPh>
    <phoneticPr fontId="1" type="noConversion"/>
  </si>
  <si>
    <t>TYM205NOAK-HX54</t>
    <phoneticPr fontId="1" type="noConversion"/>
  </si>
  <si>
    <t>TYM205NOAK-HX54（2集電）</t>
    <rPh sb="17" eb="19">
      <t>ｼｭｳﾃﾞﾝ</t>
    </rPh>
    <phoneticPr fontId="1" type="noConversion"/>
  </si>
  <si>
    <t>TYM210NOAK-HX54</t>
    <phoneticPr fontId="1" type="noConversion"/>
  </si>
  <si>
    <t>TYM210NOAK-HX54（2集電）</t>
    <rPh sb="17" eb="19">
      <t>ｼｭｳﾃﾞﾝ</t>
    </rPh>
    <phoneticPr fontId="1" type="noConversion"/>
  </si>
  <si>
    <t xml:space="preserve">TYM405HANE-AL-SHX </t>
    <phoneticPr fontId="1" type="noConversion"/>
  </si>
  <si>
    <t>TYM410HANE-AL-SHX-S3</t>
    <phoneticPr fontId="1" type="noConversion"/>
  </si>
  <si>
    <t>TYM530NORN-AL-HX</t>
    <phoneticPr fontId="1" type="noConversion"/>
  </si>
  <si>
    <t>TYM535NORN-AL-HX</t>
    <phoneticPr fontId="1" type="noConversion"/>
  </si>
  <si>
    <t>TYM540NORN-AL-HX</t>
    <phoneticPr fontId="1" type="noConversion"/>
  </si>
  <si>
    <t>TYM545HANE-AL-SHX</t>
    <phoneticPr fontId="1" type="noConversion"/>
  </si>
  <si>
    <t>TYM545NORN-AL-HX</t>
    <phoneticPr fontId="1" type="noConversion"/>
  </si>
  <si>
    <t>TYM550GARN-AL-HX</t>
    <phoneticPr fontId="1" type="noConversion"/>
  </si>
  <si>
    <t>TYM550HANE-AL-SHX</t>
    <phoneticPr fontId="1" type="noConversion"/>
  </si>
  <si>
    <t>TYM550NORN-AL-HX</t>
    <phoneticPr fontId="1" type="noConversion"/>
  </si>
  <si>
    <t>TYM590NOLX-HX156</t>
    <phoneticPr fontId="1" type="noConversion"/>
  </si>
  <si>
    <t>TYM620 GALX-HXN156</t>
    <phoneticPr fontId="1" type="noConversion"/>
  </si>
  <si>
    <t>TYM620 GALX-HXN156-2</t>
    <phoneticPr fontId="1" type="noConversion"/>
  </si>
  <si>
    <t>UL-315M-60</t>
    <phoneticPr fontId="2"/>
  </si>
  <si>
    <t>UL-375M-72</t>
    <phoneticPr fontId="2"/>
  </si>
  <si>
    <t>UL-445M-144</t>
    <phoneticPr fontId="2"/>
  </si>
  <si>
    <t>ULｰ550Mｰ144HV</t>
    <phoneticPr fontId="2"/>
  </si>
  <si>
    <t>VBH13230T</t>
    <phoneticPr fontId="2"/>
  </si>
  <si>
    <t>VBHN070WJ01</t>
    <phoneticPr fontId="2"/>
  </si>
  <si>
    <t>VBHN120WJ01</t>
    <phoneticPr fontId="2"/>
  </si>
  <si>
    <t>VBHN233SJ01</t>
    <phoneticPr fontId="2"/>
  </si>
  <si>
    <t>VBHN240SJ21</t>
    <phoneticPr fontId="2"/>
  </si>
  <si>
    <t>VBHN244SJ33</t>
    <phoneticPr fontId="2"/>
  </si>
  <si>
    <t>VBHN245SJ33</t>
    <phoneticPr fontId="2"/>
  </si>
  <si>
    <t>VBHN245WJ01</t>
    <phoneticPr fontId="2"/>
  </si>
  <si>
    <t>VBHN247WJ01</t>
    <phoneticPr fontId="2"/>
  </si>
  <si>
    <t>VBHN248SJ31</t>
    <phoneticPr fontId="2"/>
  </si>
  <si>
    <t>VBHN250SJ33</t>
    <phoneticPr fontId="2"/>
  </si>
  <si>
    <t>VBHN250SJ44</t>
    <phoneticPr fontId="2"/>
  </si>
  <si>
    <t>VBHN250WJ01</t>
    <phoneticPr fontId="2"/>
  </si>
  <si>
    <t>VBHN252WJ01</t>
    <phoneticPr fontId="2"/>
  </si>
  <si>
    <t>VBM250EJ03N</t>
    <phoneticPr fontId="1" type="noConversion"/>
  </si>
  <si>
    <t>VBM300EJ02N</t>
    <phoneticPr fontId="1" type="noConversion"/>
  </si>
  <si>
    <t>VBM375EA01N</t>
    <phoneticPr fontId="2"/>
  </si>
  <si>
    <t>VBM375EJ01N</t>
    <phoneticPr fontId="1" type="noConversion"/>
  </si>
  <si>
    <t>VBMS245AJ01</t>
    <phoneticPr fontId="2"/>
  </si>
  <si>
    <t>VBMS245AJ01（集電）</t>
    <rPh sb="12" eb="14">
      <t>ｼｭｳﾃﾞﾝ</t>
    </rPh>
    <phoneticPr fontId="1" type="noConversion"/>
  </si>
  <si>
    <t>Vertex-595</t>
    <phoneticPr fontId="2"/>
  </si>
  <si>
    <t>VSUN375-120MH</t>
    <phoneticPr fontId="1" type="noConversion"/>
  </si>
  <si>
    <t>VSUN545-144BMH-DG</t>
    <phoneticPr fontId="2"/>
  </si>
  <si>
    <t>VSUN545-144BMH-DG-2</t>
    <phoneticPr fontId="2"/>
  </si>
  <si>
    <t>WEST5-72-205SI</t>
    <phoneticPr fontId="1" type="noConversion"/>
  </si>
  <si>
    <t>WS-200M-CH64</t>
    <phoneticPr fontId="1" type="noConversion"/>
  </si>
  <si>
    <t>WS-250M-182H64</t>
    <phoneticPr fontId="1" type="noConversion"/>
  </si>
  <si>
    <t>WS-280M-182H72Y</t>
    <phoneticPr fontId="1" type="noConversion"/>
  </si>
  <si>
    <t>WS-300M-CI60-BW</t>
    <phoneticPr fontId="1" type="noConversion"/>
  </si>
  <si>
    <t>WS-420M-182H108</t>
    <phoneticPr fontId="1" type="noConversion"/>
  </si>
  <si>
    <t>WS-455M-CH144</t>
    <phoneticPr fontId="1" type="noConversion"/>
  </si>
  <si>
    <t>XLB120-380LD</t>
    <phoneticPr fontId="1" type="noConversion"/>
  </si>
  <si>
    <t>XLB120-380LD-2</t>
    <phoneticPr fontId="1" type="noConversion"/>
  </si>
  <si>
    <t>XLJK-270PK</t>
    <phoneticPr fontId="2"/>
  </si>
  <si>
    <t>XLLN56-235SC</t>
    <phoneticPr fontId="1" type="noConversion"/>
  </si>
  <si>
    <t>XLM108-410X</t>
    <phoneticPr fontId="1" type="noConversion"/>
  </si>
  <si>
    <t>XLM108-415X</t>
    <phoneticPr fontId="1" type="noConversion"/>
  </si>
  <si>
    <t>XLM108-415X  接続箱</t>
    <rPh sb="13" eb="16">
      <t>ｾﾂｿﾞｸﾊﾞｺ</t>
    </rPh>
    <phoneticPr fontId="1" type="noConversion"/>
  </si>
  <si>
    <t>XLM120-330S</t>
    <phoneticPr fontId="2"/>
  </si>
  <si>
    <t>XLM120-355L</t>
    <phoneticPr fontId="2"/>
  </si>
  <si>
    <t>XLM120-380L</t>
    <phoneticPr fontId="2"/>
  </si>
  <si>
    <t>XLM144-435L</t>
    <phoneticPr fontId="2"/>
  </si>
  <si>
    <t>XLM144-450L</t>
    <phoneticPr fontId="2"/>
  </si>
  <si>
    <t>XLM144-460L</t>
    <phoneticPr fontId="2"/>
  </si>
  <si>
    <t>XLM144-550X</t>
    <phoneticPr fontId="2"/>
  </si>
  <si>
    <t>XLM72-275SC</t>
    <phoneticPr fontId="2"/>
  </si>
  <si>
    <t>XLM72S-400L</t>
    <phoneticPr fontId="2"/>
  </si>
  <si>
    <t>XLN108-445X</t>
    <phoneticPr fontId="1" type="noConversion"/>
  </si>
  <si>
    <t>XLN120-480S-SMS</t>
    <phoneticPr fontId="1" type="noConversion"/>
  </si>
  <si>
    <t>xxxx</t>
    <phoneticPr fontId="1" type="noConversion"/>
  </si>
  <si>
    <t>XY255P-29b</t>
    <phoneticPr fontId="1" type="noConversion"/>
  </si>
  <si>
    <t>XY255P-29b（集電）</t>
    <rPh sb="11" eb="13">
      <t>ｼｭｳﾃﾞﾝ</t>
    </rPh>
    <phoneticPr fontId="1" type="noConversion"/>
  </si>
  <si>
    <t>YGE_270</t>
    <phoneticPr fontId="2"/>
  </si>
  <si>
    <t>YingLI_325</t>
  </si>
  <si>
    <t>YL255C-29b</t>
    <phoneticPr fontId="2"/>
  </si>
  <si>
    <t>YL255C-29b（集電）</t>
    <phoneticPr fontId="2"/>
  </si>
  <si>
    <t>YL265C-29b</t>
    <phoneticPr fontId="2"/>
  </si>
  <si>
    <t>YL265C-29b（集電）</t>
    <phoneticPr fontId="2"/>
  </si>
  <si>
    <t>YL270C-29b</t>
    <phoneticPr fontId="2"/>
  </si>
  <si>
    <t>YL275C-30b</t>
    <phoneticPr fontId="2"/>
  </si>
  <si>
    <t>YL295P</t>
    <phoneticPr fontId="2"/>
  </si>
  <si>
    <t>YL295P（集電）</t>
    <rPh sb="7" eb="9">
      <t>ｼｭｳﾃﾞﾝ</t>
    </rPh>
    <phoneticPr fontId="1" type="noConversion"/>
  </si>
  <si>
    <t>YL295P-35b</t>
    <phoneticPr fontId="2"/>
  </si>
  <si>
    <t>YL310-35b</t>
    <phoneticPr fontId="2"/>
  </si>
  <si>
    <t>YL310P-35b</t>
    <phoneticPr fontId="2"/>
  </si>
  <si>
    <t>YL320-35b</t>
    <phoneticPr fontId="2"/>
  </si>
  <si>
    <t>YL330-35b</t>
    <phoneticPr fontId="2"/>
  </si>
  <si>
    <t>ZXM5-96-270/MS(GA)</t>
    <phoneticPr fontId="1" type="noConversion"/>
  </si>
  <si>
    <t>ZXM5-96-270/MS(GA)（集電）</t>
    <rPh sb="19" eb="21">
      <t>ｼｭｳﾃﾞﾝ</t>
    </rPh>
    <phoneticPr fontId="1" type="noConversion"/>
  </si>
  <si>
    <t>ZXP_270</t>
  </si>
  <si>
    <t>2025.08.26版</t>
    <rPh sb="10" eb="11">
      <t>バン</t>
    </rPh>
    <phoneticPr fontId="21"/>
  </si>
  <si>
    <t>JKM600N-72HL4-V</t>
    <phoneticPr fontId="21"/>
  </si>
  <si>
    <t>SUN2000-125KTL-JPH0 皮相140kVA 力率0.9</t>
    <rPh sb="20" eb="22">
      <t>ヒソウ</t>
    </rPh>
    <rPh sb="29" eb="31">
      <t>リキリツ</t>
    </rPh>
    <phoneticPr fontId="0"/>
  </si>
  <si>
    <t>回路数</t>
    <rPh sb="0" eb="3">
      <t>カイロスウ</t>
    </rPh>
    <phoneticPr fontId="2"/>
  </si>
  <si>
    <t>最大電圧</t>
    <rPh sb="0" eb="2">
      <t>サイダイ</t>
    </rPh>
    <rPh sb="2" eb="4">
      <t>デンアツ</t>
    </rPh>
    <phoneticPr fontId="21"/>
  </si>
  <si>
    <t>MPPT最大短絡電流</t>
    <rPh sb="4" eb="6">
      <t>サイダイ</t>
    </rPh>
    <rPh sb="6" eb="8">
      <t>タンラク</t>
    </rPh>
    <rPh sb="8" eb="10">
      <t>デンリュウ</t>
    </rPh>
    <phoneticPr fontId="2"/>
  </si>
  <si>
    <t>定格出力</t>
    <rPh sb="0" eb="2">
      <t>テイカク</t>
    </rPh>
    <rPh sb="2" eb="4">
      <t>シュツリョク</t>
    </rPh>
    <phoneticPr fontId="2"/>
  </si>
  <si>
    <t>JIS変換効率</t>
    <rPh sb="3" eb="5">
      <t>ヘンカン</t>
    </rPh>
    <rPh sb="5" eb="7">
      <t>コウリツ</t>
    </rPh>
    <phoneticPr fontId="9"/>
  </si>
  <si>
    <t>MPPT数</t>
    <rPh sb="4" eb="5">
      <t>スウ</t>
    </rPh>
    <phoneticPr fontId="2"/>
  </si>
  <si>
    <t>MPPT電圧範囲</t>
    <rPh sb="4" eb="6">
      <t>デンアツ</t>
    </rPh>
    <rPh sb="6" eb="8">
      <t>ハンイ</t>
    </rPh>
    <phoneticPr fontId="2"/>
  </si>
  <si>
    <t>MPPT最大入力電流</t>
    <rPh sb="4" eb="6">
      <t>サイダイ</t>
    </rPh>
    <rPh sb="6" eb="8">
      <t>ニュウリョク</t>
    </rPh>
    <rPh sb="8" eb="10">
      <t>デンリュウ</t>
    </rPh>
    <phoneticPr fontId="2"/>
  </si>
  <si>
    <t>MEMO</t>
    <phoneticPr fontId="21"/>
  </si>
  <si>
    <t>設置環境温度</t>
    <rPh sb="0" eb="2">
      <t>セッチ</t>
    </rPh>
    <rPh sb="2" eb="6">
      <t>カンキョウオンド</t>
    </rPh>
    <phoneticPr fontId="9"/>
  </si>
  <si>
    <t>発電によるパネル温度上昇</t>
    <rPh sb="0" eb="12">
      <t>ｲｶ</t>
    </rPh>
    <phoneticPr fontId="1" type="noConversion"/>
  </si>
  <si>
    <t>適用</t>
    <rPh sb="0" eb="2">
      <t>テキヨウ</t>
    </rPh>
    <phoneticPr fontId="21"/>
  </si>
  <si>
    <t>「SUN2000-125KTL-JPH0  皮相125kVA　力率1未満」専用設定</t>
    <rPh sb="37" eb="39">
      <t>センヨウ</t>
    </rPh>
    <rPh sb="39" eb="41">
      <t>セッテイ</t>
    </rPh>
    <phoneticPr fontId="21"/>
  </si>
  <si>
    <t>設置角度要素(南方位、水平のみ対応)</t>
    <rPh sb="0" eb="2">
      <t>セッチ</t>
    </rPh>
    <rPh sb="2" eb="4">
      <t>カクド</t>
    </rPh>
    <rPh sb="4" eb="6">
      <t>ヨウソ</t>
    </rPh>
    <rPh sb="7" eb="8">
      <t>ミナミ</t>
    </rPh>
    <rPh sb="8" eb="10">
      <t>ホウイ</t>
    </rPh>
    <rPh sb="11" eb="13">
      <t>スイヘイ</t>
    </rPh>
    <rPh sb="15" eb="17">
      <t>タイオウ</t>
    </rPh>
    <phoneticPr fontId="21"/>
  </si>
  <si>
    <t>設定力率(1～0.8)</t>
    <rPh sb="0" eb="2">
      <t>セッテイ</t>
    </rPh>
    <rPh sb="2" eb="4">
      <t>リキリツ</t>
    </rPh>
    <phoneticPr fontId="9"/>
  </si>
  <si>
    <t>適用・非適用</t>
    <rPh sb="0" eb="2">
      <t>テキヨウ</t>
    </rPh>
    <rPh sb="3" eb="6">
      <t>ヒテキヨウ</t>
    </rPh>
    <phoneticPr fontId="9"/>
  </si>
  <si>
    <t>非適用</t>
    <rPh sb="0" eb="1">
      <t>ヒ</t>
    </rPh>
    <rPh sb="1" eb="3">
      <t>テキヨウ</t>
    </rPh>
    <phoneticPr fontId="21"/>
  </si>
  <si>
    <t>設置場所緯度</t>
    <rPh sb="0" eb="4">
      <t>セッチバショ</t>
    </rPh>
    <rPh sb="4" eb="6">
      <t>イド</t>
    </rPh>
    <phoneticPr fontId="9"/>
  </si>
  <si>
    <t>パネル設置角度</t>
    <rPh sb="3" eb="5">
      <t>セッチ</t>
    </rPh>
    <rPh sb="5" eb="7">
      <t>カクド</t>
    </rPh>
    <phoneticPr fontId="9"/>
  </si>
  <si>
    <t>ＭＰＰＴ１</t>
    <phoneticPr fontId="21"/>
  </si>
  <si>
    <t>ＭＰＰＴ２</t>
  </si>
  <si>
    <t>ＭＰＰＴ３</t>
  </si>
  <si>
    <t>ＭＰＰＴ４</t>
  </si>
  <si>
    <t>ＭＰＰＴ５</t>
  </si>
  <si>
    <t>ＭＰＰＴ６</t>
  </si>
  <si>
    <t>ＭＰＰＴ７</t>
  </si>
  <si>
    <t>ＭＰＰＴ８</t>
  </si>
  <si>
    <t>ＭＰＰＴ９</t>
  </si>
  <si>
    <t>ＭＰＰＴ１０</t>
  </si>
  <si>
    <t>直列数</t>
    <rPh sb="0" eb="2">
      <t>チョクレツ</t>
    </rPh>
    <rPh sb="2" eb="3">
      <t>スウ</t>
    </rPh>
    <phoneticPr fontId="21"/>
  </si>
  <si>
    <t>並列数</t>
    <rPh sb="0" eb="2">
      <t>ヘイレツ</t>
    </rPh>
    <rPh sb="2" eb="3">
      <t>スウ</t>
    </rPh>
    <phoneticPr fontId="21"/>
  </si>
  <si>
    <t>枚数</t>
    <rPh sb="0" eb="2">
      <t>マイスウ</t>
    </rPh>
    <phoneticPr fontId="21"/>
  </si>
  <si>
    <t>反映条件</t>
    <rPh sb="0" eb="2">
      <t>ハンエイ</t>
    </rPh>
    <rPh sb="2" eb="4">
      <t>ジョウケン</t>
    </rPh>
    <phoneticPr fontId="21"/>
  </si>
  <si>
    <t>過積載係数</t>
    <rPh sb="0" eb="3">
      <t>カセキサイ</t>
    </rPh>
    <rPh sb="3" eb="5">
      <t>ケイスウ</t>
    </rPh>
    <phoneticPr fontId="21"/>
  </si>
  <si>
    <t>未使用MPPT</t>
    <rPh sb="0" eb="1">
      <t>ミ</t>
    </rPh>
    <rPh sb="1" eb="3">
      <t>シヨウ</t>
    </rPh>
    <phoneticPr fontId="21"/>
  </si>
  <si>
    <t>MPPT活用判定</t>
    <rPh sb="4" eb="6">
      <t>カツヨウ</t>
    </rPh>
    <rPh sb="6" eb="8">
      <t>ハンテイ</t>
    </rPh>
    <phoneticPr fontId="21"/>
  </si>
  <si>
    <t>低圧高温大</t>
    <rPh sb="0" eb="2">
      <t>テイアツ</t>
    </rPh>
    <rPh sb="2" eb="4">
      <t>コウオン</t>
    </rPh>
    <rPh sb="4" eb="5">
      <t>ダイ</t>
    </rPh>
    <phoneticPr fontId="21"/>
  </si>
  <si>
    <t>開放電圧</t>
    <rPh sb="0" eb="2">
      <t>カイホウ</t>
    </rPh>
    <rPh sb="2" eb="4">
      <t>デンアツ</t>
    </rPh>
    <phoneticPr fontId="21"/>
  </si>
  <si>
    <t>電圧高温</t>
    <rPh sb="0" eb="2">
      <t>デンアツ</t>
    </rPh>
    <rPh sb="2" eb="4">
      <t>コウオン</t>
    </rPh>
    <phoneticPr fontId="21"/>
  </si>
  <si>
    <t>低温高圧判定</t>
    <rPh sb="0" eb="2">
      <t>テイオン</t>
    </rPh>
    <rPh sb="2" eb="4">
      <t>コウアツ</t>
    </rPh>
    <rPh sb="4" eb="6">
      <t>ハンテイ</t>
    </rPh>
    <phoneticPr fontId="21"/>
  </si>
  <si>
    <t>低圧高温少</t>
    <rPh sb="0" eb="2">
      <t>テイアツ</t>
    </rPh>
    <rPh sb="2" eb="4">
      <t>コウオン</t>
    </rPh>
    <rPh sb="4" eb="5">
      <t>スク</t>
    </rPh>
    <phoneticPr fontId="21"/>
  </si>
  <si>
    <t>低圧高温</t>
    <rPh sb="0" eb="2">
      <t>テイアツ</t>
    </rPh>
    <rPh sb="2" eb="4">
      <t>コウオン</t>
    </rPh>
    <phoneticPr fontId="21"/>
  </si>
  <si>
    <t>ＰＣＳ低圧</t>
    <rPh sb="3" eb="5">
      <t>テイアツ</t>
    </rPh>
    <phoneticPr fontId="21"/>
  </si>
  <si>
    <t>短絡電流</t>
    <rPh sb="0" eb="2">
      <t>タンラク</t>
    </rPh>
    <rPh sb="2" eb="4">
      <t>デンリュウ</t>
    </rPh>
    <phoneticPr fontId="21"/>
  </si>
  <si>
    <t>電圧低温</t>
    <rPh sb="0" eb="2">
      <t>デンアツ</t>
    </rPh>
    <rPh sb="2" eb="4">
      <t>テイオン</t>
    </rPh>
    <phoneticPr fontId="21"/>
  </si>
  <si>
    <t>最低電圧判定</t>
    <rPh sb="0" eb="2">
      <t>サイテイ</t>
    </rPh>
    <rPh sb="2" eb="4">
      <t>デンアツ</t>
    </rPh>
    <rPh sb="4" eb="6">
      <t>ハンテイ</t>
    </rPh>
    <phoneticPr fontId="21"/>
  </si>
  <si>
    <t>低温普過積載</t>
    <rPh sb="0" eb="2">
      <t>テイオン</t>
    </rPh>
    <rPh sb="2" eb="3">
      <t>フ</t>
    </rPh>
    <rPh sb="3" eb="6">
      <t>カセキサイ</t>
    </rPh>
    <phoneticPr fontId="21"/>
  </si>
  <si>
    <t>低温直列</t>
    <rPh sb="0" eb="2">
      <t>テイオン</t>
    </rPh>
    <rPh sb="2" eb="4">
      <t>チョクレツ</t>
    </rPh>
    <phoneticPr fontId="21"/>
  </si>
  <si>
    <t>開放電圧がアラームのしきい値を超えているため、計算結果の開放電圧が検出された際にアラームにより運転ができません。</t>
    <rPh sb="0" eb="4">
      <t>カイホウデンアツ</t>
    </rPh>
    <rPh sb="13" eb="14">
      <t>チ</t>
    </rPh>
    <rPh sb="15" eb="16">
      <t>コ</t>
    </rPh>
    <rPh sb="23" eb="25">
      <t>ケイサン</t>
    </rPh>
    <rPh sb="25" eb="27">
      <t>ケッカ</t>
    </rPh>
    <rPh sb="28" eb="32">
      <t>カイホウデンアツ</t>
    </rPh>
    <rPh sb="33" eb="35">
      <t>ケンシュツ</t>
    </rPh>
    <rPh sb="38" eb="39">
      <t>サイ</t>
    </rPh>
    <rPh sb="47" eb="49">
      <t>ウンテン</t>
    </rPh>
    <phoneticPr fontId="21"/>
  </si>
  <si>
    <t>解放電圧(低温)</t>
  </si>
  <si>
    <t>計算結果が仕様書の最大電圧を超えている場合は、故障のリスクがあるため最大直列数を見直してください。</t>
    <rPh sb="0" eb="2">
      <t>ケイサン</t>
    </rPh>
    <rPh sb="2" eb="4">
      <t>ケッカ</t>
    </rPh>
    <rPh sb="5" eb="8">
      <t>シヨウショ</t>
    </rPh>
    <rPh sb="9" eb="11">
      <t>サイダイ</t>
    </rPh>
    <rPh sb="11" eb="13">
      <t>デンアツ</t>
    </rPh>
    <rPh sb="14" eb="15">
      <t>コ</t>
    </rPh>
    <rPh sb="19" eb="21">
      <t>バアイ</t>
    </rPh>
    <rPh sb="23" eb="25">
      <t>コショウ</t>
    </rPh>
    <rPh sb="34" eb="36">
      <t>サイダイ</t>
    </rPh>
    <rPh sb="36" eb="38">
      <t>チョクレツ</t>
    </rPh>
    <rPh sb="38" eb="39">
      <t>スウ</t>
    </rPh>
    <rPh sb="40" eb="42">
      <t>ミナオ</t>
    </rPh>
    <phoneticPr fontId="21"/>
  </si>
  <si>
    <t>最小動作電圧(高温)</t>
    <phoneticPr fontId="21"/>
  </si>
  <si>
    <t>MPPTに接続されるパネル短絡電流が高すぎるため内部短絡などが発生した際に短絡電流を遮断できず火災に繋がるため避けてください。</t>
    <rPh sb="5" eb="7">
      <t>セツゾク</t>
    </rPh>
    <rPh sb="13" eb="15">
      <t>タンラク</t>
    </rPh>
    <rPh sb="15" eb="17">
      <t>デンリュウ</t>
    </rPh>
    <rPh sb="18" eb="19">
      <t>タカ</t>
    </rPh>
    <rPh sb="24" eb="26">
      <t>ナイブ</t>
    </rPh>
    <rPh sb="26" eb="28">
      <t>タンラク</t>
    </rPh>
    <rPh sb="31" eb="33">
      <t>ハッセイ</t>
    </rPh>
    <rPh sb="35" eb="36">
      <t>サイ</t>
    </rPh>
    <rPh sb="37" eb="41">
      <t>タンラクデンリュウ</t>
    </rPh>
    <rPh sb="42" eb="44">
      <t>シャダン</t>
    </rPh>
    <rPh sb="47" eb="49">
      <t>カサイ</t>
    </rPh>
    <rPh sb="50" eb="51">
      <t>ツナ</t>
    </rPh>
    <rPh sb="55" eb="56">
      <t>サ</t>
    </rPh>
    <phoneticPr fontId="21"/>
  </si>
  <si>
    <t>最大動作電圧(低温)</t>
    <phoneticPr fontId="21"/>
  </si>
  <si>
    <t>赤く表示されている条件下でストリング動作電圧が高すぎるためにPCSで出力の抑制が発生する可能性があります。</t>
    <rPh sb="0" eb="1">
      <t>アカ</t>
    </rPh>
    <rPh sb="2" eb="4">
      <t>ヒョウジ</t>
    </rPh>
    <rPh sb="9" eb="12">
      <t>ジョウケンカ</t>
    </rPh>
    <rPh sb="18" eb="20">
      <t>ドウサ</t>
    </rPh>
    <rPh sb="20" eb="22">
      <t>デンアツ</t>
    </rPh>
    <rPh sb="23" eb="24">
      <t>タカ</t>
    </rPh>
    <rPh sb="34" eb="36">
      <t>シュツリョク</t>
    </rPh>
    <rPh sb="37" eb="39">
      <t>ヨクセイ</t>
    </rPh>
    <rPh sb="40" eb="42">
      <t>ハッセイ</t>
    </rPh>
    <rPh sb="44" eb="47">
      <t>カノウセイ</t>
    </rPh>
    <phoneticPr fontId="21"/>
  </si>
  <si>
    <t>最大動作電圧(高温)</t>
    <phoneticPr fontId="21"/>
  </si>
  <si>
    <t>赤く表示されている条件下でストリング動作電圧が低すぎるためにPCSで出力の抑制が発生する可能性があります。</t>
    <rPh sb="0" eb="1">
      <t>アカ</t>
    </rPh>
    <rPh sb="2" eb="4">
      <t>ヒョウジ</t>
    </rPh>
    <rPh sb="9" eb="12">
      <t>ジョウケンカ</t>
    </rPh>
    <rPh sb="18" eb="20">
      <t>ドウサ</t>
    </rPh>
    <rPh sb="20" eb="22">
      <t>デンアツ</t>
    </rPh>
    <rPh sb="23" eb="24">
      <t>ヒ</t>
    </rPh>
    <rPh sb="34" eb="36">
      <t>シュツリョク</t>
    </rPh>
    <rPh sb="37" eb="39">
      <t>ヨクセイ</t>
    </rPh>
    <rPh sb="40" eb="42">
      <t>ハッセイ</t>
    </rPh>
    <rPh sb="44" eb="47">
      <t>カノウセイ</t>
    </rPh>
    <phoneticPr fontId="21"/>
  </si>
  <si>
    <t>MPPT短絡電流</t>
    <phoneticPr fontId="21"/>
  </si>
  <si>
    <t>発電を最適化するため全てのMPPTを使用してください。</t>
    <rPh sb="0" eb="2">
      <t>ハツデン</t>
    </rPh>
    <rPh sb="3" eb="6">
      <t>サイテキカ</t>
    </rPh>
    <rPh sb="10" eb="11">
      <t>スベ</t>
    </rPh>
    <rPh sb="18" eb="20">
      <t>シヨウ</t>
    </rPh>
    <phoneticPr fontId="21"/>
  </si>
  <si>
    <t>MPPT運転電流</t>
    <phoneticPr fontId="21"/>
  </si>
  <si>
    <t>低電圧回路が多いことによりPCSで発電の抑制が顕著に出ることが予想されます。</t>
    <rPh sb="0" eb="3">
      <t>テイデンアツ</t>
    </rPh>
    <rPh sb="3" eb="5">
      <t>カイロ</t>
    </rPh>
    <rPh sb="6" eb="7">
      <t>オオ</t>
    </rPh>
    <rPh sb="17" eb="19">
      <t>ハツデン</t>
    </rPh>
    <rPh sb="20" eb="22">
      <t>ヨクセイ</t>
    </rPh>
    <rPh sb="23" eb="25">
      <t>ケンチョ</t>
    </rPh>
    <rPh sb="26" eb="27">
      <t>デ</t>
    </rPh>
    <rPh sb="31" eb="33">
      <t>ヨソウ</t>
    </rPh>
    <phoneticPr fontId="21"/>
  </si>
  <si>
    <t>MPPT運転電圧範囲未満の電圧になり運転できないMPPTが発生する可能性があります。</t>
    <rPh sb="4" eb="6">
      <t>ウンテン</t>
    </rPh>
    <rPh sb="6" eb="8">
      <t>デンアツ</t>
    </rPh>
    <rPh sb="8" eb="10">
      <t>ハンイ</t>
    </rPh>
    <rPh sb="10" eb="12">
      <t>ミマン</t>
    </rPh>
    <rPh sb="13" eb="15">
      <t>デンアツ</t>
    </rPh>
    <rPh sb="18" eb="20">
      <t>ウンテン</t>
    </rPh>
    <rPh sb="29" eb="31">
      <t>ハッセイ</t>
    </rPh>
    <rPh sb="33" eb="36">
      <t>カノウセイ</t>
    </rPh>
    <phoneticPr fontId="21"/>
  </si>
  <si>
    <t>接続パネル枚数</t>
  </si>
  <si>
    <t>接続パネル容量</t>
    <phoneticPr fontId="21"/>
  </si>
  <si>
    <t>PCS定格出力</t>
    <phoneticPr fontId="21"/>
  </si>
  <si>
    <t>過積載率</t>
    <rPh sb="0" eb="3">
      <t>カセキサイ</t>
    </rPh>
    <rPh sb="3" eb="4">
      <t>リツ</t>
    </rPh>
    <phoneticPr fontId="21"/>
  </si>
  <si>
    <t>接続可否</t>
    <rPh sb="0" eb="2">
      <t>セツゾク</t>
    </rPh>
    <rPh sb="2" eb="4">
      <t>カヒ</t>
    </rPh>
    <phoneticPr fontId="21"/>
  </si>
  <si>
    <t>簡易計算（標準回路構成表内、黒字表示のみ箇所のみ対応）</t>
    <rPh sb="0" eb="2">
      <t>カンイ</t>
    </rPh>
    <rPh sb="2" eb="4">
      <t>ケイサン</t>
    </rPh>
    <rPh sb="5" eb="7">
      <t>ヒョウジュン</t>
    </rPh>
    <rPh sb="7" eb="9">
      <t>カイロ</t>
    </rPh>
    <rPh sb="9" eb="11">
      <t>コウセイ</t>
    </rPh>
    <rPh sb="11" eb="13">
      <t>ヒョウナイ</t>
    </rPh>
    <rPh sb="14" eb="16">
      <t>クロジ</t>
    </rPh>
    <rPh sb="16" eb="18">
      <t>ヒョウジ</t>
    </rPh>
    <rPh sb="20" eb="22">
      <t>カショ</t>
    </rPh>
    <rPh sb="24" eb="26">
      <t>タイオウ</t>
    </rPh>
    <phoneticPr fontId="9"/>
  </si>
  <si>
    <t>入力直列数</t>
    <rPh sb="0" eb="2">
      <t>ニュウリョク</t>
    </rPh>
    <rPh sb="2" eb="4">
      <t>チョクレツ</t>
    </rPh>
    <rPh sb="4" eb="5">
      <t>スウ</t>
    </rPh>
    <phoneticPr fontId="9"/>
  </si>
  <si>
    <t>接続パネル枚数</t>
    <rPh sb="0" eb="2">
      <t>セツゾク</t>
    </rPh>
    <rPh sb="5" eb="7">
      <t>マイスウ</t>
    </rPh>
    <phoneticPr fontId="21"/>
  </si>
  <si>
    <t>解放電圧(低温)</t>
    <rPh sb="0" eb="2">
      <t>カイホウ</t>
    </rPh>
    <rPh sb="2" eb="4">
      <t>デンアツ</t>
    </rPh>
    <phoneticPr fontId="2"/>
  </si>
  <si>
    <t>最大動作電圧(低温)</t>
    <rPh sb="0" eb="2">
      <t>サイダイ</t>
    </rPh>
    <rPh sb="2" eb="4">
      <t>ドウサ</t>
    </rPh>
    <rPh sb="4" eb="6">
      <t>デンアツ</t>
    </rPh>
    <phoneticPr fontId="2"/>
  </si>
  <si>
    <t>2入力ＭＰＰＴ数</t>
    <rPh sb="1" eb="3">
      <t>ニュウリョク</t>
    </rPh>
    <rPh sb="7" eb="8">
      <t>スウ</t>
    </rPh>
    <phoneticPr fontId="2"/>
  </si>
  <si>
    <t>運転電力制限</t>
    <rPh sb="0" eb="2">
      <t>ウンテン</t>
    </rPh>
    <rPh sb="2" eb="4">
      <t>デンリョク</t>
    </rPh>
    <rPh sb="4" eb="6">
      <t>セイゲン</t>
    </rPh>
    <phoneticPr fontId="2"/>
  </si>
  <si>
    <t>入力回路数</t>
    <rPh sb="0" eb="2">
      <t>ニュウリョク</t>
    </rPh>
    <rPh sb="2" eb="4">
      <t>カイロ</t>
    </rPh>
    <rPh sb="4" eb="5">
      <t>スウ</t>
    </rPh>
    <phoneticPr fontId="9"/>
  </si>
  <si>
    <t>接続パネル容量</t>
    <rPh sb="0" eb="2">
      <t>セツゾク</t>
    </rPh>
    <rPh sb="5" eb="7">
      <t>ヨウリョウ</t>
    </rPh>
    <phoneticPr fontId="21"/>
  </si>
  <si>
    <t>最小動作電圧(高温)</t>
    <rPh sb="0" eb="2">
      <t>サイショウ</t>
    </rPh>
    <rPh sb="2" eb="4">
      <t>ドウサ</t>
    </rPh>
    <rPh sb="4" eb="6">
      <t>デンアツ</t>
    </rPh>
    <phoneticPr fontId="2"/>
  </si>
  <si>
    <t>最大動作電圧(高温)</t>
    <rPh sb="0" eb="2">
      <t>サイダイ</t>
    </rPh>
    <rPh sb="2" eb="4">
      <t>ドウサ</t>
    </rPh>
    <rPh sb="4" eb="6">
      <t>デンアツ</t>
    </rPh>
    <rPh sb="7" eb="8">
      <t>タカ</t>
    </rPh>
    <phoneticPr fontId="2"/>
  </si>
  <si>
    <t>MPPT運転電流</t>
    <rPh sb="4" eb="6">
      <t>ウンテン</t>
    </rPh>
    <rPh sb="6" eb="8">
      <t>デンリュウ</t>
    </rPh>
    <phoneticPr fontId="2"/>
  </si>
  <si>
    <t>1入力ＭＰＰＴ数</t>
    <rPh sb="1" eb="3">
      <t>ニュウリョク</t>
    </rPh>
    <rPh sb="7" eb="8">
      <t>スウ</t>
    </rPh>
    <phoneticPr fontId="2"/>
  </si>
  <si>
    <t>入力電流制限後</t>
    <rPh sb="0" eb="2">
      <t>ニュウリョク</t>
    </rPh>
    <rPh sb="2" eb="4">
      <t>デンリュウ</t>
    </rPh>
    <rPh sb="4" eb="6">
      <t>セイゲン</t>
    </rPh>
    <rPh sb="6" eb="7">
      <t>ゴ</t>
    </rPh>
    <phoneticPr fontId="2"/>
  </si>
  <si>
    <t>接続可否</t>
    <rPh sb="0" eb="4">
      <t>セツゾクカヒ</t>
    </rPh>
    <phoneticPr fontId="9"/>
  </si>
  <si>
    <t>過積載率</t>
    <rPh sb="0" eb="4">
      <t>カセキサイリツ</t>
    </rPh>
    <phoneticPr fontId="9"/>
  </si>
  <si>
    <t>SUN2000-4.95KTL-JPL1 接続確認</t>
    <rPh sb="21" eb="23">
      <t>セツゾク</t>
    </rPh>
    <rPh sb="23" eb="25">
      <t>カクニン</t>
    </rPh>
    <phoneticPr fontId="9"/>
  </si>
  <si>
    <t>標準回路構成以外や、蓄電池接続時の定格出力を超える発電量の入力充電量を確認できます</t>
    <rPh sb="0" eb="2">
      <t>ヒョウジュン</t>
    </rPh>
    <rPh sb="2" eb="4">
      <t>カイロ</t>
    </rPh>
    <rPh sb="4" eb="6">
      <t>コウセイ</t>
    </rPh>
    <rPh sb="6" eb="8">
      <t>イガイ</t>
    </rPh>
    <rPh sb="10" eb="13">
      <t>チクデンチ</t>
    </rPh>
    <rPh sb="13" eb="16">
      <t>セツゾクジ</t>
    </rPh>
    <rPh sb="17" eb="19">
      <t>テイカク</t>
    </rPh>
    <rPh sb="19" eb="21">
      <t>シュツリョク</t>
    </rPh>
    <rPh sb="22" eb="23">
      <t>コ</t>
    </rPh>
    <rPh sb="25" eb="28">
      <t>ハツデンリョウ</t>
    </rPh>
    <rPh sb="29" eb="31">
      <t>ニュウリョク</t>
    </rPh>
    <rPh sb="31" eb="34">
      <t>ジュウデンリョウ</t>
    </rPh>
    <rPh sb="35" eb="37">
      <t>カクニン</t>
    </rPh>
    <phoneticPr fontId="21"/>
  </si>
  <si>
    <t>過積載率</t>
    <phoneticPr fontId="21"/>
  </si>
  <si>
    <t>最小動作電圧1(高温)</t>
    <rPh sb="0" eb="2">
      <t>サイショウ</t>
    </rPh>
    <rPh sb="2" eb="4">
      <t>ドウサ</t>
    </rPh>
    <rPh sb="4" eb="6">
      <t>デンアツ</t>
    </rPh>
    <phoneticPr fontId="2"/>
  </si>
  <si>
    <t>接続パネル枚数</t>
    <rPh sb="0" eb="2">
      <t>セツゾク</t>
    </rPh>
    <rPh sb="5" eb="7">
      <t>マイスウ</t>
    </rPh>
    <phoneticPr fontId="9"/>
  </si>
  <si>
    <t>低電圧抑制</t>
    <rPh sb="0" eb="1">
      <t>テイ</t>
    </rPh>
    <rPh sb="1" eb="3">
      <t>デンアツ</t>
    </rPh>
    <rPh sb="3" eb="5">
      <t>ヨクセイ</t>
    </rPh>
    <phoneticPr fontId="2"/>
  </si>
  <si>
    <t>最小動作電圧2(高温)</t>
    <rPh sb="0" eb="2">
      <t>サイショウ</t>
    </rPh>
    <rPh sb="2" eb="4">
      <t>ドウサ</t>
    </rPh>
    <rPh sb="4" eb="6">
      <t>デンアツ</t>
    </rPh>
    <phoneticPr fontId="2"/>
  </si>
  <si>
    <t>蓄電池数量</t>
    <rPh sb="0" eb="3">
      <t>チク</t>
    </rPh>
    <rPh sb="3" eb="5">
      <t>スウリョウ</t>
    </rPh>
    <phoneticPr fontId="21"/>
  </si>
  <si>
    <t>4.95kW以上発電時の最大充電量</t>
    <rPh sb="6" eb="8">
      <t>イジョウ</t>
    </rPh>
    <rPh sb="8" eb="10">
      <t>ハツデン</t>
    </rPh>
    <rPh sb="10" eb="11">
      <t>ジ</t>
    </rPh>
    <rPh sb="12" eb="14">
      <t>サイダイ</t>
    </rPh>
    <rPh sb="14" eb="16">
      <t>ジュウデン</t>
    </rPh>
    <rPh sb="16" eb="17">
      <t>リョウ</t>
    </rPh>
    <phoneticPr fontId="21"/>
  </si>
  <si>
    <t>複数モジュールの直列数変換</t>
    <rPh sb="0" eb="2">
      <t>フクスウ</t>
    </rPh>
    <rPh sb="8" eb="10">
      <t>チョクレツ</t>
    </rPh>
    <rPh sb="10" eb="11">
      <t>スウ</t>
    </rPh>
    <rPh sb="11" eb="13">
      <t>ヘンカン</t>
    </rPh>
    <phoneticPr fontId="21"/>
  </si>
  <si>
    <t>換算枚数</t>
    <rPh sb="0" eb="2">
      <t>カンサン</t>
    </rPh>
    <rPh sb="2" eb="4">
      <t>マイスウ</t>
    </rPh>
    <phoneticPr fontId="21"/>
  </si>
  <si>
    <t>計算結果</t>
    <rPh sb="0" eb="2">
      <t>ケイサン</t>
    </rPh>
    <rPh sb="2" eb="4">
      <t>ケッカ</t>
    </rPh>
    <phoneticPr fontId="21"/>
  </si>
  <si>
    <t>出力</t>
    <rPh sb="0" eb="2">
      <t>シュツリョク</t>
    </rPh>
    <phoneticPr fontId="21"/>
  </si>
  <si>
    <t>動作電圧</t>
    <rPh sb="0" eb="2">
      <t>ドウサ</t>
    </rPh>
    <rPh sb="2" eb="4">
      <t>デンアツ</t>
    </rPh>
    <phoneticPr fontId="21"/>
  </si>
  <si>
    <t>動作電流</t>
    <rPh sb="0" eb="2">
      <t>ドウサ</t>
    </rPh>
    <rPh sb="2" eb="4">
      <t>デンリュウ</t>
    </rPh>
    <phoneticPr fontId="21"/>
  </si>
  <si>
    <t>出力温度係数</t>
    <rPh sb="0" eb="2">
      <t>シュツリョク</t>
    </rPh>
    <rPh sb="2" eb="4">
      <t>オンド</t>
    </rPh>
    <rPh sb="4" eb="6">
      <t>ケイスウ</t>
    </rPh>
    <phoneticPr fontId="21"/>
  </si>
  <si>
    <t>電圧温度係数</t>
    <rPh sb="0" eb="2">
      <t>デンアツ</t>
    </rPh>
    <rPh sb="2" eb="4">
      <t>オンド</t>
    </rPh>
    <rPh sb="4" eb="6">
      <t>ケイスウ</t>
    </rPh>
    <phoneticPr fontId="21"/>
  </si>
  <si>
    <t>電流温度係数</t>
    <rPh sb="0" eb="2">
      <t>デンリュウ</t>
    </rPh>
    <rPh sb="2" eb="4">
      <t>オンド</t>
    </rPh>
    <rPh sb="4" eb="6">
      <t>ケイスウ</t>
    </rPh>
    <phoneticPr fontId="21"/>
  </si>
  <si>
    <t>基準ﾓｼﾞｭｰﾙ型式</t>
    <rPh sb="0" eb="2">
      <t>キジュン</t>
    </rPh>
    <rPh sb="8" eb="10">
      <t>カタシキ</t>
    </rPh>
    <phoneticPr fontId="2"/>
  </si>
  <si>
    <t>組み合わせﾓｼﾞｭｰﾙ型式1</t>
    <rPh sb="0" eb="1">
      <t>ク</t>
    </rPh>
    <rPh sb="2" eb="3">
      <t>ア</t>
    </rPh>
    <rPh sb="11" eb="13">
      <t>カタシキ</t>
    </rPh>
    <phoneticPr fontId="2"/>
  </si>
  <si>
    <t>KJ210P-5ETCG</t>
  </si>
  <si>
    <t>組み合わせﾓｼﾞｭｰﾙ型式2</t>
    <rPh sb="0" eb="1">
      <t>ク</t>
    </rPh>
    <rPh sb="2" eb="3">
      <t>ア</t>
    </rPh>
    <rPh sb="11" eb="13">
      <t>カタシキ</t>
    </rPh>
    <phoneticPr fontId="2"/>
  </si>
  <si>
    <t>KJ137P-5ETCG</t>
  </si>
  <si>
    <t>標準回路構成（同一直列数で構成する場合に参照ください、青字は電圧が低めのため黒字と組み合わせて接続することを推奨します）</t>
    <rPh sb="0" eb="2">
      <t>ヒョウジュン</t>
    </rPh>
    <rPh sb="2" eb="4">
      <t>カイロ</t>
    </rPh>
    <rPh sb="4" eb="6">
      <t>コウセイ</t>
    </rPh>
    <rPh sb="7" eb="9">
      <t>ドウイツ</t>
    </rPh>
    <rPh sb="9" eb="11">
      <t>チョクレツ</t>
    </rPh>
    <rPh sb="11" eb="12">
      <t>スウ</t>
    </rPh>
    <rPh sb="13" eb="15">
      <t>コウセイ</t>
    </rPh>
    <rPh sb="17" eb="19">
      <t>バアイ</t>
    </rPh>
    <rPh sb="20" eb="22">
      <t>サンショウ</t>
    </rPh>
    <rPh sb="27" eb="29">
      <t>アオジ</t>
    </rPh>
    <rPh sb="30" eb="32">
      <t>デンアツ</t>
    </rPh>
    <rPh sb="33" eb="34">
      <t>ヒク</t>
    </rPh>
    <rPh sb="38" eb="40">
      <t>クロジ</t>
    </rPh>
    <rPh sb="41" eb="42">
      <t>ク</t>
    </rPh>
    <rPh sb="43" eb="44">
      <t>ア</t>
    </rPh>
    <rPh sb="47" eb="49">
      <t>セツゾク</t>
    </rPh>
    <rPh sb="54" eb="56">
      <t>スイショウ</t>
    </rPh>
    <phoneticPr fontId="21"/>
  </si>
  <si>
    <t>運転電圧(低温)</t>
    <rPh sb="0" eb="2">
      <t>ウンテン</t>
    </rPh>
    <rPh sb="2" eb="4">
      <t>デンアツ</t>
    </rPh>
    <phoneticPr fontId="2"/>
  </si>
  <si>
    <t>4.95運転電圧(低温)</t>
    <rPh sb="4" eb="6">
      <t>ウンテン</t>
    </rPh>
    <rPh sb="6" eb="8">
      <t>デンアツ</t>
    </rPh>
    <phoneticPr fontId="2"/>
  </si>
  <si>
    <t>最大短絡電流制限</t>
  </si>
  <si>
    <t>蓄電池</t>
    <rPh sb="0" eb="3">
      <t>チクデンチ</t>
    </rPh>
    <phoneticPr fontId="21"/>
  </si>
  <si>
    <t>パネル-定格</t>
    <rPh sb="4" eb="6">
      <t>テイカク</t>
    </rPh>
    <phoneticPr fontId="21"/>
  </si>
  <si>
    <t>最大皮相電力</t>
    <rPh sb="0" eb="2">
      <t>サイダイ</t>
    </rPh>
    <rPh sb="2" eb="4">
      <t>ヒソウ</t>
    </rPh>
    <rPh sb="4" eb="6">
      <t>デンリョク</t>
    </rPh>
    <phoneticPr fontId="21"/>
  </si>
  <si>
    <t>コサイン</t>
    <phoneticPr fontId="21"/>
  </si>
  <si>
    <t>設定力率による過積載率変更</t>
    <rPh sb="0" eb="2">
      <t>セッテイ</t>
    </rPh>
    <rPh sb="2" eb="4">
      <t>リキリツ</t>
    </rPh>
    <rPh sb="7" eb="10">
      <t>カセキサイ</t>
    </rPh>
    <rPh sb="10" eb="11">
      <t>リツ</t>
    </rPh>
    <rPh sb="11" eb="13">
      <t>ヘンコウ</t>
    </rPh>
    <phoneticPr fontId="21"/>
  </si>
  <si>
    <t>最大電圧</t>
    <rPh sb="0" eb="1">
      <t>サイ</t>
    </rPh>
    <rPh sb="1" eb="2">
      <t>ダイ</t>
    </rPh>
    <rPh sb="2" eb="4">
      <t>デンアツ</t>
    </rPh>
    <phoneticPr fontId="21"/>
  </si>
  <si>
    <t>ＰＣＳ予想出力抑制</t>
  </si>
  <si>
    <t>パネル容量(高温時)</t>
    <rPh sb="3" eb="5">
      <t>ヨウリョウ</t>
    </rPh>
    <rPh sb="6" eb="8">
      <t>コウオン</t>
    </rPh>
    <rPh sb="8" eb="9">
      <t>ジ</t>
    </rPh>
    <phoneticPr fontId="9"/>
  </si>
  <si>
    <t>ＰＣＳ最大出力電力</t>
    <rPh sb="3" eb="5">
      <t>サイダイ</t>
    </rPh>
    <rPh sb="5" eb="7">
      <t>シュツリョク</t>
    </rPh>
    <rPh sb="7" eb="9">
      <t>デンリョク</t>
    </rPh>
    <phoneticPr fontId="9"/>
  </si>
  <si>
    <t>高温時パネル出力</t>
    <rPh sb="0" eb="3">
      <t>コウオンジ</t>
    </rPh>
    <rPh sb="6" eb="8">
      <t>シュツリョク</t>
    </rPh>
    <phoneticPr fontId="21"/>
  </si>
  <si>
    <t>MPPT電圧範囲</t>
    <rPh sb="4" eb="6">
      <t>デンアツ</t>
    </rPh>
    <rPh sb="6" eb="8">
      <t>ハンイ</t>
    </rPh>
    <phoneticPr fontId="21"/>
  </si>
  <si>
    <t>最低電圧</t>
    <rPh sb="0" eb="2">
      <t>サイテイ</t>
    </rPh>
    <rPh sb="2" eb="4">
      <t>デンアツ</t>
    </rPh>
    <phoneticPr fontId="21"/>
  </si>
  <si>
    <t>出力係数</t>
    <rPh sb="0" eb="2">
      <t>シュツリョク</t>
    </rPh>
    <rPh sb="2" eb="3">
      <t>ケイスウ</t>
    </rPh>
    <phoneticPr fontId="21"/>
  </si>
  <si>
    <t>最低出力%</t>
    <rPh sb="0" eb="1">
      <t>サイテイ</t>
    </rPh>
    <rPh sb="2" eb="4">
      <t>シュツリョク</t>
    </rPh>
    <phoneticPr fontId="21"/>
  </si>
  <si>
    <t>計算電圧</t>
    <rPh sb="0" eb="2">
      <t>ケイサン</t>
    </rPh>
    <rPh sb="2" eb="4">
      <t>デンアツ</t>
    </rPh>
    <phoneticPr fontId="21"/>
  </si>
  <si>
    <t>出力容量</t>
    <rPh sb="0" eb="2">
      <t>シュツリョク</t>
    </rPh>
    <rPh sb="2" eb="4">
      <t>ヨウリョウ</t>
    </rPh>
    <phoneticPr fontId="21"/>
  </si>
  <si>
    <t>回路数/MPPT数</t>
    <rPh sb="0" eb="3">
      <t>カイロスウ</t>
    </rPh>
    <rPh sb="8" eb="9">
      <t>スウ</t>
    </rPh>
    <phoneticPr fontId="2"/>
  </si>
  <si>
    <t>SUN2000-188KTL-NHH0 力率1</t>
    <rPh sb="20" eb="22">
      <t>リキリツ</t>
    </rPh>
    <phoneticPr fontId="0"/>
  </si>
  <si>
    <t>500-1500Ｖ</t>
    <phoneticPr fontId="21"/>
  </si>
  <si>
    <t>SUN2000-188KTL-NHH0 力率0.9</t>
    <rPh sb="20" eb="22">
      <t>リキリツ</t>
    </rPh>
    <phoneticPr fontId="0"/>
  </si>
  <si>
    <t>SUN2000-125KTL-JPH0 皮相125kVA 力率1.0</t>
    <rPh sb="20" eb="22">
      <t>ヒソウ</t>
    </rPh>
    <rPh sb="29" eb="31">
      <t>リキリツ</t>
    </rPh>
    <phoneticPr fontId="0"/>
  </si>
  <si>
    <t>SUN2000-111KTL-NHM0　AC440V</t>
    <phoneticPr fontId="0"/>
  </si>
  <si>
    <t>200-1000Ｖ</t>
    <phoneticPr fontId="21"/>
  </si>
  <si>
    <t>SUN2000-111KTL-NHM0　AC420V</t>
    <phoneticPr fontId="0"/>
  </si>
  <si>
    <t>600-1500Ｖ</t>
    <phoneticPr fontId="21"/>
  </si>
  <si>
    <t>SUN2000-50KTL-NHM3　AC420V</t>
    <phoneticPr fontId="21"/>
  </si>
  <si>
    <t>SUN2000-50KTL-NHM3　AC440V</t>
    <phoneticPr fontId="21"/>
  </si>
  <si>
    <t>SUN2000-33KTL-NH</t>
    <phoneticPr fontId="21"/>
  </si>
  <si>
    <t>SUN2000-20KTL-M3 AC202V</t>
    <phoneticPr fontId="21"/>
  </si>
  <si>
    <t>200-750Ｖ</t>
    <phoneticPr fontId="21"/>
  </si>
  <si>
    <t>SUN2000-125KTL-NHM0  270V</t>
    <phoneticPr fontId="0"/>
  </si>
  <si>
    <t>405-950</t>
    <phoneticPr fontId="21"/>
  </si>
  <si>
    <t>SUN2000-125KTL-NHM0  330V</t>
    <phoneticPr fontId="0"/>
  </si>
  <si>
    <t>488-950</t>
    <phoneticPr fontId="21"/>
  </si>
  <si>
    <t>SUN2000-125KTL-NHM0  380V</t>
    <phoneticPr fontId="0"/>
  </si>
  <si>
    <t>588-900Ｖ</t>
    <phoneticPr fontId="21"/>
  </si>
  <si>
    <t>SUN2000-62.5KTL-NHM0</t>
    <phoneticPr fontId="21"/>
  </si>
  <si>
    <t>320-600V</t>
    <phoneticPr fontId="21"/>
  </si>
  <si>
    <t>90-560Ｖ</t>
    <phoneticPr fontId="21"/>
  </si>
  <si>
    <t>SUN2000-125KTL-JPH0  皮相125kVA　力率1未満</t>
    <rPh sb="30" eb="32">
      <t>リキリツ</t>
    </rPh>
    <rPh sb="33" eb="35">
      <t>ミマン</t>
    </rPh>
    <phoneticPr fontId="0"/>
  </si>
  <si>
    <t>SUN2000-125KTL-JPH0  皮相140kVA　力率0.9未満</t>
    <rPh sb="30" eb="32">
      <t>リキリツ</t>
    </rPh>
    <rPh sb="35" eb="37">
      <t>ミマン</t>
    </rPh>
    <phoneticPr fontId="0"/>
  </si>
  <si>
    <t>SUN2000-50KTL-NHM3</t>
    <phoneticPr fontId="21"/>
  </si>
  <si>
    <t>電圧</t>
    <rPh sb="0" eb="2">
      <t>デンアツ</t>
    </rPh>
    <phoneticPr fontId="21"/>
  </si>
  <si>
    <t>数式</t>
    <rPh sb="0" eb="2">
      <t>スウシキ</t>
    </rPh>
    <phoneticPr fontId="21"/>
  </si>
  <si>
    <t>SUN2000-20KTL-M3 AC202V　皮相20kVA</t>
    <rPh sb="24" eb="26">
      <t>ヒソウ</t>
    </rPh>
    <phoneticPr fontId="21"/>
  </si>
  <si>
    <t>SUN2000-111KTL-NHM0　皮相111.1kVA</t>
    <rPh sb="20" eb="22">
      <t>ヒソウ</t>
    </rPh>
    <phoneticPr fontId="0"/>
  </si>
  <si>
    <t>SUN2000-125KTL-JPH0 皮相125kVA</t>
    <rPh sb="20" eb="22">
      <t>ヒソウ</t>
    </rPh>
    <phoneticPr fontId="0"/>
  </si>
  <si>
    <t>2022.8.29版</t>
    <rPh sb="9" eb="10">
      <t>バン</t>
    </rPh>
    <phoneticPr fontId="21"/>
  </si>
  <si>
    <t>ND-163AW</t>
    <phoneticPr fontId="21"/>
  </si>
  <si>
    <t>最大短絡電流</t>
    <rPh sb="0" eb="2">
      <t>サイダイ</t>
    </rPh>
    <rPh sb="2" eb="4">
      <t>タンラク</t>
    </rPh>
    <rPh sb="4" eb="6">
      <t>デンリュウ</t>
    </rPh>
    <phoneticPr fontId="2"/>
  </si>
  <si>
    <t>最大入力電流</t>
    <rPh sb="0" eb="2">
      <t>サイダイ</t>
    </rPh>
    <rPh sb="2" eb="4">
      <t>ニュウリョク</t>
    </rPh>
    <rPh sb="4" eb="6">
      <t>デンリュウ</t>
    </rPh>
    <phoneticPr fontId="2"/>
  </si>
  <si>
    <t>入力A(MPPT1)</t>
  </si>
  <si>
    <t>入力B(MPPT2)</t>
  </si>
  <si>
    <t>入力C(MPPT3)</t>
    <phoneticPr fontId="29"/>
  </si>
  <si>
    <r>
      <t>入力</t>
    </r>
    <r>
      <rPr>
        <b/>
        <sz val="11"/>
        <rFont val="ＭＳ ゴシック"/>
        <family val="3"/>
        <charset val="128"/>
      </rPr>
      <t>D</t>
    </r>
    <r>
      <rPr>
        <b/>
        <sz val="11"/>
        <rFont val="ＭＳ ゴシック"/>
        <family val="3"/>
      </rPr>
      <t>(MPPT</t>
    </r>
    <r>
      <rPr>
        <b/>
        <sz val="11"/>
        <rFont val="ＭＳ ゴシック"/>
        <family val="3"/>
        <charset val="128"/>
      </rPr>
      <t>4</t>
    </r>
    <r>
      <rPr>
        <b/>
        <sz val="11"/>
        <rFont val="ＭＳ ゴシック"/>
        <family val="3"/>
      </rPr>
      <t>)</t>
    </r>
    <phoneticPr fontId="29"/>
  </si>
  <si>
    <r>
      <t>入力E(MPPT</t>
    </r>
    <r>
      <rPr>
        <b/>
        <sz val="11"/>
        <rFont val="ＭＳ ゴシック"/>
        <family val="3"/>
        <charset val="128"/>
      </rPr>
      <t>5</t>
    </r>
    <r>
      <rPr>
        <b/>
        <sz val="11"/>
        <rFont val="ＭＳ ゴシック"/>
        <family val="3"/>
      </rPr>
      <t>)</t>
    </r>
    <phoneticPr fontId="29"/>
  </si>
  <si>
    <r>
      <t>入力F(MPPT</t>
    </r>
    <r>
      <rPr>
        <b/>
        <sz val="11"/>
        <rFont val="ＭＳ ゴシック"/>
        <family val="3"/>
        <charset val="128"/>
      </rPr>
      <t>6</t>
    </r>
    <r>
      <rPr>
        <b/>
        <sz val="11"/>
        <rFont val="ＭＳ ゴシック"/>
        <family val="3"/>
      </rPr>
      <t>)</t>
    </r>
    <phoneticPr fontId="29"/>
  </si>
  <si>
    <r>
      <t>入力F(MPPT7</t>
    </r>
    <r>
      <rPr>
        <b/>
        <sz val="11"/>
        <rFont val="ＭＳ ゴシック"/>
        <family val="3"/>
      </rPr>
      <t>)</t>
    </r>
    <phoneticPr fontId="29"/>
  </si>
  <si>
    <r>
      <t>入力F(MPPT8</t>
    </r>
    <r>
      <rPr>
        <b/>
        <sz val="11"/>
        <rFont val="ＭＳ ゴシック"/>
        <family val="3"/>
      </rPr>
      <t>)</t>
    </r>
    <phoneticPr fontId="29"/>
  </si>
  <si>
    <r>
      <t>入力F(MPPT9</t>
    </r>
    <r>
      <rPr>
        <b/>
        <sz val="11"/>
        <rFont val="ＭＳ ゴシック"/>
        <family val="3"/>
      </rPr>
      <t>)</t>
    </r>
    <phoneticPr fontId="29"/>
  </si>
  <si>
    <r>
      <t>入力F(MPPT10</t>
    </r>
    <r>
      <rPr>
        <b/>
        <sz val="11"/>
        <rFont val="ＭＳ ゴシック"/>
        <family val="3"/>
      </rPr>
      <t>)</t>
    </r>
    <phoneticPr fontId="29"/>
  </si>
  <si>
    <t>直列数</t>
  </si>
  <si>
    <t>⇒下の緑字3箇所に従い、直列数を入力下さい。</t>
    <phoneticPr fontId="29"/>
  </si>
  <si>
    <t>周囲温度（冬場）（℃）</t>
    <rPh sb="0" eb="2">
      <t>ｼｭ</t>
    </rPh>
    <rPh sb="2" eb="4">
      <t>ｵﾝﾄﾞ</t>
    </rPh>
    <rPh sb="5" eb="7">
      <t>ﾌﾕﾊﾞ</t>
    </rPh>
    <phoneticPr fontId="33" type="noConversion"/>
  </si>
  <si>
    <t>上記直列数でのVoc(V)</t>
  </si>
  <si>
    <t>動作電圧</t>
    <phoneticPr fontId="33" type="noConversion"/>
  </si>
  <si>
    <r>
      <t>⇒冬場の最低気温を考慮し、「上記直列数でのVoc」の欄が全て青になるように</t>
    </r>
    <r>
      <rPr>
        <sz val="11"/>
        <color rgb="FF00B050"/>
        <rFont val="ＭＳ ゴシック"/>
        <family val="3"/>
      </rPr>
      <t xml:space="preserve">上の直列数を設定して下さい。
</t>
    </r>
    <r>
      <rPr>
        <sz val="11"/>
        <color rgb="FFFF0000"/>
        <rFont val="ＭＳ ゴシック"/>
        <family val="3"/>
        <charset val="128"/>
      </rPr>
      <t>⇒赤くなれば最大直列数を減らしてください。</t>
    </r>
    <rPh sb="26" eb="27">
      <t>ラン</t>
    </rPh>
    <rPh sb="28" eb="29">
      <t>スベ</t>
    </rPh>
    <rPh sb="30" eb="31">
      <t>アオ</t>
    </rPh>
    <phoneticPr fontId="29"/>
  </si>
  <si>
    <t>周囲温度（夏場）（℃）</t>
    <rPh sb="0" eb="2">
      <t>ｼｭｳｲ</t>
    </rPh>
    <rPh sb="5" eb="6">
      <t>ﾅﾂ</t>
    </rPh>
    <phoneticPr fontId="33" type="noConversion"/>
  </si>
  <si>
    <t>上記直列数でのVmp(V)</t>
  </si>
  <si>
    <r>
      <t>⇒夏場の最高温度を考慮し、「上記直列数でのVpm」の欄が全て青に</t>
    </r>
    <r>
      <rPr>
        <sz val="11"/>
        <color rgb="FF00B050"/>
        <rFont val="ＭＳ ゴシック"/>
        <family val="3"/>
      </rPr>
      <t xml:space="preserve">なるように上の直列数を設定して下さい。
</t>
    </r>
    <r>
      <rPr>
        <sz val="11"/>
        <color rgb="FFFF0000"/>
        <rFont val="ＭＳ ゴシック"/>
        <family val="3"/>
        <charset val="128"/>
      </rPr>
      <t>⇒赤くなれば最大並列数を減らしてください。</t>
    </r>
    <rPh sb="4" eb="6">
      <t>サイコウ</t>
    </rPh>
    <rPh sb="26" eb="27">
      <t>ラン</t>
    </rPh>
    <rPh sb="28" eb="29">
      <t>スベ</t>
    </rPh>
    <rPh sb="30" eb="31">
      <t>アオ</t>
    </rPh>
    <phoneticPr fontId="29"/>
  </si>
  <si>
    <t>並列数　各入力2並列まで</t>
  </si>
  <si>
    <r>
      <t>⇒並列数を入力下さい。※各入力Impが最大入力電流値</t>
    </r>
    <r>
      <rPr>
        <sz val="11"/>
        <color rgb="FF993300"/>
        <rFont val="ＭＳ ゴシック"/>
        <family val="3"/>
      </rPr>
      <t>を超える分はパワコン側でカットします（過積載可能）。</t>
    </r>
    <rPh sb="19" eb="21">
      <t>サイダイ</t>
    </rPh>
    <rPh sb="21" eb="23">
      <t>ニュウリョク</t>
    </rPh>
    <rPh sb="23" eb="26">
      <t>デンリュウチ</t>
    </rPh>
    <phoneticPr fontId="29"/>
  </si>
  <si>
    <t>上記並列数でのImp</t>
  </si>
  <si>
    <t>⇒赤くなれば最大並列数を減らしてください。</t>
    <phoneticPr fontId="33" type="noConversion"/>
  </si>
  <si>
    <t>結果</t>
  </si>
  <si>
    <t>積載枚数(枚/PCS)</t>
  </si>
  <si>
    <t>積載容量(kW/PCS)</t>
  </si>
  <si>
    <r>
      <t>4.</t>
    </r>
    <r>
      <rPr>
        <sz val="11"/>
        <rFont val="ＭＳ ゴシック"/>
        <family val="3"/>
        <charset val="128"/>
      </rPr>
      <t>95</t>
    </r>
    <r>
      <rPr>
        <sz val="11"/>
        <rFont val="ＭＳ ゴシック"/>
        <family val="3"/>
      </rPr>
      <t>kWパワコン過積載(%)</t>
    </r>
    <phoneticPr fontId="29"/>
  </si>
  <si>
    <t>電圧、最大出力確認（直列数同一,標準直列数）</t>
    <phoneticPr fontId="9"/>
  </si>
  <si>
    <t>ＰＣＳ出力</t>
    <rPh sb="3" eb="5">
      <t>シュツリョク</t>
    </rPh>
    <phoneticPr fontId="2"/>
  </si>
  <si>
    <t>SUN2000-4.95KTL-JPL1 低電圧接続確認</t>
    <rPh sb="21" eb="24">
      <t>テイデンアツ</t>
    </rPh>
    <rPh sb="24" eb="26">
      <t>セツゾク</t>
    </rPh>
    <rPh sb="26" eb="28">
      <t>カクニン</t>
    </rPh>
    <phoneticPr fontId="9"/>
  </si>
  <si>
    <t>SUN2000-125KTL-JPH0 皮相140kVA</t>
    <rPh sb="20" eb="22">
      <t>ヒソウ</t>
    </rPh>
    <phoneticPr fontId="0"/>
  </si>
  <si>
    <t>なぜ温度で計算が変わるのですか？</t>
    <rPh sb="2" eb="4">
      <t>オンド</t>
    </rPh>
    <rPh sb="5" eb="7">
      <t>ケイサン</t>
    </rPh>
    <rPh sb="8" eb="9">
      <t>カ</t>
    </rPh>
    <phoneticPr fontId="21"/>
  </si>
  <si>
    <t>太陽光パネルは太陽光パネル仕様書に記載されている温度特性により電圧、電流が変化します。</t>
    <rPh sb="0" eb="3">
      <t>タイヨウコウ</t>
    </rPh>
    <rPh sb="7" eb="10">
      <t>タイヨウコウ</t>
    </rPh>
    <rPh sb="13" eb="16">
      <t>シヨウショ</t>
    </rPh>
    <rPh sb="17" eb="19">
      <t>キサイ</t>
    </rPh>
    <rPh sb="24" eb="26">
      <t>オンド</t>
    </rPh>
    <rPh sb="26" eb="28">
      <t>トクセイ</t>
    </rPh>
    <rPh sb="31" eb="33">
      <t>デンアツ</t>
    </rPh>
    <rPh sb="34" eb="36">
      <t>デンリュウ</t>
    </rPh>
    <rPh sb="37" eb="39">
      <t>ヘンカ</t>
    </rPh>
    <phoneticPr fontId="21"/>
  </si>
  <si>
    <t>出力の抑制とはなんですか？</t>
    <rPh sb="0" eb="2">
      <t>シュツリョク</t>
    </rPh>
    <rPh sb="3" eb="5">
      <t>ヨクセイ</t>
    </rPh>
    <phoneticPr fontId="21"/>
  </si>
  <si>
    <r>
      <t>一般的には</t>
    </r>
    <r>
      <rPr>
        <sz val="11"/>
        <color rgb="FFFF0000"/>
        <rFont val="ＭＳ Ｐゴシック"/>
        <family val="3"/>
        <charset val="128"/>
      </rPr>
      <t>ディレーティング</t>
    </r>
    <r>
      <rPr>
        <sz val="11"/>
        <rFont val="ＭＳ Ｐゴシック"/>
        <family val="3"/>
        <charset val="128"/>
      </rPr>
      <t>と呼ばれるものになります。</t>
    </r>
    <rPh sb="0" eb="3">
      <t>イッパンテキ</t>
    </rPh>
    <rPh sb="14" eb="15">
      <t>ヨ</t>
    </rPh>
    <phoneticPr fontId="21"/>
  </si>
  <si>
    <r>
      <t>PCSにはMPPT運転電圧範囲が設定されていますが、</t>
    </r>
    <r>
      <rPr>
        <sz val="11"/>
        <color rgb="FFFF0000"/>
        <rFont val="ＭＳ Ｐゴシック"/>
        <family val="3"/>
        <charset val="128"/>
      </rPr>
      <t>運転可能な電圧範囲</t>
    </r>
    <r>
      <rPr>
        <sz val="11"/>
        <rFont val="ＭＳ Ｐゴシック"/>
        <family val="3"/>
        <charset val="128"/>
      </rPr>
      <t>であり、</t>
    </r>
    <rPh sb="9" eb="11">
      <t>ウンテン</t>
    </rPh>
    <rPh sb="11" eb="13">
      <t>デンアツ</t>
    </rPh>
    <rPh sb="13" eb="15">
      <t>ハンイ</t>
    </rPh>
    <rPh sb="16" eb="18">
      <t>セッテイ</t>
    </rPh>
    <rPh sb="26" eb="30">
      <t>ウンテンカノウ</t>
    </rPh>
    <rPh sb="31" eb="33">
      <t>デンアツ</t>
    </rPh>
    <rPh sb="33" eb="35">
      <t>ハンイ</t>
    </rPh>
    <phoneticPr fontId="21"/>
  </si>
  <si>
    <t>全ての範囲でPCSの定格出力が出せることを示すものではありません。</t>
    <rPh sb="0" eb="1">
      <t>スベ</t>
    </rPh>
    <rPh sb="3" eb="5">
      <t>ハンイ</t>
    </rPh>
    <rPh sb="10" eb="12">
      <t>テイカク</t>
    </rPh>
    <rPh sb="12" eb="14">
      <t>シュツリョク</t>
    </rPh>
    <rPh sb="15" eb="16">
      <t>ダ</t>
    </rPh>
    <rPh sb="21" eb="22">
      <t>シメ</t>
    </rPh>
    <phoneticPr fontId="21"/>
  </si>
  <si>
    <t>太陽光パネルは主に温度により電圧が変化するため電圧の低いとき（高温）、電圧の高いとき（低温）のときに</t>
    <rPh sb="0" eb="3">
      <t>タイヨウコウ</t>
    </rPh>
    <rPh sb="7" eb="8">
      <t>オモ</t>
    </rPh>
    <rPh sb="9" eb="11">
      <t>オンド</t>
    </rPh>
    <rPh sb="14" eb="16">
      <t>デンアツ</t>
    </rPh>
    <rPh sb="17" eb="19">
      <t>ヘンカ</t>
    </rPh>
    <rPh sb="23" eb="25">
      <t>デンアツ</t>
    </rPh>
    <rPh sb="26" eb="27">
      <t>ヒク</t>
    </rPh>
    <rPh sb="31" eb="33">
      <t>コウオン</t>
    </rPh>
    <rPh sb="35" eb="37">
      <t>デンアツ</t>
    </rPh>
    <rPh sb="38" eb="39">
      <t>タカ</t>
    </rPh>
    <rPh sb="43" eb="45">
      <t>テイオン</t>
    </rPh>
    <phoneticPr fontId="21"/>
  </si>
  <si>
    <t>本ツールでは定格出力が計算上出せるかを確認しています。</t>
    <rPh sb="0" eb="1">
      <t>ホン</t>
    </rPh>
    <rPh sb="6" eb="10">
      <t>テイカクシュツリョク</t>
    </rPh>
    <rPh sb="11" eb="14">
      <t>ケイサンジョウ</t>
    </rPh>
    <rPh sb="14" eb="15">
      <t>ダ</t>
    </rPh>
    <rPh sb="19" eb="21">
      <t>カクニン</t>
    </rPh>
    <phoneticPr fontId="21"/>
  </si>
  <si>
    <r>
      <t>PCSの環境温度もこれには影響し、本ツールでは高温時は</t>
    </r>
    <r>
      <rPr>
        <sz val="11"/>
        <color rgb="FFFF0000"/>
        <rFont val="ＭＳ Ｐゴシック"/>
        <family val="3"/>
        <charset val="128"/>
      </rPr>
      <t>周囲温度40度、低温時は-20度</t>
    </r>
    <r>
      <rPr>
        <sz val="11"/>
        <rFont val="ＭＳ Ｐゴシック"/>
        <family val="3"/>
        <charset val="128"/>
      </rPr>
      <t>にて検討しています。</t>
    </r>
    <rPh sb="4" eb="6">
      <t>カンキョウ</t>
    </rPh>
    <rPh sb="6" eb="8">
      <t>オンド</t>
    </rPh>
    <rPh sb="13" eb="15">
      <t>エイキョウ</t>
    </rPh>
    <rPh sb="17" eb="18">
      <t>ホン</t>
    </rPh>
    <rPh sb="23" eb="26">
      <t>コウオンジ</t>
    </rPh>
    <rPh sb="27" eb="31">
      <t>シュウイオンド</t>
    </rPh>
    <rPh sb="33" eb="34">
      <t>ド</t>
    </rPh>
    <rPh sb="35" eb="38">
      <t>テイオンジ</t>
    </rPh>
    <rPh sb="42" eb="43">
      <t>ド</t>
    </rPh>
    <rPh sb="45" eb="47">
      <t>ケントウ</t>
    </rPh>
    <phoneticPr fontId="21"/>
  </si>
  <si>
    <t>他にも機種によりAC電圧や力率が大きく影響する機種についてはそれらを選択するようにしています。</t>
    <rPh sb="0" eb="1">
      <t>ホカ</t>
    </rPh>
    <rPh sb="3" eb="5">
      <t>キシュ</t>
    </rPh>
    <rPh sb="10" eb="12">
      <t>デンアツ</t>
    </rPh>
    <rPh sb="13" eb="14">
      <t>リキ</t>
    </rPh>
    <rPh sb="14" eb="15">
      <t>リツ</t>
    </rPh>
    <rPh sb="16" eb="17">
      <t>オオ</t>
    </rPh>
    <rPh sb="19" eb="21">
      <t>エイキョウ</t>
    </rPh>
    <rPh sb="23" eb="25">
      <t>キシュ</t>
    </rPh>
    <rPh sb="34" eb="36">
      <t>センタク</t>
    </rPh>
    <phoneticPr fontId="21"/>
  </si>
  <si>
    <r>
      <t>実環境下では</t>
    </r>
    <r>
      <rPr>
        <sz val="11"/>
        <color rgb="FFFF0000"/>
        <rFont val="ＭＳ Ｐゴシック"/>
        <family val="3"/>
        <charset val="128"/>
      </rPr>
      <t>直射日光の有無や換気状況、他熱源との距離</t>
    </r>
    <r>
      <rPr>
        <sz val="11"/>
        <rFont val="ＭＳ Ｐゴシック"/>
        <family val="3"/>
        <charset val="128"/>
      </rPr>
      <t>などの影響を受けます。</t>
    </r>
    <rPh sb="0" eb="1">
      <t>ジツ</t>
    </rPh>
    <rPh sb="1" eb="4">
      <t>カンキョウカ</t>
    </rPh>
    <rPh sb="6" eb="10">
      <t>チョクシャニッコウ</t>
    </rPh>
    <rPh sb="11" eb="13">
      <t>ウム</t>
    </rPh>
    <rPh sb="14" eb="16">
      <t>カンキ</t>
    </rPh>
    <rPh sb="16" eb="18">
      <t>ジョウキョウ</t>
    </rPh>
    <rPh sb="19" eb="20">
      <t>ホカ</t>
    </rPh>
    <rPh sb="20" eb="22">
      <t>ネツゲン</t>
    </rPh>
    <rPh sb="24" eb="26">
      <t>キョリ</t>
    </rPh>
    <rPh sb="29" eb="31">
      <t>エイキョウ</t>
    </rPh>
    <rPh sb="32" eb="33">
      <t>ウ</t>
    </rPh>
    <phoneticPr fontId="21"/>
  </si>
  <si>
    <t>よって本計算ツールの結果によりディレーティングが発生しないことを保証するものでありませんので</t>
    <rPh sb="3" eb="6">
      <t>ホンケイサン</t>
    </rPh>
    <rPh sb="10" eb="12">
      <t>ケッカ</t>
    </rPh>
    <rPh sb="24" eb="26">
      <t>ハッセイ</t>
    </rPh>
    <rPh sb="32" eb="34">
      <t>ホショウ</t>
    </rPh>
    <phoneticPr fontId="21"/>
  </si>
  <si>
    <t>ご理解ください。</t>
    <rPh sb="1" eb="3">
      <t>リカイ</t>
    </rPh>
    <phoneticPr fontId="21"/>
  </si>
  <si>
    <t>接続枚数</t>
    <rPh sb="0" eb="2">
      <t>セツゾク</t>
    </rPh>
    <rPh sb="2" eb="4">
      <t>マイスウ</t>
    </rPh>
    <phoneticPr fontId="21"/>
  </si>
  <si>
    <t>環境温度</t>
    <rPh sb="0" eb="2">
      <t>カンキョウ</t>
    </rPh>
    <rPh sb="2" eb="4">
      <t>オンド</t>
    </rPh>
    <phoneticPr fontId="21"/>
  </si>
  <si>
    <t>パネル温度</t>
    <rPh sb="3" eb="5">
      <t>オンド</t>
    </rPh>
    <phoneticPr fontId="21"/>
  </si>
  <si>
    <t>パネル電圧</t>
    <rPh sb="3" eb="5">
      <t>デンアツ</t>
    </rPh>
    <phoneticPr fontId="21"/>
  </si>
  <si>
    <t>ストリング電圧</t>
    <rPh sb="5" eb="7">
      <t>デンアツ</t>
    </rPh>
    <phoneticPr fontId="21"/>
  </si>
  <si>
    <t>PCS出力倍率</t>
    <rPh sb="3" eb="5">
      <t>シュツリョク</t>
    </rPh>
    <rPh sb="5" eb="7">
      <t>バイリツ</t>
    </rPh>
    <phoneticPr fontId="21"/>
  </si>
  <si>
    <t>PCS出力倍率補正後</t>
    <rPh sb="3" eb="5">
      <t>シュツリョク</t>
    </rPh>
    <rPh sb="5" eb="7">
      <t>バイリツ</t>
    </rPh>
    <rPh sb="7" eb="10">
      <t>ホセイゴ</t>
    </rPh>
    <phoneticPr fontId="21"/>
  </si>
  <si>
    <t>PCS出力</t>
    <rPh sb="3" eb="5">
      <t>シュツリョク</t>
    </rPh>
    <phoneticPr fontId="21"/>
  </si>
  <si>
    <t>パネル出力</t>
    <rPh sb="3" eb="5">
      <t>シュツリョク</t>
    </rPh>
    <phoneticPr fontId="21"/>
  </si>
  <si>
    <t>パネル出力補正</t>
    <rPh sb="3" eb="5">
      <t>シュツリョク</t>
    </rPh>
    <rPh sb="5" eb="7">
      <t>ホセイ</t>
    </rPh>
    <phoneticPr fontId="21"/>
  </si>
  <si>
    <t>出力抑制値</t>
    <rPh sb="0" eb="2">
      <t>シュツリョク</t>
    </rPh>
    <rPh sb="2" eb="4">
      <t>ヨクセイ</t>
    </rPh>
    <rPh sb="4" eb="5">
      <t>チ</t>
    </rPh>
    <phoneticPr fontId="21"/>
  </si>
  <si>
    <t>低電圧接続高温電圧</t>
    <rPh sb="0" eb="3">
      <t>テイデンアツ</t>
    </rPh>
    <rPh sb="3" eb="5">
      <t>セツゾク</t>
    </rPh>
    <rPh sb="5" eb="7">
      <t>コウオン</t>
    </rPh>
    <rPh sb="7" eb="9">
      <t>デンアツ</t>
    </rPh>
    <phoneticPr fontId="21"/>
  </si>
  <si>
    <t>直列数/回路数</t>
    <rPh sb="0" eb="2">
      <t>チョクレツ</t>
    </rPh>
    <rPh sb="2" eb="3">
      <t>スウ</t>
    </rPh>
    <rPh sb="4" eb="7">
      <t>カイロスウ</t>
    </rPh>
    <phoneticPr fontId="21"/>
  </si>
  <si>
    <t>低電圧接続</t>
    <rPh sb="0" eb="3">
      <t>テイデンアツ</t>
    </rPh>
    <rPh sb="3" eb="5">
      <t>セツゾク</t>
    </rPh>
    <phoneticPr fontId="21"/>
  </si>
  <si>
    <t>最大運転電圧(ＳＴＣ)</t>
    <phoneticPr fontId="21"/>
  </si>
  <si>
    <t>最大運転電圧(低温)</t>
    <phoneticPr fontId="21"/>
  </si>
  <si>
    <t>最大運転電圧(高温)</t>
    <rPh sb="7" eb="9">
      <t>コウオン</t>
    </rPh>
    <phoneticPr fontId="21"/>
  </si>
  <si>
    <t>接続可能組み合わせ</t>
    <rPh sb="0" eb="4">
      <t>セツゾクカノウ</t>
    </rPh>
    <rPh sb="4" eb="5">
      <t>ク</t>
    </rPh>
    <rPh sb="6" eb="7">
      <t>ア</t>
    </rPh>
    <phoneticPr fontId="21"/>
  </si>
  <si>
    <t>回路数/直列数</t>
    <rPh sb="0" eb="3">
      <t>カイロスウ</t>
    </rPh>
    <phoneticPr fontId="21"/>
  </si>
  <si>
    <t>集電数</t>
    <rPh sb="0" eb="2">
      <t>シュウデン</t>
    </rPh>
    <rPh sb="2" eb="3">
      <t>スウ</t>
    </rPh>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</si>
</sst>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76" formatCode="0.00000_ "/>
    <numFmt numFmtId="177" formatCode="0.0_);[Red]\(0.0\)"/>
    <numFmt numFmtId="178" formatCode="0.00_ "/>
    <numFmt numFmtId="179" formatCode="0.0"/>
    <numFmt numFmtId="180" formatCode="0.00\A"/>
    <numFmt numFmtId="181" formatCode="0.00\V"/>
    <numFmt numFmtId="182" formatCode="0.00\k\W"/>
    <numFmt numFmtId="183" formatCode="0\℃"/>
    <numFmt numFmtId="184" formatCode="0.0%"/>
    <numFmt numFmtId="185" formatCode="0&quot;枚&quot;"/>
    <numFmt numFmtId="186" formatCode="0.0\V"/>
    <numFmt numFmtId="187" formatCode="0.0\A"/>
    <numFmt numFmtId="188" formatCode="0&quot;MPPT&quot;"/>
    <numFmt numFmtId="189" formatCode="0.0_ "/>
    <numFmt numFmtId="190" formatCode="0&quot;回路&quot;"/>
    <numFmt numFmtId="191" formatCode="0\V"/>
    <numFmt numFmtId="192" formatCode="g/&quot;Ｖ&quot;"/>
    <numFmt numFmtId="193" formatCode="0\A"/>
    <numFmt numFmtId="194" formatCode="0&quot;Ａ&quot;"/>
    <numFmt numFmtId="195" formatCode="0_);[Red]\(0\)"/>
    <numFmt numFmtId="196" formatCode="0.00_);[Red]\(0.00\)"/>
    <numFmt numFmtId="197" formatCode="0&quot;回&quot;&quot;路&quot;"/>
    <numFmt numFmtId="198" formatCode="0&quot;直&quot;"/>
    <numFmt numFmtId="199" formatCode="0_ "/>
    <numFmt numFmtId="200" formatCode="0.000_ "/>
    <numFmt numFmtId="201" formatCode="0.0000_ "/>
    <numFmt numFmtId="202" formatCode="0.000%"/>
  </numFmts>
  <fonts count="45">
    <font>
      <sz val="11"/>
      <name val="宋体"/>
      <family val="3"/>
      <charset val="134"/>
    </font>
    <font>
      <sz val="9"/>
      <name val="宋体"/>
      <family val="3"/>
      <charset val="134"/>
    </font>
    <font>
      <sz val="6"/>
      <name val="ＭＳ Ｐゴシック"/>
      <family val="3"/>
      <charset val="128"/>
      <scheme val="minor"/>
    </font>
    <font>
      <sz val="12"/>
      <name val="宋体"/>
      <family val="3"/>
      <charset val="134"/>
    </font>
    <font>
      <sz val="10"/>
      <name val="Arial"/>
      <family val="2"/>
    </font>
    <font>
      <sz val="11"/>
      <name val="MS PGothic"/>
      <family val="2"/>
      <charset val="128"/>
    </font>
    <font>
      <sz val="11"/>
      <color rgb="FFFF0000"/>
      <name val="MS PGothic"/>
      <family val="2"/>
      <charset val="128"/>
    </font>
    <font>
      <sz val="11"/>
      <color theme="1"/>
      <name val="MS PGothic"/>
      <family val="2"/>
      <charset val="128"/>
    </font>
    <font>
      <sz val="11"/>
      <color rgb="FF00B050"/>
      <name val="MS PGothic"/>
      <family val="2"/>
      <charset val="128"/>
    </font>
    <font>
      <sz val="6"/>
      <name val="HGGothicE"/>
      <family val="3"/>
      <charset val="128"/>
    </font>
    <font>
      <sz val="11"/>
      <name val="ＭＳ Ｐゴシック"/>
      <family val="3"/>
      <charset val="128"/>
    </font>
    <font>
      <vertAlign val="superscript"/>
      <sz val="11"/>
      <name val="ＭＳ Ｐゴシック"/>
      <family val="3"/>
      <charset val="128"/>
    </font>
    <font>
      <vertAlign val="superscript"/>
      <sz val="16"/>
      <name val="ＭＳ Ｐゴシック"/>
      <family val="3"/>
      <charset val="128"/>
    </font>
    <font>
      <b/>
      <sz val="11"/>
      <name val="ＭＳ Ｐゴシック"/>
      <family val="3"/>
      <charset val="128"/>
    </font>
    <font>
      <sz val="10"/>
      <name val="ＭＳ Ｐゴシック"/>
      <family val="3"/>
      <charset val="128"/>
    </font>
    <font>
      <b/>
      <u/>
      <sz val="11"/>
      <name val="ＭＳ Ｐゴシック"/>
      <family val="3"/>
      <charset val="128"/>
    </font>
    <font>
      <sz val="10"/>
      <color rgb="FFFF0000"/>
      <name val="Arial"/>
      <family val="2"/>
    </font>
    <font>
      <sz val="11"/>
      <color rgb="FFFF0000"/>
      <name val="ＭＳ Ｐゴシック"/>
      <family val="3"/>
      <charset val="128"/>
    </font>
    <font>
      <b/>
      <sz val="12"/>
      <color indexed="81"/>
      <name val="ＭＳ Ｐゴシック"/>
      <family val="3"/>
      <charset val="128"/>
    </font>
    <font>
      <sz val="9"/>
      <color indexed="81"/>
      <name val="ＭＳ Ｐゴシック"/>
      <family val="3"/>
      <charset val="128"/>
    </font>
    <font>
      <b/>
      <sz val="9"/>
      <color indexed="81"/>
      <name val="ＭＳ Ｐゴシック"/>
      <family val="3"/>
      <charset val="128"/>
    </font>
    <font>
      <sz val="6"/>
      <name val="ＭＳ Ｐゴシック"/>
      <family val="3"/>
      <charset val="128"/>
    </font>
    <font>
      <sz val="11"/>
      <name val="ＭＳ Ｐゴシック"/>
      <family val="3"/>
      <charset val="128"/>
      <scheme val="minor"/>
    </font>
    <font>
      <b/>
      <sz val="16"/>
      <name val="ＭＳ Ｐゴシック"/>
      <family val="3"/>
      <charset val="128"/>
      <scheme val="minor"/>
    </font>
    <font>
      <sz val="11"/>
      <color rgb="FFFF0000"/>
      <name val="ＭＳ Ｐゴシック"/>
      <family val="3"/>
      <charset val="128"/>
      <scheme val="minor"/>
    </font>
    <font>
      <sz val="11"/>
      <color rgb="FF0070C0"/>
      <name val="ＭＳ Ｐゴシック"/>
      <family val="3"/>
      <charset val="128"/>
    </font>
    <font>
      <sz val="11"/>
      <color rgb="FF993300"/>
      <name val="ＭＳ ゴシック"/>
      <family val="3"/>
    </font>
    <font>
      <b/>
      <sz val="11"/>
      <name val="ＭＳ ゴシック"/>
      <family val="3"/>
    </font>
    <font>
      <b/>
      <sz val="11"/>
      <name val="ＭＳ ゴシック"/>
      <family val="3"/>
      <charset val="128"/>
    </font>
    <font>
      <sz val="6"/>
      <name val="ＭＳ 明朝"/>
      <family val="1"/>
      <charset val="128"/>
    </font>
    <font>
      <sz val="11"/>
      <name val="ＭＳ ゴシック"/>
      <family val="3"/>
    </font>
    <font>
      <sz val="11"/>
      <color rgb="FF993300"/>
      <name val="ＭＳ ゴシック"/>
      <family val="3"/>
      <charset val="128"/>
    </font>
    <font>
      <sz val="10"/>
      <name val="ＭＳ ゴシック"/>
      <family val="3"/>
    </font>
    <font>
      <sz val="9"/>
      <name val="DengXian"/>
      <family val="3"/>
      <charset val="134"/>
    </font>
    <font>
      <sz val="11"/>
      <color rgb="FF00B050"/>
      <name val="ＭＳ ゴシック"/>
      <family val="3"/>
      <charset val="128"/>
    </font>
    <font>
      <sz val="11"/>
      <color rgb="FF00B050"/>
      <name val="ＭＳ ゴシック"/>
      <family val="3"/>
    </font>
    <font>
      <sz val="11"/>
      <color rgb="FFFF0000"/>
      <name val="ＭＳ ゴシック"/>
      <family val="3"/>
      <charset val="128"/>
    </font>
    <font>
      <sz val="11"/>
      <color rgb="FFFF0000"/>
      <name val="ＭＳ ゴシック"/>
      <family val="3"/>
    </font>
    <font>
      <sz val="11"/>
      <name val="ＭＳ ゴシック"/>
      <family val="3"/>
      <charset val="128"/>
    </font>
    <font>
      <b/>
      <sz val="11"/>
      <name val="宋体"/>
    </font>
    <font>
      <sz val="11"/>
      <color theme="8"/>
      <name val="MS PGothic"/>
      <family val="2"/>
      <charset val="128"/>
    </font>
    <font>
      <sz val="10.5"/>
      <color rgb="FF222222"/>
      <name val="Meiryo UI"/>
      <family val="3"/>
      <charset val="128"/>
    </font>
    <font>
      <sz val="11"/>
      <name val="ＭＳ Ｐゴシック"/>
      <family val="3"/>
      <charset val="134"/>
      <scheme val="major"/>
    </font>
    <font>
      <sz val="11"/>
      <color rgb="FFFF0000"/>
      <name val="ＭＳ Ｐゴシック"/>
      <family val="3"/>
      <charset val="134"/>
      <scheme val="major"/>
    </font>
    <font>
      <sz val="11"/>
      <color theme="0"/>
      <name val="ＭＳ Ｐゴシック"/>
      <family val="3"/>
      <charset val="128"/>
    </font>
  </fonts>
  <fills count="13">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C7CE"/>
        <bgColor indexed="64"/>
      </patternFill>
    </fill>
    <fill>
      <patternFill patternType="solid">
        <fgColor theme="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3999450666829432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CCCC"/>
        <bgColor indexed="64"/>
      </patternFill>
    </fill>
  </fills>
  <borders count="3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style="medium">
        <color indexed="64"/>
      </top>
      <bottom/>
      <diagonal/>
    </border>
    <border>
      <left style="medium">
        <color auto="1"/>
      </left>
      <right/>
      <top style="medium">
        <color indexed="64"/>
      </top>
      <bottom/>
      <diagonal/>
    </border>
    <border>
      <left style="medium">
        <color auto="1"/>
      </left>
      <right style="medium">
        <color auto="1"/>
      </right>
      <top style="thin">
        <color auto="1"/>
      </top>
      <bottom/>
      <diagonal/>
    </border>
    <border>
      <left style="medium">
        <color auto="1"/>
      </left>
      <right/>
      <top/>
      <bottom/>
      <diagonal/>
    </border>
    <border>
      <left style="medium">
        <color auto="1"/>
      </left>
      <right style="medium">
        <color auto="1"/>
      </right>
      <top style="thin">
        <color auto="1"/>
      </top>
      <bottom style="medium">
        <color auto="1"/>
      </bottom>
      <diagonal/>
    </border>
  </borders>
  <cellStyleXfs count="3">
    <xf numFmtId="0" fontId="0" fillId="0" borderId="0">
      <alignment vertical="center"/>
    </xf>
    <xf numFmtId="0" fontId="3" fillId="0" borderId="0">
      <alignment vertical="center"/>
    </xf>
    <xf numFmtId="0" fontId="4" fillId="0" borderId="0"/>
  </cellStyleXfs>
  <cellXfs count="265">
    <xf numFmtId="0" fontId="0" fillId="0" borderId="0" xfId="0">
      <alignment vertical="center"/>
    </xf>
    <xf numFmtId="0" fontId="5" fillId="0" borderId="0" xfId="2" applyFont="1" applyAlignment="1">
      <alignment shrinkToFit="1"/>
    </xf>
    <xf numFmtId="2" fontId="6" fillId="0" borderId="0" xfId="2" applyNumberFormat="1" applyFont="1" applyAlignment="1">
      <alignment shrinkToFit="1"/>
    </xf>
    <xf numFmtId="2" fontId="5" fillId="0" borderId="0" xfId="2" applyNumberFormat="1" applyFont="1" applyAlignment="1">
      <alignment shrinkToFit="1"/>
    </xf>
    <xf numFmtId="0" fontId="6" fillId="0" borderId="0" xfId="2" applyFont="1" applyAlignment="1">
      <alignment shrinkToFit="1"/>
    </xf>
    <xf numFmtId="0" fontId="5" fillId="0" borderId="0" xfId="0" applyFont="1" applyAlignment="1">
      <alignment vertical="center" shrinkToFit="1"/>
    </xf>
    <xf numFmtId="179" fontId="5" fillId="0" borderId="0" xfId="2" applyNumberFormat="1" applyFont="1" applyAlignment="1">
      <alignment shrinkToFit="1"/>
    </xf>
    <xf numFmtId="0" fontId="7" fillId="0" borderId="0" xfId="0" applyFont="1" applyAlignment="1">
      <alignment vertical="center" shrinkToFit="1"/>
    </xf>
    <xf numFmtId="0" fontId="5" fillId="0" borderId="0" xfId="1" applyFont="1" applyAlignment="1">
      <alignment vertical="center" shrinkToFit="1"/>
    </xf>
    <xf numFmtId="10" fontId="5" fillId="0" borderId="0" xfId="2" applyNumberFormat="1" applyFont="1" applyAlignment="1">
      <alignment shrinkToFit="1"/>
    </xf>
    <xf numFmtId="10" fontId="8" fillId="0" borderId="0" xfId="2" applyNumberFormat="1" applyFont="1" applyAlignment="1">
      <alignment shrinkToFit="1"/>
    </xf>
    <xf numFmtId="0" fontId="10" fillId="2" borderId="0" xfId="0" applyFont="1" applyFill="1">
      <alignment vertical="center"/>
    </xf>
    <xf numFmtId="0" fontId="10" fillId="2" borderId="0" xfId="0" applyFont="1" applyFill="1" applyAlignment="1">
      <alignment vertical="center" shrinkToFit="1"/>
    </xf>
    <xf numFmtId="0" fontId="10" fillId="2" borderId="1" xfId="0" applyFont="1" applyFill="1" applyBorder="1" applyAlignment="1">
      <alignment vertical="center" shrinkToFit="1"/>
    </xf>
    <xf numFmtId="9" fontId="10" fillId="2" borderId="2" xfId="0" applyNumberFormat="1" applyFont="1" applyFill="1" applyBorder="1" applyAlignment="1">
      <alignment vertical="center" shrinkToFit="1"/>
    </xf>
    <xf numFmtId="0" fontId="10" fillId="2" borderId="3" xfId="0" applyFont="1" applyFill="1" applyBorder="1" applyAlignment="1">
      <alignment vertical="center" shrinkToFit="1"/>
    </xf>
    <xf numFmtId="9" fontId="10" fillId="2" borderId="4" xfId="0" applyNumberFormat="1" applyFont="1" applyFill="1" applyBorder="1" applyAlignment="1">
      <alignment vertical="center" shrinkToFit="1"/>
    </xf>
    <xf numFmtId="0" fontId="10" fillId="2" borderId="2" xfId="0" applyFont="1" applyFill="1" applyBorder="1" applyAlignment="1">
      <alignment vertical="center" shrinkToFit="1"/>
    </xf>
    <xf numFmtId="0" fontId="10" fillId="2" borderId="7" xfId="0" applyFont="1" applyFill="1" applyBorder="1" applyAlignment="1">
      <alignment vertical="center" shrinkToFit="1"/>
    </xf>
    <xf numFmtId="0" fontId="10" fillId="2" borderId="6" xfId="0" applyFont="1" applyFill="1" applyBorder="1" applyAlignment="1">
      <alignment vertical="center" shrinkToFit="1"/>
    </xf>
    <xf numFmtId="0" fontId="10" fillId="2" borderId="11" xfId="0" applyFont="1" applyFill="1" applyBorder="1" applyAlignment="1">
      <alignment vertical="center" shrinkToFit="1"/>
    </xf>
    <xf numFmtId="0" fontId="10" fillId="2" borderId="4" xfId="0" applyFont="1" applyFill="1" applyBorder="1" applyAlignment="1">
      <alignment vertical="center" shrinkToFit="1"/>
    </xf>
    <xf numFmtId="0" fontId="10" fillId="2" borderId="8" xfId="0" applyFont="1" applyFill="1" applyBorder="1" applyAlignment="1">
      <alignment vertical="center" shrinkToFit="1"/>
    </xf>
    <xf numFmtId="0" fontId="10" fillId="2" borderId="5" xfId="0" applyFont="1" applyFill="1" applyBorder="1" applyAlignment="1">
      <alignment vertical="center" shrinkToFit="1"/>
    </xf>
    <xf numFmtId="0" fontId="13" fillId="3" borderId="6" xfId="0" applyFont="1" applyFill="1" applyBorder="1" applyAlignment="1">
      <alignment vertical="center" shrinkToFit="1"/>
    </xf>
    <xf numFmtId="0" fontId="13" fillId="3" borderId="8" xfId="0" applyFont="1" applyFill="1" applyBorder="1" applyAlignment="1">
      <alignment vertical="center" shrinkToFit="1"/>
    </xf>
    <xf numFmtId="0" fontId="10" fillId="2" borderId="10" xfId="0" applyFont="1" applyFill="1" applyBorder="1" applyAlignment="1">
      <alignment vertical="center" shrinkToFit="1"/>
    </xf>
    <xf numFmtId="0" fontId="10" fillId="2" borderId="9" xfId="0" applyFont="1" applyFill="1" applyBorder="1" applyAlignment="1">
      <alignment vertical="center" shrinkToFit="1"/>
    </xf>
    <xf numFmtId="0" fontId="10" fillId="2" borderId="12" xfId="0" applyFont="1" applyFill="1" applyBorder="1" applyAlignment="1">
      <alignment vertical="center" shrinkToFit="1"/>
    </xf>
    <xf numFmtId="0" fontId="10" fillId="3" borderId="10" xfId="0" applyFont="1" applyFill="1" applyBorder="1" applyAlignment="1">
      <alignment vertical="center" shrinkToFit="1"/>
    </xf>
    <xf numFmtId="0" fontId="10" fillId="2" borderId="14" xfId="0" applyFont="1" applyFill="1" applyBorder="1" applyAlignment="1">
      <alignment vertical="center" shrinkToFit="1"/>
    </xf>
    <xf numFmtId="0" fontId="13" fillId="2" borderId="13" xfId="0" applyFont="1" applyFill="1" applyBorder="1" applyAlignment="1">
      <alignment vertical="center" shrinkToFit="1"/>
    </xf>
    <xf numFmtId="0" fontId="10" fillId="2" borderId="15" xfId="0" applyFont="1" applyFill="1" applyBorder="1" applyAlignment="1">
      <alignment vertical="center" shrinkToFit="1"/>
    </xf>
    <xf numFmtId="0" fontId="14" fillId="2" borderId="1" xfId="0" applyFont="1" applyFill="1" applyBorder="1" applyAlignment="1">
      <alignment vertical="center" shrinkToFit="1"/>
    </xf>
    <xf numFmtId="0" fontId="10" fillId="2" borderId="14" xfId="0" quotePrefix="1" applyFont="1" applyFill="1" applyBorder="1" applyAlignment="1">
      <alignment vertical="center" shrinkToFit="1"/>
    </xf>
    <xf numFmtId="0" fontId="10" fillId="2" borderId="13" xfId="0" applyFont="1" applyFill="1" applyBorder="1" applyAlignment="1">
      <alignment horizontal="center" vertical="center" shrinkToFit="1"/>
    </xf>
    <xf numFmtId="180" fontId="10" fillId="2" borderId="13" xfId="0" applyNumberFormat="1" applyFont="1" applyFill="1" applyBorder="1" applyAlignment="1">
      <alignment horizontal="right" vertical="center" shrinkToFit="1"/>
    </xf>
    <xf numFmtId="10" fontId="10" fillId="2" borderId="13" xfId="0" applyNumberFormat="1" applyFont="1" applyFill="1" applyBorder="1" applyAlignment="1">
      <alignment horizontal="right" vertical="center" shrinkToFit="1"/>
    </xf>
    <xf numFmtId="0" fontId="10" fillId="2" borderId="13" xfId="1" applyFont="1" applyFill="1" applyBorder="1" applyAlignment="1">
      <alignment horizontal="center" vertical="center" shrinkToFit="1"/>
    </xf>
    <xf numFmtId="0" fontId="10" fillId="2" borderId="13" xfId="0" applyFont="1" applyFill="1" applyBorder="1" applyAlignment="1">
      <alignment horizontal="right" vertical="center" shrinkToFit="1"/>
    </xf>
    <xf numFmtId="10" fontId="10" fillId="2" borderId="13" xfId="1" applyNumberFormat="1" applyFont="1" applyFill="1" applyBorder="1" applyAlignment="1">
      <alignment horizontal="right" vertical="center" shrinkToFit="1"/>
    </xf>
    <xf numFmtId="181" fontId="10" fillId="2" borderId="13" xfId="1" applyNumberFormat="1" applyFont="1" applyFill="1" applyBorder="1" applyAlignment="1">
      <alignment horizontal="right" vertical="center" shrinkToFit="1"/>
    </xf>
    <xf numFmtId="0" fontId="10" fillId="2" borderId="13" xfId="0" applyFont="1" applyFill="1" applyBorder="1">
      <alignment vertical="center"/>
    </xf>
    <xf numFmtId="178" fontId="10" fillId="2" borderId="13" xfId="0" applyNumberFormat="1" applyFont="1" applyFill="1" applyBorder="1" applyAlignment="1">
      <alignment vertical="center" shrinkToFit="1"/>
    </xf>
    <xf numFmtId="0" fontId="15" fillId="2" borderId="0" xfId="0" applyFont="1" applyFill="1">
      <alignment vertical="center"/>
    </xf>
    <xf numFmtId="9" fontId="10" fillId="2" borderId="0" xfId="0" applyNumberFormat="1" applyFont="1" applyFill="1">
      <alignment vertical="center"/>
    </xf>
    <xf numFmtId="181" fontId="10" fillId="2" borderId="0" xfId="1" applyNumberFormat="1" applyFont="1" applyFill="1" applyAlignment="1">
      <alignment horizontal="right" vertical="center" shrinkToFit="1"/>
    </xf>
    <xf numFmtId="0" fontId="11" fillId="2" borderId="0" xfId="1" applyFont="1" applyFill="1" applyAlignment="1">
      <alignment horizontal="center" vertical="center" shrinkToFit="1"/>
    </xf>
    <xf numFmtId="0" fontId="12" fillId="2" borderId="0" xfId="1" applyFont="1" applyFill="1" applyAlignment="1">
      <alignment horizontal="center" vertical="center" shrinkToFit="1"/>
    </xf>
    <xf numFmtId="10" fontId="10" fillId="2" borderId="0" xfId="1" applyNumberFormat="1" applyFont="1" applyFill="1" applyAlignment="1">
      <alignment horizontal="right" vertical="center" shrinkToFit="1"/>
    </xf>
    <xf numFmtId="184" fontId="10" fillId="2" borderId="13" xfId="0" applyNumberFormat="1" applyFont="1" applyFill="1" applyBorder="1" applyAlignment="1">
      <alignment vertical="center" shrinkToFit="1"/>
    </xf>
    <xf numFmtId="184" fontId="10" fillId="2" borderId="15" xfId="0" applyNumberFormat="1" applyFont="1" applyFill="1" applyBorder="1" applyAlignment="1">
      <alignment vertical="center" shrinkToFit="1"/>
    </xf>
    <xf numFmtId="0" fontId="10" fillId="2" borderId="13" xfId="1" applyFont="1" applyFill="1" applyBorder="1" applyAlignment="1">
      <alignment horizontal="right" vertical="center" shrinkToFit="1"/>
    </xf>
    <xf numFmtId="177" fontId="10" fillId="2" borderId="13" xfId="1" applyNumberFormat="1" applyFont="1" applyFill="1" applyBorder="1" applyAlignment="1">
      <alignment horizontal="right" vertical="center" shrinkToFit="1"/>
    </xf>
    <xf numFmtId="0" fontId="10" fillId="4" borderId="13" xfId="0" applyFont="1" applyFill="1" applyBorder="1">
      <alignment vertical="center"/>
    </xf>
    <xf numFmtId="0" fontId="10" fillId="2" borderId="17" xfId="1" applyFont="1" applyFill="1" applyBorder="1" applyAlignment="1">
      <alignment horizontal="center" vertical="center" shrinkToFit="1"/>
    </xf>
    <xf numFmtId="0" fontId="10" fillId="2" borderId="17" xfId="0" applyFont="1" applyFill="1" applyBorder="1" applyAlignment="1">
      <alignment horizontal="right" vertical="center" shrinkToFit="1"/>
    </xf>
    <xf numFmtId="10" fontId="10" fillId="2" borderId="17" xfId="1" applyNumberFormat="1" applyFont="1" applyFill="1" applyBorder="1" applyAlignment="1">
      <alignment horizontal="right" vertical="center" shrinkToFit="1"/>
    </xf>
    <xf numFmtId="0" fontId="10" fillId="3" borderId="13" xfId="0" applyFont="1" applyFill="1" applyBorder="1">
      <alignment vertical="center"/>
    </xf>
    <xf numFmtId="9" fontId="10" fillId="3" borderId="13" xfId="0" applyNumberFormat="1" applyFont="1" applyFill="1" applyBorder="1">
      <alignment vertical="center"/>
    </xf>
    <xf numFmtId="0" fontId="13" fillId="2" borderId="13" xfId="0" applyFont="1" applyFill="1" applyBorder="1" applyAlignment="1">
      <alignment horizontal="left" vertical="center"/>
    </xf>
    <xf numFmtId="182" fontId="10" fillId="3" borderId="13" xfId="0" applyNumberFormat="1" applyFont="1" applyFill="1" applyBorder="1" applyAlignment="1">
      <alignment vertical="center" shrinkToFit="1"/>
    </xf>
    <xf numFmtId="0" fontId="10" fillId="3" borderId="13" xfId="0" applyFont="1" applyFill="1" applyBorder="1" applyAlignment="1">
      <alignment vertical="center" shrinkToFit="1"/>
    </xf>
    <xf numFmtId="0" fontId="17" fillId="5" borderId="13" xfId="0" applyFont="1" applyFill="1" applyBorder="1">
      <alignment vertical="center"/>
    </xf>
    <xf numFmtId="0" fontId="10" fillId="2" borderId="13" xfId="1" applyFont="1" applyFill="1" applyBorder="1" applyAlignment="1">
      <alignment horizontal="left" vertical="center" shrinkToFit="1"/>
    </xf>
    <xf numFmtId="0" fontId="10" fillId="2" borderId="13" xfId="0" applyFont="1" applyFill="1" applyBorder="1" applyAlignment="1">
      <alignment horizontal="left" vertical="center" shrinkToFit="1"/>
    </xf>
    <xf numFmtId="186" fontId="10" fillId="3" borderId="13" xfId="0" applyNumberFormat="1" applyFont="1" applyFill="1" applyBorder="1" applyAlignment="1">
      <alignment vertical="center" shrinkToFit="1"/>
    </xf>
    <xf numFmtId="187" fontId="10" fillId="3" borderId="13" xfId="0" applyNumberFormat="1" applyFont="1" applyFill="1" applyBorder="1" applyAlignment="1">
      <alignment vertical="center" shrinkToFit="1"/>
    </xf>
    <xf numFmtId="182" fontId="10" fillId="3" borderId="13" xfId="0" applyNumberFormat="1" applyFont="1" applyFill="1" applyBorder="1">
      <alignment vertical="center"/>
    </xf>
    <xf numFmtId="188" fontId="10" fillId="3" borderId="13" xfId="0" applyNumberFormat="1" applyFont="1" applyFill="1" applyBorder="1" applyAlignment="1">
      <alignment vertical="center" shrinkToFit="1"/>
    </xf>
    <xf numFmtId="0" fontId="17" fillId="2" borderId="0" xfId="0" applyFont="1" applyFill="1">
      <alignment vertical="center"/>
    </xf>
    <xf numFmtId="0" fontId="10" fillId="3" borderId="12" xfId="0" applyFont="1" applyFill="1" applyBorder="1" applyAlignment="1">
      <alignment vertical="center" shrinkToFit="1"/>
    </xf>
    <xf numFmtId="0" fontId="22" fillId="0" borderId="0" xfId="0" applyFont="1">
      <alignment vertical="center"/>
    </xf>
    <xf numFmtId="0" fontId="23" fillId="0" borderId="0" xfId="0" applyFont="1">
      <alignment vertical="center"/>
    </xf>
    <xf numFmtId="185" fontId="10" fillId="4" borderId="13" xfId="0" applyNumberFormat="1" applyFont="1" applyFill="1" applyBorder="1" applyProtection="1">
      <alignment vertical="center"/>
      <protection locked="0"/>
    </xf>
    <xf numFmtId="9" fontId="10" fillId="4" borderId="13" xfId="0" applyNumberFormat="1" applyFont="1" applyFill="1" applyBorder="1" applyAlignment="1" applyProtection="1">
      <alignment horizontal="right" vertical="center" shrinkToFit="1"/>
      <protection locked="0"/>
    </xf>
    <xf numFmtId="183" fontId="10" fillId="4" borderId="13" xfId="0" applyNumberFormat="1" applyFont="1" applyFill="1" applyBorder="1" applyAlignment="1" applyProtection="1">
      <alignment horizontal="right" vertical="center" shrinkToFit="1"/>
      <protection locked="0"/>
    </xf>
    <xf numFmtId="9" fontId="10" fillId="4" borderId="13" xfId="0" applyNumberFormat="1" applyFont="1" applyFill="1" applyBorder="1" applyAlignment="1" applyProtection="1">
      <alignment horizontal="right" vertical="center"/>
      <protection locked="0"/>
    </xf>
    <xf numFmtId="0" fontId="10" fillId="4" borderId="8" xfId="0" applyFont="1" applyFill="1" applyBorder="1" applyProtection="1">
      <alignment vertical="center"/>
      <protection locked="0"/>
    </xf>
    <xf numFmtId="0" fontId="10" fillId="4" borderId="13" xfId="0" applyFont="1" applyFill="1" applyBorder="1" applyProtection="1">
      <alignment vertical="center"/>
      <protection locked="0"/>
    </xf>
    <xf numFmtId="0" fontId="10" fillId="4" borderId="13" xfId="0" applyFont="1" applyFill="1" applyBorder="1" applyAlignment="1" applyProtection="1">
      <alignment vertical="center" shrinkToFit="1"/>
      <protection locked="0"/>
    </xf>
    <xf numFmtId="9" fontId="10" fillId="2" borderId="13" xfId="0" applyNumberFormat="1" applyFont="1" applyFill="1" applyBorder="1" applyAlignment="1">
      <alignment vertical="center" shrinkToFit="1"/>
    </xf>
    <xf numFmtId="9" fontId="10" fillId="2" borderId="15" xfId="0" applyNumberFormat="1" applyFont="1" applyFill="1" applyBorder="1" applyAlignment="1">
      <alignment vertical="center" shrinkToFit="1"/>
    </xf>
    <xf numFmtId="189" fontId="10" fillId="2" borderId="0" xfId="0" applyNumberFormat="1" applyFont="1" applyFill="1">
      <alignment vertical="center"/>
    </xf>
    <xf numFmtId="181" fontId="10" fillId="2" borderId="0" xfId="0" applyNumberFormat="1" applyFont="1" applyFill="1">
      <alignment vertical="center"/>
    </xf>
    <xf numFmtId="9" fontId="0" fillId="0" borderId="0" xfId="0" applyNumberFormat="1">
      <alignment vertical="center"/>
    </xf>
    <xf numFmtId="178" fontId="0" fillId="0" borderId="0" xfId="0" applyNumberFormat="1">
      <alignment vertical="center"/>
    </xf>
    <xf numFmtId="0" fontId="10" fillId="2" borderId="13" xfId="0" applyFont="1" applyFill="1" applyBorder="1" applyAlignment="1">
      <alignment vertical="center" shrinkToFit="1"/>
    </xf>
    <xf numFmtId="183" fontId="10" fillId="2" borderId="18" xfId="0" applyNumberFormat="1" applyFont="1" applyFill="1" applyBorder="1" applyAlignment="1" applyProtection="1">
      <alignment horizontal="right" vertical="center" shrinkToFit="1"/>
      <protection locked="0"/>
    </xf>
    <xf numFmtId="0" fontId="10" fillId="2" borderId="20" xfId="0" applyFont="1" applyFill="1" applyBorder="1">
      <alignment vertical="center"/>
    </xf>
    <xf numFmtId="0" fontId="13" fillId="3" borderId="0" xfId="0" applyFont="1" applyFill="1" applyAlignment="1">
      <alignment vertical="center" shrinkToFit="1"/>
    </xf>
    <xf numFmtId="176" fontId="10" fillId="2" borderId="0" xfId="1" applyNumberFormat="1" applyFont="1" applyFill="1" applyAlignment="1">
      <alignment horizontal="center" vertical="center" shrinkToFit="1"/>
    </xf>
    <xf numFmtId="0" fontId="10" fillId="2" borderId="0" xfId="1" applyFont="1" applyFill="1" applyAlignment="1">
      <alignment horizontal="right" vertical="center" shrinkToFit="1"/>
    </xf>
    <xf numFmtId="0" fontId="13" fillId="2" borderId="0" xfId="0" applyFont="1" applyFill="1" applyAlignment="1">
      <alignment vertical="center" shrinkToFit="1"/>
    </xf>
    <xf numFmtId="9" fontId="10" fillId="2" borderId="13" xfId="0" applyNumberFormat="1" applyFont="1" applyFill="1" applyBorder="1">
      <alignment vertical="center"/>
    </xf>
    <xf numFmtId="176" fontId="10" fillId="2" borderId="13" xfId="1" applyNumberFormat="1" applyFont="1" applyFill="1" applyBorder="1" applyAlignment="1">
      <alignment horizontal="center" vertical="center" shrinkToFit="1"/>
    </xf>
    <xf numFmtId="0" fontId="13" fillId="2" borderId="21" xfId="0" applyFont="1" applyFill="1" applyBorder="1">
      <alignment vertical="center"/>
    </xf>
    <xf numFmtId="0" fontId="13" fillId="2" borderId="13" xfId="0" applyFont="1" applyFill="1" applyBorder="1">
      <alignment vertical="center"/>
    </xf>
    <xf numFmtId="0" fontId="10" fillId="2" borderId="0" xfId="0" applyFont="1" applyFill="1" applyAlignment="1" applyProtection="1">
      <alignment horizontal="center" vertical="center" shrinkToFit="1"/>
      <protection locked="0"/>
    </xf>
    <xf numFmtId="184" fontId="10" fillId="2" borderId="13" xfId="1" applyNumberFormat="1" applyFont="1" applyFill="1" applyBorder="1" applyAlignment="1">
      <alignment horizontal="right" vertical="center" shrinkToFit="1"/>
    </xf>
    <xf numFmtId="190" fontId="10" fillId="2" borderId="13" xfId="0" applyNumberFormat="1" applyFont="1" applyFill="1" applyBorder="1" applyAlignment="1">
      <alignment horizontal="right" vertical="center" shrinkToFit="1"/>
    </xf>
    <xf numFmtId="190" fontId="10" fillId="2" borderId="13" xfId="1" applyNumberFormat="1" applyFont="1" applyFill="1" applyBorder="1" applyAlignment="1">
      <alignment horizontal="right" vertical="center" shrinkToFit="1"/>
    </xf>
    <xf numFmtId="191" fontId="10" fillId="2" borderId="13" xfId="0" applyNumberFormat="1" applyFont="1" applyFill="1" applyBorder="1" applyAlignment="1">
      <alignment horizontal="right" vertical="center" shrinkToFit="1"/>
    </xf>
    <xf numFmtId="192" fontId="10" fillId="2" borderId="13" xfId="1" applyNumberFormat="1" applyFont="1" applyFill="1" applyBorder="1" applyAlignment="1">
      <alignment horizontal="right" vertical="center" shrinkToFit="1"/>
    </xf>
    <xf numFmtId="193" fontId="10" fillId="2" borderId="13" xfId="0" applyNumberFormat="1" applyFont="1" applyFill="1" applyBorder="1" applyAlignment="1">
      <alignment horizontal="right" vertical="center" shrinkToFit="1"/>
    </xf>
    <xf numFmtId="194" fontId="10" fillId="2" borderId="13" xfId="1" applyNumberFormat="1" applyFont="1" applyFill="1" applyBorder="1" applyAlignment="1">
      <alignment horizontal="right" vertical="center" shrinkToFit="1"/>
    </xf>
    <xf numFmtId="0" fontId="13" fillId="2" borderId="13" xfId="1" applyFont="1" applyFill="1" applyBorder="1" applyAlignment="1">
      <alignment horizontal="center" vertical="center" shrinkToFit="1"/>
    </xf>
    <xf numFmtId="0" fontId="22" fillId="6" borderId="17" xfId="0" applyFont="1" applyFill="1" applyBorder="1">
      <alignment vertical="center"/>
    </xf>
    <xf numFmtId="0" fontId="22" fillId="2" borderId="17" xfId="0" applyFont="1" applyFill="1" applyBorder="1">
      <alignment vertical="center"/>
    </xf>
    <xf numFmtId="0" fontId="22" fillId="2" borderId="13" xfId="0" applyFont="1" applyFill="1" applyBorder="1">
      <alignment vertical="center"/>
    </xf>
    <xf numFmtId="0" fontId="22" fillId="2" borderId="18" xfId="0" applyFont="1" applyFill="1" applyBorder="1">
      <alignment vertical="center"/>
    </xf>
    <xf numFmtId="182" fontId="10" fillId="2" borderId="13" xfId="0" applyNumberFormat="1" applyFont="1" applyFill="1" applyBorder="1" applyAlignment="1">
      <alignment horizontal="right" vertical="center" shrinkToFit="1"/>
    </xf>
    <xf numFmtId="195" fontId="10" fillId="2" borderId="13" xfId="0" applyNumberFormat="1" applyFont="1" applyFill="1" applyBorder="1" applyAlignment="1">
      <alignment vertical="center" shrinkToFit="1"/>
    </xf>
    <xf numFmtId="196" fontId="10" fillId="2" borderId="13" xfId="0" applyNumberFormat="1" applyFont="1" applyFill="1" applyBorder="1" applyAlignment="1">
      <alignment vertical="center" shrinkToFit="1"/>
    </xf>
    <xf numFmtId="197" fontId="22" fillId="2" borderId="22" xfId="0" applyNumberFormat="1" applyFont="1" applyFill="1" applyBorder="1">
      <alignment vertical="center"/>
    </xf>
    <xf numFmtId="197" fontId="22" fillId="2" borderId="20" xfId="0" applyNumberFormat="1" applyFont="1" applyFill="1" applyBorder="1">
      <alignment vertical="center"/>
    </xf>
    <xf numFmtId="197" fontId="22" fillId="2" borderId="23" xfId="0" applyNumberFormat="1" applyFont="1" applyFill="1" applyBorder="1">
      <alignment vertical="center"/>
    </xf>
    <xf numFmtId="198" fontId="22" fillId="6" borderId="19" xfId="0" applyNumberFormat="1" applyFont="1" applyFill="1" applyBorder="1">
      <alignment vertical="center"/>
    </xf>
    <xf numFmtId="198" fontId="22" fillId="0" borderId="19" xfId="0" applyNumberFormat="1" applyFont="1" applyBorder="1">
      <alignment vertical="center"/>
    </xf>
    <xf numFmtId="198" fontId="22" fillId="0" borderId="7" xfId="0" applyNumberFormat="1" applyFont="1" applyBorder="1">
      <alignment vertical="center"/>
    </xf>
    <xf numFmtId="0" fontId="0" fillId="2" borderId="0" xfId="0" applyFill="1">
      <alignment vertical="center"/>
    </xf>
    <xf numFmtId="0" fontId="22" fillId="6" borderId="16" xfId="0" applyFont="1" applyFill="1" applyBorder="1">
      <alignment vertical="center"/>
    </xf>
    <xf numFmtId="0" fontId="22" fillId="6" borderId="24" xfId="0" applyFont="1" applyFill="1" applyBorder="1">
      <alignment vertical="center"/>
    </xf>
    <xf numFmtId="0" fontId="22" fillId="2" borderId="0" xfId="0" applyFont="1" applyFill="1">
      <alignment vertical="center"/>
    </xf>
    <xf numFmtId="0" fontId="22" fillId="6" borderId="0" xfId="0" applyFont="1" applyFill="1">
      <alignment vertical="center"/>
    </xf>
    <xf numFmtId="0" fontId="22" fillId="2" borderId="25" xfId="0" applyFont="1" applyFill="1" applyBorder="1">
      <alignment vertical="center"/>
    </xf>
    <xf numFmtId="0" fontId="22" fillId="6" borderId="21" xfId="0" applyFont="1" applyFill="1" applyBorder="1">
      <alignment vertical="center"/>
    </xf>
    <xf numFmtId="0" fontId="22" fillId="2" borderId="26" xfId="0" applyFont="1" applyFill="1" applyBorder="1">
      <alignment vertical="center"/>
    </xf>
    <xf numFmtId="0" fontId="22" fillId="6" borderId="26" xfId="0" applyFont="1" applyFill="1" applyBorder="1">
      <alignment vertical="center"/>
    </xf>
    <xf numFmtId="0" fontId="22" fillId="2" borderId="27" xfId="0" applyFont="1" applyFill="1" applyBorder="1">
      <alignment vertical="center"/>
    </xf>
    <xf numFmtId="0" fontId="26" fillId="0" borderId="0" xfId="0" applyFont="1">
      <alignment vertical="center"/>
    </xf>
    <xf numFmtId="0" fontId="27" fillId="0" borderId="28" xfId="0" applyFont="1" applyBorder="1">
      <alignment vertical="center"/>
    </xf>
    <xf numFmtId="0" fontId="28" fillId="0" borderId="28" xfId="0" applyFont="1" applyBorder="1">
      <alignment vertical="center"/>
    </xf>
    <xf numFmtId="0" fontId="30" fillId="0" borderId="0" xfId="0" applyFont="1">
      <alignment vertical="center"/>
    </xf>
    <xf numFmtId="0" fontId="30" fillId="0" borderId="8" xfId="0" applyFont="1" applyBorder="1">
      <alignment vertical="center"/>
    </xf>
    <xf numFmtId="0" fontId="27" fillId="7" borderId="29" xfId="0" applyFont="1" applyFill="1" applyBorder="1" applyAlignment="1">
      <alignment horizontal="center" vertical="center"/>
    </xf>
    <xf numFmtId="0" fontId="31" fillId="0" borderId="0" xfId="0" applyFont="1">
      <alignment vertical="center"/>
    </xf>
    <xf numFmtId="0" fontId="27" fillId="0" borderId="30" xfId="0" applyFont="1" applyBorder="1">
      <alignment vertical="center"/>
    </xf>
    <xf numFmtId="0" fontId="32" fillId="0" borderId="8" xfId="0" applyFont="1" applyBorder="1" applyAlignment="1">
      <alignment vertical="center" wrapText="1"/>
    </xf>
    <xf numFmtId="0" fontId="30" fillId="0" borderId="29" xfId="0" applyFont="1" applyBorder="1" applyAlignment="1">
      <alignment vertical="center" wrapText="1"/>
    </xf>
    <xf numFmtId="0" fontId="30" fillId="0" borderId="31" xfId="0" applyFont="1" applyBorder="1" applyAlignment="1">
      <alignment horizontal="center" vertical="center" wrapText="1"/>
    </xf>
    <xf numFmtId="199" fontId="30" fillId="0" borderId="8" xfId="0" applyNumberFormat="1" applyFont="1" applyBorder="1" applyAlignment="1">
      <alignment horizontal="center" vertical="center"/>
    </xf>
    <xf numFmtId="189" fontId="30" fillId="8" borderId="29" xfId="0" applyNumberFormat="1" applyFont="1" applyFill="1" applyBorder="1" applyAlignment="1">
      <alignment horizontal="center" vertical="center"/>
    </xf>
    <xf numFmtId="199" fontId="35" fillId="0" borderId="32" xfId="0" applyNumberFormat="1" applyFont="1" applyBorder="1" applyAlignment="1">
      <alignment horizontal="center" vertical="center"/>
    </xf>
    <xf numFmtId="199" fontId="30" fillId="0" borderId="0" xfId="0" applyNumberFormat="1" applyFont="1">
      <alignment vertical="center"/>
    </xf>
    <xf numFmtId="200" fontId="30" fillId="0" borderId="30" xfId="0" applyNumberFormat="1" applyFont="1" applyBorder="1">
      <alignment vertical="center"/>
    </xf>
    <xf numFmtId="0" fontId="35" fillId="0" borderId="33" xfId="0" applyFont="1" applyBorder="1">
      <alignment vertical="center"/>
    </xf>
    <xf numFmtId="0" fontId="35" fillId="0" borderId="0" xfId="0" applyFont="1">
      <alignment vertical="center"/>
    </xf>
    <xf numFmtId="0" fontId="32" fillId="0" borderId="8" xfId="0" applyFont="1" applyBorder="1">
      <alignment vertical="center"/>
    </xf>
    <xf numFmtId="0" fontId="34" fillId="0" borderId="0" xfId="0" applyFont="1" applyAlignment="1">
      <alignment vertical="top"/>
    </xf>
    <xf numFmtId="199" fontId="35" fillId="0" borderId="31" xfId="0" applyNumberFormat="1" applyFont="1" applyBorder="1" applyAlignment="1">
      <alignment horizontal="center" vertical="center"/>
    </xf>
    <xf numFmtId="199" fontId="30" fillId="0" borderId="0" xfId="0" applyNumberFormat="1" applyFont="1" applyAlignment="1">
      <alignment horizontal="center" vertical="center"/>
    </xf>
    <xf numFmtId="189" fontId="30" fillId="0" borderId="30" xfId="0" applyNumberFormat="1" applyFont="1" applyBorder="1" applyAlignment="1">
      <alignment horizontal="center" vertical="center"/>
    </xf>
    <xf numFmtId="0" fontId="30" fillId="0" borderId="34" xfId="0" applyFont="1" applyBorder="1">
      <alignment vertical="center"/>
    </xf>
    <xf numFmtId="0" fontId="30" fillId="0" borderId="16" xfId="0" applyFont="1" applyBorder="1" applyAlignment="1">
      <alignment vertical="center" wrapText="1"/>
    </xf>
    <xf numFmtId="199" fontId="30" fillId="7" borderId="35" xfId="0" applyNumberFormat="1" applyFont="1" applyFill="1" applyBorder="1" applyAlignment="1">
      <alignment horizontal="center" vertical="center"/>
    </xf>
    <xf numFmtId="0" fontId="31" fillId="0" borderId="36" xfId="0" applyFont="1" applyBorder="1">
      <alignment vertical="center"/>
    </xf>
    <xf numFmtId="0" fontId="30" fillId="0" borderId="8" xfId="0" applyFont="1" applyBorder="1" applyAlignment="1">
      <alignment vertical="center" wrapText="1"/>
    </xf>
    <xf numFmtId="178" fontId="30" fillId="9" borderId="37" xfId="0" applyNumberFormat="1" applyFont="1" applyFill="1" applyBorder="1" applyAlignment="1">
      <alignment horizontal="center" vertical="center"/>
    </xf>
    <xf numFmtId="0" fontId="37" fillId="0" borderId="0" xfId="0" applyFont="1">
      <alignment vertical="center"/>
    </xf>
    <xf numFmtId="0" fontId="26" fillId="0" borderId="0" xfId="0" applyFont="1" applyAlignment="1">
      <alignment vertical="center" wrapText="1"/>
    </xf>
    <xf numFmtId="0" fontId="34" fillId="0" borderId="0" xfId="0" applyFont="1" applyAlignment="1">
      <alignment horizontal="left" vertical="top"/>
    </xf>
    <xf numFmtId="0" fontId="34" fillId="0" borderId="13" xfId="0" applyFont="1" applyBorder="1" applyAlignment="1">
      <alignment horizontal="left" vertical="top"/>
    </xf>
    <xf numFmtId="9" fontId="34" fillId="0" borderId="13" xfId="0" applyNumberFormat="1" applyFont="1" applyBorder="1" applyAlignment="1">
      <alignment horizontal="left" vertical="top"/>
    </xf>
    <xf numFmtId="0" fontId="34" fillId="0" borderId="36" xfId="0" applyFont="1" applyBorder="1" applyAlignment="1">
      <alignment vertical="top" wrapText="1"/>
    </xf>
    <xf numFmtId="0" fontId="34" fillId="0" borderId="0" xfId="0" applyFont="1" applyAlignment="1">
      <alignment vertical="top" wrapText="1"/>
    </xf>
    <xf numFmtId="0" fontId="10" fillId="7" borderId="13" xfId="0" applyFont="1" applyFill="1" applyBorder="1">
      <alignment vertical="center"/>
    </xf>
    <xf numFmtId="0" fontId="27" fillId="0" borderId="0" xfId="0" applyFont="1">
      <alignment vertical="center"/>
    </xf>
    <xf numFmtId="0" fontId="30" fillId="0" borderId="13" xfId="0" applyFont="1" applyBorder="1" applyAlignment="1">
      <alignment vertical="center" wrapText="1"/>
    </xf>
    <xf numFmtId="0" fontId="30" fillId="10" borderId="13" xfId="0" applyFont="1" applyFill="1" applyBorder="1" applyAlignment="1">
      <alignment horizontal="center" vertical="center"/>
    </xf>
    <xf numFmtId="178" fontId="30" fillId="10" borderId="13" xfId="0" applyNumberFormat="1" applyFont="1" applyFill="1" applyBorder="1" applyAlignment="1">
      <alignment horizontal="center" vertical="center"/>
    </xf>
    <xf numFmtId="0" fontId="38" fillId="0" borderId="13" xfId="0" applyFont="1" applyBorder="1">
      <alignment vertical="center"/>
    </xf>
    <xf numFmtId="10" fontId="30" fillId="10" borderId="13" xfId="0" applyNumberFormat="1" applyFont="1" applyFill="1" applyBorder="1" applyAlignment="1">
      <alignment horizontal="center" vertical="center"/>
    </xf>
    <xf numFmtId="0" fontId="10" fillId="2" borderId="16" xfId="0" applyFont="1" applyFill="1" applyBorder="1" applyAlignment="1">
      <alignment horizontal="left" vertical="center"/>
    </xf>
    <xf numFmtId="201" fontId="10" fillId="2" borderId="0" xfId="0" applyNumberFormat="1" applyFont="1" applyFill="1">
      <alignment vertical="center"/>
    </xf>
    <xf numFmtId="0" fontId="13" fillId="2" borderId="0" xfId="0" applyFont="1" applyFill="1">
      <alignment vertical="center"/>
    </xf>
    <xf numFmtId="0" fontId="10" fillId="2" borderId="18" xfId="0" applyFont="1" applyFill="1" applyBorder="1" applyAlignment="1">
      <alignment horizontal="left" vertical="center"/>
    </xf>
    <xf numFmtId="0" fontId="22" fillId="0" borderId="0" xfId="0" applyFont="1" applyAlignment="1">
      <alignment vertical="center" wrapText="1"/>
    </xf>
    <xf numFmtId="0" fontId="22" fillId="0" borderId="0" xfId="0" applyFont="1" applyAlignment="1">
      <alignment horizontal="left" vertical="center"/>
    </xf>
    <xf numFmtId="189" fontId="10" fillId="4" borderId="13" xfId="0" applyNumberFormat="1" applyFont="1" applyFill="1" applyBorder="1" applyAlignment="1" applyProtection="1">
      <alignment horizontal="right" vertical="center" shrinkToFit="1"/>
      <protection locked="0"/>
    </xf>
    <xf numFmtId="178" fontId="10" fillId="4" borderId="13" xfId="0" applyNumberFormat="1" applyFont="1" applyFill="1" applyBorder="1" applyAlignment="1" applyProtection="1">
      <alignment horizontal="right" vertical="center" shrinkToFit="1"/>
      <protection locked="0"/>
    </xf>
    <xf numFmtId="0" fontId="10" fillId="4" borderId="13" xfId="0" applyFont="1" applyFill="1" applyBorder="1" applyAlignment="1" applyProtection="1">
      <alignment horizontal="right" vertical="center" shrinkToFit="1"/>
      <protection locked="0"/>
    </xf>
    <xf numFmtId="189" fontId="10" fillId="4" borderId="20" xfId="0" applyNumberFormat="1" applyFont="1" applyFill="1" applyBorder="1" applyAlignment="1" applyProtection="1">
      <alignment horizontal="right" vertical="center" shrinkToFit="1"/>
      <protection locked="0"/>
    </xf>
    <xf numFmtId="0" fontId="5" fillId="11" borderId="0" xfId="2" applyFont="1" applyFill="1" applyAlignment="1">
      <alignment shrinkToFit="1"/>
    </xf>
    <xf numFmtId="2" fontId="16" fillId="11" borderId="0" xfId="2" applyNumberFormat="1" applyFont="1" applyFill="1"/>
    <xf numFmtId="2" fontId="4" fillId="11" borderId="0" xfId="2" applyNumberFormat="1" applyFill="1"/>
    <xf numFmtId="0" fontId="16" fillId="11" borderId="0" xfId="2" applyFont="1" applyFill="1"/>
    <xf numFmtId="0" fontId="4" fillId="11" borderId="0" xfId="2" applyFill="1"/>
    <xf numFmtId="202" fontId="5" fillId="11" borderId="0" xfId="2" applyNumberFormat="1" applyFont="1" applyFill="1" applyAlignment="1">
      <alignment shrinkToFit="1"/>
    </xf>
    <xf numFmtId="2" fontId="6" fillId="11" borderId="0" xfId="2" applyNumberFormat="1" applyFont="1" applyFill="1" applyAlignment="1">
      <alignment shrinkToFit="1"/>
    </xf>
    <xf numFmtId="2" fontId="5" fillId="11" borderId="0" xfId="2" applyNumberFormat="1" applyFont="1" applyFill="1" applyAlignment="1">
      <alignment shrinkToFit="1"/>
    </xf>
    <xf numFmtId="0" fontId="6" fillId="11" borderId="0" xfId="2" applyFont="1" applyFill="1" applyAlignment="1">
      <alignment shrinkToFit="1"/>
    </xf>
    <xf numFmtId="0" fontId="5" fillId="0" borderId="0" xfId="2" applyFont="1" applyAlignment="1">
      <alignment wrapText="1" shrinkToFit="1"/>
    </xf>
    <xf numFmtId="182" fontId="10" fillId="3" borderId="13" xfId="0" applyNumberFormat="1" applyFont="1" applyFill="1" applyBorder="1" applyAlignment="1">
      <alignment horizontal="right" vertical="center" shrinkToFit="1"/>
    </xf>
    <xf numFmtId="185" fontId="10" fillId="3" borderId="13" xfId="0" applyNumberFormat="1" applyFont="1" applyFill="1" applyBorder="1">
      <alignment vertical="center"/>
    </xf>
    <xf numFmtId="184" fontId="10" fillId="3" borderId="13" xfId="0" applyNumberFormat="1" applyFont="1" applyFill="1" applyBorder="1">
      <alignment vertical="center"/>
    </xf>
    <xf numFmtId="190" fontId="10" fillId="2" borderId="0" xfId="0" applyNumberFormat="1" applyFont="1" applyFill="1">
      <alignment vertical="center"/>
    </xf>
    <xf numFmtId="199" fontId="10" fillId="3" borderId="13" xfId="0" applyNumberFormat="1" applyFont="1" applyFill="1" applyBorder="1">
      <alignment vertical="center"/>
    </xf>
    <xf numFmtId="186" fontId="10" fillId="3" borderId="13" xfId="0" applyNumberFormat="1" applyFont="1" applyFill="1" applyBorder="1">
      <alignment vertical="center"/>
    </xf>
    <xf numFmtId="187" fontId="10" fillId="3" borderId="13" xfId="0" applyNumberFormat="1" applyFont="1" applyFill="1" applyBorder="1">
      <alignment vertical="center"/>
    </xf>
    <xf numFmtId="9" fontId="10" fillId="3" borderId="22" xfId="0" applyNumberFormat="1" applyFont="1" applyFill="1" applyBorder="1">
      <alignment vertical="center"/>
    </xf>
    <xf numFmtId="10" fontId="10" fillId="2" borderId="13" xfId="0" applyNumberFormat="1" applyFont="1" applyFill="1" applyBorder="1">
      <alignment vertical="center"/>
    </xf>
    <xf numFmtId="198" fontId="10" fillId="4" borderId="13" xfId="0" applyNumberFormat="1" applyFont="1" applyFill="1" applyBorder="1" applyProtection="1">
      <alignment vertical="center"/>
      <protection locked="0"/>
    </xf>
    <xf numFmtId="197" fontId="10" fillId="4" borderId="13" xfId="0" applyNumberFormat="1" applyFont="1" applyFill="1" applyBorder="1" applyProtection="1">
      <alignment vertical="center"/>
      <protection locked="0"/>
    </xf>
    <xf numFmtId="178" fontId="17" fillId="2" borderId="0" xfId="0" applyNumberFormat="1" applyFont="1" applyFill="1">
      <alignment vertical="center"/>
    </xf>
    <xf numFmtId="0" fontId="10" fillId="2" borderId="13" xfId="0" applyFont="1" applyFill="1" applyBorder="1" applyAlignment="1">
      <alignment horizontal="center" vertical="center"/>
    </xf>
    <xf numFmtId="0" fontId="39" fillId="0" borderId="0" xfId="0" applyFont="1">
      <alignment vertical="center"/>
    </xf>
    <xf numFmtId="10" fontId="40" fillId="0" borderId="0" xfId="2" applyNumberFormat="1" applyFont="1" applyAlignment="1">
      <alignment shrinkToFit="1"/>
    </xf>
    <xf numFmtId="0" fontId="10" fillId="2" borderId="0" xfId="1" applyFont="1" applyFill="1" applyAlignment="1">
      <alignment horizontal="left" vertical="center" shrinkToFit="1"/>
    </xf>
    <xf numFmtId="0" fontId="41" fillId="0" borderId="0" xfId="0" applyFont="1">
      <alignment vertical="center"/>
    </xf>
    <xf numFmtId="0" fontId="42" fillId="0" borderId="0" xfId="2" applyFont="1" applyAlignment="1">
      <alignment shrinkToFit="1"/>
    </xf>
    <xf numFmtId="2" fontId="43" fillId="0" borderId="0" xfId="2" applyNumberFormat="1" applyFont="1" applyAlignment="1">
      <alignment shrinkToFit="1"/>
    </xf>
    <xf numFmtId="2" fontId="42" fillId="0" borderId="0" xfId="2" applyNumberFormat="1" applyFont="1" applyAlignment="1">
      <alignment shrinkToFit="1"/>
    </xf>
    <xf numFmtId="0" fontId="43" fillId="0" borderId="0" xfId="2" applyFont="1" applyAlignment="1">
      <alignment shrinkToFit="1"/>
    </xf>
    <xf numFmtId="10" fontId="42" fillId="0" borderId="0" xfId="2" applyNumberFormat="1" applyFont="1" applyAlignment="1">
      <alignment shrinkToFit="1"/>
    </xf>
    <xf numFmtId="0" fontId="44" fillId="2" borderId="0" xfId="0" applyFont="1" applyFill="1">
      <alignment vertical="center"/>
    </xf>
    <xf numFmtId="195" fontId="44" fillId="2" borderId="0" xfId="0" applyNumberFormat="1" applyFont="1" applyFill="1">
      <alignment vertical="center"/>
    </xf>
    <xf numFmtId="0" fontId="10" fillId="2" borderId="8" xfId="0" applyFont="1" applyFill="1" applyBorder="1" applyAlignment="1">
      <alignment horizontal="center" vertical="center" shrinkToFit="1"/>
    </xf>
    <xf numFmtId="0" fontId="10" fillId="2" borderId="7" xfId="0" applyFont="1" applyFill="1" applyBorder="1" applyAlignment="1">
      <alignment horizontal="center" vertical="center" shrinkToFit="1"/>
    </xf>
    <xf numFmtId="0" fontId="10" fillId="2" borderId="8" xfId="0" applyFont="1" applyFill="1" applyBorder="1" applyAlignment="1">
      <alignment horizontal="center" vertical="center"/>
    </xf>
    <xf numFmtId="0" fontId="10" fillId="2" borderId="7" xfId="0" applyFont="1" applyFill="1" applyBorder="1" applyAlignment="1">
      <alignment horizontal="center" vertical="center"/>
    </xf>
    <xf numFmtId="176" fontId="10" fillId="2" borderId="8" xfId="1" applyNumberFormat="1" applyFont="1" applyFill="1" applyBorder="1" applyAlignment="1">
      <alignment horizontal="center" vertical="center" shrinkToFit="1"/>
    </xf>
    <xf numFmtId="176" fontId="10" fillId="2" borderId="7" xfId="1" applyNumberFormat="1" applyFont="1" applyFill="1" applyBorder="1" applyAlignment="1">
      <alignment horizontal="center" vertical="center" shrinkToFit="1"/>
    </xf>
    <xf numFmtId="0" fontId="10" fillId="2" borderId="13" xfId="0" applyFont="1" applyFill="1" applyBorder="1" applyAlignment="1">
      <alignment horizontal="left" vertical="center" shrinkToFit="1"/>
    </xf>
    <xf numFmtId="0" fontId="10" fillId="2" borderId="8" xfId="0" applyFont="1" applyFill="1" applyBorder="1" applyAlignment="1">
      <alignment horizontal="left" vertical="center"/>
    </xf>
    <xf numFmtId="0" fontId="10" fillId="2" borderId="7" xfId="0" applyFont="1" applyFill="1" applyBorder="1" applyAlignment="1">
      <alignment horizontal="left" vertical="center"/>
    </xf>
    <xf numFmtId="0" fontId="10" fillId="2" borderId="13" xfId="0" applyFont="1" applyFill="1" applyBorder="1" applyAlignment="1">
      <alignment horizontal="left" vertical="center"/>
    </xf>
    <xf numFmtId="0" fontId="10" fillId="4" borderId="13" xfId="0" applyFont="1" applyFill="1" applyBorder="1" applyAlignment="1" applyProtection="1">
      <alignment horizontal="left" vertical="center"/>
      <protection locked="0"/>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3" fillId="2" borderId="13" xfId="0" applyFont="1" applyFill="1" applyBorder="1" applyAlignment="1">
      <alignment horizontal="left" vertical="center"/>
    </xf>
    <xf numFmtId="0" fontId="10" fillId="4" borderId="13" xfId="0" applyFont="1" applyFill="1" applyBorder="1" applyAlignment="1" applyProtection="1">
      <alignment horizontal="center" vertical="center" shrinkToFit="1"/>
      <protection locked="0"/>
    </xf>
    <xf numFmtId="0" fontId="10" fillId="2" borderId="19" xfId="0" applyFont="1" applyFill="1" applyBorder="1" applyAlignment="1">
      <alignment horizontal="left" vertical="center"/>
    </xf>
    <xf numFmtId="0" fontId="10" fillId="2" borderId="8" xfId="0" applyFont="1" applyFill="1" applyBorder="1" applyAlignment="1">
      <alignment horizontal="left" vertical="center" shrinkToFit="1"/>
    </xf>
    <xf numFmtId="0" fontId="10" fillId="2" borderId="7" xfId="0" applyFont="1" applyFill="1" applyBorder="1" applyAlignment="1">
      <alignment horizontal="left" vertical="center" shrinkToFit="1"/>
    </xf>
    <xf numFmtId="0" fontId="17" fillId="5" borderId="13" xfId="0" applyFont="1" applyFill="1" applyBorder="1" applyAlignment="1">
      <alignment horizontal="left" vertical="center"/>
    </xf>
    <xf numFmtId="0" fontId="10" fillId="3" borderId="13" xfId="0" applyFont="1" applyFill="1" applyBorder="1" applyAlignment="1">
      <alignment horizontal="center" vertical="center"/>
    </xf>
    <xf numFmtId="0" fontId="10" fillId="2" borderId="13" xfId="0" applyFont="1" applyFill="1" applyBorder="1" applyAlignment="1">
      <alignment horizontal="center" vertical="center"/>
    </xf>
    <xf numFmtId="0" fontId="10" fillId="2" borderId="13" xfId="0" applyFont="1" applyFill="1" applyBorder="1" applyAlignment="1">
      <alignment horizontal="center" vertical="center" wrapText="1" shrinkToFit="1"/>
    </xf>
    <xf numFmtId="0" fontId="10" fillId="2" borderId="13" xfId="0" applyFont="1" applyFill="1" applyBorder="1" applyAlignment="1">
      <alignment horizontal="center" vertical="center" shrinkToFit="1"/>
    </xf>
    <xf numFmtId="0" fontId="10" fillId="4" borderId="13" xfId="0" applyFont="1" applyFill="1" applyBorder="1" applyAlignment="1" applyProtection="1">
      <alignment horizontal="center" vertical="center" wrapText="1" shrinkToFit="1"/>
      <protection locked="0"/>
    </xf>
    <xf numFmtId="0" fontId="10" fillId="4" borderId="8" xfId="0" applyFont="1" applyFill="1" applyBorder="1" applyAlignment="1" applyProtection="1">
      <alignment horizontal="center" vertical="center" shrinkToFit="1"/>
      <protection locked="0"/>
    </xf>
    <xf numFmtId="0" fontId="10" fillId="2" borderId="20" xfId="0" applyFont="1" applyFill="1" applyBorder="1" applyAlignment="1">
      <alignment horizontal="left" vertical="center"/>
    </xf>
    <xf numFmtId="0" fontId="10" fillId="2" borderId="21" xfId="0" applyFont="1" applyFill="1" applyBorder="1" applyAlignment="1">
      <alignment horizontal="left" vertical="center"/>
    </xf>
    <xf numFmtId="0" fontId="10" fillId="2" borderId="26" xfId="0" applyFont="1" applyFill="1" applyBorder="1" applyAlignment="1">
      <alignment horizontal="left" vertical="center"/>
    </xf>
    <xf numFmtId="0" fontId="13" fillId="2" borderId="26" xfId="0" applyFont="1" applyFill="1" applyBorder="1" applyAlignment="1">
      <alignment horizontal="left" vertical="center"/>
    </xf>
    <xf numFmtId="182" fontId="17" fillId="2" borderId="17" xfId="0" applyNumberFormat="1" applyFont="1" applyFill="1" applyBorder="1" applyAlignment="1">
      <alignment horizontal="left" vertical="center" shrinkToFit="1"/>
    </xf>
    <xf numFmtId="0" fontId="10" fillId="2" borderId="16" xfId="0" applyFont="1" applyFill="1" applyBorder="1" applyAlignment="1" applyProtection="1">
      <alignment horizontal="left" vertical="center"/>
      <protection locked="0"/>
    </xf>
    <xf numFmtId="0" fontId="10" fillId="2" borderId="17" xfId="0" applyFont="1" applyFill="1" applyBorder="1" applyAlignment="1" applyProtection="1">
      <alignment horizontal="left" vertical="center"/>
      <protection locked="0"/>
    </xf>
    <xf numFmtId="0" fontId="10" fillId="2" borderId="18" xfId="0" applyFont="1" applyFill="1" applyBorder="1" applyAlignment="1" applyProtection="1">
      <alignment horizontal="left" vertical="center"/>
      <protection locked="0"/>
    </xf>
    <xf numFmtId="0" fontId="10" fillId="2" borderId="24" xfId="0" applyFont="1" applyFill="1" applyBorder="1" applyAlignment="1" applyProtection="1">
      <alignment horizontal="left" vertical="center"/>
      <protection locked="0"/>
    </xf>
    <xf numFmtId="0" fontId="10" fillId="2" borderId="0" xfId="0" applyFont="1" applyFill="1" applyAlignment="1" applyProtection="1">
      <alignment horizontal="left" vertical="center"/>
      <protection locked="0"/>
    </xf>
    <xf numFmtId="0" fontId="10" fillId="2" borderId="25" xfId="0" applyFont="1" applyFill="1" applyBorder="1" applyAlignment="1" applyProtection="1">
      <alignment horizontal="left" vertical="center"/>
      <protection locked="0"/>
    </xf>
    <xf numFmtId="0" fontId="10" fillId="2" borderId="21" xfId="0" applyFont="1" applyFill="1" applyBorder="1" applyAlignment="1" applyProtection="1">
      <alignment horizontal="left" vertical="center"/>
      <protection locked="0"/>
    </xf>
    <xf numFmtId="0" fontId="10" fillId="2" borderId="26" xfId="0" applyFont="1" applyFill="1" applyBorder="1" applyAlignment="1" applyProtection="1">
      <alignment horizontal="left" vertical="center"/>
      <protection locked="0"/>
    </xf>
    <xf numFmtId="0" fontId="10" fillId="2" borderId="27" xfId="0" applyFont="1" applyFill="1" applyBorder="1" applyAlignment="1" applyProtection="1">
      <alignment horizontal="left" vertical="center"/>
      <protection locked="0"/>
    </xf>
    <xf numFmtId="0" fontId="10" fillId="2" borderId="27" xfId="0" applyFont="1" applyFill="1" applyBorder="1" applyAlignment="1">
      <alignment horizontal="left" vertical="center"/>
    </xf>
    <xf numFmtId="0" fontId="10" fillId="12" borderId="13" xfId="0" applyFont="1" applyFill="1" applyBorder="1" applyAlignment="1">
      <alignment horizontal="center" vertical="center"/>
    </xf>
    <xf numFmtId="186" fontId="10" fillId="3" borderId="13" xfId="0" applyNumberFormat="1" applyFont="1" applyFill="1" applyBorder="1" applyAlignment="1">
      <alignment horizontal="center" vertical="center"/>
    </xf>
    <xf numFmtId="0" fontId="10" fillId="7" borderId="13" xfId="0" applyFont="1" applyFill="1" applyBorder="1" applyAlignment="1" applyProtection="1">
      <alignment horizontal="center" vertical="center" shrinkToFit="1"/>
      <protection locked="0"/>
    </xf>
    <xf numFmtId="0" fontId="34" fillId="0" borderId="0" xfId="0" applyFont="1" applyAlignment="1">
      <alignment horizontal="center" vertical="top" wrapText="1"/>
    </xf>
    <xf numFmtId="0" fontId="34" fillId="0" borderId="36" xfId="0" applyFont="1" applyBorder="1" applyAlignment="1">
      <alignment horizontal="center" vertical="top" wrapText="1"/>
    </xf>
    <xf numFmtId="0" fontId="13" fillId="2" borderId="8" xfId="0" applyFont="1" applyFill="1" applyBorder="1" applyAlignment="1">
      <alignment horizontal="left" vertical="center"/>
    </xf>
    <xf numFmtId="0" fontId="13" fillId="2" borderId="19" xfId="0" applyFont="1" applyFill="1" applyBorder="1" applyAlignment="1">
      <alignment horizontal="left" vertical="center"/>
    </xf>
    <xf numFmtId="0" fontId="13" fillId="2" borderId="7" xfId="0" applyFont="1" applyFill="1" applyBorder="1" applyAlignment="1">
      <alignment horizontal="left" vertical="center"/>
    </xf>
  </cellXfs>
  <cellStyles count="3">
    <cellStyle name="Normal 2" xfId="2" xr:uid="{00000000-0005-0000-0000-000000000000}"/>
    <cellStyle name="常规 2" xfId="1" xr:uid="{00000000-0005-0000-0000-000001000000}"/>
    <cellStyle name="標準" xfId="0" builtinId="0" customBuiltin="1"/>
  </cellStyles>
  <dxfs count="1015">
    <dxf>
      <font>
        <color rgb="FF00B0F0"/>
      </font>
    </dxf>
    <dxf>
      <font>
        <color rgb="FF00B0F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C7CE"/>
        </patternFill>
      </fill>
    </dxf>
    <dxf>
      <font>
        <color auto="1"/>
      </font>
      <fill>
        <patternFill>
          <bgColor rgb="FF92D050"/>
        </patternFill>
      </fill>
    </dxf>
    <dxf>
      <font>
        <color rgb="FF006100"/>
      </font>
      <fill>
        <patternFill>
          <bgColor rgb="FFC6EFCE"/>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ont>
        <color auto="1"/>
      </font>
      <fill>
        <patternFill>
          <bgColor rgb="FFFFC7CE"/>
        </patternFill>
      </fill>
    </dxf>
    <dxf>
      <font>
        <color auto="1"/>
      </font>
      <fill>
        <patternFill>
          <bgColor rgb="FF92D050"/>
        </patternFill>
      </fill>
    </dxf>
    <dxf>
      <font>
        <color auto="1"/>
      </font>
      <fill>
        <patternFill>
          <bgColor rgb="FFFFC7CE"/>
        </patternFill>
      </fill>
    </dxf>
    <dxf>
      <font>
        <color auto="1"/>
      </font>
      <fill>
        <patternFill>
          <bgColor rgb="FFFFC7CE"/>
        </patternFill>
      </fill>
    </dxf>
    <dxf>
      <font>
        <color auto="1"/>
      </font>
      <fill>
        <patternFill>
          <bgColor rgb="FFFFC7CE"/>
        </patternFill>
      </fill>
    </dxf>
    <dxf>
      <font>
        <color auto="1"/>
      </font>
      <fill>
        <patternFill>
          <bgColor rgb="FF92D050"/>
        </patternFill>
      </fill>
    </dxf>
    <dxf>
      <font>
        <color rgb="FF006100"/>
      </font>
      <fill>
        <patternFill>
          <bgColor rgb="FFC6EFCE"/>
        </patternFill>
      </fill>
    </dxf>
    <dxf>
      <font>
        <b val="0"/>
        <i val="0"/>
        <color auto="1"/>
      </font>
      <fill>
        <patternFill>
          <bgColor rgb="FFFFC7CE"/>
        </patternFill>
      </fill>
    </dxf>
    <dxf>
      <font>
        <b val="0"/>
        <i val="0"/>
        <color auto="1"/>
      </font>
      <fill>
        <patternFill>
          <bgColor rgb="FF92D050"/>
        </patternFill>
      </fill>
    </dxf>
    <dxf>
      <font>
        <color rgb="FF9C0006"/>
      </font>
      <fill>
        <patternFill>
          <bgColor rgb="FFFFC7CE"/>
        </patternFill>
      </fill>
    </dxf>
    <dxf>
      <font>
        <color theme="1"/>
      </font>
      <fill>
        <patternFill>
          <bgColor rgb="FF92D050"/>
        </patternFill>
      </fill>
    </dxf>
    <dxf>
      <font>
        <color auto="1"/>
      </font>
      <fill>
        <patternFill>
          <bgColor rgb="FFFFC7CE"/>
        </patternFill>
      </fill>
    </dxf>
    <dxf>
      <font>
        <color auto="1"/>
      </font>
      <fill>
        <patternFill>
          <bgColor rgb="FF92D050"/>
        </patternFill>
      </fill>
    </dxf>
    <dxf>
      <font>
        <color rgb="FF006100"/>
      </font>
      <fill>
        <patternFill>
          <bgColor rgb="FFC6EFCE"/>
        </patternFill>
      </fill>
    </dxf>
    <dxf>
      <font>
        <color theme="1"/>
      </font>
      <fill>
        <patternFill>
          <bgColor rgb="FF92D050"/>
        </patternFill>
      </fill>
    </dxf>
    <dxf>
      <fill>
        <patternFill>
          <bgColor theme="0" tint="-0.34998626667073579"/>
        </patternFill>
      </fill>
    </dxf>
    <dxf>
      <fill>
        <patternFill>
          <bgColor rgb="FFFFCCCC"/>
        </patternFill>
      </fill>
    </dxf>
    <dxf>
      <fill>
        <patternFill>
          <bgColor rgb="FF92D050"/>
        </patternFill>
      </fill>
    </dxf>
    <dxf>
      <fill>
        <patternFill>
          <bgColor rgb="FFFFCCCC"/>
        </patternFill>
      </fill>
    </dxf>
    <dxf>
      <fill>
        <patternFill>
          <bgColor rgb="FF92D05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92D050"/>
        </patternFill>
      </fill>
    </dxf>
    <dxf>
      <fill>
        <patternFill>
          <bgColor rgb="FFFFCC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92D050"/>
        </patternFill>
      </fill>
    </dxf>
    <dxf>
      <font>
        <color theme="1"/>
      </font>
      <fill>
        <patternFill>
          <fgColor rgb="FF92D050"/>
          <bgColor rgb="FF92D050"/>
        </patternFill>
      </fill>
    </dxf>
    <dxf>
      <font>
        <color theme="1"/>
      </font>
      <fill>
        <patternFill>
          <bgColor rgb="FF92D050"/>
        </patternFill>
      </fill>
    </dxf>
    <dxf>
      <font>
        <color auto="1"/>
      </font>
      <fill>
        <patternFill>
          <bgColor rgb="FFFFC7CE"/>
        </patternFill>
      </fill>
    </dxf>
    <dxf>
      <font>
        <color auto="1"/>
      </font>
      <fill>
        <patternFill>
          <bgColor rgb="FF92D050"/>
        </patternFill>
      </fill>
    </dxf>
    <dxf>
      <font>
        <color auto="1"/>
      </font>
      <fill>
        <patternFill>
          <bgColor rgb="FFFFC7CE"/>
        </patternFill>
      </fill>
    </dxf>
    <dxf>
      <font>
        <color auto="1"/>
      </font>
      <fill>
        <patternFill>
          <bgColor rgb="FFFFC7CE"/>
        </patternFill>
      </fill>
    </dxf>
    <dxf>
      <font>
        <color auto="1"/>
      </font>
      <fill>
        <patternFill>
          <bgColor rgb="FFFFC7CE"/>
        </patternFill>
      </fill>
    </dxf>
    <dxf>
      <font>
        <color auto="1"/>
      </font>
      <fill>
        <patternFill>
          <bgColor rgb="FF92D050"/>
        </patternFill>
      </fill>
    </dxf>
    <dxf>
      <font>
        <color rgb="FF006100"/>
      </font>
      <fill>
        <patternFill>
          <bgColor rgb="FFC6EFCE"/>
        </patternFill>
      </fill>
    </dxf>
    <dxf>
      <font>
        <b val="0"/>
        <i val="0"/>
        <color auto="1"/>
      </font>
      <fill>
        <patternFill>
          <bgColor rgb="FFFFC7CE"/>
        </patternFill>
      </fill>
    </dxf>
    <dxf>
      <font>
        <b val="0"/>
        <i val="0"/>
        <color auto="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C7CE"/>
        </patternFill>
      </fill>
    </dxf>
    <dxf>
      <font>
        <color auto="1"/>
      </font>
      <fill>
        <patternFill>
          <bgColor rgb="FF92D050"/>
        </patternFill>
      </fill>
    </dxf>
    <dxf>
      <font>
        <color auto="1"/>
      </font>
      <fill>
        <patternFill>
          <bgColor rgb="FFFFC7CE"/>
        </patternFill>
      </fill>
    </dxf>
    <dxf>
      <font>
        <color auto="1"/>
      </font>
      <fill>
        <patternFill>
          <bgColor rgb="FFFFC7CE"/>
        </patternFill>
      </fill>
    </dxf>
    <dxf>
      <font>
        <color auto="1"/>
      </font>
      <fill>
        <patternFill>
          <bgColor rgb="FF92D050"/>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colors>
    <mruColors>
      <color rgb="FFFFCCCC"/>
      <color rgb="FFFFCC99"/>
      <color rgb="FFFF9999"/>
      <color rgb="FFFF5050"/>
      <color rgb="FFFFC7CE"/>
      <color rgb="FFDDF0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emf"/></Relationships>
</file>

<file path=xl/drawings/_rels/drawing7.x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editAs="oneCell">
    <xdr:from>
      <xdr:col>0</xdr:col>
      <xdr:colOff>64747</xdr:colOff>
      <xdr:row>0</xdr:row>
      <xdr:rowOff>0</xdr:rowOff>
    </xdr:from>
    <xdr:to>
      <xdr:col>14</xdr:col>
      <xdr:colOff>287047</xdr:colOff>
      <xdr:row>24</xdr:row>
      <xdr:rowOff>9961</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747" y="0"/>
          <a:ext cx="9216888" cy="4432549"/>
        </a:xfrm>
        <a:prstGeom prst="rect">
          <a:avLst/>
        </a:prstGeom>
      </xdr:spPr>
    </xdr:pic>
    <xdr:clientData/>
  </xdr:twoCellAnchor>
  <xdr:twoCellAnchor>
    <xdr:from>
      <xdr:col>7</xdr:col>
      <xdr:colOff>398432</xdr:colOff>
      <xdr:row>15</xdr:row>
      <xdr:rowOff>44823</xdr:rowOff>
    </xdr:from>
    <xdr:to>
      <xdr:col>11</xdr:col>
      <xdr:colOff>587687</xdr:colOff>
      <xdr:row>18</xdr:row>
      <xdr:rowOff>174314</xdr:rowOff>
    </xdr:to>
    <xdr:sp macro="" textlink="">
      <xdr:nvSpPr>
        <xdr:cNvPr id="3" name="四角形吹き出し 2">
          <a:extLst>
            <a:ext uri="{FF2B5EF4-FFF2-40B4-BE49-F238E27FC236}">
              <a16:creationId xmlns:a16="http://schemas.microsoft.com/office/drawing/2014/main" id="{00000000-0008-0000-0100-000003000000}"/>
            </a:ext>
          </a:extLst>
        </xdr:cNvPr>
        <xdr:cNvSpPr/>
      </xdr:nvSpPr>
      <xdr:spPr>
        <a:xfrm>
          <a:off x="4895726" y="2808941"/>
          <a:ext cx="2759137" cy="682314"/>
        </a:xfrm>
        <a:prstGeom prst="wedgeRectCallout">
          <a:avLst>
            <a:gd name="adj1" fmla="val 44199"/>
            <a:gd name="adj2" fmla="val -104249"/>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数字の入っている組み合わせが、接続可能な組み合わせです。数字は直列数（横軸）と回路数（縦軸）の合計接続枚数です。</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0</xdr:col>
      <xdr:colOff>209177</xdr:colOff>
      <xdr:row>12</xdr:row>
      <xdr:rowOff>19922</xdr:rowOff>
    </xdr:from>
    <xdr:to>
      <xdr:col>12</xdr:col>
      <xdr:colOff>154392</xdr:colOff>
      <xdr:row>13</xdr:row>
      <xdr:rowOff>9961</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209177" y="2231216"/>
          <a:ext cx="7654862" cy="1743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441261</xdr:colOff>
      <xdr:row>1</xdr:row>
      <xdr:rowOff>67734</xdr:rowOff>
    </xdr:from>
    <xdr:to>
      <xdr:col>12</xdr:col>
      <xdr:colOff>174314</xdr:colOff>
      <xdr:row>13</xdr:row>
      <xdr:rowOff>19922</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7508437" y="252008"/>
          <a:ext cx="375524" cy="216348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491066</xdr:colOff>
      <xdr:row>17</xdr:row>
      <xdr:rowOff>27889</xdr:rowOff>
    </xdr:from>
    <xdr:to>
      <xdr:col>19</xdr:col>
      <xdr:colOff>582706</xdr:colOff>
      <xdr:row>23</xdr:row>
      <xdr:rowOff>169333</xdr:rowOff>
    </xdr:to>
    <xdr:sp macro="" textlink="">
      <xdr:nvSpPr>
        <xdr:cNvPr id="6" name="四角形吹き出し 5">
          <a:extLst>
            <a:ext uri="{FF2B5EF4-FFF2-40B4-BE49-F238E27FC236}">
              <a16:creationId xmlns:a16="http://schemas.microsoft.com/office/drawing/2014/main" id="{00000000-0008-0000-0100-000006000000}"/>
            </a:ext>
          </a:extLst>
        </xdr:cNvPr>
        <xdr:cNvSpPr/>
      </xdr:nvSpPr>
      <xdr:spPr>
        <a:xfrm>
          <a:off x="8200713" y="3160556"/>
          <a:ext cx="4588934" cy="1247091"/>
        </a:xfrm>
        <a:prstGeom prst="wedgeRectCallout">
          <a:avLst>
            <a:gd name="adj1" fmla="val -41578"/>
            <a:gd name="adj2" fmla="val -79393"/>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複数直列の組み合わせ</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rPr>
            <a:t>複数の直列数を組み合わせたい場合、</a:t>
          </a:r>
          <a:r>
            <a:rPr kumimoji="1" lang="ja-JP" altLang="ja-JP" sz="1100" b="0">
              <a:solidFill>
                <a:sysClr val="windowText" lastClr="000000"/>
              </a:solidFill>
              <a:effectLst/>
              <a:latin typeface="+mn-lt"/>
              <a:ea typeface="+mn-ea"/>
              <a:cs typeface="+mn-cs"/>
            </a:rPr>
            <a:t>接続する組み合わせの内、直列数が大きい列の最大枚数より組み合わせの数字が小さくなることが条件です。</a:t>
          </a:r>
          <a:endParaRPr lang="ja-JP" altLang="ja-JP" b="0">
            <a:solidFill>
              <a:sysClr val="windowText" lastClr="000000"/>
            </a:solidFill>
            <a:effectLst/>
          </a:endParaRPr>
        </a:p>
        <a:p>
          <a:pPr algn="l"/>
          <a:r>
            <a:rPr kumimoji="1" lang="ja-JP" altLang="en-US" sz="1100">
              <a:solidFill>
                <a:sysClr val="windowText" lastClr="000000"/>
              </a:solidFill>
            </a:rPr>
            <a:t>例：</a:t>
          </a:r>
          <a:r>
            <a:rPr kumimoji="1" lang="en-US" altLang="ja-JP" sz="1100">
              <a:solidFill>
                <a:sysClr val="windowText" lastClr="000000"/>
              </a:solidFill>
            </a:rPr>
            <a:t>22</a:t>
          </a:r>
          <a:r>
            <a:rPr kumimoji="1" lang="ja-JP" altLang="en-US" sz="1100">
              <a:solidFill>
                <a:sysClr val="windowText" lastClr="000000"/>
              </a:solidFill>
            </a:rPr>
            <a:t>直</a:t>
          </a:r>
          <a:r>
            <a:rPr kumimoji="1" lang="en-US" altLang="ja-JP" sz="1100">
              <a:solidFill>
                <a:sysClr val="windowText" lastClr="000000"/>
              </a:solidFill>
            </a:rPr>
            <a:t>6</a:t>
          </a:r>
          <a:r>
            <a:rPr kumimoji="1" lang="ja-JP" altLang="en-US" sz="1100">
              <a:solidFill>
                <a:sysClr val="windowText" lastClr="000000"/>
              </a:solidFill>
            </a:rPr>
            <a:t>回路と</a:t>
          </a:r>
          <a:r>
            <a:rPr kumimoji="1" lang="en-US" altLang="ja-JP" sz="1100">
              <a:solidFill>
                <a:sysClr val="windowText" lastClr="000000"/>
              </a:solidFill>
            </a:rPr>
            <a:t>18</a:t>
          </a:r>
          <a:r>
            <a:rPr kumimoji="1" lang="ja-JP" altLang="en-US" sz="1100">
              <a:solidFill>
                <a:sysClr val="windowText" lastClr="000000"/>
              </a:solidFill>
            </a:rPr>
            <a:t>直</a:t>
          </a:r>
          <a:r>
            <a:rPr kumimoji="1" lang="en-US" altLang="ja-JP" sz="1100">
              <a:solidFill>
                <a:sysClr val="windowText" lastClr="000000"/>
              </a:solidFill>
            </a:rPr>
            <a:t>6</a:t>
          </a:r>
          <a:r>
            <a:rPr kumimoji="1" lang="ja-JP" altLang="en-US" sz="1100">
              <a:solidFill>
                <a:sysClr val="windowText" lastClr="000000"/>
              </a:solidFill>
            </a:rPr>
            <a:t>回路を組み合わせたい場合、①＋②　＜　③</a:t>
          </a:r>
        </a:p>
      </xdr:txBody>
    </xdr:sp>
    <xdr:clientData/>
  </xdr:twoCellAnchor>
  <xdr:twoCellAnchor>
    <xdr:from>
      <xdr:col>12</xdr:col>
      <xdr:colOff>448235</xdr:colOff>
      <xdr:row>7</xdr:row>
      <xdr:rowOff>159373</xdr:rowOff>
    </xdr:from>
    <xdr:to>
      <xdr:col>13</xdr:col>
      <xdr:colOff>204196</xdr:colOff>
      <xdr:row>8</xdr:row>
      <xdr:rowOff>149412</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8157882" y="1449294"/>
          <a:ext cx="398432" cy="174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401418</xdr:colOff>
      <xdr:row>7</xdr:row>
      <xdr:rowOff>142439</xdr:rowOff>
    </xdr:from>
    <xdr:to>
      <xdr:col>11</xdr:col>
      <xdr:colOff>157380</xdr:colOff>
      <xdr:row>8</xdr:row>
      <xdr:rowOff>132478</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6826124" y="1432360"/>
          <a:ext cx="398432" cy="174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451223</xdr:colOff>
      <xdr:row>14</xdr:row>
      <xdr:rowOff>27889</xdr:rowOff>
    </xdr:from>
    <xdr:to>
      <xdr:col>13</xdr:col>
      <xdr:colOff>207184</xdr:colOff>
      <xdr:row>15</xdr:row>
      <xdr:rowOff>17929</xdr:rowOff>
    </xdr:to>
    <xdr:sp macro="" textlink="">
      <xdr:nvSpPr>
        <xdr:cNvPr id="9" name="正方形/長方形 8">
          <a:extLst>
            <a:ext uri="{FF2B5EF4-FFF2-40B4-BE49-F238E27FC236}">
              <a16:creationId xmlns:a16="http://schemas.microsoft.com/office/drawing/2014/main" id="{00000000-0008-0000-0100-000009000000}"/>
            </a:ext>
          </a:extLst>
        </xdr:cNvPr>
        <xdr:cNvSpPr/>
      </xdr:nvSpPr>
      <xdr:spPr>
        <a:xfrm>
          <a:off x="8160870" y="2607733"/>
          <a:ext cx="398432" cy="174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94628</xdr:colOff>
      <xdr:row>7</xdr:row>
      <xdr:rowOff>114548</xdr:rowOff>
    </xdr:from>
    <xdr:to>
      <xdr:col>10</xdr:col>
      <xdr:colOff>403412</xdr:colOff>
      <xdr:row>9</xdr:row>
      <xdr:rowOff>4979</xdr:rowOff>
    </xdr:to>
    <xdr:sp macro="" textlink="">
      <xdr:nvSpPr>
        <xdr:cNvPr id="11" name="正方形/長方形 10">
          <a:extLst>
            <a:ext uri="{FF2B5EF4-FFF2-40B4-BE49-F238E27FC236}">
              <a16:creationId xmlns:a16="http://schemas.microsoft.com/office/drawing/2014/main" id="{00000000-0008-0000-0100-00000B000000}"/>
            </a:ext>
          </a:extLst>
        </xdr:cNvPr>
        <xdr:cNvSpPr/>
      </xdr:nvSpPr>
      <xdr:spPr>
        <a:xfrm>
          <a:off x="6519334" y="1404469"/>
          <a:ext cx="308784" cy="25898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①</a:t>
          </a:r>
        </a:p>
      </xdr:txBody>
    </xdr:sp>
    <xdr:clientData/>
  </xdr:twoCellAnchor>
  <xdr:twoCellAnchor>
    <xdr:from>
      <xdr:col>12</xdr:col>
      <xdr:colOff>142440</xdr:colOff>
      <xdr:row>7</xdr:row>
      <xdr:rowOff>122517</xdr:rowOff>
    </xdr:from>
    <xdr:to>
      <xdr:col>12</xdr:col>
      <xdr:colOff>451224</xdr:colOff>
      <xdr:row>9</xdr:row>
      <xdr:rowOff>12948</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7852087" y="1412438"/>
          <a:ext cx="308784" cy="25898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②</a:t>
          </a:r>
        </a:p>
      </xdr:txBody>
    </xdr:sp>
    <xdr:clientData/>
  </xdr:twoCellAnchor>
  <xdr:twoCellAnchor>
    <xdr:from>
      <xdr:col>12</xdr:col>
      <xdr:colOff>140448</xdr:colOff>
      <xdr:row>13</xdr:row>
      <xdr:rowOff>175309</xdr:rowOff>
    </xdr:from>
    <xdr:to>
      <xdr:col>12</xdr:col>
      <xdr:colOff>449232</xdr:colOff>
      <xdr:row>15</xdr:row>
      <xdr:rowOff>65740</xdr:rowOff>
    </xdr:to>
    <xdr:sp macro="" textlink="">
      <xdr:nvSpPr>
        <xdr:cNvPr id="13" name="正方形/長方形 12">
          <a:extLst>
            <a:ext uri="{FF2B5EF4-FFF2-40B4-BE49-F238E27FC236}">
              <a16:creationId xmlns:a16="http://schemas.microsoft.com/office/drawing/2014/main" id="{00000000-0008-0000-0100-00000D000000}"/>
            </a:ext>
          </a:extLst>
        </xdr:cNvPr>
        <xdr:cNvSpPr/>
      </xdr:nvSpPr>
      <xdr:spPr>
        <a:xfrm>
          <a:off x="7850095" y="2570877"/>
          <a:ext cx="308784" cy="25898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③</a:t>
          </a:r>
        </a:p>
      </xdr:txBody>
    </xdr:sp>
    <xdr:clientData/>
  </xdr:twoCellAnchor>
  <xdr:twoCellAnchor editAs="oneCell">
    <xdr:from>
      <xdr:col>0</xdr:col>
      <xdr:colOff>503020</xdr:colOff>
      <xdr:row>30</xdr:row>
      <xdr:rowOff>29882</xdr:rowOff>
    </xdr:from>
    <xdr:to>
      <xdr:col>8</xdr:col>
      <xdr:colOff>308785</xdr:colOff>
      <xdr:row>52</xdr:row>
      <xdr:rowOff>54631</xdr:rowOff>
    </xdr:to>
    <xdr:pic>
      <xdr:nvPicPr>
        <xdr:cNvPr id="10" name="図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2"/>
        <a:stretch>
          <a:fillRect/>
        </a:stretch>
      </xdr:blipFill>
      <xdr:spPr>
        <a:xfrm>
          <a:off x="503020" y="5558117"/>
          <a:ext cx="4945530" cy="4078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209176</xdr:colOff>
      <xdr:row>1</xdr:row>
      <xdr:rowOff>44823</xdr:rowOff>
    </xdr:from>
    <xdr:to>
      <xdr:col>12</xdr:col>
      <xdr:colOff>624043</xdr:colOff>
      <xdr:row>6</xdr:row>
      <xdr:rowOff>49056</xdr:rowOff>
    </xdr:to>
    <xdr:pic>
      <xdr:nvPicPr>
        <xdr:cNvPr id="15" name="図 14">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176" y="229097"/>
          <a:ext cx="8124514" cy="925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408393</xdr:colOff>
      <xdr:row>7</xdr:row>
      <xdr:rowOff>74706</xdr:rowOff>
    </xdr:from>
    <xdr:to>
      <xdr:col>8</xdr:col>
      <xdr:colOff>597647</xdr:colOff>
      <xdr:row>11</xdr:row>
      <xdr:rowOff>19921</xdr:rowOff>
    </xdr:to>
    <xdr:sp macro="" textlink="">
      <xdr:nvSpPr>
        <xdr:cNvPr id="3" name="四角形吹き出し 2">
          <a:extLst>
            <a:ext uri="{FF2B5EF4-FFF2-40B4-BE49-F238E27FC236}">
              <a16:creationId xmlns:a16="http://schemas.microsoft.com/office/drawing/2014/main" id="{00000000-0008-0000-0300-000003000000}"/>
            </a:ext>
          </a:extLst>
        </xdr:cNvPr>
        <xdr:cNvSpPr/>
      </xdr:nvSpPr>
      <xdr:spPr>
        <a:xfrm>
          <a:off x="2978275" y="1364627"/>
          <a:ext cx="2759137" cy="682314"/>
        </a:xfrm>
        <a:prstGeom prst="wedgeRectCallout">
          <a:avLst>
            <a:gd name="adj1" fmla="val 44199"/>
            <a:gd name="adj2" fmla="val -104249"/>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数字の入っている組み合わせが、接続可能な組み合わせです。数字は直列数（横軸）と回路数（縦軸）の合計接続枚数です。</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0</xdr:col>
      <xdr:colOff>214158</xdr:colOff>
      <xdr:row>4</xdr:row>
      <xdr:rowOff>59765</xdr:rowOff>
    </xdr:from>
    <xdr:to>
      <xdr:col>9</xdr:col>
      <xdr:colOff>214157</xdr:colOff>
      <xdr:row>5</xdr:row>
      <xdr:rowOff>44823</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14158" y="796863"/>
          <a:ext cx="5782234" cy="16933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471142</xdr:colOff>
      <xdr:row>1</xdr:row>
      <xdr:rowOff>32871</xdr:rowOff>
    </xdr:from>
    <xdr:to>
      <xdr:col>9</xdr:col>
      <xdr:colOff>204196</xdr:colOff>
      <xdr:row>5</xdr:row>
      <xdr:rowOff>59764</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5610907" y="217145"/>
          <a:ext cx="375524" cy="76399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620556</xdr:colOff>
      <xdr:row>8</xdr:row>
      <xdr:rowOff>92634</xdr:rowOff>
    </xdr:from>
    <xdr:to>
      <xdr:col>17</xdr:col>
      <xdr:colOff>69725</xdr:colOff>
      <xdr:row>15</xdr:row>
      <xdr:rowOff>49803</xdr:rowOff>
    </xdr:to>
    <xdr:sp macro="" textlink="">
      <xdr:nvSpPr>
        <xdr:cNvPr id="6" name="四角形吹き出し 5">
          <a:extLst>
            <a:ext uri="{FF2B5EF4-FFF2-40B4-BE49-F238E27FC236}">
              <a16:creationId xmlns:a16="http://schemas.microsoft.com/office/drawing/2014/main" id="{00000000-0008-0000-0300-000006000000}"/>
            </a:ext>
          </a:extLst>
        </xdr:cNvPr>
        <xdr:cNvSpPr/>
      </xdr:nvSpPr>
      <xdr:spPr>
        <a:xfrm>
          <a:off x="6402791" y="1566830"/>
          <a:ext cx="4588934" cy="1247091"/>
        </a:xfrm>
        <a:prstGeom prst="wedgeRectCallout">
          <a:avLst>
            <a:gd name="adj1" fmla="val -41578"/>
            <a:gd name="adj2" fmla="val -79393"/>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複数直列の組み合わせ</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rPr>
            <a:t>複数の直列数を組み合わせたい場合、</a:t>
          </a:r>
          <a:r>
            <a:rPr kumimoji="1" lang="ja-JP" altLang="ja-JP" sz="1100" b="0">
              <a:solidFill>
                <a:sysClr val="windowText" lastClr="000000"/>
              </a:solidFill>
              <a:effectLst/>
              <a:latin typeface="+mn-lt"/>
              <a:ea typeface="+mn-ea"/>
              <a:cs typeface="+mn-cs"/>
            </a:rPr>
            <a:t>接続する組み合わせの内、直列数が大きい列の最大枚数より組み合わせの数字が小さくなることが条件です。</a:t>
          </a:r>
          <a:endParaRPr lang="ja-JP" altLang="ja-JP" b="0">
            <a:solidFill>
              <a:sysClr val="windowText" lastClr="000000"/>
            </a:solidFill>
            <a:effectLst/>
          </a:endParaRPr>
        </a:p>
        <a:p>
          <a:pPr algn="l"/>
          <a:r>
            <a:rPr kumimoji="1" lang="ja-JP" altLang="en-US" sz="1100">
              <a:solidFill>
                <a:sysClr val="windowText" lastClr="000000"/>
              </a:solidFill>
            </a:rPr>
            <a:t>例：</a:t>
          </a:r>
          <a:r>
            <a:rPr kumimoji="1" lang="en-US" altLang="ja-JP" sz="1100">
              <a:solidFill>
                <a:sysClr val="windowText" lastClr="000000"/>
              </a:solidFill>
            </a:rPr>
            <a:t>8</a:t>
          </a:r>
          <a:r>
            <a:rPr kumimoji="1" lang="ja-JP" altLang="en-US" sz="1100">
              <a:solidFill>
                <a:sysClr val="windowText" lastClr="000000"/>
              </a:solidFill>
            </a:rPr>
            <a:t>直</a:t>
          </a:r>
          <a:r>
            <a:rPr kumimoji="1" lang="en-US" altLang="ja-JP" sz="1100">
              <a:solidFill>
                <a:sysClr val="windowText" lastClr="000000"/>
              </a:solidFill>
            </a:rPr>
            <a:t>1</a:t>
          </a:r>
          <a:r>
            <a:rPr kumimoji="1" lang="ja-JP" altLang="en-US" sz="1100">
              <a:solidFill>
                <a:sysClr val="windowText" lastClr="000000"/>
              </a:solidFill>
            </a:rPr>
            <a:t>回路と</a:t>
          </a:r>
          <a:r>
            <a:rPr kumimoji="1" lang="en-US" altLang="ja-JP" sz="1100">
              <a:solidFill>
                <a:sysClr val="windowText" lastClr="000000"/>
              </a:solidFill>
            </a:rPr>
            <a:t>14</a:t>
          </a:r>
          <a:r>
            <a:rPr kumimoji="1" lang="ja-JP" altLang="en-US" sz="1100">
              <a:solidFill>
                <a:sysClr val="windowText" lastClr="000000"/>
              </a:solidFill>
            </a:rPr>
            <a:t>直</a:t>
          </a:r>
          <a:r>
            <a:rPr kumimoji="1" lang="en-US" altLang="ja-JP" sz="1100">
              <a:solidFill>
                <a:sysClr val="windowText" lastClr="000000"/>
              </a:solidFill>
            </a:rPr>
            <a:t>1</a:t>
          </a:r>
          <a:r>
            <a:rPr kumimoji="1" lang="ja-JP" altLang="en-US" sz="1100">
              <a:solidFill>
                <a:sysClr val="windowText" lastClr="000000"/>
              </a:solidFill>
            </a:rPr>
            <a:t>回路を組み合わせたい場合、①＋②　＜　③</a:t>
          </a:r>
        </a:p>
      </xdr:txBody>
    </xdr:sp>
    <xdr:clientData/>
  </xdr:twoCellAnchor>
  <xdr:twoCellAnchor>
    <xdr:from>
      <xdr:col>9</xdr:col>
      <xdr:colOff>577725</xdr:colOff>
      <xdr:row>2</xdr:row>
      <xdr:rowOff>64745</xdr:rowOff>
    </xdr:from>
    <xdr:to>
      <xdr:col>10</xdr:col>
      <xdr:colOff>333686</xdr:colOff>
      <xdr:row>3</xdr:row>
      <xdr:rowOff>54784</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6359960" y="433294"/>
          <a:ext cx="398432" cy="174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157379</xdr:colOff>
      <xdr:row>2</xdr:row>
      <xdr:rowOff>47811</xdr:rowOff>
    </xdr:from>
    <xdr:to>
      <xdr:col>6</xdr:col>
      <xdr:colOff>555811</xdr:colOff>
      <xdr:row>3</xdr:row>
      <xdr:rowOff>37850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4012203" y="416360"/>
          <a:ext cx="398432" cy="174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590674</xdr:colOff>
      <xdr:row>5</xdr:row>
      <xdr:rowOff>67733</xdr:rowOff>
    </xdr:from>
    <xdr:to>
      <xdr:col>10</xdr:col>
      <xdr:colOff>346635</xdr:colOff>
      <xdr:row>6</xdr:row>
      <xdr:rowOff>57773</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6372909" y="989106"/>
          <a:ext cx="398432" cy="174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463177</xdr:colOff>
      <xdr:row>2</xdr:row>
      <xdr:rowOff>54783</xdr:rowOff>
    </xdr:from>
    <xdr:to>
      <xdr:col>6</xdr:col>
      <xdr:colOff>129490</xdr:colOff>
      <xdr:row>3</xdr:row>
      <xdr:rowOff>129489</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3675530" y="423332"/>
          <a:ext cx="308784" cy="25898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①</a:t>
          </a:r>
        </a:p>
      </xdr:txBody>
    </xdr:sp>
    <xdr:clientData/>
  </xdr:twoCellAnchor>
  <xdr:twoCellAnchor>
    <xdr:from>
      <xdr:col>9</xdr:col>
      <xdr:colOff>242048</xdr:colOff>
      <xdr:row>2</xdr:row>
      <xdr:rowOff>37849</xdr:rowOff>
    </xdr:from>
    <xdr:to>
      <xdr:col>9</xdr:col>
      <xdr:colOff>550832</xdr:colOff>
      <xdr:row>3</xdr:row>
      <xdr:rowOff>112555</xdr:rowOff>
    </xdr:to>
    <xdr:sp macro="" textlink="">
      <xdr:nvSpPr>
        <xdr:cNvPr id="11" name="正方形/長方形 10">
          <a:extLst>
            <a:ext uri="{FF2B5EF4-FFF2-40B4-BE49-F238E27FC236}">
              <a16:creationId xmlns:a16="http://schemas.microsoft.com/office/drawing/2014/main" id="{00000000-0008-0000-0300-00000B000000}"/>
            </a:ext>
          </a:extLst>
        </xdr:cNvPr>
        <xdr:cNvSpPr/>
      </xdr:nvSpPr>
      <xdr:spPr>
        <a:xfrm>
          <a:off x="6024283" y="406398"/>
          <a:ext cx="308784" cy="25898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②</a:t>
          </a:r>
        </a:p>
      </xdr:txBody>
    </xdr:sp>
    <xdr:clientData/>
  </xdr:twoCellAnchor>
  <xdr:twoCellAnchor>
    <xdr:from>
      <xdr:col>9</xdr:col>
      <xdr:colOff>264958</xdr:colOff>
      <xdr:row>5</xdr:row>
      <xdr:rowOff>30877</xdr:rowOff>
    </xdr:from>
    <xdr:to>
      <xdr:col>9</xdr:col>
      <xdr:colOff>573742</xdr:colOff>
      <xdr:row>6</xdr:row>
      <xdr:rowOff>105584</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6047193" y="952250"/>
          <a:ext cx="308784" cy="25898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③</a:t>
          </a:r>
        </a:p>
      </xdr:txBody>
    </xdr:sp>
    <xdr:clientData/>
  </xdr:twoCellAnchor>
  <xdr:twoCellAnchor editAs="oneCell">
    <xdr:from>
      <xdr:col>0</xdr:col>
      <xdr:colOff>298824</xdr:colOff>
      <xdr:row>16</xdr:row>
      <xdr:rowOff>84666</xdr:rowOff>
    </xdr:from>
    <xdr:to>
      <xdr:col>10</xdr:col>
      <xdr:colOff>29882</xdr:colOff>
      <xdr:row>42</xdr:row>
      <xdr:rowOff>105686</xdr:rowOff>
    </xdr:to>
    <xdr:pic>
      <xdr:nvPicPr>
        <xdr:cNvPr id="16" name="図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8824" y="3033058"/>
          <a:ext cx="6155764" cy="4812157"/>
        </a:xfrm>
        <a:prstGeom prst="rect">
          <a:avLst/>
        </a:prstGeom>
      </xdr:spPr>
    </xdr:pic>
    <xdr:clientData/>
  </xdr:twoCellAnchor>
  <xdr:twoCellAnchor>
    <xdr:from>
      <xdr:col>0</xdr:col>
      <xdr:colOff>194235</xdr:colOff>
      <xdr:row>6</xdr:row>
      <xdr:rowOff>164353</xdr:rowOff>
    </xdr:from>
    <xdr:to>
      <xdr:col>4</xdr:col>
      <xdr:colOff>193241</xdr:colOff>
      <xdr:row>11</xdr:row>
      <xdr:rowOff>93631</xdr:rowOff>
    </xdr:to>
    <xdr:sp macro="" textlink="">
      <xdr:nvSpPr>
        <xdr:cNvPr id="14" name="四角形吹き出し 13">
          <a:extLst>
            <a:ext uri="{FF2B5EF4-FFF2-40B4-BE49-F238E27FC236}">
              <a16:creationId xmlns:a16="http://schemas.microsoft.com/office/drawing/2014/main" id="{00000000-0008-0000-0300-00000E000000}"/>
            </a:ext>
          </a:extLst>
        </xdr:cNvPr>
        <xdr:cNvSpPr/>
      </xdr:nvSpPr>
      <xdr:spPr>
        <a:xfrm>
          <a:off x="194235" y="1270000"/>
          <a:ext cx="2568888" cy="850651"/>
        </a:xfrm>
        <a:prstGeom prst="wedgeRectCallout">
          <a:avLst>
            <a:gd name="adj1" fmla="val 67499"/>
            <a:gd name="adj2" fmla="val -153668"/>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ハーフモジュール、コーナーモジュール等は基準となるモジュールの電圧比で計算ください。</a:t>
          </a:r>
          <a:endParaRPr kumimoji="1" lang="en-US" altLang="ja-JP" sz="1100">
            <a:solidFill>
              <a:sysClr val="windowText" lastClr="000000"/>
            </a:solidFill>
          </a:endParaRPr>
        </a:p>
        <a:p>
          <a:pPr algn="l"/>
          <a:r>
            <a:rPr kumimoji="1" lang="ja-JP" altLang="en-US" sz="1100">
              <a:solidFill>
                <a:sysClr val="windowText" lastClr="000000"/>
              </a:solidFill>
            </a:rPr>
            <a:t>例：基準</a:t>
          </a:r>
          <a:r>
            <a:rPr kumimoji="1" lang="en-US" altLang="ja-JP" sz="1100">
              <a:solidFill>
                <a:sysClr val="windowText" lastClr="000000"/>
              </a:solidFill>
            </a:rPr>
            <a:t>40V</a:t>
          </a:r>
          <a:r>
            <a:rPr kumimoji="1" lang="ja-JP" altLang="en-US" sz="1100">
              <a:solidFill>
                <a:sysClr val="windowText" lastClr="000000"/>
              </a:solidFill>
            </a:rPr>
            <a:t>：ハーフ</a:t>
          </a:r>
          <a:r>
            <a:rPr kumimoji="1" lang="en-US" altLang="ja-JP" sz="1100">
              <a:solidFill>
                <a:sysClr val="windowText" lastClr="000000"/>
              </a:solidFill>
            </a:rPr>
            <a:t>20V</a:t>
          </a:r>
          <a:r>
            <a:rPr kumimoji="1" lang="ja-JP" altLang="en-US" sz="1100">
              <a:solidFill>
                <a:sysClr val="windowText" lastClr="000000"/>
              </a:solidFill>
            </a:rPr>
            <a:t>＝１枚：</a:t>
          </a:r>
          <a:r>
            <a:rPr kumimoji="1" lang="en-US" altLang="ja-JP" sz="1100">
              <a:solidFill>
                <a:sysClr val="windowText" lastClr="000000"/>
              </a:solidFill>
            </a:rPr>
            <a:t>0.5</a:t>
          </a:r>
          <a:r>
            <a:rPr kumimoji="1" lang="ja-JP" altLang="en-US" sz="1100">
              <a:solidFill>
                <a:sysClr val="windowText" lastClr="000000"/>
              </a:solidFill>
            </a:rPr>
            <a:t>枚</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16566</xdr:colOff>
          <xdr:row>75</xdr:row>
          <xdr:rowOff>85569</xdr:rowOff>
        </xdr:from>
        <xdr:to>
          <xdr:col>40</xdr:col>
          <xdr:colOff>97498</xdr:colOff>
          <xdr:row>97</xdr:row>
          <xdr:rowOff>28863</xdr:rowOff>
        </xdr:to>
        <xdr:pic>
          <xdr:nvPicPr>
            <xdr:cNvPr id="7" name="図 6">
              <a:extLst>
                <a:ext uri="{FF2B5EF4-FFF2-40B4-BE49-F238E27FC236}">
                  <a16:creationId xmlns:a16="http://schemas.microsoft.com/office/drawing/2014/main" id="{00000000-0008-0000-0600-000007000000}"/>
                </a:ext>
              </a:extLst>
            </xdr:cNvPr>
            <xdr:cNvPicPr>
              <a:picLocks noChangeAspect="1" noChangeArrowheads="1"/>
              <a:extLst>
                <a:ext uri="{84589F7E-364E-4C9E-8A38-B11213B215E9}">
                  <a14:cameraTool cellRange="組み合わせ可否!$A$2:$AO$29" spid="_x0000_s206509"/>
                </a:ext>
              </a:extLst>
            </xdr:cNvPicPr>
          </xdr:nvPicPr>
          <xdr:blipFill>
            <a:blip xmlns:r="http://schemas.openxmlformats.org/officeDocument/2006/relationships" r:embed="rId1"/>
            <a:srcRect/>
            <a:stretch>
              <a:fillRect/>
            </a:stretch>
          </xdr:blipFill>
          <xdr:spPr bwMode="auto">
            <a:xfrm>
              <a:off x="356153" y="7871221"/>
              <a:ext cx="13460658" cy="349335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28</xdr:col>
      <xdr:colOff>293076</xdr:colOff>
      <xdr:row>79</xdr:row>
      <xdr:rowOff>84259</xdr:rowOff>
    </xdr:from>
    <xdr:to>
      <xdr:col>28</xdr:col>
      <xdr:colOff>593480</xdr:colOff>
      <xdr:row>80</xdr:row>
      <xdr:rowOff>84259</xdr:rowOff>
    </xdr:to>
    <xdr:sp macro="" textlink="">
      <xdr:nvSpPr>
        <xdr:cNvPr id="3" name="正方形/長方形 2">
          <a:extLst>
            <a:ext uri="{FF2B5EF4-FFF2-40B4-BE49-F238E27FC236}">
              <a16:creationId xmlns:a16="http://schemas.microsoft.com/office/drawing/2014/main" id="{00000000-0008-0000-0600-000003000000}"/>
            </a:ext>
          </a:extLst>
        </xdr:cNvPr>
        <xdr:cNvSpPr/>
      </xdr:nvSpPr>
      <xdr:spPr>
        <a:xfrm>
          <a:off x="18386913" y="4183673"/>
          <a:ext cx="300404" cy="161192"/>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76200</xdr:colOff>
      <xdr:row>34</xdr:row>
      <xdr:rowOff>116502</xdr:rowOff>
    </xdr:to>
    <xdr:pic>
      <xdr:nvPicPr>
        <xdr:cNvPr id="2" name="図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10957560" cy="62048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413730</xdr:colOff>
      <xdr:row>35</xdr:row>
      <xdr:rowOff>83820</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11295090" cy="6351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6</xdr:col>
          <xdr:colOff>177800</xdr:colOff>
          <xdr:row>0</xdr:row>
          <xdr:rowOff>169333</xdr:rowOff>
        </xdr:to>
        <xdr:pic>
          <xdr:nvPicPr>
            <xdr:cNvPr id="4" name="図 3">
              <a:extLst>
                <a:ext uri="{FF2B5EF4-FFF2-40B4-BE49-F238E27FC236}">
                  <a16:creationId xmlns:a16="http://schemas.microsoft.com/office/drawing/2014/main" id="{00000000-0008-0000-1600-000004000000}"/>
                </a:ext>
              </a:extLst>
            </xdr:cNvPr>
            <xdr:cNvPicPr>
              <a:picLocks noChangeAspect="1" noChangeArrowheads="1"/>
              <a:extLst>
                <a:ext uri="{84589F7E-364E-4C9E-8A38-B11213B215E9}">
                  <a14:cameraTool cellRange="HUAWEI製ＰＣＳ接続枚数計算ツール!$C$5" spid="_x0000_s224363"/>
                </a:ext>
              </a:extLst>
            </xdr:cNvPicPr>
          </xdr:nvPicPr>
          <xdr:blipFill>
            <a:blip xmlns:r="http://schemas.openxmlformats.org/officeDocument/2006/relationships" r:embed="rId1"/>
            <a:srcRect/>
            <a:stretch>
              <a:fillRect/>
            </a:stretch>
          </xdr:blipFill>
          <xdr:spPr bwMode="auto">
            <a:xfrm>
              <a:off x="1367367" y="0"/>
              <a:ext cx="2146300" cy="16933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21</xdr:col>
          <xdr:colOff>328037</xdr:colOff>
          <xdr:row>0</xdr:row>
          <xdr:rowOff>154663</xdr:rowOff>
        </xdr:to>
        <xdr:pic>
          <xdr:nvPicPr>
            <xdr:cNvPr id="2" name="図 1">
              <a:extLst>
                <a:ext uri="{FF2B5EF4-FFF2-40B4-BE49-F238E27FC236}">
                  <a16:creationId xmlns:a16="http://schemas.microsoft.com/office/drawing/2014/main" id="{00000000-0008-0000-1700-000002000000}"/>
                </a:ext>
              </a:extLst>
            </xdr:cNvPr>
            <xdr:cNvPicPr>
              <a:picLocks noChangeAspect="1" noChangeArrowheads="1"/>
              <a:extLst>
                <a:ext uri="{84589F7E-364E-4C9E-8A38-B11213B215E9}">
                  <a14:cameraTool cellRange="HUAWEI製ＰＣＳ接続枚数計算ツール!$C$5" spid="_x0000_s193203"/>
                </a:ext>
              </a:extLst>
            </xdr:cNvPicPr>
          </xdr:nvPicPr>
          <xdr:blipFill>
            <a:blip xmlns:r="http://schemas.openxmlformats.org/officeDocument/2006/relationships" r:embed="rId1"/>
            <a:srcRect/>
            <a:stretch>
              <a:fillRect/>
            </a:stretch>
          </xdr:blipFill>
          <xdr:spPr bwMode="auto">
            <a:xfrm>
              <a:off x="1047750" y="0"/>
              <a:ext cx="724277" cy="1546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36039;&#26009;\&#12484;&#12540;&#12523;\&#25509;&#32154;&#26522;&#25968;\&#12304;&#32232;&#38598;&#12305;&#12514;&#12472;&#12517;&#12540;&#12523;&#12398;&#36984;&#25246;&#26041;&#27861;V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1"/>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comments" Target="../comments5.xml"/><Relationship Id="rId4" Type="http://schemas.openxmlformats.org/officeDocument/2006/relationships/vmlDrawing" Target="../drawings/vmlDrawing8.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tabColor rgb="FFFF0000"/>
  </sheetPr>
  <dimension ref="A1:L33"/>
  <sheetViews>
    <sheetView tabSelected="1" workbookViewId="0"/>
  </sheetViews>
  <sheetFormatPr defaultColWidth="8.875" defaultRowHeight="12.95"/>
  <cols>
    <col min="1" max="16384" width="8.875" style="72"/>
  </cols>
  <sheetData>
    <row r="1" spans="1:12" ht="18.95">
      <c r="A1" s="73" t="s">
        <v>0</v>
      </c>
      <c r="C1" s="72" t="str">
        <f>HUAWEI製ＰＣＳ接続枚数計算ツール!B3</f>
        <v>2025.08.26版</v>
      </c>
    </row>
    <row r="2" spans="1:12" ht="13.7" customHeight="1"/>
    <row r="3" spans="1:12" ht="13.7" customHeight="1">
      <c r="A3" s="72" t="s">
        <v>1</v>
      </c>
    </row>
    <row r="4" spans="1:12" ht="13.7" customHeight="1"/>
    <row r="5" spans="1:12" ht="13.7" customHeight="1">
      <c r="A5" s="72" t="s">
        <v>2</v>
      </c>
    </row>
    <row r="6" spans="1:12" ht="13.7" customHeight="1">
      <c r="A6" s="72" t="s">
        <v>3</v>
      </c>
      <c r="F6" s="42" t="s">
        <v>4</v>
      </c>
      <c r="G6" s="54"/>
      <c r="H6" s="11"/>
      <c r="I6" s="42" t="s">
        <v>5</v>
      </c>
      <c r="J6" s="58"/>
      <c r="K6" s="63"/>
    </row>
    <row r="7" spans="1:12" ht="13.7" customHeight="1">
      <c r="A7" s="72" t="s">
        <v>6</v>
      </c>
    </row>
    <row r="8" spans="1:12" ht="13.7" customHeight="1">
      <c r="A8" s="72" t="s">
        <v>7</v>
      </c>
      <c r="B8" s="177"/>
      <c r="C8" s="177"/>
      <c r="D8" s="177"/>
      <c r="E8" s="177"/>
      <c r="F8" s="177"/>
      <c r="G8" s="177"/>
      <c r="H8" s="177"/>
      <c r="I8" s="177"/>
      <c r="J8" s="177"/>
      <c r="K8" s="177"/>
      <c r="L8" s="177"/>
    </row>
    <row r="9" spans="1:12" ht="13.7" customHeight="1">
      <c r="A9" s="72" t="s">
        <v>8</v>
      </c>
    </row>
    <row r="10" spans="1:12" ht="13.7" customHeight="1">
      <c r="A10" s="72" t="s">
        <v>9</v>
      </c>
    </row>
    <row r="11" spans="1:12" ht="13.7" customHeight="1">
      <c r="A11" s="72" t="s">
        <v>10</v>
      </c>
    </row>
    <row r="12" spans="1:12" ht="13.7" customHeight="1">
      <c r="A12" s="72" t="s">
        <v>11</v>
      </c>
    </row>
    <row r="13" spans="1:12" ht="13.7" customHeight="1">
      <c r="A13" s="72" t="s">
        <v>12</v>
      </c>
    </row>
    <row r="14" spans="1:12" ht="13.7" customHeight="1"/>
    <row r="15" spans="1:12" ht="13.7" customHeight="1">
      <c r="A15" s="72" t="s">
        <v>13</v>
      </c>
      <c r="H15" s="72" t="s">
        <v>14</v>
      </c>
    </row>
    <row r="16" spans="1:12" ht="13.7" customHeight="1"/>
    <row r="17" spans="1:1" ht="13.7" customHeight="1">
      <c r="A17" s="72" t="s">
        <v>15</v>
      </c>
    </row>
    <row r="18" spans="1:1" ht="13.7" customHeight="1">
      <c r="A18" s="72" t="s">
        <v>16</v>
      </c>
    </row>
    <row r="19" spans="1:1" ht="13.7" customHeight="1"/>
    <row r="20" spans="1:1" ht="13.7" customHeight="1">
      <c r="A20" s="72" t="s">
        <v>17</v>
      </c>
    </row>
    <row r="21" spans="1:1" ht="13.7" customHeight="1">
      <c r="A21" s="72" t="s">
        <v>18</v>
      </c>
    </row>
    <row r="22" spans="1:1" ht="13.7" customHeight="1"/>
    <row r="23" spans="1:1" ht="13.7" customHeight="1">
      <c r="A23" s="72" t="s">
        <v>19</v>
      </c>
    </row>
    <row r="24" spans="1:1" ht="13.7" customHeight="1"/>
    <row r="25" spans="1:1" ht="13.7" customHeight="1">
      <c r="A25" s="72" t="s">
        <v>20</v>
      </c>
    </row>
    <row r="26" spans="1:1" ht="13.7" customHeight="1"/>
    <row r="27" spans="1:1" ht="13.7" customHeight="1">
      <c r="A27" s="72" t="s">
        <v>21</v>
      </c>
    </row>
    <row r="28" spans="1:1" ht="13.7" customHeight="1"/>
    <row r="29" spans="1:1">
      <c r="A29" s="72" t="s">
        <v>22</v>
      </c>
    </row>
    <row r="31" spans="1:1">
      <c r="A31" s="72" t="s">
        <v>23</v>
      </c>
    </row>
    <row r="33" spans="1:1">
      <c r="A33" s="72" t="s">
        <v>24</v>
      </c>
    </row>
  </sheetData>
  <sheetProtection algorithmName="SHA-512" hashValue="rrYKQDb2Lll3j8LokuHZp3+bag/+dkdgc2e+ViDuhUsrhSCOSK9WR04h4+W8wRbhf2MVp/QIRr+snwvcuRrYKg==" saltValue="1FWpdHjMwpmlygkY6HPiEg==" spinCount="100000" sheet="1" objects="1" scenarios="1"/>
  <phoneticPr fontId="21"/>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2060"/>
  </sheetPr>
  <dimension ref="B25:B30"/>
  <sheetViews>
    <sheetView zoomScale="85" zoomScaleNormal="85" workbookViewId="0">
      <selection activeCell="B2" sqref="B2"/>
    </sheetView>
  </sheetViews>
  <sheetFormatPr defaultColWidth="8.875" defaultRowHeight="14.1"/>
  <cols>
    <col min="1" max="16384" width="8.875" style="120"/>
  </cols>
  <sheetData>
    <row r="25" spans="2:2">
      <c r="B25" s="123" t="s">
        <v>25</v>
      </c>
    </row>
    <row r="26" spans="2:2">
      <c r="B26" s="123" t="s">
        <v>26</v>
      </c>
    </row>
    <row r="27" spans="2:2">
      <c r="B27" s="123" t="s">
        <v>27</v>
      </c>
    </row>
    <row r="28" spans="2:2">
      <c r="B28" s="123" t="s">
        <v>28</v>
      </c>
    </row>
    <row r="30" spans="2:2">
      <c r="B30" s="120" t="s">
        <v>29</v>
      </c>
    </row>
  </sheetData>
  <sheetProtection algorithmName="SHA-512" hashValue="HOD9OsVXJ/uS44rdov9pJ+cpGUgqXG6kGXO73TqiOuZAH2tLFu/WVyFitD5Bh2sHuCHCrxS/AywTq7YJYZd5kA==" saltValue="Nm0O4ZaeLPLi77vL/SzFVA==" spinCount="100000" sheet="1" objects="1" scenarios="1" selectLockedCells="1"/>
  <phoneticPr fontId="2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7">
    <tabColor rgb="FFFF0000"/>
  </sheetPr>
  <dimension ref="A1:L32"/>
  <sheetViews>
    <sheetView workbookViewId="0">
      <selection activeCell="B2" sqref="B2"/>
    </sheetView>
  </sheetViews>
  <sheetFormatPr defaultColWidth="8.875" defaultRowHeight="12.95"/>
  <cols>
    <col min="1" max="16384" width="8.875" style="72"/>
  </cols>
  <sheetData>
    <row r="1" spans="1:12" ht="18.95">
      <c r="A1" s="73" t="s">
        <v>0</v>
      </c>
      <c r="C1" s="72" t="str">
        <f>HUAWEI製ＰＣＳ接続枚数計算ツール!B3</f>
        <v>2025.08.26版</v>
      </c>
    </row>
    <row r="2" spans="1:12" ht="13.7" customHeight="1"/>
    <row r="3" spans="1:12" ht="13.7" customHeight="1">
      <c r="A3" s="72" t="s">
        <v>1</v>
      </c>
    </row>
    <row r="4" spans="1:12" ht="13.7" customHeight="1"/>
    <row r="5" spans="1:12" ht="13.7" customHeight="1">
      <c r="A5" s="72" t="s">
        <v>2</v>
      </c>
    </row>
    <row r="6" spans="1:12" ht="13.7" customHeight="1">
      <c r="A6" s="72" t="s">
        <v>3</v>
      </c>
      <c r="F6" s="42" t="s">
        <v>4</v>
      </c>
      <c r="G6" s="54"/>
      <c r="H6" s="11"/>
      <c r="I6" s="42" t="s">
        <v>5</v>
      </c>
      <c r="J6" s="58"/>
      <c r="K6" s="63"/>
    </row>
    <row r="7" spans="1:12" ht="13.7" customHeight="1">
      <c r="A7" s="72" t="s">
        <v>6</v>
      </c>
    </row>
    <row r="8" spans="1:12" ht="13.7" customHeight="1">
      <c r="A8" s="178" t="s">
        <v>30</v>
      </c>
      <c r="B8" s="177"/>
      <c r="C8" s="177"/>
      <c r="D8" s="177"/>
      <c r="E8" s="177"/>
      <c r="F8" s="177"/>
      <c r="G8" s="177"/>
      <c r="H8" s="177"/>
      <c r="I8" s="177"/>
      <c r="J8" s="177"/>
      <c r="K8" s="177"/>
      <c r="L8" s="177"/>
    </row>
    <row r="9" spans="1:12" ht="13.7" customHeight="1">
      <c r="A9" s="72" t="s">
        <v>31</v>
      </c>
    </row>
    <row r="10" spans="1:12" ht="13.7" customHeight="1">
      <c r="A10" s="72" t="s">
        <v>32</v>
      </c>
    </row>
    <row r="11" spans="1:12" ht="13.7" customHeight="1">
      <c r="A11" s="72" t="s">
        <v>33</v>
      </c>
    </row>
    <row r="12" spans="1:12" ht="13.7" customHeight="1"/>
    <row r="13" spans="1:12" ht="13.7" customHeight="1"/>
    <row r="14" spans="1:12" ht="13.7" customHeight="1"/>
    <row r="15" spans="1:12" ht="13.7" customHeight="1">
      <c r="A15" s="72" t="s">
        <v>13</v>
      </c>
      <c r="H15" s="72" t="s">
        <v>14</v>
      </c>
    </row>
    <row r="16" spans="1:12" ht="13.7" customHeight="1"/>
    <row r="17" spans="1:1" ht="13.7" customHeight="1"/>
    <row r="18" spans="1:1" ht="13.7" customHeight="1">
      <c r="A18" s="72" t="s">
        <v>15</v>
      </c>
    </row>
    <row r="19" spans="1:1" ht="13.7" customHeight="1">
      <c r="A19" s="72" t="s">
        <v>16</v>
      </c>
    </row>
    <row r="20" spans="1:1" ht="13.7" customHeight="1"/>
    <row r="21" spans="1:1" ht="13.7" customHeight="1">
      <c r="A21" s="72" t="s">
        <v>17</v>
      </c>
    </row>
    <row r="22" spans="1:1" ht="13.7" customHeight="1">
      <c r="A22" s="72" t="s">
        <v>18</v>
      </c>
    </row>
    <row r="23" spans="1:1" ht="13.7" customHeight="1"/>
    <row r="24" spans="1:1" ht="13.7" customHeight="1">
      <c r="A24" s="72" t="s">
        <v>19</v>
      </c>
    </row>
    <row r="25" spans="1:1" ht="13.7" customHeight="1"/>
    <row r="26" spans="1:1" ht="13.7" customHeight="1">
      <c r="A26" s="72" t="s">
        <v>20</v>
      </c>
    </row>
    <row r="27" spans="1:1" ht="13.7" customHeight="1"/>
    <row r="28" spans="1:1" ht="13.7" customHeight="1">
      <c r="A28" s="72" t="s">
        <v>22</v>
      </c>
    </row>
    <row r="29" spans="1:1" ht="13.7" customHeight="1"/>
    <row r="30" spans="1:1" ht="13.7" customHeight="1">
      <c r="A30" s="72" t="s">
        <v>23</v>
      </c>
    </row>
    <row r="32" spans="1:1">
      <c r="A32" s="72" t="s">
        <v>24</v>
      </c>
    </row>
  </sheetData>
  <phoneticPr fontId="21"/>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2060"/>
  </sheetPr>
  <dimension ref="B13:B16"/>
  <sheetViews>
    <sheetView zoomScale="85" zoomScaleNormal="85" workbookViewId="0">
      <selection activeCell="B2" sqref="B2"/>
    </sheetView>
  </sheetViews>
  <sheetFormatPr defaultColWidth="8.875" defaultRowHeight="14.1"/>
  <cols>
    <col min="1" max="16384" width="8.875" style="120"/>
  </cols>
  <sheetData>
    <row r="13" spans="2:2">
      <c r="B13" s="123" t="s">
        <v>25</v>
      </c>
    </row>
    <row r="14" spans="2:2">
      <c r="B14" s="123" t="s">
        <v>26</v>
      </c>
    </row>
    <row r="15" spans="2:2">
      <c r="B15" s="123" t="s">
        <v>27</v>
      </c>
    </row>
    <row r="16" spans="2:2">
      <c r="B16" s="123" t="s">
        <v>28</v>
      </c>
    </row>
  </sheetData>
  <sheetProtection algorithmName="SHA-512" hashValue="O2c/+WF9DOToBA+WaHdFrT6aOlGpHYT+BqZy7Qg6MxHBLycwEZHv8vmAFtG9WI36/d8pKBMXfLKVUkPWtlIpWQ==" saltValue="0X/2i3HnCdECmCndMDzcZQ==" spinCount="100000" sheet="1" objects="1" scenarios="1" selectLockedCells="1"/>
  <phoneticPr fontId="2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AA61"/>
  <sheetViews>
    <sheetView zoomScale="70" zoomScaleNormal="70" workbookViewId="0">
      <selection activeCell="C5" sqref="C5:E5"/>
    </sheetView>
  </sheetViews>
  <sheetFormatPr defaultColWidth="8.875" defaultRowHeight="12.95"/>
  <cols>
    <col min="1" max="1" width="4.75" style="11" customWidth="1"/>
    <col min="2" max="2" width="13.625" style="11" customWidth="1"/>
    <col min="3" max="3" width="10" style="11" bestFit="1" customWidth="1"/>
    <col min="4" max="4" width="10.875" style="11" customWidth="1"/>
    <col min="5" max="6" width="8.75" style="11" customWidth="1"/>
    <col min="7" max="8" width="8.875" style="11"/>
    <col min="9" max="9" width="9.5" style="11" customWidth="1"/>
    <col min="10" max="16384" width="8.875" style="11"/>
  </cols>
  <sheetData>
    <row r="2" spans="2:18">
      <c r="B2" s="44" t="s">
        <v>34</v>
      </c>
      <c r="C2" s="44"/>
      <c r="D2" s="44"/>
      <c r="E2" s="44"/>
      <c r="F2" s="42" t="s">
        <v>4</v>
      </c>
      <c r="G2" s="54"/>
      <c r="I2" s="42" t="s">
        <v>5</v>
      </c>
      <c r="J2" s="58"/>
      <c r="K2" s="63"/>
    </row>
    <row r="4" spans="2:18">
      <c r="B4" s="224" t="s">
        <v>35</v>
      </c>
      <c r="C4" s="225"/>
    </row>
    <row r="5" spans="2:18">
      <c r="B5" s="65" t="s">
        <v>36</v>
      </c>
      <c r="C5" s="231" t="s">
        <v>37</v>
      </c>
      <c r="D5" s="231"/>
      <c r="E5" s="231"/>
      <c r="F5" s="35" t="s">
        <v>38</v>
      </c>
      <c r="G5" s="36">
        <f>VLOOKUP($C$5, 太陽電池モジュールリスト!A:J, 6,FALSE)</f>
        <v>13.188000000000001</v>
      </c>
      <c r="H5" s="35" t="s">
        <v>39</v>
      </c>
      <c r="I5" s="36">
        <f>VLOOKUP($C$5, 太陽電池モジュールリスト!A:J, 5,FALSE)</f>
        <v>14.375999999999999</v>
      </c>
      <c r="J5" s="35" t="s">
        <v>40</v>
      </c>
      <c r="K5" s="37">
        <f>VLOOKUP($C$5, 太陽電池モジュールリスト!A:J, 9,FALSE)</f>
        <v>4.8000000000000001E-4</v>
      </c>
      <c r="P5" s="12"/>
      <c r="Q5" s="12"/>
      <c r="R5" s="12"/>
    </row>
    <row r="6" spans="2:18">
      <c r="B6" s="38" t="s">
        <v>41</v>
      </c>
      <c r="C6" s="39">
        <f>VLOOKUP($C$5, 太陽電池モジュールリスト!A:J, 2,FALSE)</f>
        <v>456</v>
      </c>
      <c r="D6" s="38" t="s">
        <v>42</v>
      </c>
      <c r="E6" s="40">
        <f>VLOOKUP($C$5, 太陽電池モジュールリスト!A:J, 7,FALSE)</f>
        <v>-3.5000000000000001E-3</v>
      </c>
      <c r="F6" s="38" t="s">
        <v>43</v>
      </c>
      <c r="G6" s="41">
        <f>VLOOKUP($C$5, 太陽電池モジュールリスト!A:J, 4,FALSE)</f>
        <v>34.6</v>
      </c>
      <c r="H6" s="35" t="s">
        <v>44</v>
      </c>
      <c r="I6" s="41">
        <f>VLOOKUP($C$5, 太陽電池モジュールリスト!A:J, 3,FALSE)</f>
        <v>41.7</v>
      </c>
      <c r="J6" s="35" t="s">
        <v>45</v>
      </c>
      <c r="K6" s="40">
        <f>VLOOKUP($C$5, 太陽電池モジュールリスト!A:J, 8,FALSE)</f>
        <v>-2.7000000000000001E-3</v>
      </c>
    </row>
    <row r="7" spans="2:18" ht="16.7" customHeight="1">
      <c r="B7" s="224" t="s">
        <v>46</v>
      </c>
      <c r="C7" s="232"/>
      <c r="D7" s="225"/>
      <c r="E7" s="74">
        <v>20</v>
      </c>
      <c r="F7" s="233" t="s">
        <v>47</v>
      </c>
      <c r="G7" s="234"/>
      <c r="H7" s="75">
        <f>+E7*C6/1000/VLOOKUP($C$9,$B$43:$P$61,2,FALSE)</f>
        <v>1.8424242424242423</v>
      </c>
      <c r="I7" s="46"/>
      <c r="J7" s="48"/>
      <c r="K7" s="49"/>
    </row>
    <row r="8" spans="2:18" ht="15.75" customHeight="1">
      <c r="B8" s="55"/>
      <c r="C8" s="56"/>
      <c r="D8" s="55"/>
      <c r="E8" s="57"/>
      <c r="F8" s="55"/>
      <c r="G8" s="46"/>
      <c r="H8" s="47"/>
      <c r="I8" s="46"/>
      <c r="J8" s="48"/>
      <c r="K8" s="49"/>
    </row>
    <row r="9" spans="2:18">
      <c r="B9" s="31" t="s">
        <v>48</v>
      </c>
      <c r="C9" s="231" t="s">
        <v>49</v>
      </c>
      <c r="D9" s="231"/>
      <c r="E9" s="231"/>
    </row>
    <row r="10" spans="2:18" ht="13.15" customHeight="1"/>
    <row r="11" spans="2:18">
      <c r="B11" s="60" t="s">
        <v>50</v>
      </c>
      <c r="K11" s="49"/>
    </row>
    <row r="12" spans="2:18">
      <c r="B12" s="226" t="s">
        <v>51</v>
      </c>
      <c r="C12" s="226"/>
      <c r="D12" s="226" t="s">
        <v>52</v>
      </c>
      <c r="E12" s="226"/>
      <c r="F12" s="226"/>
      <c r="G12" s="226" t="s">
        <v>53</v>
      </c>
      <c r="H12" s="226"/>
      <c r="I12" s="226"/>
      <c r="J12" s="226" t="s">
        <v>54</v>
      </c>
      <c r="K12" s="226"/>
    </row>
    <row r="13" spans="2:18">
      <c r="B13" s="64" t="s">
        <v>55</v>
      </c>
      <c r="C13" s="76">
        <v>40</v>
      </c>
      <c r="D13" s="224" t="s">
        <v>56</v>
      </c>
      <c r="E13" s="225"/>
      <c r="F13" s="76">
        <v>30</v>
      </c>
      <c r="G13" s="224" t="s">
        <v>57</v>
      </c>
      <c r="H13" s="225"/>
      <c r="I13" s="77">
        <v>0</v>
      </c>
      <c r="J13" s="227" t="s">
        <v>58</v>
      </c>
      <c r="K13" s="227"/>
    </row>
    <row r="14" spans="2:18">
      <c r="B14" s="65" t="s">
        <v>59</v>
      </c>
      <c r="C14" s="76">
        <v>-20</v>
      </c>
      <c r="D14" s="228"/>
      <c r="E14" s="229"/>
      <c r="F14" s="88"/>
      <c r="G14" s="224" t="s">
        <v>60</v>
      </c>
      <c r="H14" s="225"/>
      <c r="I14" s="77">
        <v>0.02</v>
      </c>
      <c r="J14" s="70" t="str">
        <f>IF(J13="非適用","最大短絡電流を超えるパネルの接続は極性の逆接続時の故障リスクが高くなりますのでご注意ください","")</f>
        <v/>
      </c>
    </row>
    <row r="15" spans="2:18">
      <c r="B15" s="12"/>
      <c r="C15" s="12"/>
      <c r="D15" s="12"/>
      <c r="E15" s="12"/>
      <c r="F15" s="12"/>
      <c r="G15" s="12"/>
      <c r="H15" s="12"/>
      <c r="I15" s="12"/>
      <c r="J15" s="12"/>
      <c r="K15" s="12"/>
      <c r="L15" s="12"/>
    </row>
    <row r="16" spans="2:18" ht="12.4" customHeight="1">
      <c r="B16" s="60" t="s">
        <v>61</v>
      </c>
      <c r="C16" s="70" t="s">
        <v>62</v>
      </c>
      <c r="E16" s="12"/>
      <c r="F16" s="12"/>
    </row>
    <row r="17" spans="2:27">
      <c r="B17" s="42" t="s">
        <v>63</v>
      </c>
      <c r="C17" s="58">
        <f>E33</f>
        <v>8</v>
      </c>
      <c r="D17" s="224" t="s">
        <v>64</v>
      </c>
      <c r="E17" s="232"/>
      <c r="F17" s="225"/>
      <c r="G17" s="58">
        <f>+M32</f>
        <v>1</v>
      </c>
    </row>
    <row r="18" spans="2:27">
      <c r="B18" s="42" t="s">
        <v>65</v>
      </c>
      <c r="C18" s="58">
        <f>IFERROR(MIN(C33,G33,U28),C33)</f>
        <v>12</v>
      </c>
      <c r="D18" s="224" t="s">
        <v>66</v>
      </c>
      <c r="E18" s="232"/>
      <c r="F18" s="225"/>
      <c r="G18" s="58">
        <f>+M34</f>
        <v>2</v>
      </c>
      <c r="H18" s="224" t="s">
        <v>67</v>
      </c>
      <c r="I18" s="225"/>
      <c r="J18" s="59">
        <f>MIN(H7,AA28)</f>
        <v>1.8424242424242423</v>
      </c>
    </row>
    <row r="20" spans="2:27">
      <c r="B20" s="230" t="s">
        <v>68</v>
      </c>
      <c r="C20" s="230"/>
      <c r="D20" s="230"/>
      <c r="E20" s="230"/>
      <c r="F20" s="70" t="s">
        <v>69</v>
      </c>
    </row>
    <row r="21" spans="2:27">
      <c r="B21" s="226" t="s">
        <v>70</v>
      </c>
      <c r="C21" s="226"/>
      <c r="D21" s="79">
        <v>4</v>
      </c>
      <c r="E21" s="223" t="s">
        <v>71</v>
      </c>
      <c r="F21" s="223"/>
      <c r="G21" s="80">
        <v>1</v>
      </c>
      <c r="H21" s="42" t="s">
        <v>72</v>
      </c>
      <c r="I21" s="42"/>
      <c r="J21" s="68">
        <f>(D21*G21+D22*+G22)*C6*0.001</f>
        <v>3.6480000000000001</v>
      </c>
      <c r="Q21" s="12"/>
      <c r="R21" s="12"/>
    </row>
    <row r="22" spans="2:27">
      <c r="B22" s="224" t="s">
        <v>73</v>
      </c>
      <c r="C22" s="225"/>
      <c r="D22" s="79">
        <v>4</v>
      </c>
      <c r="E22" s="223" t="s">
        <v>74</v>
      </c>
      <c r="F22" s="223"/>
      <c r="G22" s="80">
        <v>1</v>
      </c>
      <c r="H22" s="223" t="s">
        <v>75</v>
      </c>
      <c r="I22" s="223"/>
      <c r="J22" s="61">
        <f>IF(MIN(MIN(C39,C40)+MIN(D39,D40),MAX(C39,D39))&gt;=4.95,MIN(J21,4.95),MIN(MIN(C39,C40)+MIN(D39,D40),MAX(C39,D39)))</f>
        <v>2.7225000000000001</v>
      </c>
      <c r="K22" s="226" t="s">
        <v>76</v>
      </c>
      <c r="L22" s="226"/>
      <c r="M22" s="42" t="str">
        <f>IF(AND(G39="接続可能",I39="接続可能",K38="接続可能"),G38,"接続不可")</f>
        <v>制限あり</v>
      </c>
    </row>
    <row r="23" spans="2:27">
      <c r="M23" s="70" t="str">
        <f>IF(M22="接続不可",IF(K38="接続可能",IF(I39="接続可能","直列数が多すぎます","直列数が少なすぎます"),K38),"")</f>
        <v/>
      </c>
    </row>
    <row r="27" spans="2:27">
      <c r="B27" s="11" t="s">
        <v>77</v>
      </c>
    </row>
    <row r="28" spans="2:27">
      <c r="B28" s="87" t="s">
        <v>78</v>
      </c>
      <c r="C28" s="43">
        <f>$G$5*(1+($C$14-25+$F$13)*$K$5)</f>
        <v>13.0930464</v>
      </c>
      <c r="D28" s="95" t="s">
        <v>79</v>
      </c>
      <c r="E28" s="53">
        <f>ROUNDUP($I$6*(1+(C14-25)*$K$6),2)</f>
        <v>46.769999999999996</v>
      </c>
      <c r="F28" s="221" t="s">
        <v>80</v>
      </c>
      <c r="G28" s="222"/>
      <c r="H28" s="52">
        <f>ROUNDDOWN($G$6*(1+(C13-25+$F$13)*$K$6)*(VLOOKUP($C$9,$B$43:$P$61,10,FALSE)-I14),2)</f>
        <v>28.87</v>
      </c>
      <c r="I28" s="221" t="s">
        <v>81</v>
      </c>
      <c r="J28" s="222"/>
      <c r="K28" s="39">
        <f>ROUNDUP(((1-1/G31)^0.5*($I$6-$G$6)+$G$6)*(1+($C$14-25+$F$13)*$K$6)*(VLOOKUP($C$9,$B$43:$P$61,10,FALSE)-I13),2)</f>
        <v>40.4</v>
      </c>
      <c r="L28" s="221" t="s">
        <v>82</v>
      </c>
      <c r="M28" s="222"/>
      <c r="N28" s="52">
        <f>ROUNDDOWN(((((1-1/MAX(100%,H7))^0.5*($I$6-$G$6)+$G$6)*(1+(C13-25+$F$13)*$K$6))*(VLOOKUP($C$9,$B$43:$P$61,10,FALSE)-I13)),2)</f>
        <v>33.57</v>
      </c>
      <c r="P28" s="217" t="s">
        <v>83</v>
      </c>
      <c r="Q28" s="218"/>
      <c r="R28" s="31">
        <f>ROUNDDOWN(G32/N29,0)</f>
        <v>13</v>
      </c>
      <c r="S28" s="217" t="s">
        <v>84</v>
      </c>
      <c r="T28" s="218"/>
      <c r="U28" s="31">
        <f>ROUNDDOWN(I32/N28,0)</f>
        <v>15</v>
      </c>
      <c r="V28" s="217" t="s">
        <v>85</v>
      </c>
      <c r="W28" s="218"/>
      <c r="X28" s="31">
        <f>ROUNDUP(K32/N28,0)</f>
        <v>7</v>
      </c>
      <c r="Y28" s="42" t="s">
        <v>67</v>
      </c>
      <c r="Z28" s="42"/>
      <c r="AA28" s="59">
        <f>IF(H7&gt;100%,C18*G18*C6/1000/VLOOKUP($C$9,$B$43:$P$61,2,FALSE),100%)</f>
        <v>2.2109090909090909</v>
      </c>
    </row>
    <row r="29" spans="2:27">
      <c r="B29" s="87" t="s">
        <v>86</v>
      </c>
      <c r="C29" s="43">
        <f>$G$5*(1+($C$13-25+$F$13)*$K$5)</f>
        <v>13.472860800000001</v>
      </c>
      <c r="D29" s="87" t="s">
        <v>87</v>
      </c>
      <c r="E29" s="43">
        <f>$I$5*(1+(C13-25+$F$13)*$K$5)</f>
        <v>14.686521600000001</v>
      </c>
      <c r="F29" s="42"/>
      <c r="G29" s="42"/>
      <c r="H29" s="42"/>
      <c r="I29" s="221" t="s">
        <v>88</v>
      </c>
      <c r="J29" s="222"/>
      <c r="K29" s="52">
        <f>ROUNDDOWN(((((1-1/I31)^0.5*($I$6-$G$6)+$G$6)*(1+(C13-25+$F$13)*$K$6))*(VLOOKUP($C$9,$B$43:$P$61,10,FALSE)-I13)),2)</f>
        <v>34.31</v>
      </c>
      <c r="L29" s="221" t="s">
        <v>89</v>
      </c>
      <c r="M29" s="222"/>
      <c r="N29" s="87">
        <f>ROUNDUP(((1-1/MAX(100%,H7))^0.5*($I$6-$G$6)+$G$6)*(1+($C$14-25+$F$13)*$K$6)*(VLOOKUP($C$9,$B$43:$P$61,10,FALSE)-I13),2)</f>
        <v>39.769999999999996</v>
      </c>
      <c r="P29" s="217" t="s">
        <v>90</v>
      </c>
      <c r="Q29" s="218"/>
      <c r="R29" s="87">
        <f>R28*$N$29</f>
        <v>517.01</v>
      </c>
      <c r="S29" s="217" t="s">
        <v>91</v>
      </c>
      <c r="T29" s="218"/>
      <c r="U29" s="87">
        <f>U28*$N$28</f>
        <v>503.55</v>
      </c>
      <c r="V29" s="217" t="s">
        <v>92</v>
      </c>
      <c r="W29" s="218"/>
      <c r="X29" s="87">
        <f>X28*$N$28</f>
        <v>234.99</v>
      </c>
      <c r="Y29" s="42"/>
      <c r="Z29" s="42"/>
      <c r="AA29" s="42"/>
    </row>
    <row r="30" spans="2:27" ht="13.5" thickBot="1"/>
    <row r="31" spans="2:27" ht="13.5" thickBot="1">
      <c r="B31" s="11" t="s">
        <v>93</v>
      </c>
      <c r="F31" s="13" t="s">
        <v>94</v>
      </c>
      <c r="G31" s="14">
        <f>IF(M32=1,R28*C6*VLOOKUP($C$9,$B$43:$P$61,9,FALSE)/1000/VLOOKUP($C$9,$B$43:$P$61,2,FALSE)/2,R28*C6*VLOOKUP($C$9,$B$43:$P$61,9,FALSE)/1000/VLOOKUP($C$9,$B$43:$P$61,2,FALSE))</f>
        <v>2.395151515151515</v>
      </c>
      <c r="H31" s="15" t="s">
        <v>94</v>
      </c>
      <c r="I31" s="16">
        <f>IF(M32=1,U28*C6*VLOOKUP($C$9, $B$43:$P$61, 9,FALSE)/1000/VLOOKUP($C$9, $B$43:$P$61,2,FALSE)/2,U28*C6*VLOOKUP($C$9, $B$43:$P$61, 9,FALSE)/1000/VLOOKUP($C$9, $B$43:$P$61,2,FALSE))</f>
        <v>2.7636363636363637</v>
      </c>
      <c r="J31" s="15" t="s">
        <v>94</v>
      </c>
      <c r="K31" s="16">
        <f>IF(O32=1,X28*C6*VLOOKUP($C$9, $B$43:$P$61, 9,FALSE)/1000/VLOOKUP($C$9, $B$43:$P$61,2,FALSE)/2,X28*C6*VLOOKUP($C$9, $B$43:$P$61, 9,FALSE)/1000/VLOOKUP($C$9, $B$43:$P$61,2,FALSE))</f>
        <v>1.2896969696969698</v>
      </c>
      <c r="L31" s="13" t="s">
        <v>95</v>
      </c>
      <c r="M31" s="21">
        <f>VLOOKUP($C$9, $B$43:$P$61, 7,FALSE)</f>
        <v>25</v>
      </c>
      <c r="N31" s="30" t="s">
        <v>96</v>
      </c>
      <c r="O31" s="17">
        <v>1</v>
      </c>
      <c r="Z31" s="12"/>
      <c r="AA31" s="12"/>
    </row>
    <row r="32" spans="2:27">
      <c r="B32" s="13" t="s">
        <v>97</v>
      </c>
      <c r="C32" s="17">
        <f>VLOOKUP($C$9, $B$43:$P$61, 3,FALSE)</f>
        <v>600</v>
      </c>
      <c r="D32" s="13" t="s">
        <v>98</v>
      </c>
      <c r="E32" s="21">
        <f>VLOOKUP($C$9, $B$43:$P$61, 4,FALSE)</f>
        <v>220</v>
      </c>
      <c r="F32" s="87" t="s">
        <v>99</v>
      </c>
      <c r="G32" s="87">
        <f>VLOOKUP($C$9, $B$43:$P$61, 5,FALSE)</f>
        <v>530</v>
      </c>
      <c r="H32" s="87" t="s">
        <v>100</v>
      </c>
      <c r="I32" s="22">
        <f>VLOOKUP($C$9, $B$43:$P$61, 6,FALSE)</f>
        <v>530</v>
      </c>
      <c r="J32" s="87" t="s">
        <v>101</v>
      </c>
      <c r="K32" s="22">
        <f>VLOOKUP($C$9, $B$43:$P$61, 4,FALSE)*1</f>
        <v>220</v>
      </c>
      <c r="L32" s="23" t="s">
        <v>102</v>
      </c>
      <c r="M32" s="25">
        <f>IF(J13="非適用",2,IF(ROUNDDOWN(M31/E29,0)&gt;1.9,2,ROUNDDOWN(M31/E29,0)))</f>
        <v>1</v>
      </c>
      <c r="N32" s="87" t="s">
        <v>103</v>
      </c>
      <c r="O32" s="19">
        <f>VLOOKUP($C$9, $B$43:$P$61, 9,FALSE)/2-1</f>
        <v>1</v>
      </c>
      <c r="Q32" s="219" t="s">
        <v>54</v>
      </c>
      <c r="R32" s="220"/>
      <c r="Z32" s="12"/>
      <c r="AA32" s="12"/>
    </row>
    <row r="33" spans="2:27">
      <c r="B33" s="23" t="s">
        <v>104</v>
      </c>
      <c r="C33" s="24">
        <f>ROUNDDOWN(C32/E28,0)</f>
        <v>12</v>
      </c>
      <c r="D33" s="23" t="s">
        <v>105</v>
      </c>
      <c r="E33" s="25">
        <f>ROUNDUP(E32/H28,0)</f>
        <v>8</v>
      </c>
      <c r="F33" s="23" t="s">
        <v>83</v>
      </c>
      <c r="G33" s="25">
        <f>ROUNDDOWN(G32/N29,0)</f>
        <v>13</v>
      </c>
      <c r="H33" s="18" t="s">
        <v>106</v>
      </c>
      <c r="I33" s="25">
        <f>ROUNDDOWN(I32/K29,0)</f>
        <v>15</v>
      </c>
      <c r="J33" s="23" t="s">
        <v>105</v>
      </c>
      <c r="K33" s="25">
        <f>IF(K31&gt;100%,ROUNDUP(K32/K29,0),E33)</f>
        <v>7</v>
      </c>
      <c r="L33" s="23" t="s">
        <v>95</v>
      </c>
      <c r="M33" s="22">
        <f>M32*E29</f>
        <v>14.686521600000001</v>
      </c>
      <c r="N33" s="87" t="s">
        <v>107</v>
      </c>
      <c r="O33" s="19">
        <f>MIN(G34,I34,E34)*((O31*VLOOKUP($C$9,B43:P61,8,FALSE)+O32*C28))*0.001</f>
        <v>6.7193299965440003</v>
      </c>
      <c r="Q33" s="89" t="s">
        <v>58</v>
      </c>
      <c r="Z33" s="12"/>
      <c r="AA33" s="90"/>
    </row>
    <row r="34" spans="2:27" ht="13.5" thickBot="1">
      <c r="B34" s="27" t="s">
        <v>108</v>
      </c>
      <c r="C34" s="26">
        <f>ROUNDUP(C$33*$E$28,2)</f>
        <v>561.24</v>
      </c>
      <c r="D34" s="27" t="s">
        <v>109</v>
      </c>
      <c r="E34" s="28">
        <f>E33*$H$28</f>
        <v>230.96</v>
      </c>
      <c r="F34" s="27" t="s">
        <v>90</v>
      </c>
      <c r="G34" s="26">
        <f>G33*$N$29</f>
        <v>517.01</v>
      </c>
      <c r="H34" s="20" t="s">
        <v>110</v>
      </c>
      <c r="I34" s="28">
        <f>I33*$K$29</f>
        <v>514.65000000000009</v>
      </c>
      <c r="J34" s="27" t="s">
        <v>109</v>
      </c>
      <c r="K34" s="28">
        <f>K33*$K$29</f>
        <v>240.17000000000002</v>
      </c>
      <c r="L34" s="27" t="s">
        <v>111</v>
      </c>
      <c r="M34" s="71">
        <f>IF(M32=2,VLOOKUP($C$9,$B$43:$P$61,9,FALSE),IF(M32=0,"接続不可",VLOOKUP($C$9,$B$43:$P$61,9,FALSE)/2))</f>
        <v>2</v>
      </c>
      <c r="N34" s="32" t="s">
        <v>112</v>
      </c>
      <c r="O34" s="29" t="str">
        <f>IF(VLOOKUP($C$9,B43:P61,2,FALSE)&gt;O33,"制限あり","制限なし")</f>
        <v>制限なし</v>
      </c>
      <c r="Q34" s="42" t="s">
        <v>113</v>
      </c>
      <c r="Z34" s="12"/>
      <c r="AA34" s="12"/>
    </row>
    <row r="35" spans="2:27">
      <c r="Q35" s="12"/>
    </row>
    <row r="36" spans="2:27">
      <c r="B36" s="11" t="s">
        <v>114</v>
      </c>
      <c r="J36" s="42"/>
      <c r="Q36" s="12"/>
    </row>
    <row r="37" spans="2:27">
      <c r="B37" s="87" t="s">
        <v>109</v>
      </c>
      <c r="C37" s="87">
        <f>+H28*D21</f>
        <v>115.48</v>
      </c>
      <c r="D37" s="87">
        <f>+H28*D22</f>
        <v>115.48</v>
      </c>
      <c r="F37" s="42" t="s">
        <v>115</v>
      </c>
      <c r="G37" s="42"/>
      <c r="J37" s="42"/>
      <c r="Q37" s="12"/>
    </row>
    <row r="38" spans="2:27">
      <c r="B38" s="42" t="s">
        <v>116</v>
      </c>
      <c r="C38" s="94">
        <f>ROUNDDOWN((C37-80)/2.33+40,0)/100</f>
        <v>0.55000000000000004</v>
      </c>
      <c r="D38" s="94">
        <f>ROUNDDOWN((D37-80)/2.33+40,0)/100</f>
        <v>0.55000000000000004</v>
      </c>
      <c r="F38" s="42" t="s">
        <v>117</v>
      </c>
      <c r="G38" s="42" t="str">
        <f>IF(AND(J22&lt;J21,4.95&gt;J22),"制限あり","制限なし")</f>
        <v>制限あり</v>
      </c>
      <c r="H38" s="42" t="s">
        <v>118</v>
      </c>
      <c r="I38" s="42">
        <f>IF(OR(C37=0,D37=0),MAX(C37,D37),MIN(C37,D37))</f>
        <v>115.48</v>
      </c>
      <c r="J38" s="42" t="s">
        <v>119</v>
      </c>
      <c r="K38" s="11" t="str">
        <f>IF(AND(J13="適用",MAX(G21,G22)*E29&gt;M31),"最大短絡電流を超えています","接続可能")</f>
        <v>接続可能</v>
      </c>
      <c r="Q38" s="12"/>
    </row>
    <row r="39" spans="2:27">
      <c r="B39" s="42" t="s">
        <v>120</v>
      </c>
      <c r="C39" s="42">
        <f>MIN(C38*4.95)</f>
        <v>2.7225000000000001</v>
      </c>
      <c r="D39" s="42">
        <f>MIN(D38*4.95)</f>
        <v>2.7225000000000001</v>
      </c>
      <c r="F39" s="42" t="s">
        <v>121</v>
      </c>
      <c r="G39" s="42" t="str">
        <f>IF(MAX(D21,D22)&gt;MIN(C33,R28),"接続不可","接続可能")</f>
        <v>接続可能</v>
      </c>
      <c r="H39" s="11" t="s">
        <v>122</v>
      </c>
      <c r="I39" s="11" t="str">
        <f>IF(I38&gt;100,"接続可能","接続不可")</f>
        <v>接続可能</v>
      </c>
      <c r="J39" s="42"/>
      <c r="Q39" s="12"/>
    </row>
    <row r="40" spans="2:27">
      <c r="B40" s="42" t="s">
        <v>123</v>
      </c>
      <c r="C40" s="42">
        <f>MIN(D21*G21*C6*0.001)</f>
        <v>1.8240000000000001</v>
      </c>
      <c r="D40" s="42">
        <f>MIN(D22*G22*C6*0.001)</f>
        <v>1.8240000000000001</v>
      </c>
      <c r="J40" s="42"/>
      <c r="Q40" s="12"/>
    </row>
    <row r="41" spans="2:27" ht="13.5" thickBot="1">
      <c r="Q41" s="12"/>
    </row>
    <row r="42" spans="2:27">
      <c r="B42" s="33" t="s">
        <v>124</v>
      </c>
      <c r="C42" s="30" t="s">
        <v>125</v>
      </c>
      <c r="D42" s="30" t="s">
        <v>97</v>
      </c>
      <c r="E42" s="30" t="s">
        <v>126</v>
      </c>
      <c r="F42" s="34" t="s">
        <v>127</v>
      </c>
      <c r="G42" s="30" t="s">
        <v>128</v>
      </c>
      <c r="H42" s="30" t="s">
        <v>129</v>
      </c>
      <c r="I42" s="30" t="s">
        <v>130</v>
      </c>
      <c r="J42" s="30" t="s">
        <v>131</v>
      </c>
      <c r="K42" s="30" t="s">
        <v>132</v>
      </c>
      <c r="L42" s="30"/>
      <c r="M42" s="30" t="s">
        <v>133</v>
      </c>
      <c r="N42" s="34" t="s">
        <v>134</v>
      </c>
      <c r="O42" s="34" t="s">
        <v>135</v>
      </c>
      <c r="P42" s="17" t="s">
        <v>136</v>
      </c>
      <c r="Q42" s="12"/>
    </row>
    <row r="43" spans="2:27">
      <c r="B43" s="23" t="s">
        <v>137</v>
      </c>
      <c r="C43" s="87">
        <v>125</v>
      </c>
      <c r="D43" s="87">
        <v>1500</v>
      </c>
      <c r="E43" s="87">
        <v>800</v>
      </c>
      <c r="F43" s="87">
        <v>1200</v>
      </c>
      <c r="G43" s="87">
        <v>1100</v>
      </c>
      <c r="H43" s="87">
        <v>50</v>
      </c>
      <c r="I43" s="87">
        <v>30</v>
      </c>
      <c r="J43" s="87">
        <v>18</v>
      </c>
      <c r="K43" s="50">
        <v>0.98099999999999998</v>
      </c>
      <c r="L43" s="87"/>
      <c r="M43" s="87"/>
      <c r="N43" s="81"/>
      <c r="O43" s="87"/>
      <c r="P43" s="19"/>
      <c r="Q43" s="12"/>
      <c r="Y43" s="91"/>
      <c r="Z43" s="12"/>
    </row>
    <row r="44" spans="2:27">
      <c r="B44" s="23" t="s">
        <v>138</v>
      </c>
      <c r="C44" s="87">
        <v>125</v>
      </c>
      <c r="D44" s="87">
        <v>1500</v>
      </c>
      <c r="E44" s="87">
        <v>800</v>
      </c>
      <c r="F44" s="87">
        <v>1200</v>
      </c>
      <c r="G44" s="87">
        <v>950</v>
      </c>
      <c r="H44" s="87">
        <v>50</v>
      </c>
      <c r="I44" s="87">
        <v>30</v>
      </c>
      <c r="J44" s="87">
        <v>18</v>
      </c>
      <c r="K44" s="50">
        <v>0.98099999999999998</v>
      </c>
      <c r="L44" s="87"/>
      <c r="M44" s="87"/>
      <c r="N44" s="81"/>
      <c r="O44" s="87"/>
      <c r="P44" s="19"/>
      <c r="Y44" s="91"/>
      <c r="Z44" s="92"/>
    </row>
    <row r="45" spans="2:27">
      <c r="B45" s="23" t="s">
        <v>139</v>
      </c>
      <c r="C45" s="87">
        <v>111</v>
      </c>
      <c r="D45" s="87">
        <v>1020</v>
      </c>
      <c r="E45" s="87">
        <v>550</v>
      </c>
      <c r="F45" s="87">
        <v>800</v>
      </c>
      <c r="G45" s="87">
        <v>670</v>
      </c>
      <c r="H45" s="87">
        <v>40</v>
      </c>
      <c r="I45" s="87">
        <v>26</v>
      </c>
      <c r="J45" s="87">
        <v>20</v>
      </c>
      <c r="K45" s="50">
        <v>0.98099999999999998</v>
      </c>
      <c r="L45" s="87"/>
      <c r="M45" s="87">
        <v>200</v>
      </c>
      <c r="N45" s="81">
        <v>0.34</v>
      </c>
      <c r="O45" s="87">
        <v>550</v>
      </c>
      <c r="P45" s="19"/>
      <c r="Y45" s="91"/>
      <c r="Z45" s="92"/>
    </row>
    <row r="46" spans="2:27">
      <c r="B46" s="23" t="s">
        <v>140</v>
      </c>
      <c r="C46" s="87">
        <v>111</v>
      </c>
      <c r="D46" s="87">
        <v>1020</v>
      </c>
      <c r="E46" s="87">
        <v>550</v>
      </c>
      <c r="F46" s="87">
        <v>800</v>
      </c>
      <c r="G46" s="87">
        <v>670</v>
      </c>
      <c r="H46" s="87">
        <v>40</v>
      </c>
      <c r="I46" s="87">
        <v>26</v>
      </c>
      <c r="J46" s="87">
        <v>20</v>
      </c>
      <c r="K46" s="50">
        <v>0.98099999999999998</v>
      </c>
      <c r="L46" s="87"/>
      <c r="M46" s="87">
        <v>200</v>
      </c>
      <c r="N46" s="81">
        <v>0.34</v>
      </c>
      <c r="O46" s="87">
        <v>550</v>
      </c>
      <c r="P46" s="19"/>
    </row>
    <row r="47" spans="2:27">
      <c r="B47" s="23" t="s">
        <v>141</v>
      </c>
      <c r="C47" s="87">
        <v>62.5</v>
      </c>
      <c r="D47" s="87">
        <v>1020</v>
      </c>
      <c r="E47" s="87">
        <v>550</v>
      </c>
      <c r="F47" s="87">
        <v>850</v>
      </c>
      <c r="G47" s="87">
        <v>800</v>
      </c>
      <c r="H47" s="87">
        <v>30</v>
      </c>
      <c r="I47" s="87">
        <v>22</v>
      </c>
      <c r="J47" s="87">
        <v>12</v>
      </c>
      <c r="K47" s="50">
        <v>0.98599999999999999</v>
      </c>
      <c r="L47" s="87"/>
      <c r="M47" s="87"/>
      <c r="N47" s="81"/>
      <c r="O47" s="87"/>
      <c r="P47" s="19"/>
    </row>
    <row r="48" spans="2:27">
      <c r="B48" s="23" t="s">
        <v>142</v>
      </c>
      <c r="C48" s="87">
        <v>62.5</v>
      </c>
      <c r="D48" s="87">
        <v>1500</v>
      </c>
      <c r="E48" s="87">
        <v>800</v>
      </c>
      <c r="F48" s="87">
        <v>1200</v>
      </c>
      <c r="G48" s="87">
        <v>1100</v>
      </c>
      <c r="H48" s="87">
        <v>33</v>
      </c>
      <c r="I48" s="87">
        <v>22</v>
      </c>
      <c r="J48" s="87">
        <v>12</v>
      </c>
      <c r="K48" s="50">
        <v>0.98499999999999999</v>
      </c>
      <c r="L48" s="87"/>
      <c r="M48" s="87"/>
      <c r="N48" s="81"/>
      <c r="O48" s="87"/>
      <c r="P48" s="19"/>
    </row>
    <row r="49" spans="2:23">
      <c r="B49" s="23" t="s">
        <v>143</v>
      </c>
      <c r="C49" s="87">
        <v>50</v>
      </c>
      <c r="D49" s="87">
        <v>1020</v>
      </c>
      <c r="E49" s="87">
        <v>550</v>
      </c>
      <c r="F49" s="87">
        <v>890</v>
      </c>
      <c r="G49" s="87">
        <v>800</v>
      </c>
      <c r="H49" s="87">
        <v>30</v>
      </c>
      <c r="I49" s="87">
        <v>22</v>
      </c>
      <c r="J49" s="87">
        <v>12</v>
      </c>
      <c r="K49" s="50">
        <v>0.98599999999999999</v>
      </c>
      <c r="L49" s="87"/>
      <c r="M49" s="87"/>
      <c r="N49" s="81"/>
      <c r="O49" s="87"/>
      <c r="P49" s="19"/>
      <c r="R49" s="12"/>
      <c r="S49" s="12"/>
    </row>
    <row r="50" spans="2:23">
      <c r="B50" s="23" t="s">
        <v>144</v>
      </c>
      <c r="C50" s="87">
        <v>40</v>
      </c>
      <c r="D50" s="87">
        <v>1020</v>
      </c>
      <c r="E50" s="87">
        <v>550</v>
      </c>
      <c r="F50" s="87">
        <v>850</v>
      </c>
      <c r="G50" s="87">
        <v>634</v>
      </c>
      <c r="H50" s="87">
        <v>40</v>
      </c>
      <c r="I50" s="87">
        <v>26</v>
      </c>
      <c r="J50" s="87">
        <v>8</v>
      </c>
      <c r="K50" s="50">
        <v>0.98399999999999999</v>
      </c>
      <c r="L50" s="87"/>
      <c r="M50" s="87"/>
      <c r="N50" s="81"/>
      <c r="O50" s="87"/>
      <c r="P50" s="19"/>
      <c r="U50" s="12"/>
    </row>
    <row r="51" spans="2:23">
      <c r="B51" s="23" t="s">
        <v>145</v>
      </c>
      <c r="C51" s="87">
        <v>40</v>
      </c>
      <c r="D51" s="87">
        <v>1020</v>
      </c>
      <c r="E51" s="87">
        <v>590</v>
      </c>
      <c r="F51" s="87">
        <v>850</v>
      </c>
      <c r="G51" s="87">
        <v>660</v>
      </c>
      <c r="H51" s="87">
        <v>40</v>
      </c>
      <c r="I51" s="87">
        <v>26</v>
      </c>
      <c r="J51" s="87">
        <v>8</v>
      </c>
      <c r="K51" s="50">
        <v>0.98399999999999999</v>
      </c>
      <c r="L51" s="87"/>
      <c r="M51" s="87"/>
      <c r="N51" s="81"/>
      <c r="O51" s="87"/>
      <c r="P51" s="19"/>
      <c r="T51" s="12"/>
      <c r="U51" s="12"/>
    </row>
    <row r="52" spans="2:23">
      <c r="B52" s="23" t="s">
        <v>146</v>
      </c>
      <c r="C52" s="87">
        <v>33</v>
      </c>
      <c r="D52" s="87">
        <v>1020</v>
      </c>
      <c r="E52" s="87">
        <v>480</v>
      </c>
      <c r="F52" s="87">
        <v>850</v>
      </c>
      <c r="G52" s="87">
        <v>660</v>
      </c>
      <c r="H52" s="87">
        <v>40</v>
      </c>
      <c r="I52" s="87">
        <v>26</v>
      </c>
      <c r="J52" s="87">
        <v>8</v>
      </c>
      <c r="K52" s="50">
        <v>0.98499999999999999</v>
      </c>
      <c r="L52" s="87"/>
      <c r="M52" s="87"/>
      <c r="N52" s="81"/>
      <c r="O52" s="87"/>
      <c r="P52" s="19"/>
      <c r="R52" s="91"/>
      <c r="S52" s="92"/>
      <c r="V52" s="91"/>
      <c r="W52" s="92"/>
    </row>
    <row r="53" spans="2:23">
      <c r="B53" s="23" t="s">
        <v>147</v>
      </c>
      <c r="C53" s="87">
        <v>33</v>
      </c>
      <c r="D53" s="87">
        <v>1020</v>
      </c>
      <c r="E53" s="87">
        <v>500</v>
      </c>
      <c r="F53" s="87">
        <v>850</v>
      </c>
      <c r="G53" s="87">
        <v>660</v>
      </c>
      <c r="H53" s="87">
        <v>40</v>
      </c>
      <c r="I53" s="87">
        <v>26</v>
      </c>
      <c r="J53" s="87">
        <v>8</v>
      </c>
      <c r="K53" s="50">
        <v>0.98499999999999999</v>
      </c>
      <c r="L53" s="87"/>
      <c r="M53" s="87"/>
      <c r="N53" s="81"/>
      <c r="O53" s="87"/>
      <c r="P53" s="19"/>
      <c r="R53" s="91"/>
      <c r="S53" s="12"/>
      <c r="V53" s="12"/>
      <c r="W53" s="93"/>
    </row>
    <row r="54" spans="2:23">
      <c r="B54" s="23" t="s">
        <v>148</v>
      </c>
      <c r="C54" s="87">
        <v>20</v>
      </c>
      <c r="D54" s="87">
        <v>750</v>
      </c>
      <c r="E54" s="87">
        <v>300</v>
      </c>
      <c r="F54" s="87">
        <v>550</v>
      </c>
      <c r="G54" s="87">
        <v>420</v>
      </c>
      <c r="H54" s="87">
        <v>40</v>
      </c>
      <c r="I54" s="87">
        <v>26</v>
      </c>
      <c r="J54" s="87">
        <v>8</v>
      </c>
      <c r="K54" s="50">
        <v>0.97099999999999997</v>
      </c>
      <c r="L54" s="87"/>
      <c r="M54" s="87"/>
      <c r="N54" s="81"/>
      <c r="O54" s="87"/>
      <c r="P54" s="19"/>
      <c r="R54" s="12"/>
      <c r="S54" s="93"/>
      <c r="T54" s="12"/>
      <c r="U54" s="93"/>
      <c r="V54" s="12"/>
      <c r="W54" s="93"/>
    </row>
    <row r="55" spans="2:23">
      <c r="B55" s="23" t="s">
        <v>49</v>
      </c>
      <c r="C55" s="87">
        <v>4.95</v>
      </c>
      <c r="D55" s="87">
        <v>600</v>
      </c>
      <c r="E55" s="87">
        <v>220</v>
      </c>
      <c r="F55" s="87">
        <v>530</v>
      </c>
      <c r="G55" s="87">
        <v>530</v>
      </c>
      <c r="H55" s="87">
        <v>25</v>
      </c>
      <c r="I55" s="87">
        <v>16</v>
      </c>
      <c r="J55" s="87">
        <v>4</v>
      </c>
      <c r="K55" s="50">
        <v>0.97</v>
      </c>
      <c r="L55" s="87"/>
      <c r="M55" s="87"/>
      <c r="N55" s="81"/>
      <c r="O55" s="87"/>
      <c r="P55" s="19"/>
      <c r="R55" s="12"/>
      <c r="S55" s="12"/>
      <c r="T55" s="12"/>
      <c r="U55" s="12"/>
      <c r="V55" s="12"/>
      <c r="W55" s="12"/>
    </row>
    <row r="56" spans="2:23">
      <c r="B56" s="23" t="s">
        <v>149</v>
      </c>
      <c r="C56" s="87">
        <v>4.95</v>
      </c>
      <c r="D56" s="87">
        <v>600</v>
      </c>
      <c r="E56" s="87">
        <v>220</v>
      </c>
      <c r="F56" s="87">
        <v>530</v>
      </c>
      <c r="G56" s="87">
        <v>530</v>
      </c>
      <c r="H56" s="87">
        <v>30</v>
      </c>
      <c r="I56" s="87">
        <v>16</v>
      </c>
      <c r="J56" s="87">
        <v>4</v>
      </c>
      <c r="K56" s="50">
        <v>0.97</v>
      </c>
      <c r="L56" s="87"/>
      <c r="M56" s="87"/>
      <c r="N56" s="81"/>
      <c r="O56" s="87"/>
      <c r="P56" s="19"/>
    </row>
    <row r="57" spans="2:23">
      <c r="B57" s="23"/>
      <c r="C57" s="87"/>
      <c r="D57" s="87"/>
      <c r="E57" s="87"/>
      <c r="F57" s="87"/>
      <c r="G57" s="87"/>
      <c r="H57" s="87"/>
      <c r="I57" s="87"/>
      <c r="J57" s="87"/>
      <c r="K57" s="50"/>
      <c r="L57" s="87"/>
      <c r="M57" s="87"/>
      <c r="N57" s="81"/>
      <c r="O57" s="87"/>
      <c r="P57" s="19"/>
    </row>
    <row r="58" spans="2:23">
      <c r="B58" s="23" t="s">
        <v>150</v>
      </c>
      <c r="C58" s="87">
        <v>4.95</v>
      </c>
      <c r="D58" s="87">
        <v>600</v>
      </c>
      <c r="E58" s="87">
        <v>310</v>
      </c>
      <c r="F58" s="87">
        <v>530</v>
      </c>
      <c r="G58" s="87">
        <v>530</v>
      </c>
      <c r="H58" s="87">
        <v>30</v>
      </c>
      <c r="I58" s="87">
        <v>16</v>
      </c>
      <c r="J58" s="87">
        <v>4</v>
      </c>
      <c r="K58" s="50">
        <v>0.97</v>
      </c>
      <c r="L58" s="87"/>
      <c r="M58" s="87"/>
      <c r="N58" s="81"/>
      <c r="O58" s="87"/>
      <c r="P58" s="19"/>
    </row>
    <row r="59" spans="2:23">
      <c r="B59" s="23" t="s">
        <v>151</v>
      </c>
      <c r="C59" s="87">
        <v>111</v>
      </c>
      <c r="D59" s="87">
        <v>1020</v>
      </c>
      <c r="E59" s="87">
        <v>550</v>
      </c>
      <c r="F59" s="87">
        <v>800</v>
      </c>
      <c r="G59" s="87">
        <v>720</v>
      </c>
      <c r="H59" s="87">
        <v>40</v>
      </c>
      <c r="I59" s="87">
        <v>26</v>
      </c>
      <c r="J59" s="87">
        <v>20</v>
      </c>
      <c r="K59" s="50">
        <v>0.98099999999999998</v>
      </c>
      <c r="L59" s="87"/>
      <c r="M59" s="87"/>
      <c r="N59" s="81"/>
      <c r="O59" s="87"/>
      <c r="P59" s="19"/>
    </row>
    <row r="60" spans="2:23">
      <c r="B60" s="23" t="s">
        <v>152</v>
      </c>
      <c r="C60" s="87">
        <v>111</v>
      </c>
      <c r="D60" s="87">
        <v>1020</v>
      </c>
      <c r="E60" s="87">
        <v>550</v>
      </c>
      <c r="F60" s="87">
        <v>800</v>
      </c>
      <c r="G60" s="87">
        <v>720</v>
      </c>
      <c r="H60" s="87">
        <v>40</v>
      </c>
      <c r="I60" s="87">
        <v>26</v>
      </c>
      <c r="J60" s="87">
        <v>20</v>
      </c>
      <c r="K60" s="50">
        <v>0.98099999999999998</v>
      </c>
      <c r="L60" s="87"/>
      <c r="M60" s="87"/>
      <c r="N60" s="81"/>
      <c r="O60" s="87"/>
      <c r="P60" s="19"/>
    </row>
    <row r="61" spans="2:23" ht="13.5" thickBot="1">
      <c r="B61" s="27" t="s">
        <v>153</v>
      </c>
      <c r="C61" s="32">
        <v>20</v>
      </c>
      <c r="D61" s="32">
        <v>750</v>
      </c>
      <c r="E61" s="32">
        <v>340</v>
      </c>
      <c r="F61" s="32">
        <v>500</v>
      </c>
      <c r="G61" s="32">
        <v>420</v>
      </c>
      <c r="H61" s="32">
        <v>40</v>
      </c>
      <c r="I61" s="32">
        <v>26</v>
      </c>
      <c r="J61" s="32">
        <v>8</v>
      </c>
      <c r="K61" s="51">
        <v>0.97099999999999997</v>
      </c>
      <c r="L61" s="32"/>
      <c r="M61" s="32"/>
      <c r="N61" s="82"/>
      <c r="O61" s="32"/>
      <c r="P61" s="26"/>
    </row>
  </sheetData>
  <sheetProtection selectLockedCells="1"/>
  <mergeCells count="36">
    <mergeCell ref="B12:C12"/>
    <mergeCell ref="D12:F12"/>
    <mergeCell ref="G12:I12"/>
    <mergeCell ref="B20:E20"/>
    <mergeCell ref="B4:C4"/>
    <mergeCell ref="C5:E5"/>
    <mergeCell ref="B7:D7"/>
    <mergeCell ref="F7:G7"/>
    <mergeCell ref="C9:E9"/>
    <mergeCell ref="H18:I18"/>
    <mergeCell ref="D18:F18"/>
    <mergeCell ref="D17:F17"/>
    <mergeCell ref="J12:K12"/>
    <mergeCell ref="D13:E13"/>
    <mergeCell ref="G13:H13"/>
    <mergeCell ref="J13:K13"/>
    <mergeCell ref="D14:E14"/>
    <mergeCell ref="G14:H14"/>
    <mergeCell ref="H22:I22"/>
    <mergeCell ref="B22:C22"/>
    <mergeCell ref="E22:F22"/>
    <mergeCell ref="K22:L22"/>
    <mergeCell ref="B21:C21"/>
    <mergeCell ref="E21:F21"/>
    <mergeCell ref="V28:W28"/>
    <mergeCell ref="V29:W29"/>
    <mergeCell ref="Q32:R32"/>
    <mergeCell ref="S29:T29"/>
    <mergeCell ref="F28:G28"/>
    <mergeCell ref="I28:J28"/>
    <mergeCell ref="I29:J29"/>
    <mergeCell ref="L28:M28"/>
    <mergeCell ref="L29:M29"/>
    <mergeCell ref="P28:Q28"/>
    <mergeCell ref="P29:Q29"/>
    <mergeCell ref="S28:T28"/>
  </mergeCells>
  <phoneticPr fontId="21"/>
  <conditionalFormatting sqref="D21">
    <cfRule type="containsText" dxfId="1014" priority="23" operator="containsText" text="接続可能">
      <formula>NOT(ISERROR(SEARCH("接続可能",D21)))</formula>
    </cfRule>
  </conditionalFormatting>
  <conditionalFormatting sqref="D22">
    <cfRule type="containsText" dxfId="1013" priority="19" operator="containsText" text="接続可能">
      <formula>NOT(ISERROR(SEARCH("接続可能",D22)))</formula>
    </cfRule>
  </conditionalFormatting>
  <conditionalFormatting sqref="M22">
    <cfRule type="containsText" dxfId="1012" priority="20" operator="containsText" text="影響なし">
      <formula>NOT(ISERROR(SEARCH("影響なし",M22)))</formula>
    </cfRule>
    <cfRule type="containsText" dxfId="1011" priority="22" operator="containsText" text="影響あり">
      <formula>NOT(ISERROR(SEARCH("影響あり",M22)))</formula>
    </cfRule>
  </conditionalFormatting>
  <conditionalFormatting sqref="M22">
    <cfRule type="containsText" dxfId="1010" priority="21" operator="containsText" text="接続不可">
      <formula>NOT(ISERROR(SEARCH("接続不可",M22)))</formula>
    </cfRule>
  </conditionalFormatting>
  <conditionalFormatting sqref="M22">
    <cfRule type="containsText" dxfId="1009" priority="7" operator="containsText" text="制限なし">
      <formula>NOT(ISERROR(SEARCH("制限なし",M22)))</formula>
    </cfRule>
    <cfRule type="containsText" dxfId="1008" priority="8" operator="containsText" text="制限あり">
      <formula>NOT(ISERROR(SEARCH("制限あり",M22)))</formula>
    </cfRule>
  </conditionalFormatting>
  <dataValidations count="2">
    <dataValidation type="list" allowBlank="1" showInputMessage="1" showErrorMessage="1" sqref="J13:K13" xr:uid="{00000000-0002-0000-0400-000000000000}">
      <formula1>$Q$33:$Q$34</formula1>
    </dataValidation>
    <dataValidation type="list" allowBlank="1" showInputMessage="1" sqref="C9:E9" xr:uid="{00000000-0002-0000-0400-000001000000}">
      <formula1>$B$55:$B$58</formula1>
    </dataValidation>
  </dataValidations>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'D:\資料\ツール\接続枚数\[【編集】モジュールの選択方法V24.xlsx]Database1'!#REF!</xm:f>
          </x14:formula1>
          <xm:sqref>S49</xm:sqref>
        </x14:dataValidation>
        <x14:dataValidation type="list" allowBlank="1" showInputMessage="1" xr:uid="{00000000-0002-0000-0400-000003000000}">
          <x14:formula1>
            <xm:f>太陽電池モジュールリスト!$A:$A</xm:f>
          </x14:formula1>
          <xm:sqref>C5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9" tint="0.39997558519241921"/>
  </sheetPr>
  <dimension ref="A1:K1655"/>
  <sheetViews>
    <sheetView zoomScale="85" zoomScaleNormal="85" workbookViewId="0">
      <pane ySplit="4" topLeftCell="A5" activePane="bottomLeft" state="frozen"/>
      <selection pane="bottomLeft" activeCell="A15" sqref="A15"/>
    </sheetView>
  </sheetViews>
  <sheetFormatPr defaultColWidth="8.875" defaultRowHeight="12.95"/>
  <cols>
    <col min="1" max="1" width="34.625" style="1" bestFit="1" customWidth="1"/>
    <col min="2" max="2" width="11.625" style="1" customWidth="1"/>
    <col min="3" max="3" width="11.625" style="2" customWidth="1"/>
    <col min="4" max="4" width="11.625" style="3" customWidth="1"/>
    <col min="5" max="5" width="11.625" style="4" customWidth="1"/>
    <col min="6" max="6" width="11.625" style="1" customWidth="1"/>
    <col min="7" max="10" width="11.625" style="9" customWidth="1"/>
    <col min="11" max="16384" width="8.875" style="5"/>
  </cols>
  <sheetData>
    <row r="1" spans="1:11">
      <c r="A1" s="1" t="s">
        <v>154</v>
      </c>
      <c r="B1" s="1" t="s">
        <v>155</v>
      </c>
      <c r="C1" s="2" t="s">
        <v>156</v>
      </c>
      <c r="D1" s="3" t="s">
        <v>157</v>
      </c>
      <c r="E1" s="4" t="s">
        <v>158</v>
      </c>
      <c r="F1" s="1" t="s">
        <v>159</v>
      </c>
      <c r="G1" s="9" t="s">
        <v>160</v>
      </c>
      <c r="H1" s="9" t="s">
        <v>161</v>
      </c>
      <c r="I1" s="9" t="s">
        <v>162</v>
      </c>
      <c r="J1" s="9" t="s">
        <v>163</v>
      </c>
      <c r="K1" s="5" t="s">
        <v>164</v>
      </c>
    </row>
    <row r="2" spans="1:11" ht="31.35" customHeight="1">
      <c r="A2" s="1" t="s">
        <v>165</v>
      </c>
      <c r="B2" s="1">
        <v>400</v>
      </c>
      <c r="C2" s="2">
        <v>45</v>
      </c>
      <c r="D2" s="3">
        <v>40</v>
      </c>
      <c r="E2" s="4">
        <v>12</v>
      </c>
      <c r="F2" s="1">
        <v>10</v>
      </c>
      <c r="G2" s="9">
        <v>-3.5000000000000001E-3</v>
      </c>
      <c r="H2" s="9">
        <v>-2.5000000000000001E-3</v>
      </c>
      <c r="I2" s="9">
        <v>4.0000000000000002E-4</v>
      </c>
    </row>
    <row r="3" spans="1:11" ht="31.35" customHeight="1">
      <c r="A3" s="1" t="s">
        <v>166</v>
      </c>
      <c r="B3" s="1">
        <f>B2*K3</f>
        <v>800</v>
      </c>
      <c r="C3" s="2">
        <f>C2</f>
        <v>45</v>
      </c>
      <c r="D3" s="3">
        <f>D2</f>
        <v>40</v>
      </c>
      <c r="E3" s="4">
        <f>E2*K3</f>
        <v>24</v>
      </c>
      <c r="F3" s="1">
        <f>F2*K3</f>
        <v>20</v>
      </c>
      <c r="G3" s="9">
        <f t="shared" ref="G3:I4" si="0">G2</f>
        <v>-3.5000000000000001E-3</v>
      </c>
      <c r="H3" s="9">
        <f t="shared" si="0"/>
        <v>-2.5000000000000001E-3</v>
      </c>
      <c r="I3" s="9">
        <f t="shared" si="0"/>
        <v>4.0000000000000002E-4</v>
      </c>
      <c r="K3" s="5">
        <v>2</v>
      </c>
    </row>
    <row r="4" spans="1:11" ht="31.35" customHeight="1">
      <c r="A4" s="1" t="s">
        <v>167</v>
      </c>
      <c r="B4" s="1">
        <f>B3*(1+J4)</f>
        <v>1000</v>
      </c>
      <c r="C4" s="2">
        <f>C3</f>
        <v>45</v>
      </c>
      <c r="D4" s="3">
        <f>D3</f>
        <v>40</v>
      </c>
      <c r="E4" s="4">
        <f>E3*(1+J4)</f>
        <v>30</v>
      </c>
      <c r="F4" s="1">
        <f>F3*(1+J4)</f>
        <v>25</v>
      </c>
      <c r="G4" s="9">
        <f t="shared" si="0"/>
        <v>-3.5000000000000001E-3</v>
      </c>
      <c r="H4" s="9">
        <f t="shared" si="0"/>
        <v>-2.5000000000000001E-3</v>
      </c>
      <c r="I4" s="9">
        <f t="shared" si="0"/>
        <v>4.0000000000000002E-4</v>
      </c>
      <c r="J4" s="9">
        <v>0.25</v>
      </c>
    </row>
    <row r="5" spans="1:11">
      <c r="A5" s="1" t="s">
        <v>168</v>
      </c>
      <c r="B5" s="1">
        <v>304</v>
      </c>
      <c r="C5" s="2">
        <v>40.4</v>
      </c>
      <c r="D5" s="3">
        <v>33.1</v>
      </c>
      <c r="E5" s="4">
        <v>9.75</v>
      </c>
      <c r="F5" s="1">
        <v>9.1999999999999993</v>
      </c>
      <c r="G5" s="9">
        <v>-4.0000000000000001E-3</v>
      </c>
      <c r="H5" s="9">
        <v>-3.0000000000000001E-3</v>
      </c>
      <c r="I5" s="9">
        <v>5.0000000000000001E-4</v>
      </c>
    </row>
    <row r="6" spans="1:11">
      <c r="A6" s="1" t="s">
        <v>169</v>
      </c>
      <c r="B6" s="1">
        <v>260</v>
      </c>
      <c r="C6" s="2">
        <v>38.1</v>
      </c>
      <c r="D6" s="3">
        <v>31.1</v>
      </c>
      <c r="E6" s="4">
        <v>9.0500000000000007</v>
      </c>
      <c r="F6" s="1">
        <v>8.3800000000000008</v>
      </c>
      <c r="G6" s="10">
        <v>-4.3600000000000002E-3</v>
      </c>
      <c r="H6" s="10">
        <v>-3.3E-3</v>
      </c>
      <c r="I6" s="9">
        <v>5.9999999999999995E-4</v>
      </c>
    </row>
    <row r="7" spans="1:11">
      <c r="A7" s="1" t="s">
        <v>170</v>
      </c>
      <c r="B7" s="1">
        <v>305</v>
      </c>
      <c r="C7" s="2">
        <v>39.700000000000003</v>
      </c>
      <c r="D7" s="3">
        <v>32.700000000000003</v>
      </c>
      <c r="E7" s="4">
        <v>9.82</v>
      </c>
      <c r="G7" s="9">
        <f>-1.12/305</f>
        <v>-3.6721311475409841E-3</v>
      </c>
      <c r="H7" s="9">
        <f>-0.141/39.7</f>
        <v>-3.5516372795969769E-3</v>
      </c>
    </row>
    <row r="8" spans="1:11">
      <c r="A8" s="1" t="s">
        <v>171</v>
      </c>
      <c r="B8" s="1">
        <v>475</v>
      </c>
      <c r="C8" s="2">
        <v>36.89</v>
      </c>
      <c r="D8" s="3">
        <v>31.4</v>
      </c>
      <c r="E8" s="4">
        <v>16.059999999999999</v>
      </c>
      <c r="F8" s="1">
        <v>15.13</v>
      </c>
      <c r="G8" s="9">
        <v>-2.8999999999999998E-3</v>
      </c>
      <c r="H8" s="9">
        <v>-2.5000000000000001E-3</v>
      </c>
      <c r="I8" s="9">
        <v>4.4999999999999999E-4</v>
      </c>
    </row>
    <row r="9" spans="1:11">
      <c r="A9" s="1" t="s">
        <v>172</v>
      </c>
      <c r="B9" s="1">
        <v>525</v>
      </c>
      <c r="C9" s="2">
        <v>41.46</v>
      </c>
      <c r="D9" s="3">
        <v>35.049999999999997</v>
      </c>
      <c r="E9" s="4">
        <v>15.78</v>
      </c>
      <c r="F9" s="1">
        <v>14.98</v>
      </c>
      <c r="G9" s="9">
        <v>-2.8999999999999998E-3</v>
      </c>
      <c r="H9" s="9">
        <v>-2.5000000000000001E-3</v>
      </c>
      <c r="I9" s="9">
        <v>4.4999999999999999E-4</v>
      </c>
    </row>
    <row r="10" spans="1:11">
      <c r="A10" s="1" t="s">
        <v>173</v>
      </c>
      <c r="B10" s="1">
        <v>190</v>
      </c>
      <c r="C10" s="2">
        <v>27.16</v>
      </c>
      <c r="D10" s="3">
        <v>21.91</v>
      </c>
      <c r="E10" s="4">
        <v>9.3000000000000007</v>
      </c>
      <c r="F10" s="1">
        <v>8.68</v>
      </c>
      <c r="G10" s="9">
        <v>-3.5999999999999999E-3</v>
      </c>
      <c r="H10" s="9">
        <v>-2.8E-3</v>
      </c>
      <c r="I10" s="9">
        <v>4.8000000000000001E-4</v>
      </c>
    </row>
    <row r="11" spans="1:11">
      <c r="A11" s="1" t="s">
        <v>174</v>
      </c>
      <c r="B11" s="1">
        <v>210</v>
      </c>
      <c r="C11" s="2">
        <v>31.65</v>
      </c>
      <c r="D11" s="3">
        <v>26.36</v>
      </c>
      <c r="E11" s="4">
        <v>8.31</v>
      </c>
      <c r="F11" s="1">
        <v>7.98</v>
      </c>
      <c r="G11" s="9">
        <v>-4.1999999999999997E-3</v>
      </c>
      <c r="H11" s="9">
        <v>-3.2000000000000002E-3</v>
      </c>
      <c r="I11" s="9">
        <v>2.9999999999999997E-4</v>
      </c>
    </row>
    <row r="12" spans="1:11">
      <c r="A12" s="1" t="s">
        <v>175</v>
      </c>
      <c r="B12" s="1">
        <v>320</v>
      </c>
      <c r="C12" s="2">
        <v>40.58</v>
      </c>
      <c r="D12" s="3">
        <v>32.94</v>
      </c>
      <c r="E12" s="4">
        <v>10.130000000000001</v>
      </c>
      <c r="F12" s="1">
        <v>9.73</v>
      </c>
      <c r="G12" s="9">
        <v>-3.8999999999999998E-3</v>
      </c>
      <c r="H12" s="9">
        <v>-2.8999999999999998E-3</v>
      </c>
      <c r="I12" s="9">
        <v>4.0000000000000002E-4</v>
      </c>
    </row>
    <row r="13" spans="1:11">
      <c r="A13" s="1" t="s">
        <v>176</v>
      </c>
      <c r="B13" s="1">
        <v>330</v>
      </c>
      <c r="C13" s="2">
        <v>40.49</v>
      </c>
      <c r="D13" s="3">
        <v>33.74</v>
      </c>
      <c r="E13" s="4">
        <v>10.25</v>
      </c>
      <c r="F13" s="1">
        <v>9.7899999999999991</v>
      </c>
      <c r="G13" s="9">
        <v>-3.8999999999999998E-3</v>
      </c>
      <c r="H13" s="9">
        <v>-2.8999999999999998E-3</v>
      </c>
      <c r="I13" s="9">
        <v>4.0000000000000002E-4</v>
      </c>
    </row>
    <row r="14" spans="1:11">
      <c r="A14" s="1" t="s">
        <v>177</v>
      </c>
      <c r="B14" s="1">
        <v>345</v>
      </c>
      <c r="C14" s="2">
        <v>40.98</v>
      </c>
      <c r="D14" s="3">
        <v>34.450000000000003</v>
      </c>
      <c r="E14" s="4">
        <v>10.47</v>
      </c>
      <c r="F14" s="1">
        <v>10.02</v>
      </c>
      <c r="G14" s="9">
        <v>-3.8999999999999998E-3</v>
      </c>
      <c r="H14" s="9">
        <v>-2.8999999999999998E-3</v>
      </c>
      <c r="I14" s="9">
        <v>4.0000000000000002E-4</v>
      </c>
    </row>
    <row r="15" spans="1:11">
      <c r="A15" s="1" t="s">
        <v>178</v>
      </c>
      <c r="B15" s="1">
        <v>370</v>
      </c>
      <c r="C15" s="2">
        <v>41.32</v>
      </c>
      <c r="D15" s="3">
        <v>34.090000000000003</v>
      </c>
      <c r="E15" s="4">
        <v>11.39</v>
      </c>
      <c r="F15" s="1">
        <v>10.86</v>
      </c>
      <c r="G15" s="9">
        <v>-3.5000000000000001E-3</v>
      </c>
      <c r="H15" s="9">
        <v>-2.7000000000000001E-3</v>
      </c>
      <c r="I15" s="9">
        <v>4.8000000000000001E-4</v>
      </c>
    </row>
    <row r="16" spans="1:11">
      <c r="A16" s="1" t="s">
        <v>179</v>
      </c>
      <c r="B16" s="1">
        <v>370</v>
      </c>
      <c r="C16" s="2">
        <v>47.4</v>
      </c>
      <c r="D16" s="3">
        <v>39.6</v>
      </c>
      <c r="E16" s="4">
        <v>9.85</v>
      </c>
      <c r="F16" s="1">
        <v>9.35</v>
      </c>
      <c r="G16" s="9">
        <v>-3.8999999999999998E-3</v>
      </c>
      <c r="H16" s="9">
        <v>-2.8999999999999998E-3</v>
      </c>
      <c r="I16" s="9">
        <v>4.0000000000000002E-4</v>
      </c>
    </row>
    <row r="17" spans="1:10">
      <c r="A17" s="1" t="s">
        <v>180</v>
      </c>
      <c r="B17" s="1">
        <v>375</v>
      </c>
      <c r="C17" s="2">
        <v>41.56</v>
      </c>
      <c r="D17" s="3">
        <v>34.29</v>
      </c>
      <c r="E17" s="4">
        <v>11.46</v>
      </c>
      <c r="F17" s="1">
        <v>10.94</v>
      </c>
      <c r="G17" s="9">
        <v>-3.5000000000000001E-3</v>
      </c>
      <c r="H17" s="9">
        <v>-2.7000000000000001E-3</v>
      </c>
      <c r="I17" s="9">
        <v>4.8000000000000001E-4</v>
      </c>
    </row>
    <row r="18" spans="1:10">
      <c r="A18" s="1" t="s">
        <v>181</v>
      </c>
      <c r="B18" s="1">
        <v>380</v>
      </c>
      <c r="C18" s="2">
        <v>41.72</v>
      </c>
      <c r="D18" s="3">
        <v>34.49</v>
      </c>
      <c r="E18" s="4">
        <v>11.53</v>
      </c>
      <c r="F18" s="1">
        <v>11.02</v>
      </c>
      <c r="G18" s="9">
        <v>-3.5000000000000001E-3</v>
      </c>
      <c r="H18" s="9">
        <v>-2.7000000000000001E-3</v>
      </c>
      <c r="I18" s="9">
        <v>4.8000000000000001E-4</v>
      </c>
    </row>
    <row r="19" spans="1:10">
      <c r="A19" s="1" t="s">
        <v>182</v>
      </c>
      <c r="B19" s="1">
        <v>400</v>
      </c>
      <c r="C19" s="2">
        <v>37.1</v>
      </c>
      <c r="D19" s="3">
        <v>31.2</v>
      </c>
      <c r="E19" s="4">
        <v>13.73</v>
      </c>
      <c r="F19" s="1">
        <v>12.83</v>
      </c>
      <c r="G19" s="9">
        <v>-3.5000000000000001E-3</v>
      </c>
      <c r="H19" s="9">
        <v>-2.7000000000000001E-3</v>
      </c>
      <c r="I19" s="9">
        <v>4.8000000000000001E-4</v>
      </c>
    </row>
    <row r="20" spans="1:10">
      <c r="A20" s="1" t="s">
        <v>183</v>
      </c>
      <c r="B20" s="1">
        <v>410</v>
      </c>
      <c r="C20" s="2">
        <v>37.5</v>
      </c>
      <c r="D20" s="3">
        <v>31.6</v>
      </c>
      <c r="E20" s="4">
        <v>13.88</v>
      </c>
      <c r="F20" s="1">
        <v>12.98</v>
      </c>
      <c r="G20" s="9">
        <v>-3.5000000000000001E-3</v>
      </c>
      <c r="H20" s="9">
        <v>-2.7000000000000001E-3</v>
      </c>
      <c r="I20" s="9">
        <v>4.8000000000000001E-4</v>
      </c>
    </row>
    <row r="21" spans="1:10">
      <c r="A21" s="1" t="s">
        <v>184</v>
      </c>
      <c r="B21" s="1">
        <v>410</v>
      </c>
      <c r="C21" s="2">
        <v>49.79</v>
      </c>
      <c r="D21" s="3">
        <v>41.75</v>
      </c>
      <c r="E21" s="4">
        <v>10.72</v>
      </c>
      <c r="F21" s="1">
        <v>9.83</v>
      </c>
      <c r="G21" s="9">
        <v>-3.8999999999999998E-3</v>
      </c>
      <c r="H21" s="9">
        <v>-2.8999999999999998E-3</v>
      </c>
      <c r="I21" s="9">
        <v>4.0000000000000002E-4</v>
      </c>
    </row>
    <row r="22" spans="1:10">
      <c r="A22" s="1" t="s">
        <v>185</v>
      </c>
      <c r="B22" s="1">
        <v>440</v>
      </c>
      <c r="C22" s="2">
        <v>49.62</v>
      </c>
      <c r="D22" s="3">
        <v>40.99</v>
      </c>
      <c r="E22" s="4">
        <v>11.35</v>
      </c>
      <c r="F22" s="1">
        <v>10.74</v>
      </c>
      <c r="G22" s="9">
        <v>-3.5000000000000001E-3</v>
      </c>
      <c r="H22" s="9">
        <v>-2.7000000000000001E-3</v>
      </c>
      <c r="I22" s="9">
        <v>4.8000000000000001E-4</v>
      </c>
    </row>
    <row r="23" spans="1:10">
      <c r="A23" s="1" t="s">
        <v>186</v>
      </c>
      <c r="B23" s="1">
        <v>440</v>
      </c>
      <c r="C23" s="2">
        <v>49.62</v>
      </c>
      <c r="D23" s="3">
        <v>40.99</v>
      </c>
      <c r="E23" s="4">
        <v>11.35</v>
      </c>
      <c r="F23" s="1">
        <v>10.74</v>
      </c>
      <c r="G23" s="9">
        <v>-3.5999999999999999E-3</v>
      </c>
      <c r="H23" s="9">
        <v>-2.8E-3</v>
      </c>
      <c r="I23" s="9">
        <v>4.0000000000000002E-4</v>
      </c>
    </row>
    <row r="24" spans="1:10">
      <c r="A24" s="1" t="s">
        <v>187</v>
      </c>
      <c r="B24" s="1">
        <v>445</v>
      </c>
      <c r="C24" s="2">
        <v>49.86</v>
      </c>
      <c r="D24" s="3">
        <v>41.19</v>
      </c>
      <c r="E24" s="4">
        <v>11.41</v>
      </c>
      <c r="F24" s="1">
        <v>10.81</v>
      </c>
      <c r="G24" s="9">
        <v>-3.5000000000000001E-3</v>
      </c>
      <c r="H24" s="9">
        <v>-2.7000000000000001E-3</v>
      </c>
      <c r="I24" s="9">
        <v>4.8000000000000001E-4</v>
      </c>
    </row>
    <row r="25" spans="1:10">
      <c r="A25" s="1" t="s">
        <v>188</v>
      </c>
      <c r="B25" s="1">
        <v>450</v>
      </c>
      <c r="C25" s="2">
        <v>49.8</v>
      </c>
      <c r="D25" s="3">
        <v>41.4</v>
      </c>
      <c r="E25" s="4">
        <v>11.58</v>
      </c>
      <c r="F25" s="1">
        <v>10.87</v>
      </c>
      <c r="G25" s="9">
        <v>-3.5000000000000001E-3</v>
      </c>
      <c r="H25" s="9">
        <v>-2.8999999999999998E-3</v>
      </c>
      <c r="I25" s="9">
        <v>4.8000000000000001E-4</v>
      </c>
    </row>
    <row r="26" spans="1:10">
      <c r="A26" s="1" t="s">
        <v>189</v>
      </c>
      <c r="B26" s="1">
        <f>B25*(1+J26)</f>
        <v>562.5</v>
      </c>
      <c r="C26" s="2">
        <f>C25</f>
        <v>49.8</v>
      </c>
      <c r="D26" s="3">
        <f>D25</f>
        <v>41.4</v>
      </c>
      <c r="E26" s="4">
        <f>E25*(1+J26)</f>
        <v>14.475</v>
      </c>
      <c r="F26" s="1">
        <f>F25*(1+J26)</f>
        <v>13.587499999999999</v>
      </c>
      <c r="G26" s="9">
        <f>G25</f>
        <v>-3.5000000000000001E-3</v>
      </c>
      <c r="H26" s="9">
        <f>H25</f>
        <v>-2.8999999999999998E-3</v>
      </c>
      <c r="I26" s="9">
        <f>I25</f>
        <v>4.8000000000000001E-4</v>
      </c>
      <c r="J26" s="9">
        <v>0.25</v>
      </c>
    </row>
    <row r="27" spans="1:10">
      <c r="A27" s="1" t="s">
        <v>190</v>
      </c>
      <c r="B27" s="1">
        <v>450</v>
      </c>
      <c r="C27" s="2">
        <v>50.1</v>
      </c>
      <c r="D27" s="3">
        <v>41.39</v>
      </c>
      <c r="E27" s="4">
        <v>11.48</v>
      </c>
      <c r="F27" s="1">
        <v>10.88</v>
      </c>
      <c r="G27" s="9">
        <v>-3.5000000000000001E-3</v>
      </c>
      <c r="H27" s="9">
        <v>-2.7000000000000001E-3</v>
      </c>
      <c r="I27" s="9">
        <v>4.8000000000000001E-4</v>
      </c>
    </row>
    <row r="28" spans="1:10">
      <c r="A28" s="1" t="s">
        <v>191</v>
      </c>
      <c r="B28" s="1">
        <v>450</v>
      </c>
      <c r="C28" s="2">
        <v>50.1</v>
      </c>
      <c r="D28" s="3">
        <v>41.39</v>
      </c>
      <c r="E28" s="4">
        <v>11.48</v>
      </c>
      <c r="F28" s="1">
        <v>10.88</v>
      </c>
      <c r="G28" s="9">
        <v>-3.5000000000000001E-3</v>
      </c>
      <c r="H28" s="9">
        <v>-2.7000000000000001E-3</v>
      </c>
      <c r="I28" s="9">
        <v>4.8000000000000001E-4</v>
      </c>
    </row>
    <row r="29" spans="1:10">
      <c r="A29" s="1" t="s">
        <v>192</v>
      </c>
      <c r="B29" s="1">
        <v>455</v>
      </c>
      <c r="C29" s="2">
        <v>50.34</v>
      </c>
      <c r="D29" s="3">
        <v>41.61</v>
      </c>
      <c r="E29" s="4">
        <v>11.54</v>
      </c>
      <c r="F29" s="1">
        <v>10.94</v>
      </c>
      <c r="G29" s="9">
        <v>-3.5000000000000001E-3</v>
      </c>
      <c r="H29" s="9">
        <v>-2.7000000000000001E-3</v>
      </c>
      <c r="I29" s="9">
        <v>4.8000000000000001E-4</v>
      </c>
    </row>
    <row r="30" spans="1:10">
      <c r="A30" s="1" t="s">
        <v>193</v>
      </c>
      <c r="B30" s="1">
        <v>530</v>
      </c>
      <c r="C30" s="2">
        <v>49.25</v>
      </c>
      <c r="D30" s="3">
        <v>41.4</v>
      </c>
      <c r="E30" s="4">
        <v>13.73</v>
      </c>
      <c r="F30" s="1">
        <v>12.81</v>
      </c>
      <c r="G30" s="9">
        <v>-3.5999999999999999E-3</v>
      </c>
      <c r="H30" s="9">
        <v>-2.8E-3</v>
      </c>
      <c r="I30" s="9">
        <v>4.4999999999999999E-4</v>
      </c>
    </row>
    <row r="31" spans="1:10">
      <c r="A31" s="1" t="s">
        <v>194</v>
      </c>
      <c r="B31" s="1">
        <v>535</v>
      </c>
      <c r="C31" s="2">
        <v>49.4</v>
      </c>
      <c r="D31" s="3">
        <v>41.55</v>
      </c>
      <c r="E31" s="4">
        <v>13.79</v>
      </c>
      <c r="F31" s="1">
        <v>12.88</v>
      </c>
      <c r="G31" s="9">
        <v>-3.5000000000000001E-3</v>
      </c>
      <c r="H31" s="9">
        <v>-2.8999999999999998E-3</v>
      </c>
      <c r="I31" s="9">
        <v>4.8000000000000001E-4</v>
      </c>
    </row>
    <row r="32" spans="1:10">
      <c r="A32" s="1" t="s">
        <v>195</v>
      </c>
      <c r="B32" s="1">
        <f>B31*(1+J32)</f>
        <v>668.75</v>
      </c>
      <c r="C32" s="2">
        <f>C31</f>
        <v>49.4</v>
      </c>
      <c r="D32" s="3">
        <f>D31</f>
        <v>41.55</v>
      </c>
      <c r="E32" s="4">
        <f>E31*(1+J32)</f>
        <v>17.237499999999997</v>
      </c>
      <c r="F32" s="1">
        <f>F31*(1+J32)</f>
        <v>16.100000000000001</v>
      </c>
      <c r="G32" s="9">
        <f>G31</f>
        <v>-3.5000000000000001E-3</v>
      </c>
      <c r="H32" s="9">
        <f>H31</f>
        <v>-2.8999999999999998E-3</v>
      </c>
      <c r="I32" s="9">
        <f>I31</f>
        <v>4.8000000000000001E-4</v>
      </c>
      <c r="J32" s="9">
        <v>0.25</v>
      </c>
    </row>
    <row r="33" spans="1:10">
      <c r="A33" s="1" t="s">
        <v>196</v>
      </c>
      <c r="B33" s="1">
        <v>540</v>
      </c>
      <c r="C33" s="2">
        <v>49.55</v>
      </c>
      <c r="D33" s="3">
        <v>41.7</v>
      </c>
      <c r="E33" s="4">
        <v>13.85</v>
      </c>
      <c r="F33" s="1">
        <v>12.95</v>
      </c>
      <c r="G33" s="9">
        <v>-3.5000000000000001E-3</v>
      </c>
      <c r="H33" s="9">
        <v>-2.8999999999999998E-3</v>
      </c>
      <c r="I33" s="9">
        <v>4.8000000000000001E-4</v>
      </c>
    </row>
    <row r="34" spans="1:10">
      <c r="A34" s="1" t="s">
        <v>197</v>
      </c>
      <c r="B34" s="1">
        <f>B33*(1+J34)</f>
        <v>675</v>
      </c>
      <c r="C34" s="2">
        <f>C33</f>
        <v>49.55</v>
      </c>
      <c r="D34" s="3">
        <f>D33</f>
        <v>41.7</v>
      </c>
      <c r="E34" s="4">
        <f>E33*(1+J34)</f>
        <v>17.3125</v>
      </c>
      <c r="F34" s="1">
        <f>F33*(1+J34)</f>
        <v>16.1875</v>
      </c>
      <c r="G34" s="9">
        <f>G33</f>
        <v>-3.5000000000000001E-3</v>
      </c>
      <c r="H34" s="9">
        <f>H33</f>
        <v>-2.8999999999999998E-3</v>
      </c>
      <c r="I34" s="9">
        <f>I33</f>
        <v>4.8000000000000001E-4</v>
      </c>
      <c r="J34" s="9">
        <v>0.25</v>
      </c>
    </row>
    <row r="35" spans="1:10">
      <c r="A35" s="1" t="s">
        <v>198</v>
      </c>
      <c r="B35" s="1">
        <v>540</v>
      </c>
      <c r="C35" s="2">
        <v>49.55</v>
      </c>
      <c r="D35" s="3">
        <v>41.7</v>
      </c>
      <c r="E35" s="4">
        <v>13.85</v>
      </c>
      <c r="F35" s="1">
        <v>12.95</v>
      </c>
      <c r="G35" s="9">
        <v>-3.5999999999999999E-3</v>
      </c>
      <c r="H35" s="9">
        <v>-2.8E-3</v>
      </c>
      <c r="I35" s="9">
        <v>4.4999999999999999E-4</v>
      </c>
    </row>
    <row r="36" spans="1:10">
      <c r="A36" s="1" t="s">
        <v>199</v>
      </c>
      <c r="B36" s="1">
        <v>545</v>
      </c>
      <c r="C36" s="2">
        <v>49.7</v>
      </c>
      <c r="D36" s="3">
        <v>41.85</v>
      </c>
      <c r="E36" s="4">
        <v>13.91</v>
      </c>
      <c r="F36" s="1">
        <v>13.03</v>
      </c>
      <c r="G36" s="9">
        <v>-3.5999999999999999E-3</v>
      </c>
      <c r="H36" s="9">
        <v>-2.8E-3</v>
      </c>
      <c r="I36" s="9">
        <v>4.4999999999999999E-4</v>
      </c>
    </row>
    <row r="37" spans="1:10">
      <c r="A37" s="1" t="s">
        <v>200</v>
      </c>
      <c r="B37" s="1">
        <v>550</v>
      </c>
      <c r="C37" s="2">
        <v>49.9</v>
      </c>
      <c r="D37" s="3">
        <v>41.96</v>
      </c>
      <c r="E37" s="4">
        <v>14</v>
      </c>
      <c r="F37" s="1">
        <v>13.11</v>
      </c>
      <c r="G37" s="9">
        <v>-3.5999999999999999E-3</v>
      </c>
      <c r="H37" s="9">
        <v>-2.8E-3</v>
      </c>
      <c r="I37" s="9">
        <v>4.4999999999999999E-4</v>
      </c>
    </row>
    <row r="38" spans="1:10">
      <c r="A38" s="1" t="s">
        <v>201</v>
      </c>
      <c r="B38" s="1">
        <v>615</v>
      </c>
      <c r="C38" s="2">
        <v>53.59</v>
      </c>
      <c r="D38" s="3">
        <v>45.11</v>
      </c>
      <c r="E38" s="4">
        <v>14.1</v>
      </c>
      <c r="F38" s="1">
        <v>13.64</v>
      </c>
      <c r="G38" s="9">
        <v>-2.8999999999999998E-3</v>
      </c>
      <c r="H38" s="9">
        <v>-2.3999999999999998E-3</v>
      </c>
      <c r="I38" s="9">
        <v>5.0000000000000001E-4</v>
      </c>
    </row>
    <row r="39" spans="1:10">
      <c r="A39" s="1" t="s">
        <v>202</v>
      </c>
      <c r="B39" s="1">
        <v>700</v>
      </c>
      <c r="C39" s="2">
        <v>59.28</v>
      </c>
      <c r="D39" s="3">
        <v>49.15</v>
      </c>
      <c r="E39" s="4">
        <v>14.84</v>
      </c>
      <c r="F39" s="1">
        <v>14.25</v>
      </c>
      <c r="G39" s="9">
        <v>-2.5999999999999999E-3</v>
      </c>
      <c r="H39" s="9">
        <v>-2.2000000000000001E-3</v>
      </c>
      <c r="I39" s="9">
        <v>5.0000000000000001E-4</v>
      </c>
    </row>
    <row r="40" spans="1:10">
      <c r="A40" s="1" t="s">
        <v>203</v>
      </c>
      <c r="B40" s="1">
        <f>B39*(1+J40)</f>
        <v>875</v>
      </c>
      <c r="C40" s="2">
        <f>C39</f>
        <v>59.28</v>
      </c>
      <c r="D40" s="3">
        <f>D39</f>
        <v>49.15</v>
      </c>
      <c r="E40" s="4">
        <f>E39*(1+J40)</f>
        <v>18.55</v>
      </c>
      <c r="F40" s="1">
        <f>F39*(1+J40)</f>
        <v>17.8125</v>
      </c>
      <c r="G40" s="9">
        <f>G39</f>
        <v>-2.5999999999999999E-3</v>
      </c>
      <c r="H40" s="9">
        <f>H39</f>
        <v>-2.2000000000000001E-3</v>
      </c>
      <c r="I40" s="9">
        <f>I39</f>
        <v>5.0000000000000001E-4</v>
      </c>
      <c r="J40" s="9">
        <v>0.25</v>
      </c>
    </row>
    <row r="41" spans="1:10">
      <c r="A41" s="1" t="s">
        <v>204</v>
      </c>
      <c r="B41" s="1">
        <v>770</v>
      </c>
      <c r="C41" s="2">
        <v>59.1</v>
      </c>
      <c r="D41" s="3">
        <v>48.77</v>
      </c>
      <c r="E41" s="4">
        <v>16.59</v>
      </c>
      <c r="F41" s="1">
        <v>15.79</v>
      </c>
      <c r="G41" s="9">
        <v>-2.5999999999999999E-3</v>
      </c>
      <c r="H41" s="9">
        <v>-2.2000000000000001E-3</v>
      </c>
      <c r="I41" s="9">
        <v>5.0000000000000001E-4</v>
      </c>
    </row>
    <row r="42" spans="1:10">
      <c r="A42" s="1" t="s">
        <v>205</v>
      </c>
      <c r="B42" s="1">
        <f>B41*(1+J42)</f>
        <v>962.5</v>
      </c>
      <c r="C42" s="2">
        <f>C41</f>
        <v>59.1</v>
      </c>
      <c r="D42" s="3">
        <f>D41</f>
        <v>48.77</v>
      </c>
      <c r="E42" s="4">
        <f>E41*(1+J42)</f>
        <v>20.737500000000001</v>
      </c>
      <c r="F42" s="1">
        <f>F41*(1+J42)</f>
        <v>19.737499999999997</v>
      </c>
      <c r="G42" s="9">
        <f>G41</f>
        <v>-2.5999999999999999E-3</v>
      </c>
      <c r="H42" s="9">
        <f>H41</f>
        <v>-2.2000000000000001E-3</v>
      </c>
      <c r="I42" s="9">
        <f>I41</f>
        <v>5.0000000000000001E-4</v>
      </c>
      <c r="J42" s="9">
        <v>0.25</v>
      </c>
    </row>
    <row r="43" spans="1:10">
      <c r="A43" s="1" t="s">
        <v>206</v>
      </c>
      <c r="B43" s="1">
        <v>640</v>
      </c>
      <c r="C43" s="2">
        <v>53.8</v>
      </c>
      <c r="D43" s="3">
        <v>45.1</v>
      </c>
      <c r="E43" s="4">
        <v>14.9</v>
      </c>
      <c r="F43" s="1">
        <v>14.2</v>
      </c>
      <c r="G43" s="9">
        <v>-2.5999999999999999E-3</v>
      </c>
      <c r="H43" s="9">
        <v>-2.2000000000000001E-3</v>
      </c>
      <c r="I43" s="9">
        <v>5.0000000000000001E-4</v>
      </c>
    </row>
    <row r="44" spans="1:10">
      <c r="A44" s="1" t="s">
        <v>207</v>
      </c>
      <c r="B44" s="1">
        <f>B43*(1+J44)</f>
        <v>800</v>
      </c>
      <c r="C44" s="2">
        <f>C43</f>
        <v>53.8</v>
      </c>
      <c r="D44" s="3">
        <f>D43</f>
        <v>45.1</v>
      </c>
      <c r="E44" s="4">
        <f>E43*(1+J44)</f>
        <v>18.625</v>
      </c>
      <c r="F44" s="1">
        <f>F43*(1+J44)</f>
        <v>17.75</v>
      </c>
      <c r="G44" s="9">
        <f>G43</f>
        <v>-2.5999999999999999E-3</v>
      </c>
      <c r="H44" s="9">
        <f>H43</f>
        <v>-2.2000000000000001E-3</v>
      </c>
      <c r="I44" s="9">
        <f>I43</f>
        <v>5.0000000000000001E-4</v>
      </c>
      <c r="J44" s="9">
        <v>0.25</v>
      </c>
    </row>
    <row r="45" spans="1:10">
      <c r="A45" s="1" t="s">
        <v>208</v>
      </c>
      <c r="B45" s="1">
        <v>370</v>
      </c>
      <c r="C45" s="2">
        <v>41.6</v>
      </c>
      <c r="D45" s="3">
        <v>34.6</v>
      </c>
      <c r="E45" s="4">
        <v>11.3</v>
      </c>
      <c r="F45" s="1">
        <v>10.7</v>
      </c>
      <c r="G45" s="9">
        <v>-3.5999999999999999E-3</v>
      </c>
      <c r="H45" s="9">
        <v>-2.8E-3</v>
      </c>
      <c r="I45" s="9">
        <v>5.0000000000000001E-4</v>
      </c>
    </row>
    <row r="46" spans="1:10">
      <c r="A46" s="1" t="s">
        <v>209</v>
      </c>
      <c r="B46" s="1">
        <v>380</v>
      </c>
      <c r="C46" s="2">
        <v>42</v>
      </c>
      <c r="D46" s="3">
        <v>35</v>
      </c>
      <c r="E46" s="4">
        <v>11.44</v>
      </c>
      <c r="F46" s="1">
        <v>10.86</v>
      </c>
      <c r="G46" s="9">
        <v>-3.5999999999999999E-3</v>
      </c>
      <c r="H46" s="9">
        <v>-2.8E-3</v>
      </c>
      <c r="I46" s="9">
        <v>5.0000000000000001E-4</v>
      </c>
    </row>
    <row r="47" spans="1:10">
      <c r="A47" s="1" t="s">
        <v>210</v>
      </c>
      <c r="B47" s="1">
        <v>310</v>
      </c>
      <c r="C47" s="2">
        <v>40.18</v>
      </c>
      <c r="D47" s="3">
        <v>32.96</v>
      </c>
      <c r="E47" s="4">
        <v>9.86</v>
      </c>
      <c r="F47" s="1">
        <v>9.42</v>
      </c>
      <c r="G47" s="9">
        <v>-3.8E-3</v>
      </c>
      <c r="H47" s="9">
        <v>-2.8400000000000001E-3</v>
      </c>
      <c r="I47" s="9">
        <v>4.2000000000000002E-4</v>
      </c>
    </row>
    <row r="48" spans="1:10">
      <c r="A48" s="1" t="s">
        <v>211</v>
      </c>
      <c r="B48" s="1">
        <v>455</v>
      </c>
      <c r="C48" s="2">
        <v>49.35</v>
      </c>
      <c r="D48" s="3">
        <v>41.51</v>
      </c>
      <c r="E48" s="4">
        <v>11.44</v>
      </c>
      <c r="F48" s="1">
        <v>10.96</v>
      </c>
      <c r="G48" s="9">
        <v>-3.5000000000000001E-3</v>
      </c>
      <c r="H48" s="9">
        <v>-2.8E-3</v>
      </c>
      <c r="I48" s="9">
        <v>4.0000000000000002E-4</v>
      </c>
    </row>
    <row r="49" spans="1:9">
      <c r="A49" s="1" t="s">
        <v>212</v>
      </c>
      <c r="B49" s="1">
        <v>310</v>
      </c>
      <c r="C49" s="2">
        <v>40.18</v>
      </c>
      <c r="D49" s="3">
        <v>32.950000000000003</v>
      </c>
      <c r="E49" s="4">
        <v>10.08</v>
      </c>
      <c r="F49" s="1">
        <v>9.41</v>
      </c>
      <c r="G49" s="9">
        <v>-4.1999999999999997E-3</v>
      </c>
      <c r="H49" s="9">
        <v>-3.2000000000000002E-3</v>
      </c>
      <c r="I49" s="9">
        <v>5.0000000000000001E-4</v>
      </c>
    </row>
    <row r="50" spans="1:9">
      <c r="A50" s="1" t="s">
        <v>213</v>
      </c>
      <c r="B50" s="1">
        <v>260</v>
      </c>
      <c r="C50" s="2">
        <v>38.380000000000003</v>
      </c>
      <c r="D50" s="3">
        <v>30.67</v>
      </c>
      <c r="E50" s="4">
        <v>8.9700000000000006</v>
      </c>
      <c r="F50" s="1">
        <v>8.48</v>
      </c>
      <c r="G50" s="9">
        <v>-4.3E-3</v>
      </c>
      <c r="H50" s="9">
        <v>-3.2000000000000002E-3</v>
      </c>
      <c r="I50" s="9">
        <v>5.9000000000000003E-4</v>
      </c>
    </row>
    <row r="51" spans="1:9">
      <c r="A51" s="1" t="s">
        <v>214</v>
      </c>
      <c r="B51" s="1">
        <v>295</v>
      </c>
      <c r="C51" s="2">
        <v>39.1</v>
      </c>
      <c r="D51" s="3">
        <v>32.5</v>
      </c>
      <c r="E51" s="4">
        <v>9.57</v>
      </c>
      <c r="F51" s="1">
        <v>9.08</v>
      </c>
      <c r="G51" s="9">
        <v>-3.8E-3</v>
      </c>
      <c r="H51" s="9">
        <v>-2.8999999999999998E-3</v>
      </c>
    </row>
    <row r="52" spans="1:9">
      <c r="A52" s="1" t="s">
        <v>215</v>
      </c>
      <c r="B52" s="1">
        <v>300</v>
      </c>
      <c r="C52" s="2">
        <v>39.299999999999997</v>
      </c>
      <c r="D52" s="3">
        <v>32.700000000000003</v>
      </c>
      <c r="E52" s="4">
        <v>9.65</v>
      </c>
      <c r="F52" s="1">
        <v>9.18</v>
      </c>
      <c r="G52" s="9">
        <v>-3.8E-3</v>
      </c>
      <c r="H52" s="9">
        <v>-2.8999999999999998E-3</v>
      </c>
    </row>
    <row r="53" spans="1:9">
      <c r="A53" s="1" t="s">
        <v>216</v>
      </c>
      <c r="B53" s="1">
        <v>315</v>
      </c>
      <c r="C53" s="2">
        <v>39.9</v>
      </c>
      <c r="D53" s="3">
        <v>33.1</v>
      </c>
      <c r="E53" s="4">
        <v>10.01</v>
      </c>
      <c r="F53" s="1">
        <v>9.52</v>
      </c>
      <c r="G53" s="9">
        <v>-3.7000000000000002E-3</v>
      </c>
      <c r="H53" s="9">
        <v>-2.8999999999999998E-3</v>
      </c>
    </row>
    <row r="54" spans="1:9">
      <c r="A54" s="1" t="s">
        <v>217</v>
      </c>
      <c r="B54" s="1">
        <v>355</v>
      </c>
      <c r="C54" s="2">
        <v>46.8</v>
      </c>
      <c r="D54" s="3">
        <v>39.4</v>
      </c>
      <c r="E54" s="4">
        <v>9.59</v>
      </c>
      <c r="F54" s="1">
        <v>9.02</v>
      </c>
      <c r="G54" s="9">
        <v>-3.8999999999999998E-3</v>
      </c>
      <c r="H54" s="9">
        <v>-3.0000000000000001E-3</v>
      </c>
    </row>
    <row r="55" spans="1:9">
      <c r="A55" s="1" t="s">
        <v>218</v>
      </c>
      <c r="B55" s="1">
        <v>375</v>
      </c>
      <c r="C55" s="2">
        <v>47.6</v>
      </c>
      <c r="D55" s="3">
        <v>39.799999999999997</v>
      </c>
      <c r="E55" s="4">
        <v>9.93</v>
      </c>
      <c r="F55" s="1">
        <v>9.43</v>
      </c>
      <c r="G55" s="9">
        <v>-3.7000000000000002E-3</v>
      </c>
      <c r="H55" s="9">
        <v>-2.8999999999999998E-3</v>
      </c>
    </row>
    <row r="56" spans="1:9">
      <c r="A56" s="1" t="s">
        <v>219</v>
      </c>
      <c r="B56" s="1">
        <v>405</v>
      </c>
      <c r="C56" s="2">
        <v>47.4</v>
      </c>
      <c r="D56" s="3">
        <v>38.9</v>
      </c>
      <c r="E56" s="4">
        <v>10.98</v>
      </c>
      <c r="F56" s="1">
        <v>10.42</v>
      </c>
      <c r="G56" s="9">
        <v>-3.7000000000000002E-3</v>
      </c>
      <c r="H56" s="9">
        <v>-2.8999999999999998E-3</v>
      </c>
      <c r="I56" s="9">
        <v>5.0000000000000001E-4</v>
      </c>
    </row>
    <row r="57" spans="1:9">
      <c r="A57" s="1" t="s">
        <v>220</v>
      </c>
      <c r="B57" s="1">
        <v>355</v>
      </c>
      <c r="C57" s="2">
        <v>46.8</v>
      </c>
      <c r="D57" s="3">
        <v>39.4</v>
      </c>
      <c r="E57" s="4">
        <v>9.59</v>
      </c>
      <c r="F57" s="1">
        <v>9.02</v>
      </c>
      <c r="G57" s="9">
        <v>-3.8999999999999998E-3</v>
      </c>
      <c r="H57" s="9">
        <v>-3.0000000000000001E-3</v>
      </c>
    </row>
    <row r="58" spans="1:9">
      <c r="A58" s="1" t="s">
        <v>221</v>
      </c>
      <c r="B58" s="1">
        <v>360</v>
      </c>
      <c r="C58" s="2">
        <v>47</v>
      </c>
      <c r="D58" s="3">
        <v>39.6</v>
      </c>
      <c r="E58" s="4">
        <v>9.67</v>
      </c>
      <c r="F58" s="1">
        <v>9.1</v>
      </c>
      <c r="G58" s="9">
        <v>-3.8999999999999998E-3</v>
      </c>
      <c r="H58" s="9">
        <v>-3.0000000000000001E-3</v>
      </c>
    </row>
    <row r="59" spans="1:9">
      <c r="A59" s="1" t="s">
        <v>222</v>
      </c>
      <c r="B59" s="1">
        <v>300</v>
      </c>
      <c r="C59" s="2">
        <v>39.299999999999997</v>
      </c>
      <c r="D59" s="3">
        <v>32.700000000000003</v>
      </c>
      <c r="E59" s="4">
        <v>9.65</v>
      </c>
      <c r="F59" s="1">
        <v>9.18</v>
      </c>
      <c r="G59" s="9">
        <v>-3.8E-3</v>
      </c>
      <c r="H59" s="9">
        <v>-2.8999999999999998E-3</v>
      </c>
      <c r="I59" s="9">
        <v>5.0000000000000001E-4</v>
      </c>
    </row>
    <row r="60" spans="1:9">
      <c r="A60" s="1" t="s">
        <v>223</v>
      </c>
      <c r="B60" s="1">
        <v>265</v>
      </c>
      <c r="C60" s="2">
        <v>37.700000000000003</v>
      </c>
      <c r="D60" s="3">
        <v>30.6</v>
      </c>
      <c r="G60" s="9">
        <v>-4.1000000000000003E-3</v>
      </c>
      <c r="H60" s="9">
        <v>-3.0999999999999999E-3</v>
      </c>
    </row>
    <row r="61" spans="1:9">
      <c r="A61" s="1" t="s">
        <v>224</v>
      </c>
      <c r="B61" s="1">
        <v>275</v>
      </c>
      <c r="C61" s="2">
        <v>38</v>
      </c>
      <c r="D61" s="3">
        <v>31</v>
      </c>
      <c r="G61" s="9">
        <v>-4.1000000000000003E-3</v>
      </c>
      <c r="H61" s="9">
        <v>-3.0999999999999999E-3</v>
      </c>
    </row>
    <row r="62" spans="1:9">
      <c r="A62" s="1" t="s">
        <v>225</v>
      </c>
      <c r="B62" s="1">
        <v>330</v>
      </c>
      <c r="C62" s="2">
        <v>45.6</v>
      </c>
      <c r="D62" s="3">
        <v>37.200000000000003</v>
      </c>
      <c r="G62" s="9">
        <v>-4.1000000000000003E-3</v>
      </c>
      <c r="H62" s="9">
        <v>-3.0999999999999999E-3</v>
      </c>
    </row>
    <row r="63" spans="1:9">
      <c r="A63" s="1" t="s">
        <v>226</v>
      </c>
      <c r="B63" s="1">
        <v>360</v>
      </c>
      <c r="C63" s="2">
        <v>47</v>
      </c>
      <c r="D63" s="3">
        <v>39.6</v>
      </c>
      <c r="E63" s="4">
        <v>9.67</v>
      </c>
      <c r="F63" s="1">
        <v>9.1</v>
      </c>
      <c r="G63" s="9">
        <v>-3.7000000000000002E-3</v>
      </c>
      <c r="H63" s="9">
        <v>-2.8999999999999998E-3</v>
      </c>
      <c r="I63" s="9">
        <v>5.0000000000000001E-4</v>
      </c>
    </row>
    <row r="64" spans="1:9">
      <c r="A64" s="1" t="s">
        <v>227</v>
      </c>
      <c r="B64" s="1">
        <v>405</v>
      </c>
      <c r="C64" s="2">
        <v>47.4</v>
      </c>
      <c r="D64" s="3">
        <v>38.9</v>
      </c>
      <c r="E64" s="4">
        <v>10.98</v>
      </c>
      <c r="F64" s="1">
        <v>10.42</v>
      </c>
      <c r="G64" s="9">
        <v>-3.7000000000000002E-3</v>
      </c>
      <c r="H64" s="9">
        <v>-2.8999999999999998E-3</v>
      </c>
      <c r="I64" s="9">
        <v>5.0000000000000001E-4</v>
      </c>
    </row>
    <row r="65" spans="1:11">
      <c r="A65" s="1" t="s">
        <v>228</v>
      </c>
      <c r="B65" s="1">
        <v>265</v>
      </c>
      <c r="C65" s="2">
        <v>37.869999999999997</v>
      </c>
      <c r="D65" s="3">
        <v>30.92</v>
      </c>
      <c r="E65" s="4">
        <v>9.18</v>
      </c>
      <c r="F65" s="1">
        <v>8.58</v>
      </c>
      <c r="G65" s="9">
        <v>-4.0699999999999998E-3</v>
      </c>
      <c r="H65" s="9">
        <v>-3.0999999999999999E-3</v>
      </c>
      <c r="I65" s="9">
        <v>4.8999999999999998E-4</v>
      </c>
    </row>
    <row r="66" spans="1:11">
      <c r="A66" s="1" t="s">
        <v>229</v>
      </c>
      <c r="B66" s="1">
        <v>370</v>
      </c>
      <c r="C66" s="2">
        <v>48.13</v>
      </c>
      <c r="D66" s="3">
        <v>39.659999999999997</v>
      </c>
      <c r="E66" s="4">
        <v>9.82</v>
      </c>
      <c r="F66" s="1">
        <v>9.34</v>
      </c>
      <c r="G66" s="9">
        <v>-3.7599999999999999E-3</v>
      </c>
      <c r="H66" s="9">
        <v>-2.82E-3</v>
      </c>
      <c r="I66" s="9">
        <v>4.2999999999999999E-4</v>
      </c>
    </row>
    <row r="67" spans="1:11">
      <c r="A67" s="1" t="s">
        <v>230</v>
      </c>
      <c r="B67" s="1">
        <v>445</v>
      </c>
      <c r="C67" s="2">
        <v>48.8</v>
      </c>
      <c r="D67" s="3">
        <v>41.05</v>
      </c>
      <c r="E67" s="4">
        <v>11.3</v>
      </c>
      <c r="F67" s="1">
        <v>10.84</v>
      </c>
      <c r="G67" s="9">
        <v>-3.5000000000000001E-3</v>
      </c>
      <c r="H67" s="9">
        <v>-2.8E-3</v>
      </c>
      <c r="I67" s="9">
        <v>4.0000000000000002E-4</v>
      </c>
    </row>
    <row r="68" spans="1:11">
      <c r="A68" s="1" t="s">
        <v>231</v>
      </c>
      <c r="B68" s="1">
        <v>450</v>
      </c>
      <c r="C68" s="2">
        <v>49.05</v>
      </c>
      <c r="D68" s="3">
        <v>41.32</v>
      </c>
      <c r="E68" s="4">
        <v>11.37</v>
      </c>
      <c r="F68" s="1">
        <v>10.89</v>
      </c>
      <c r="G68" s="9">
        <v>-3.5000000000000001E-3</v>
      </c>
      <c r="H68" s="9">
        <v>-2.7000000000000001E-3</v>
      </c>
      <c r="I68" s="9">
        <v>5.0000000000000001E-4</v>
      </c>
    </row>
    <row r="69" spans="1:11">
      <c r="A69" s="1" t="s">
        <v>232</v>
      </c>
      <c r="B69" s="1">
        <v>455</v>
      </c>
      <c r="C69" s="2">
        <v>49.35</v>
      </c>
      <c r="D69" s="3">
        <v>41.51</v>
      </c>
      <c r="E69" s="4">
        <v>11.44</v>
      </c>
      <c r="F69" s="1">
        <v>10.96</v>
      </c>
      <c r="G69" s="9">
        <v>-3.5000000000000001E-3</v>
      </c>
      <c r="H69" s="9">
        <v>-2.8E-3</v>
      </c>
      <c r="I69" s="9">
        <v>4.0000000000000002E-4</v>
      </c>
    </row>
    <row r="70" spans="1:11">
      <c r="A70" s="1" t="s">
        <v>233</v>
      </c>
      <c r="B70" s="1">
        <v>460</v>
      </c>
      <c r="C70" s="2">
        <v>49.62</v>
      </c>
      <c r="D70" s="3">
        <v>41.7</v>
      </c>
      <c r="E70" s="4">
        <v>11.51</v>
      </c>
      <c r="F70" s="1">
        <v>11.03</v>
      </c>
      <c r="G70" s="9">
        <v>-3.5000000000000001E-3</v>
      </c>
      <c r="H70" s="9">
        <v>-2.7000000000000001E-3</v>
      </c>
      <c r="I70" s="9">
        <v>5.0000000000000001E-4</v>
      </c>
    </row>
    <row r="71" spans="1:11">
      <c r="A71" s="1" t="s">
        <v>234</v>
      </c>
      <c r="B71" s="1">
        <v>550</v>
      </c>
      <c r="C71" s="2">
        <v>50.1</v>
      </c>
      <c r="D71" s="3">
        <v>42.1</v>
      </c>
      <c r="E71" s="4">
        <v>13.9</v>
      </c>
      <c r="F71" s="1">
        <v>13.06</v>
      </c>
      <c r="G71" s="9">
        <v>-3.5000000000000001E-3</v>
      </c>
      <c r="H71" s="9">
        <v>-2.7000000000000001E-3</v>
      </c>
      <c r="I71" s="9">
        <v>4.4999999999999999E-4</v>
      </c>
    </row>
    <row r="72" spans="1:11">
      <c r="A72" s="1" t="s">
        <v>235</v>
      </c>
      <c r="B72" s="1">
        <v>590</v>
      </c>
      <c r="C72" s="2">
        <v>51.45</v>
      </c>
      <c r="D72" s="3">
        <v>42.88</v>
      </c>
      <c r="E72" s="4">
        <v>14.5</v>
      </c>
      <c r="F72" s="1">
        <v>13.76</v>
      </c>
      <c r="G72" s="9">
        <v>-2.8999999999999998E-3</v>
      </c>
      <c r="H72" s="9">
        <v>-2.5000000000000001E-3</v>
      </c>
      <c r="I72" s="9">
        <v>4.2999999999999999E-4</v>
      </c>
    </row>
    <row r="73" spans="1:11">
      <c r="A73" s="1" t="s">
        <v>236</v>
      </c>
      <c r="B73" s="1">
        <v>540</v>
      </c>
      <c r="C73" s="2">
        <v>49.45</v>
      </c>
      <c r="D73" s="3">
        <v>41.47</v>
      </c>
      <c r="E73" s="4">
        <v>13.79</v>
      </c>
      <c r="F73" s="1">
        <v>12.9</v>
      </c>
      <c r="G73" s="9">
        <v>-3.5000000000000001E-3</v>
      </c>
      <c r="H73" s="9">
        <v>-2.7499999999999998E-3</v>
      </c>
      <c r="I73" s="9">
        <v>4.4999999999999999E-4</v>
      </c>
    </row>
    <row r="74" spans="1:11">
      <c r="A74" s="1" t="s">
        <v>237</v>
      </c>
      <c r="B74" s="1">
        <f>B73*(1+J74)</f>
        <v>594</v>
      </c>
      <c r="C74" s="2">
        <f>C73</f>
        <v>49.45</v>
      </c>
      <c r="D74" s="3">
        <f>D73</f>
        <v>41.47</v>
      </c>
      <c r="E74" s="4">
        <f>E73*(1+J74)</f>
        <v>15.169</v>
      </c>
      <c r="F74" s="1">
        <f>F73*(1+J74)</f>
        <v>14.190000000000001</v>
      </c>
      <c r="G74" s="9">
        <f>G73</f>
        <v>-3.5000000000000001E-3</v>
      </c>
      <c r="H74" s="9">
        <f>H73</f>
        <v>-2.7499999999999998E-3</v>
      </c>
      <c r="I74" s="9">
        <f>I73</f>
        <v>4.4999999999999999E-4</v>
      </c>
      <c r="J74" s="9">
        <v>0.1</v>
      </c>
    </row>
    <row r="75" spans="1:11">
      <c r="A75" s="1" t="s">
        <v>238</v>
      </c>
      <c r="B75" s="1">
        <v>250</v>
      </c>
      <c r="C75" s="2">
        <v>37.200000000000003</v>
      </c>
      <c r="D75" s="3">
        <v>30.1</v>
      </c>
      <c r="E75" s="4">
        <v>8.8699999999999992</v>
      </c>
      <c r="F75" s="1">
        <v>8.3000000000000007</v>
      </c>
      <c r="G75" s="9">
        <v>-4.3E-3</v>
      </c>
      <c r="H75" s="9">
        <v>-3.3999999999999998E-3</v>
      </c>
      <c r="I75" s="9">
        <v>6.4999999999999997E-4</v>
      </c>
    </row>
    <row r="76" spans="1:11">
      <c r="A76" s="1" t="s">
        <v>239</v>
      </c>
      <c r="B76" s="1">
        <f>B75*K76</f>
        <v>4000</v>
      </c>
      <c r="C76" s="2">
        <f>C75</f>
        <v>37.200000000000003</v>
      </c>
      <c r="D76" s="3">
        <f>D75</f>
        <v>30.1</v>
      </c>
      <c r="E76" s="4">
        <f>E75*K76</f>
        <v>141.91999999999999</v>
      </c>
      <c r="F76" s="1">
        <f>F75*K76</f>
        <v>132.80000000000001</v>
      </c>
      <c r="G76" s="9">
        <f>G75</f>
        <v>-4.3E-3</v>
      </c>
      <c r="H76" s="9">
        <f>H75</f>
        <v>-3.3999999999999998E-3</v>
      </c>
      <c r="I76" s="9">
        <f>I75</f>
        <v>6.4999999999999997E-4</v>
      </c>
      <c r="K76" s="5">
        <v>16</v>
      </c>
    </row>
    <row r="77" spans="1:11">
      <c r="A77" s="1" t="s">
        <v>240</v>
      </c>
      <c r="B77" s="1">
        <v>265</v>
      </c>
      <c r="C77" s="2">
        <v>37.700000000000003</v>
      </c>
      <c r="D77" s="3">
        <v>30.6</v>
      </c>
      <c r="E77" s="4">
        <v>9.23</v>
      </c>
      <c r="F77" s="1">
        <v>8.66</v>
      </c>
      <c r="G77" s="9">
        <v>-4.1000000000000003E-3</v>
      </c>
      <c r="H77" s="9">
        <v>-3.0999999999999999E-3</v>
      </c>
      <c r="I77" s="9">
        <v>5.2999999999999998E-4</v>
      </c>
    </row>
    <row r="78" spans="1:11">
      <c r="A78" s="1" t="s">
        <v>241</v>
      </c>
      <c r="B78" s="1">
        <v>109</v>
      </c>
      <c r="C78" s="2">
        <v>12.3</v>
      </c>
      <c r="D78" s="3">
        <v>10.3</v>
      </c>
      <c r="E78" s="4">
        <v>11.14</v>
      </c>
      <c r="F78" s="1">
        <v>10.59</v>
      </c>
      <c r="G78" s="9">
        <v>-4.4000000000000003E-3</v>
      </c>
      <c r="H78" s="9">
        <v>-3.29E-3</v>
      </c>
      <c r="I78" s="9">
        <v>3.8000000000000002E-4</v>
      </c>
    </row>
    <row r="79" spans="1:11">
      <c r="A79" s="1" t="s">
        <v>242</v>
      </c>
      <c r="B79" s="1">
        <v>113</v>
      </c>
      <c r="C79" s="2">
        <v>16.3</v>
      </c>
      <c r="D79" s="3">
        <v>13.3</v>
      </c>
      <c r="E79" s="4">
        <v>9.01</v>
      </c>
      <c r="F79" s="1">
        <v>8.5</v>
      </c>
      <c r="G79" s="9">
        <v>-4.4000000000000003E-3</v>
      </c>
      <c r="H79" s="9">
        <v>-3.29E-3</v>
      </c>
      <c r="I79" s="9">
        <v>3.8000000000000002E-4</v>
      </c>
    </row>
    <row r="80" spans="1:11">
      <c r="A80" s="1" t="s">
        <v>243</v>
      </c>
      <c r="B80" s="1">
        <v>335</v>
      </c>
      <c r="C80" s="2">
        <v>44.3</v>
      </c>
      <c r="D80" s="3">
        <v>37.4</v>
      </c>
      <c r="E80" s="4">
        <v>9.7200000000000006</v>
      </c>
      <c r="F80" s="1">
        <v>8.9600000000000009</v>
      </c>
      <c r="G80" s="9">
        <v>-3.7000000000000002E-3</v>
      </c>
      <c r="H80" s="9">
        <v>-2.8999999999999998E-3</v>
      </c>
      <c r="I80" s="9">
        <v>5.0000000000000001E-4</v>
      </c>
    </row>
    <row r="81" spans="1:11">
      <c r="A81" s="1" t="s">
        <v>244</v>
      </c>
      <c r="B81" s="1">
        <v>405</v>
      </c>
      <c r="C81" s="2">
        <v>53.5</v>
      </c>
      <c r="D81" s="3">
        <v>44.3</v>
      </c>
      <c r="E81" s="4">
        <v>9.65</v>
      </c>
      <c r="F81" s="1">
        <v>9.16</v>
      </c>
      <c r="G81" s="9">
        <v>-3.7000000000000002E-3</v>
      </c>
      <c r="H81" s="9">
        <v>-2.8999999999999998E-3</v>
      </c>
      <c r="I81" s="9">
        <v>5.0000000000000001E-4</v>
      </c>
    </row>
    <row r="82" spans="1:11">
      <c r="A82" s="1" t="s">
        <v>245</v>
      </c>
      <c r="B82" s="1">
        <v>410</v>
      </c>
      <c r="C82" s="2">
        <v>53.6</v>
      </c>
      <c r="D82" s="3">
        <v>44.5</v>
      </c>
      <c r="E82" s="4">
        <v>9.6999999999999993</v>
      </c>
      <c r="F82" s="1">
        <v>9.23</v>
      </c>
      <c r="G82" s="9">
        <v>-3.7000000000000002E-3</v>
      </c>
      <c r="H82" s="9">
        <v>-2.8999999999999998E-3</v>
      </c>
      <c r="I82" s="9">
        <v>5.0000000000000001E-4</v>
      </c>
    </row>
    <row r="83" spans="1:11">
      <c r="A83" s="1" t="s">
        <v>246</v>
      </c>
      <c r="B83" s="1">
        <v>415</v>
      </c>
      <c r="C83" s="2">
        <v>53.7</v>
      </c>
      <c r="D83" s="3">
        <v>44.7</v>
      </c>
      <c r="E83" s="4">
        <v>9.75</v>
      </c>
      <c r="F83" s="1">
        <v>9.3000000000000007</v>
      </c>
      <c r="G83" s="9">
        <v>-3.7000000000000002E-3</v>
      </c>
      <c r="H83" s="9">
        <v>-2.8999999999999998E-3</v>
      </c>
      <c r="I83" s="9">
        <v>5.0000000000000001E-4</v>
      </c>
    </row>
    <row r="84" spans="1:11">
      <c r="A84" s="1" t="s">
        <v>247</v>
      </c>
      <c r="B84" s="1">
        <v>265</v>
      </c>
      <c r="C84" s="2">
        <v>35.700000000000003</v>
      </c>
      <c r="D84" s="3">
        <v>29.4</v>
      </c>
      <c r="E84" s="4">
        <v>9.51</v>
      </c>
      <c r="F84" s="1">
        <v>9</v>
      </c>
      <c r="G84" s="9">
        <v>-3.7000000000000002E-3</v>
      </c>
      <c r="H84" s="9">
        <v>-2.8999999999999998E-3</v>
      </c>
      <c r="I84" s="9">
        <v>5.0000000000000001E-4</v>
      </c>
    </row>
    <row r="85" spans="1:11">
      <c r="A85" s="1" t="s">
        <v>248</v>
      </c>
      <c r="B85" s="1">
        <v>210</v>
      </c>
      <c r="C85" s="2">
        <v>28.4</v>
      </c>
      <c r="D85" s="3">
        <v>23.3</v>
      </c>
      <c r="E85" s="4">
        <v>9.58</v>
      </c>
      <c r="F85" s="1">
        <v>9.01</v>
      </c>
      <c r="G85" s="9">
        <v>-3.7000000000000002E-3</v>
      </c>
      <c r="H85" s="9">
        <v>-2.8999999999999998E-3</v>
      </c>
      <c r="I85" s="9">
        <v>5.0000000000000001E-4</v>
      </c>
    </row>
    <row r="86" spans="1:11">
      <c r="A86" s="1" t="s">
        <v>249</v>
      </c>
      <c r="B86" s="1">
        <v>210</v>
      </c>
      <c r="C86" s="2">
        <v>50.9</v>
      </c>
      <c r="D86" s="3">
        <v>41.3</v>
      </c>
      <c r="E86" s="4">
        <v>5.57</v>
      </c>
      <c r="F86" s="1">
        <v>5.07</v>
      </c>
      <c r="G86" s="9">
        <v>-4.4000000000000003E-3</v>
      </c>
      <c r="H86" s="9">
        <v>-3.29E-3</v>
      </c>
      <c r="I86" s="9">
        <v>3.8000000000000002E-4</v>
      </c>
      <c r="K86" s="5">
        <v>23</v>
      </c>
    </row>
    <row r="87" spans="1:11">
      <c r="A87" s="1" t="s">
        <v>250</v>
      </c>
      <c r="B87" s="1">
        <v>223</v>
      </c>
      <c r="C87" s="2">
        <v>24.8</v>
      </c>
      <c r="D87" s="3">
        <v>20.9</v>
      </c>
      <c r="E87" s="4">
        <v>11.26</v>
      </c>
      <c r="F87" s="1">
        <v>10.67</v>
      </c>
      <c r="G87" s="9">
        <v>-4.4000000000000003E-3</v>
      </c>
      <c r="H87" s="9">
        <v>-3.29E-3</v>
      </c>
      <c r="I87" s="9">
        <v>3.8000000000000002E-4</v>
      </c>
    </row>
    <row r="88" spans="1:11">
      <c r="A88" s="1" t="s">
        <v>251</v>
      </c>
      <c r="B88" s="1">
        <v>226</v>
      </c>
      <c r="C88" s="2">
        <v>32.1</v>
      </c>
      <c r="D88" s="3">
        <v>25.7</v>
      </c>
      <c r="E88" s="4">
        <v>9.43</v>
      </c>
      <c r="F88" s="1">
        <v>8.8000000000000007</v>
      </c>
      <c r="G88" s="9">
        <v>-4.4000000000000003E-3</v>
      </c>
      <c r="H88" s="9">
        <v>-3.29E-3</v>
      </c>
      <c r="I88" s="9">
        <v>3.8000000000000002E-4</v>
      </c>
    </row>
    <row r="89" spans="1:11">
      <c r="A89" s="1" t="s">
        <v>252</v>
      </c>
      <c r="B89" s="1">
        <v>230</v>
      </c>
      <c r="C89" s="2">
        <v>32.6</v>
      </c>
      <c r="D89" s="3">
        <v>26.4</v>
      </c>
      <c r="E89" s="4">
        <v>9.25</v>
      </c>
      <c r="F89" s="1">
        <v>8.7200000000000006</v>
      </c>
      <c r="G89" s="9">
        <v>-4.4000000000000003E-3</v>
      </c>
      <c r="H89" s="9">
        <v>-3.29E-3</v>
      </c>
      <c r="I89" s="9">
        <v>3.8000000000000002E-4</v>
      </c>
    </row>
    <row r="90" spans="1:11">
      <c r="A90" s="1" t="s">
        <v>253</v>
      </c>
      <c r="B90" s="1">
        <v>240</v>
      </c>
      <c r="C90" s="2">
        <v>34.799999999999997</v>
      </c>
      <c r="D90" s="3">
        <v>28.1</v>
      </c>
      <c r="E90" s="4">
        <v>9.08</v>
      </c>
      <c r="F90" s="1">
        <v>8.5500000000000007</v>
      </c>
      <c r="G90" s="9">
        <v>-4.4000000000000003E-3</v>
      </c>
      <c r="H90" s="9">
        <v>-3.29E-3</v>
      </c>
      <c r="I90" s="9">
        <v>3.8000000000000002E-4</v>
      </c>
    </row>
    <row r="91" spans="1:11">
      <c r="A91" s="1" t="s">
        <v>254</v>
      </c>
      <c r="B91" s="1">
        <v>250</v>
      </c>
      <c r="C91" s="2">
        <v>34.799999999999997</v>
      </c>
      <c r="D91" s="3">
        <v>28.1</v>
      </c>
      <c r="E91" s="4">
        <v>9.48</v>
      </c>
      <c r="F91" s="1">
        <v>8.9</v>
      </c>
      <c r="G91" s="9">
        <v>-4.4000000000000003E-3</v>
      </c>
      <c r="H91" s="9">
        <v>-3.29E-3</v>
      </c>
      <c r="I91" s="9">
        <v>3.8000000000000002E-4</v>
      </c>
    </row>
    <row r="92" spans="1:11">
      <c r="A92" s="1" t="s">
        <v>255</v>
      </c>
      <c r="B92" s="1">
        <v>250</v>
      </c>
      <c r="C92" s="2">
        <v>33</v>
      </c>
      <c r="D92" s="3">
        <v>26.8</v>
      </c>
      <c r="E92" s="4">
        <v>9.8699999999999992</v>
      </c>
      <c r="F92" s="1">
        <v>9.33</v>
      </c>
      <c r="G92" s="9">
        <v>-4.0000000000000001E-3</v>
      </c>
      <c r="H92" s="9">
        <v>-3.5000000000000001E-3</v>
      </c>
    </row>
    <row r="93" spans="1:11">
      <c r="A93" s="1" t="s">
        <v>256</v>
      </c>
      <c r="B93" s="1">
        <v>260</v>
      </c>
      <c r="C93" s="2">
        <v>33.299999999999997</v>
      </c>
      <c r="D93" s="3">
        <v>27.1</v>
      </c>
      <c r="E93" s="4">
        <v>10.039999999999999</v>
      </c>
      <c r="F93" s="1">
        <v>9.6</v>
      </c>
      <c r="G93" s="9">
        <v>-4.4000000000000003E-3</v>
      </c>
      <c r="H93" s="9">
        <v>-3.29E-3</v>
      </c>
      <c r="I93" s="9">
        <v>3.8000000000000002E-4</v>
      </c>
    </row>
    <row r="94" spans="1:11">
      <c r="A94" s="1" t="s">
        <v>257</v>
      </c>
      <c r="B94" s="1">
        <v>260</v>
      </c>
      <c r="C94" s="2">
        <v>33.299999999999997</v>
      </c>
      <c r="D94" s="3">
        <v>27.1</v>
      </c>
      <c r="E94" s="4">
        <v>10.039999999999999</v>
      </c>
      <c r="F94" s="1">
        <v>9.6</v>
      </c>
      <c r="G94" s="9">
        <v>-4.0000000000000001E-3</v>
      </c>
      <c r="H94" s="9">
        <v>-3.5000000000000001E-3</v>
      </c>
    </row>
    <row r="95" spans="1:11">
      <c r="A95" s="1" t="s">
        <v>258</v>
      </c>
      <c r="B95" s="1">
        <v>270</v>
      </c>
      <c r="C95" s="2">
        <v>38.299999999999997</v>
      </c>
      <c r="D95" s="3">
        <v>30.9</v>
      </c>
      <c r="E95" s="4">
        <v>9.35</v>
      </c>
      <c r="F95" s="1">
        <v>8.74</v>
      </c>
      <c r="G95" s="9">
        <v>-4.4000000000000003E-3</v>
      </c>
      <c r="H95" s="9">
        <v>-3.29E-3</v>
      </c>
      <c r="I95" s="9">
        <v>3.8000000000000002E-4</v>
      </c>
    </row>
    <row r="96" spans="1:11">
      <c r="A96" s="1" t="s">
        <v>259</v>
      </c>
      <c r="B96" s="1">
        <v>340</v>
      </c>
      <c r="C96" s="2">
        <v>37.5</v>
      </c>
      <c r="D96" s="3">
        <v>31.9</v>
      </c>
      <c r="E96" s="4">
        <v>11.12</v>
      </c>
      <c r="F96" s="1">
        <v>10.66</v>
      </c>
      <c r="G96" s="9">
        <v>-3.3300000000000001E-3</v>
      </c>
      <c r="H96" s="9">
        <v>-2.7599999999999999E-3</v>
      </c>
      <c r="I96" s="9">
        <v>3.8000000000000002E-4</v>
      </c>
    </row>
    <row r="97" spans="1:9">
      <c r="A97" s="1" t="s">
        <v>260</v>
      </c>
      <c r="B97" s="1">
        <v>375</v>
      </c>
      <c r="C97" s="2">
        <v>41.89</v>
      </c>
      <c r="D97" s="3">
        <v>34.1</v>
      </c>
      <c r="E97" s="4">
        <v>11.43</v>
      </c>
      <c r="F97" s="1">
        <v>11.01</v>
      </c>
      <c r="G97" s="9">
        <v>-3.2799999999999999E-3</v>
      </c>
      <c r="H97" s="9">
        <v>-2.5600000000000002E-3</v>
      </c>
    </row>
    <row r="98" spans="1:9">
      <c r="A98" s="1" t="s">
        <v>261</v>
      </c>
      <c r="B98" s="1">
        <v>300</v>
      </c>
      <c r="C98" s="2">
        <v>39.299999999999997</v>
      </c>
      <c r="D98" s="3">
        <v>32.700000000000003</v>
      </c>
      <c r="E98" s="4">
        <v>9.65</v>
      </c>
      <c r="F98" s="1">
        <v>9.18</v>
      </c>
      <c r="G98" s="9">
        <v>-3.8E-3</v>
      </c>
      <c r="H98" s="9">
        <v>-2.8999999999999998E-3</v>
      </c>
      <c r="I98" s="9">
        <v>5.0000000000000001E-4</v>
      </c>
    </row>
    <row r="99" spans="1:9">
      <c r="A99" s="1" t="s">
        <v>262</v>
      </c>
      <c r="B99" s="1">
        <v>295</v>
      </c>
      <c r="C99" s="2">
        <v>39.1</v>
      </c>
      <c r="D99" s="3">
        <v>32.5</v>
      </c>
      <c r="E99" s="4">
        <v>9.57</v>
      </c>
      <c r="F99" s="1">
        <v>9.08</v>
      </c>
      <c r="G99" s="9">
        <v>-3.8E-3</v>
      </c>
      <c r="H99" s="9">
        <v>-3.0000000000000001E-3</v>
      </c>
    </row>
    <row r="100" spans="1:9">
      <c r="A100" s="1" t="s">
        <v>263</v>
      </c>
      <c r="B100" s="1">
        <v>310</v>
      </c>
      <c r="C100" s="6">
        <v>39.700000000000003</v>
      </c>
      <c r="D100" s="3">
        <v>32.9</v>
      </c>
      <c r="E100" s="4">
        <v>9.98</v>
      </c>
      <c r="F100" s="1">
        <v>9.43</v>
      </c>
      <c r="G100" s="9">
        <v>-3.7000000000000002E-3</v>
      </c>
      <c r="H100" s="9">
        <v>-2.8999999999999998E-3</v>
      </c>
      <c r="I100" s="9">
        <v>5.0000000000000001E-4</v>
      </c>
    </row>
    <row r="101" spans="1:9">
      <c r="A101" s="1" t="s">
        <v>264</v>
      </c>
      <c r="B101" s="1">
        <v>315</v>
      </c>
      <c r="C101" s="2">
        <v>39.9</v>
      </c>
      <c r="D101" s="3">
        <v>33.1</v>
      </c>
      <c r="E101" s="4">
        <v>10.06</v>
      </c>
      <c r="F101" s="1">
        <v>9.52</v>
      </c>
      <c r="G101" s="9">
        <v>-3.7000000000000002E-3</v>
      </c>
      <c r="H101" s="9">
        <v>-2.8999999999999998E-3</v>
      </c>
      <c r="I101" s="9">
        <v>5.0000000000000001E-4</v>
      </c>
    </row>
    <row r="102" spans="1:9">
      <c r="A102" s="1" t="s">
        <v>265</v>
      </c>
      <c r="B102" s="1">
        <v>325</v>
      </c>
      <c r="C102" s="2">
        <v>40.299999999999997</v>
      </c>
      <c r="D102" s="3">
        <v>33.5</v>
      </c>
      <c r="E102" s="4">
        <v>10.220000000000001</v>
      </c>
      <c r="F102" s="1">
        <v>9.7100000000000009</v>
      </c>
      <c r="G102" s="9">
        <v>-3.7000000000000002E-3</v>
      </c>
      <c r="H102" s="9">
        <v>-2.8999999999999998E-3</v>
      </c>
      <c r="I102" s="9">
        <v>5.0000000000000001E-4</v>
      </c>
    </row>
    <row r="103" spans="1:9">
      <c r="A103" s="1" t="s">
        <v>266</v>
      </c>
      <c r="B103" s="1">
        <v>325</v>
      </c>
      <c r="C103" s="2">
        <v>40.299999999999997</v>
      </c>
      <c r="D103" s="3">
        <v>33.5</v>
      </c>
      <c r="E103" s="4">
        <v>10.220000000000001</v>
      </c>
      <c r="F103" s="1">
        <v>9.7100000000000009</v>
      </c>
      <c r="G103" s="9">
        <v>-3.7000000000000002E-3</v>
      </c>
      <c r="H103" s="9">
        <v>-2.8999999999999998E-3</v>
      </c>
      <c r="I103" s="9">
        <v>5.0000000000000001E-4</v>
      </c>
    </row>
    <row r="104" spans="1:9">
      <c r="A104" s="1" t="s">
        <v>267</v>
      </c>
      <c r="B104" s="1">
        <v>360</v>
      </c>
      <c r="C104" s="2">
        <v>40</v>
      </c>
      <c r="D104" s="3">
        <v>33.1</v>
      </c>
      <c r="E104" s="4">
        <v>11.45</v>
      </c>
      <c r="F104" s="1">
        <v>10.88</v>
      </c>
      <c r="G104" s="9">
        <v>-3.5999999999999999E-3</v>
      </c>
      <c r="H104" s="9">
        <v>-2.8999999999999998E-3</v>
      </c>
      <c r="I104" s="9">
        <v>5.0000000000000001E-4</v>
      </c>
    </row>
    <row r="105" spans="1:9">
      <c r="A105" s="7" t="s">
        <v>268</v>
      </c>
      <c r="B105" s="1">
        <v>365</v>
      </c>
      <c r="C105" s="2">
        <v>40.6</v>
      </c>
      <c r="D105" s="3">
        <v>33.9</v>
      </c>
      <c r="E105" s="4">
        <v>11.47</v>
      </c>
      <c r="F105" s="1">
        <v>10.78</v>
      </c>
      <c r="G105" s="9">
        <v>-3.5000000000000001E-3</v>
      </c>
      <c r="H105" s="9">
        <v>-2.7000000000000001E-3</v>
      </c>
      <c r="I105" s="9">
        <v>5.0000000000000001E-4</v>
      </c>
    </row>
    <row r="106" spans="1:9">
      <c r="A106" s="1" t="s">
        <v>269</v>
      </c>
      <c r="B106" s="1">
        <v>375</v>
      </c>
      <c r="C106" s="2">
        <v>41</v>
      </c>
      <c r="D106" s="3">
        <v>34.299999999999997</v>
      </c>
      <c r="E106" s="4">
        <v>11.61</v>
      </c>
      <c r="F106" s="1">
        <v>10.94</v>
      </c>
      <c r="G106" s="9">
        <v>-3.5000000000000001E-3</v>
      </c>
      <c r="H106" s="9">
        <v>-2.7000000000000001E-3</v>
      </c>
      <c r="I106" s="9">
        <v>5.0000000000000001E-4</v>
      </c>
    </row>
    <row r="107" spans="1:9">
      <c r="A107" s="1" t="s">
        <v>270</v>
      </c>
      <c r="B107" s="1">
        <v>370</v>
      </c>
      <c r="C107" s="2">
        <v>40.86</v>
      </c>
      <c r="D107" s="3">
        <v>34.1</v>
      </c>
      <c r="E107" s="4">
        <v>11.54</v>
      </c>
      <c r="F107" s="1">
        <v>10.86</v>
      </c>
      <c r="G107" s="9">
        <v>-3.5000000000000001E-3</v>
      </c>
      <c r="H107" s="9">
        <v>-2.7000000000000001E-3</v>
      </c>
      <c r="I107" s="9">
        <v>5.0000000000000001E-4</v>
      </c>
    </row>
    <row r="108" spans="1:9">
      <c r="A108" s="1" t="s">
        <v>271</v>
      </c>
      <c r="B108" s="1">
        <v>375</v>
      </c>
      <c r="C108" s="2">
        <v>41</v>
      </c>
      <c r="D108" s="3">
        <v>34.299999999999997</v>
      </c>
      <c r="E108" s="4">
        <v>11.61</v>
      </c>
      <c r="F108" s="1">
        <v>10.94</v>
      </c>
      <c r="G108" s="9">
        <v>-3.3999999999999998E-3</v>
      </c>
      <c r="H108" s="9">
        <v>-2.5999999999999999E-3</v>
      </c>
      <c r="I108" s="9">
        <v>5.0000000000000001E-4</v>
      </c>
    </row>
    <row r="109" spans="1:9">
      <c r="A109" s="1" t="s">
        <v>272</v>
      </c>
      <c r="B109" s="1">
        <v>380</v>
      </c>
      <c r="C109" s="2">
        <v>41.2</v>
      </c>
      <c r="D109" s="3">
        <v>34.5</v>
      </c>
      <c r="E109" s="4">
        <v>11.68</v>
      </c>
      <c r="F109" s="1">
        <v>11.02</v>
      </c>
      <c r="G109" s="9">
        <v>-3.5000000000000001E-3</v>
      </c>
      <c r="H109" s="9">
        <v>-2.7000000000000001E-3</v>
      </c>
      <c r="I109" s="9">
        <v>5.0000000000000001E-4</v>
      </c>
    </row>
    <row r="110" spans="1:9">
      <c r="A110" s="1" t="s">
        <v>273</v>
      </c>
      <c r="B110" s="1">
        <v>405</v>
      </c>
      <c r="C110" s="2">
        <v>37</v>
      </c>
      <c r="D110" s="3">
        <v>31</v>
      </c>
      <c r="E110" s="4">
        <v>13.93</v>
      </c>
      <c r="F110" s="1">
        <v>13.07</v>
      </c>
      <c r="G110" s="9">
        <v>-3.3999999999999998E-3</v>
      </c>
      <c r="H110" s="9">
        <v>-2.5999999999999999E-3</v>
      </c>
      <c r="I110" s="9">
        <v>5.0000000000000001E-4</v>
      </c>
    </row>
    <row r="111" spans="1:9">
      <c r="A111" s="1" t="s">
        <v>274</v>
      </c>
      <c r="B111" s="1">
        <v>300</v>
      </c>
      <c r="C111" s="2">
        <v>32.799999999999997</v>
      </c>
      <c r="D111" s="3">
        <v>27.4</v>
      </c>
      <c r="E111" s="4">
        <v>11.61</v>
      </c>
      <c r="F111" s="1">
        <v>10.94</v>
      </c>
      <c r="G111" s="9">
        <v>-3.3999999999999998E-3</v>
      </c>
      <c r="H111" s="9">
        <v>-2.5999999999999999E-3</v>
      </c>
      <c r="I111" s="9">
        <v>5.0000000000000001E-4</v>
      </c>
    </row>
    <row r="112" spans="1:9">
      <c r="A112" s="1" t="s">
        <v>275</v>
      </c>
      <c r="B112" s="1">
        <v>300</v>
      </c>
      <c r="C112" s="2">
        <v>32.799999999999997</v>
      </c>
      <c r="D112" s="3">
        <v>27.4</v>
      </c>
      <c r="E112" s="4">
        <v>11.61</v>
      </c>
      <c r="F112" s="1">
        <v>10.94</v>
      </c>
      <c r="G112" s="9">
        <v>-3.5000000000000001E-3</v>
      </c>
      <c r="H112" s="9">
        <v>-2.7000000000000001E-3</v>
      </c>
      <c r="I112" s="9">
        <v>5.0000000000000001E-4</v>
      </c>
    </row>
    <row r="113" spans="1:10">
      <c r="A113" s="1" t="s">
        <v>276</v>
      </c>
      <c r="B113" s="1">
        <v>250</v>
      </c>
      <c r="C113" s="2">
        <v>27.3</v>
      </c>
      <c r="D113" s="3">
        <v>22.9</v>
      </c>
      <c r="E113" s="4">
        <v>11.61</v>
      </c>
      <c r="F113" s="1">
        <v>10.94</v>
      </c>
      <c r="G113" s="9">
        <v>-3.3999999999999998E-3</v>
      </c>
      <c r="H113" s="9">
        <v>-2.5999999999999999E-3</v>
      </c>
      <c r="I113" s="9">
        <v>5.0000000000000001E-4</v>
      </c>
    </row>
    <row r="114" spans="1:10">
      <c r="A114" s="1" t="s">
        <v>277</v>
      </c>
      <c r="B114" s="1">
        <v>355</v>
      </c>
      <c r="C114" s="2">
        <v>46.8</v>
      </c>
      <c r="D114" s="3">
        <v>39.4</v>
      </c>
      <c r="E114" s="4">
        <v>9.59</v>
      </c>
      <c r="F114" s="1">
        <v>9.02</v>
      </c>
      <c r="G114" s="9">
        <v>-3.8999999999999998E-3</v>
      </c>
      <c r="H114" s="9">
        <v>-3.0000000000000001E-3</v>
      </c>
      <c r="I114" s="9">
        <v>5.2999999999999998E-4</v>
      </c>
    </row>
    <row r="115" spans="1:10">
      <c r="A115" s="1" t="s">
        <v>278</v>
      </c>
      <c r="B115" s="1">
        <v>360</v>
      </c>
      <c r="C115" s="2">
        <v>47</v>
      </c>
      <c r="D115" s="3">
        <v>39.6</v>
      </c>
      <c r="E115" s="4">
        <v>9.67</v>
      </c>
      <c r="F115" s="1">
        <v>9.1</v>
      </c>
      <c r="G115" s="9">
        <v>-3.8E-3</v>
      </c>
      <c r="H115" s="9">
        <v>-2.8999999999999998E-3</v>
      </c>
      <c r="I115" s="9">
        <v>5.0000000000000001E-4</v>
      </c>
    </row>
    <row r="116" spans="1:10">
      <c r="A116" s="1" t="s">
        <v>279</v>
      </c>
      <c r="B116" s="1">
        <v>360</v>
      </c>
      <c r="C116" s="2">
        <v>47</v>
      </c>
      <c r="D116" s="3">
        <v>39.6</v>
      </c>
      <c r="E116" s="4">
        <v>9.67</v>
      </c>
      <c r="F116" s="1">
        <v>9.1</v>
      </c>
      <c r="G116" s="9">
        <v>-3.7000000000000002E-3</v>
      </c>
      <c r="H116" s="9">
        <v>-2.8999999999999998E-3</v>
      </c>
      <c r="I116" s="9">
        <v>5.0000000000000001E-4</v>
      </c>
    </row>
    <row r="117" spans="1:10">
      <c r="A117" s="1" t="s">
        <v>280</v>
      </c>
      <c r="B117" s="1">
        <v>365</v>
      </c>
      <c r="C117" s="2">
        <v>47.2</v>
      </c>
      <c r="D117" s="3">
        <v>39.799999999999997</v>
      </c>
      <c r="E117" s="4">
        <v>9.75</v>
      </c>
      <c r="F117" s="1">
        <v>9.18</v>
      </c>
      <c r="G117" s="9">
        <v>-3.7000000000000002E-3</v>
      </c>
      <c r="H117" s="9">
        <v>-2.8999999999999998E-3</v>
      </c>
      <c r="I117" s="9">
        <v>5.0000000000000001E-4</v>
      </c>
    </row>
    <row r="118" spans="1:10">
      <c r="A118" s="1" t="s">
        <v>281</v>
      </c>
      <c r="B118" s="1">
        <v>380</v>
      </c>
      <c r="C118" s="2">
        <v>47.8</v>
      </c>
      <c r="D118" s="3">
        <v>40</v>
      </c>
      <c r="E118" s="4">
        <v>10.01</v>
      </c>
      <c r="F118" s="1">
        <v>9.5</v>
      </c>
      <c r="G118" s="9">
        <v>-3.7000000000000002E-3</v>
      </c>
      <c r="H118" s="9">
        <v>-2.8999999999999998E-3</v>
      </c>
      <c r="I118" s="9">
        <v>5.0000000000000001E-4</v>
      </c>
    </row>
    <row r="119" spans="1:10">
      <c r="A119" s="1" t="s">
        <v>282</v>
      </c>
      <c r="B119" s="1">
        <v>390</v>
      </c>
      <c r="C119" s="2">
        <v>48.2</v>
      </c>
      <c r="D119" s="3">
        <v>40.4</v>
      </c>
      <c r="E119" s="4">
        <v>10.17</v>
      </c>
      <c r="F119" s="1">
        <v>9.66</v>
      </c>
      <c r="G119" s="9">
        <v>-3.7000000000000002E-3</v>
      </c>
      <c r="H119" s="9">
        <v>-2.8999999999999998E-3</v>
      </c>
      <c r="I119" s="9">
        <v>5.0000000000000001E-4</v>
      </c>
    </row>
    <row r="120" spans="1:10">
      <c r="A120" s="1" t="s">
        <v>283</v>
      </c>
      <c r="B120" s="1">
        <v>400</v>
      </c>
      <c r="C120" s="2">
        <v>47.2</v>
      </c>
      <c r="D120" s="3">
        <v>38.700000000000003</v>
      </c>
      <c r="E120" s="4">
        <v>10.9</v>
      </c>
      <c r="F120" s="1">
        <v>10.34</v>
      </c>
      <c r="G120" s="9">
        <v>-3.7000000000000002E-3</v>
      </c>
      <c r="H120" s="9">
        <v>-2.8999999999999998E-3</v>
      </c>
      <c r="I120" s="9">
        <v>5.0000000000000001E-4</v>
      </c>
    </row>
    <row r="121" spans="1:10">
      <c r="A121" s="1" t="s">
        <v>284</v>
      </c>
      <c r="B121" s="1">
        <v>405</v>
      </c>
      <c r="C121" s="2">
        <v>47.4</v>
      </c>
      <c r="D121" s="3">
        <v>38.9</v>
      </c>
      <c r="E121" s="4">
        <v>10.98</v>
      </c>
      <c r="F121" s="1">
        <v>10.42</v>
      </c>
      <c r="G121" s="9">
        <v>-3.7000000000000002E-3</v>
      </c>
      <c r="H121" s="9">
        <v>-2.8999999999999998E-3</v>
      </c>
      <c r="I121" s="9">
        <v>5.0000000000000001E-4</v>
      </c>
    </row>
    <row r="122" spans="1:10">
      <c r="A122" s="1" t="s">
        <v>285</v>
      </c>
      <c r="B122" s="1">
        <v>410</v>
      </c>
      <c r="C122" s="2">
        <v>47.6</v>
      </c>
      <c r="D122" s="3">
        <v>39.1</v>
      </c>
      <c r="E122" s="4">
        <v>11.06</v>
      </c>
      <c r="F122" s="1">
        <v>10.49</v>
      </c>
      <c r="G122" s="9">
        <v>-3.5999999999999999E-3</v>
      </c>
      <c r="H122" s="9">
        <v>-2.8E-3</v>
      </c>
      <c r="I122" s="9">
        <v>5.0000000000000001E-4</v>
      </c>
    </row>
    <row r="123" spans="1:10">
      <c r="A123" s="1" t="s">
        <v>286</v>
      </c>
      <c r="B123" s="1">
        <f>B122*(1+J123)</f>
        <v>512.5</v>
      </c>
      <c r="C123" s="2">
        <f>C122</f>
        <v>47.6</v>
      </c>
      <c r="D123" s="3">
        <f>D122</f>
        <v>39.1</v>
      </c>
      <c r="E123" s="4">
        <f>E122*(1+J123)</f>
        <v>13.825000000000001</v>
      </c>
      <c r="F123" s="1">
        <f>F122*(1+J123)</f>
        <v>13.112500000000001</v>
      </c>
      <c r="G123" s="9">
        <f>G122</f>
        <v>-3.5999999999999999E-3</v>
      </c>
      <c r="H123" s="9">
        <f>H122</f>
        <v>-2.8E-3</v>
      </c>
      <c r="I123" s="9">
        <f>I122</f>
        <v>5.0000000000000001E-4</v>
      </c>
      <c r="J123" s="9">
        <v>0.25</v>
      </c>
    </row>
    <row r="124" spans="1:10">
      <c r="A124" s="1" t="s">
        <v>287</v>
      </c>
      <c r="B124" s="1">
        <v>440</v>
      </c>
      <c r="C124" s="2">
        <v>48.3</v>
      </c>
      <c r="D124" s="3">
        <v>40.1</v>
      </c>
      <c r="E124" s="4">
        <v>11.53</v>
      </c>
      <c r="F124" s="1">
        <v>10.98</v>
      </c>
      <c r="G124" s="9">
        <v>-3.5999999999999999E-3</v>
      </c>
      <c r="H124" s="9">
        <v>-2.8999999999999998E-3</v>
      </c>
      <c r="I124" s="9">
        <v>5.0000000000000001E-4</v>
      </c>
    </row>
    <row r="125" spans="1:10">
      <c r="A125" s="1" t="s">
        <v>288</v>
      </c>
      <c r="B125" s="1">
        <v>440</v>
      </c>
      <c r="C125" s="2">
        <v>48.7</v>
      </c>
      <c r="D125" s="3">
        <v>40.700000000000003</v>
      </c>
      <c r="E125" s="4">
        <v>11.48</v>
      </c>
      <c r="F125" s="1">
        <v>10.82</v>
      </c>
      <c r="G125" s="9">
        <v>-3.5000000000000001E-3</v>
      </c>
      <c r="H125" s="9">
        <v>-2.7000000000000001E-3</v>
      </c>
      <c r="I125" s="9">
        <v>5.0000000000000001E-4</v>
      </c>
    </row>
    <row r="126" spans="1:10">
      <c r="A126" s="1" t="s">
        <v>289</v>
      </c>
      <c r="B126" s="1">
        <v>445</v>
      </c>
      <c r="C126" s="2">
        <v>48.9</v>
      </c>
      <c r="D126" s="3">
        <v>40.9</v>
      </c>
      <c r="E126" s="4">
        <v>11.54</v>
      </c>
      <c r="F126" s="1">
        <v>10.89</v>
      </c>
      <c r="G126" s="9">
        <v>-3.5000000000000001E-3</v>
      </c>
      <c r="H126" s="9">
        <v>-2.7000000000000001E-3</v>
      </c>
      <c r="I126" s="9">
        <v>5.0000000000000001E-4</v>
      </c>
    </row>
    <row r="127" spans="1:10">
      <c r="A127" s="1" t="s">
        <v>290</v>
      </c>
      <c r="B127" s="1">
        <v>450</v>
      </c>
      <c r="C127" s="2">
        <v>49.1</v>
      </c>
      <c r="D127" s="3">
        <v>41.1</v>
      </c>
      <c r="E127" s="4">
        <v>11.6</v>
      </c>
      <c r="F127" s="1">
        <v>10.96</v>
      </c>
      <c r="G127" s="9">
        <v>-3.5000000000000001E-3</v>
      </c>
      <c r="H127" s="9">
        <v>-2.7000000000000001E-3</v>
      </c>
      <c r="I127" s="9">
        <v>5.0000000000000001E-4</v>
      </c>
    </row>
    <row r="128" spans="1:10">
      <c r="A128" s="1" t="s">
        <v>291</v>
      </c>
      <c r="B128" s="1">
        <v>455</v>
      </c>
      <c r="C128" s="2">
        <v>49.3</v>
      </c>
      <c r="D128" s="3">
        <v>41.3</v>
      </c>
      <c r="E128" s="4">
        <v>11.66</v>
      </c>
      <c r="F128" s="1">
        <v>11.02</v>
      </c>
      <c r="G128" s="9">
        <v>-3.5000000000000001E-3</v>
      </c>
      <c r="H128" s="9">
        <v>-2.7000000000000001E-3</v>
      </c>
      <c r="I128" s="9">
        <v>5.0000000000000001E-4</v>
      </c>
    </row>
    <row r="129" spans="1:11">
      <c r="A129" s="1" t="s">
        <v>292</v>
      </c>
      <c r="B129" s="1">
        <v>460</v>
      </c>
      <c r="C129" s="2">
        <v>49.5</v>
      </c>
      <c r="D129" s="3">
        <v>41.5</v>
      </c>
      <c r="E129" s="4">
        <v>11.72</v>
      </c>
      <c r="F129" s="1">
        <v>11.09</v>
      </c>
      <c r="G129" s="9">
        <v>-3.3999999999999998E-3</v>
      </c>
      <c r="H129" s="9">
        <v>-2.5999999999999999E-3</v>
      </c>
      <c r="I129" s="9">
        <v>5.0000000000000001E-4</v>
      </c>
      <c r="K129" s="5">
        <v>34</v>
      </c>
    </row>
    <row r="130" spans="1:11">
      <c r="A130" s="1" t="s">
        <v>293</v>
      </c>
      <c r="B130" s="1">
        <v>450</v>
      </c>
      <c r="C130" s="2">
        <v>51.6</v>
      </c>
      <c r="D130" s="3">
        <v>42.4</v>
      </c>
      <c r="E130" s="4">
        <v>11.18</v>
      </c>
      <c r="F130" s="1">
        <v>10.62</v>
      </c>
      <c r="G130" s="9">
        <v>-3.5999999999999999E-3</v>
      </c>
      <c r="H130" s="9">
        <v>-2.8E-3</v>
      </c>
      <c r="I130" s="9">
        <v>5.0000000000000001E-4</v>
      </c>
    </row>
    <row r="131" spans="1:11" ht="11.65" customHeight="1">
      <c r="A131" s="1" t="s">
        <v>294</v>
      </c>
      <c r="B131" s="1">
        <v>490</v>
      </c>
      <c r="C131" s="2">
        <v>53.3</v>
      </c>
      <c r="D131" s="3">
        <v>44.6</v>
      </c>
      <c r="E131" s="4">
        <v>11.67</v>
      </c>
      <c r="F131" s="1">
        <v>11</v>
      </c>
      <c r="G131" s="9">
        <v>-3.5000000000000001E-3</v>
      </c>
      <c r="H131" s="9">
        <v>-2.7000000000000001E-3</v>
      </c>
      <c r="I131" s="9">
        <v>5.0000000000000001E-4</v>
      </c>
    </row>
    <row r="132" spans="1:11" ht="11.65" customHeight="1">
      <c r="A132" s="1" t="s">
        <v>295</v>
      </c>
      <c r="B132" s="1">
        <v>495</v>
      </c>
      <c r="C132" s="2">
        <v>53.3</v>
      </c>
      <c r="D132" s="3">
        <v>44.6</v>
      </c>
      <c r="E132" s="4">
        <v>11.72</v>
      </c>
      <c r="F132" s="1">
        <v>11.1</v>
      </c>
      <c r="G132" s="9">
        <v>-3.5000000000000001E-3</v>
      </c>
      <c r="H132" s="9">
        <v>-2.7000000000000001E-3</v>
      </c>
      <c r="I132" s="9">
        <v>5.0000000000000001E-4</v>
      </c>
    </row>
    <row r="133" spans="1:11">
      <c r="A133" s="1" t="s">
        <v>296</v>
      </c>
      <c r="B133" s="1">
        <v>190</v>
      </c>
      <c r="C133" s="2">
        <v>44.8</v>
      </c>
      <c r="D133" s="3">
        <v>36.6</v>
      </c>
      <c r="E133" s="4">
        <v>5.52</v>
      </c>
      <c r="F133" s="1">
        <v>5.19</v>
      </c>
      <c r="G133" s="9">
        <v>-4.4999999999999997E-3</v>
      </c>
      <c r="H133" s="9">
        <v>-3.5000000000000001E-3</v>
      </c>
      <c r="I133" s="9">
        <v>5.9999999999999995E-4</v>
      </c>
      <c r="K133" s="5">
        <v>18</v>
      </c>
    </row>
    <row r="134" spans="1:11">
      <c r="A134" s="1" t="s">
        <v>297</v>
      </c>
      <c r="B134" s="1">
        <v>200</v>
      </c>
      <c r="C134" s="2">
        <v>45.3</v>
      </c>
      <c r="D134" s="3">
        <v>37.4</v>
      </c>
      <c r="E134" s="4">
        <v>5.71</v>
      </c>
      <c r="F134" s="1">
        <v>5.35</v>
      </c>
      <c r="G134" s="9">
        <v>-4.4999999999999997E-3</v>
      </c>
      <c r="H134" s="9">
        <v>-3.5000000000000001E-3</v>
      </c>
      <c r="I134" s="9">
        <v>5.9999999999999995E-4</v>
      </c>
    </row>
    <row r="135" spans="1:11">
      <c r="A135" s="1" t="s">
        <v>298</v>
      </c>
      <c r="B135" s="1">
        <v>500</v>
      </c>
      <c r="C135" s="2">
        <v>43.2</v>
      </c>
      <c r="D135" s="3">
        <v>36.6</v>
      </c>
      <c r="E135" s="4">
        <v>14.51</v>
      </c>
      <c r="F135" s="1">
        <v>13.67</v>
      </c>
      <c r="G135" s="9">
        <v>-2.8999999999999998E-3</v>
      </c>
      <c r="H135" s="9">
        <v>-2.5000000000000001E-3</v>
      </c>
      <c r="I135" s="9">
        <v>5.0000000000000001E-4</v>
      </c>
    </row>
    <row r="136" spans="1:11">
      <c r="A136" s="1" t="s">
        <v>299</v>
      </c>
      <c r="B136" s="1">
        <f>B135*(1+J136)</f>
        <v>625</v>
      </c>
      <c r="C136" s="2">
        <f>C135</f>
        <v>43.2</v>
      </c>
      <c r="D136" s="3">
        <f>D135</f>
        <v>36.6</v>
      </c>
      <c r="E136" s="4">
        <f>E135*(1+J136)</f>
        <v>18.137499999999999</v>
      </c>
      <c r="F136" s="1">
        <f>F135*(1+J136)</f>
        <v>17.087499999999999</v>
      </c>
      <c r="G136" s="9">
        <f>G135</f>
        <v>-2.8999999999999998E-3</v>
      </c>
      <c r="H136" s="9">
        <f>H135</f>
        <v>-2.5000000000000001E-3</v>
      </c>
      <c r="I136" s="9">
        <f>I135</f>
        <v>5.0000000000000001E-4</v>
      </c>
      <c r="J136" s="9">
        <v>0.25</v>
      </c>
    </row>
    <row r="137" spans="1:11">
      <c r="A137" s="1" t="s">
        <v>300</v>
      </c>
      <c r="B137" s="1">
        <v>505</v>
      </c>
      <c r="C137" s="2">
        <v>43.4</v>
      </c>
      <c r="D137" s="3">
        <v>36.799999999999997</v>
      </c>
      <c r="E137" s="4">
        <v>14.58</v>
      </c>
      <c r="F137" s="1">
        <v>13.73</v>
      </c>
      <c r="G137" s="9">
        <v>-2.8999999999999998E-3</v>
      </c>
      <c r="H137" s="9">
        <v>-2.5000000000000001E-3</v>
      </c>
      <c r="I137" s="9">
        <v>5.0000000000000001E-4</v>
      </c>
    </row>
    <row r="138" spans="1:11">
      <c r="A138" s="1" t="s">
        <v>301</v>
      </c>
      <c r="B138" s="1">
        <f>B137*(1+J138)</f>
        <v>631.25</v>
      </c>
      <c r="C138" s="2">
        <f>C137</f>
        <v>43.4</v>
      </c>
      <c r="D138" s="3">
        <f>D137</f>
        <v>36.799999999999997</v>
      </c>
      <c r="E138" s="4">
        <f>E137*(1+J138)</f>
        <v>18.225000000000001</v>
      </c>
      <c r="F138" s="1">
        <f>F137*(1+J138)</f>
        <v>17.162500000000001</v>
      </c>
      <c r="G138" s="9">
        <f>G137</f>
        <v>-2.8999999999999998E-3</v>
      </c>
      <c r="H138" s="9">
        <f>H137</f>
        <v>-2.5000000000000001E-3</v>
      </c>
      <c r="I138" s="9">
        <f>I137</f>
        <v>5.0000000000000001E-4</v>
      </c>
      <c r="J138" s="9">
        <v>0.25</v>
      </c>
    </row>
    <row r="139" spans="1:11" ht="14.1">
      <c r="A139" s="209" t="s">
        <v>302</v>
      </c>
      <c r="B139" s="1">
        <v>610</v>
      </c>
      <c r="C139" s="2">
        <v>52.2</v>
      </c>
      <c r="D139" s="3">
        <v>44.4</v>
      </c>
      <c r="E139" s="4">
        <v>14.66</v>
      </c>
      <c r="F139" s="1">
        <v>13.74</v>
      </c>
      <c r="G139" s="9">
        <v>-2.8999999999999998E-3</v>
      </c>
      <c r="H139" s="9">
        <v>-2.5000000000000001E-3</v>
      </c>
      <c r="I139" s="9">
        <v>5.0000000000000001E-4</v>
      </c>
    </row>
    <row r="140" spans="1:11" ht="14.1">
      <c r="A140" s="209" t="s">
        <v>303</v>
      </c>
      <c r="B140" s="1">
        <f>B139*(1+J140)</f>
        <v>762.5</v>
      </c>
      <c r="C140" s="2">
        <f>C139</f>
        <v>52.2</v>
      </c>
      <c r="D140" s="3">
        <f>D139</f>
        <v>44.4</v>
      </c>
      <c r="E140" s="4">
        <f>E139*(1+J140)</f>
        <v>18.324999999999999</v>
      </c>
      <c r="F140" s="1">
        <f>F139*(1+J140)</f>
        <v>17.175000000000001</v>
      </c>
      <c r="G140" s="9">
        <f>G139</f>
        <v>-2.8999999999999998E-3</v>
      </c>
      <c r="H140" s="9">
        <f>H139</f>
        <v>-2.5000000000000001E-3</v>
      </c>
      <c r="I140" s="9">
        <f>I139</f>
        <v>5.0000000000000001E-4</v>
      </c>
      <c r="J140" s="9">
        <v>0.25</v>
      </c>
    </row>
    <row r="141" spans="1:11" ht="14.1">
      <c r="A141" s="209" t="s">
        <v>304</v>
      </c>
      <c r="B141" s="1">
        <v>610</v>
      </c>
      <c r="C141" s="2">
        <v>52.2</v>
      </c>
      <c r="D141" s="3">
        <v>44.4</v>
      </c>
      <c r="E141" s="4">
        <v>14.66</v>
      </c>
      <c r="F141" s="1">
        <v>13.74</v>
      </c>
      <c r="G141" s="9">
        <v>-2.8999999999999998E-3</v>
      </c>
      <c r="H141" s="9">
        <v>-2.5000000000000001E-3</v>
      </c>
      <c r="I141" s="9">
        <v>5.0000000000000001E-4</v>
      </c>
    </row>
    <row r="142" spans="1:11" ht="14.1">
      <c r="A142" s="209" t="s">
        <v>305</v>
      </c>
      <c r="B142" s="1">
        <v>615</v>
      </c>
      <c r="C142" s="2">
        <v>52.4</v>
      </c>
      <c r="D142" s="3">
        <v>44.6</v>
      </c>
      <c r="E142" s="4">
        <v>14.72</v>
      </c>
      <c r="F142" s="1">
        <v>13.79</v>
      </c>
      <c r="G142" s="9">
        <v>-2.8999999999999998E-3</v>
      </c>
      <c r="H142" s="9">
        <v>-2.5000000000000001E-3</v>
      </c>
      <c r="I142" s="9">
        <v>5.0000000000000001E-4</v>
      </c>
    </row>
    <row r="143" spans="1:11" ht="14.1">
      <c r="A143" s="209" t="s">
        <v>306</v>
      </c>
      <c r="B143" s="1">
        <v>620</v>
      </c>
      <c r="C143" s="2">
        <v>50.6</v>
      </c>
      <c r="D143" s="3">
        <v>44.8</v>
      </c>
      <c r="E143" s="4">
        <v>14.78</v>
      </c>
      <c r="F143" s="1">
        <v>13.84</v>
      </c>
      <c r="G143" s="9">
        <v>-2.8999999999999998E-3</v>
      </c>
      <c r="H143" s="9">
        <v>-2.5000000000000001E-3</v>
      </c>
      <c r="I143" s="9">
        <v>5.0000000000000001E-4</v>
      </c>
    </row>
    <row r="144" spans="1:11">
      <c r="A144" s="210" t="s">
        <v>307</v>
      </c>
      <c r="B144" s="210">
        <v>300</v>
      </c>
      <c r="C144" s="211">
        <v>35.700000000000003</v>
      </c>
      <c r="D144" s="212">
        <v>29.9</v>
      </c>
      <c r="E144" s="213">
        <v>10.61</v>
      </c>
      <c r="F144" s="210">
        <v>10.039999999999999</v>
      </c>
      <c r="G144" s="214">
        <v>-2.8999999999999998E-3</v>
      </c>
      <c r="H144" s="214">
        <v>-2.5000000000000001E-3</v>
      </c>
      <c r="I144" s="214">
        <v>5.0000000000000001E-4</v>
      </c>
    </row>
    <row r="145" spans="1:10">
      <c r="A145" s="210" t="s">
        <v>308</v>
      </c>
      <c r="B145" s="210">
        <v>340</v>
      </c>
      <c r="C145" s="211">
        <v>40</v>
      </c>
      <c r="D145" s="212">
        <v>33.5</v>
      </c>
      <c r="E145" s="213">
        <v>10.7</v>
      </c>
      <c r="F145" s="210">
        <v>10.16</v>
      </c>
      <c r="G145" s="214">
        <v>-2.8999999999999998E-3</v>
      </c>
      <c r="H145" s="214">
        <v>-2.5000000000000001E-3</v>
      </c>
      <c r="I145" s="214">
        <v>5.0000000000000001E-4</v>
      </c>
    </row>
    <row r="146" spans="1:10">
      <c r="A146" s="1" t="s">
        <v>309</v>
      </c>
      <c r="B146" s="1">
        <v>450</v>
      </c>
      <c r="C146" s="2">
        <v>52.9</v>
      </c>
      <c r="D146" s="3">
        <v>44.8</v>
      </c>
      <c r="E146" s="4">
        <v>10.68</v>
      </c>
      <c r="F146" s="1">
        <v>10.050000000000001</v>
      </c>
      <c r="G146" s="9">
        <v>-2.8999999999999998E-3</v>
      </c>
      <c r="H146" s="9">
        <v>-2.5000000000000001E-3</v>
      </c>
      <c r="I146" s="9">
        <v>4.4999999999999999E-4</v>
      </c>
    </row>
    <row r="147" spans="1:10">
      <c r="A147" s="1" t="s">
        <v>310</v>
      </c>
      <c r="B147" s="1">
        <v>455</v>
      </c>
      <c r="C147" s="2">
        <v>53.1</v>
      </c>
      <c r="D147" s="3">
        <v>45</v>
      </c>
      <c r="E147" s="4">
        <v>10.75</v>
      </c>
      <c r="F147" s="1">
        <v>10.119999999999999</v>
      </c>
      <c r="G147" s="9">
        <v>-2.8999999999999998E-3</v>
      </c>
      <c r="H147" s="9">
        <v>-2.5000000000000001E-3</v>
      </c>
      <c r="I147" s="9">
        <v>4.4999999999999999E-4</v>
      </c>
    </row>
    <row r="148" spans="1:10">
      <c r="A148" s="1" t="s">
        <v>311</v>
      </c>
      <c r="B148" s="1">
        <v>460</v>
      </c>
      <c r="C148" s="2">
        <v>53.3</v>
      </c>
      <c r="D148" s="3">
        <v>45.2</v>
      </c>
      <c r="E148" s="4">
        <v>10.82</v>
      </c>
      <c r="F148" s="1">
        <v>10.18</v>
      </c>
      <c r="G148" s="9">
        <v>-2.8999999999999998E-3</v>
      </c>
      <c r="H148" s="9">
        <v>-2.5000000000000001E-3</v>
      </c>
      <c r="I148" s="9">
        <v>4.4999999999999999E-4</v>
      </c>
    </row>
    <row r="149" spans="1:10">
      <c r="A149" s="1" t="s">
        <v>312</v>
      </c>
      <c r="B149" s="1">
        <v>505</v>
      </c>
      <c r="C149" s="2">
        <v>39.799999999999997</v>
      </c>
      <c r="D149" s="3">
        <v>33.6</v>
      </c>
      <c r="E149" s="4">
        <v>16.05</v>
      </c>
      <c r="F149" s="1">
        <v>15.04</v>
      </c>
      <c r="G149" s="9">
        <v>-2.8999999999999998E-3</v>
      </c>
      <c r="H149" s="9">
        <v>-2.5000000000000001E-3</v>
      </c>
      <c r="I149" s="9">
        <v>4.4999999999999999E-4</v>
      </c>
    </row>
    <row r="150" spans="1:10">
      <c r="A150" s="1" t="s">
        <v>313</v>
      </c>
      <c r="B150" s="1">
        <v>510</v>
      </c>
      <c r="C150" s="2">
        <v>40</v>
      </c>
      <c r="D150" s="3">
        <v>33.799999999999997</v>
      </c>
      <c r="E150" s="4">
        <v>16.100000000000001</v>
      </c>
      <c r="F150" s="1">
        <v>15.1</v>
      </c>
      <c r="G150" s="9">
        <v>-2.8999999999999998E-3</v>
      </c>
      <c r="H150" s="9">
        <v>-2.5000000000000001E-3</v>
      </c>
      <c r="I150" s="9">
        <v>4.4999999999999999E-4</v>
      </c>
    </row>
    <row r="151" spans="1:10">
      <c r="A151" s="1" t="s">
        <v>314</v>
      </c>
      <c r="B151" s="1">
        <v>515</v>
      </c>
      <c r="C151" s="2">
        <v>40.200000000000003</v>
      </c>
      <c r="D151" s="3">
        <v>34</v>
      </c>
      <c r="E151" s="4">
        <v>16.149999999999999</v>
      </c>
      <c r="F151" s="1">
        <v>15.16</v>
      </c>
      <c r="G151" s="9">
        <v>-2.8999999999999998E-3</v>
      </c>
      <c r="H151" s="9">
        <v>-2.5000000000000001E-3</v>
      </c>
      <c r="I151" s="9">
        <v>4.4999999999999999E-4</v>
      </c>
    </row>
    <row r="152" spans="1:10">
      <c r="A152" s="1" t="s">
        <v>315</v>
      </c>
      <c r="B152" s="1">
        <v>520</v>
      </c>
      <c r="C152" s="2">
        <v>40.4</v>
      </c>
      <c r="D152" s="3">
        <v>34.200000000000003</v>
      </c>
      <c r="E152" s="4">
        <v>16.2</v>
      </c>
      <c r="F152" s="1">
        <v>15.22</v>
      </c>
      <c r="G152" s="9">
        <v>-2.8999999999999998E-3</v>
      </c>
      <c r="H152" s="9">
        <v>-2.5000000000000001E-3</v>
      </c>
      <c r="I152" s="9">
        <v>4.4999999999999999E-4</v>
      </c>
    </row>
    <row r="153" spans="1:10">
      <c r="A153" s="1" t="s">
        <v>316</v>
      </c>
      <c r="B153" s="1">
        <v>610</v>
      </c>
      <c r="C153" s="2">
        <v>48</v>
      </c>
      <c r="D153" s="3">
        <v>40.799999999999997</v>
      </c>
      <c r="E153" s="4">
        <v>15.97</v>
      </c>
      <c r="F153" s="1">
        <v>14.96</v>
      </c>
      <c r="G153" s="9">
        <v>-2.8999999999999998E-3</v>
      </c>
      <c r="H153" s="9">
        <v>-2.5000000000000001E-3</v>
      </c>
      <c r="I153" s="9">
        <v>4.4999999999999999E-4</v>
      </c>
    </row>
    <row r="154" spans="1:10">
      <c r="A154" s="1" t="s">
        <v>317</v>
      </c>
      <c r="B154" s="1">
        <f>B153*(1+J154)</f>
        <v>762.5</v>
      </c>
      <c r="C154" s="2">
        <f>C153</f>
        <v>48</v>
      </c>
      <c r="D154" s="3">
        <f>D153</f>
        <v>40.799999999999997</v>
      </c>
      <c r="E154" s="4">
        <f>E153*(1+J154)</f>
        <v>19.962500000000002</v>
      </c>
      <c r="F154" s="1">
        <f>F153*(1+J154)</f>
        <v>18.700000000000003</v>
      </c>
      <c r="G154" s="9">
        <f>G153</f>
        <v>-2.8999999999999998E-3</v>
      </c>
      <c r="H154" s="9">
        <f>H153</f>
        <v>-2.5000000000000001E-3</v>
      </c>
      <c r="I154" s="9">
        <f>I153</f>
        <v>4.4999999999999999E-4</v>
      </c>
      <c r="J154" s="9">
        <v>0.25</v>
      </c>
    </row>
    <row r="155" spans="1:10">
      <c r="A155" s="1" t="s">
        <v>318</v>
      </c>
      <c r="B155" s="1">
        <v>615</v>
      </c>
      <c r="C155" s="2">
        <v>48.2</v>
      </c>
      <c r="D155" s="3">
        <v>41</v>
      </c>
      <c r="E155" s="4">
        <v>16.02</v>
      </c>
      <c r="F155" s="1">
        <v>15.01</v>
      </c>
      <c r="G155" s="9">
        <v>-2.8999999999999998E-3</v>
      </c>
      <c r="H155" s="9">
        <v>-2.5000000000000001E-3</v>
      </c>
      <c r="I155" s="9">
        <v>4.4999999999999999E-4</v>
      </c>
    </row>
    <row r="156" spans="1:10">
      <c r="A156" s="1" t="s">
        <v>319</v>
      </c>
      <c r="B156" s="1">
        <f>B155*(1+J156)</f>
        <v>738</v>
      </c>
      <c r="C156" s="2">
        <f>C155</f>
        <v>48.2</v>
      </c>
      <c r="D156" s="3">
        <f>D155</f>
        <v>41</v>
      </c>
      <c r="E156" s="4">
        <f>E155*(1+J156)</f>
        <v>19.224</v>
      </c>
      <c r="F156" s="1">
        <f>F155*(1+J156)</f>
        <v>18.012</v>
      </c>
      <c r="G156" s="9">
        <f>G155</f>
        <v>-2.8999999999999998E-3</v>
      </c>
      <c r="H156" s="9">
        <f>H155</f>
        <v>-2.5000000000000001E-3</v>
      </c>
      <c r="I156" s="9">
        <f>I155</f>
        <v>4.4999999999999999E-4</v>
      </c>
      <c r="J156" s="9">
        <v>0.2</v>
      </c>
    </row>
    <row r="157" spans="1:10">
      <c r="A157" s="1" t="s">
        <v>320</v>
      </c>
      <c r="B157" s="1">
        <v>620</v>
      </c>
      <c r="C157" s="2">
        <v>48.4</v>
      </c>
      <c r="D157" s="3">
        <v>41.2</v>
      </c>
      <c r="E157" s="4">
        <v>16.079999999999998</v>
      </c>
      <c r="F157" s="1">
        <v>15.06</v>
      </c>
      <c r="G157" s="9">
        <v>-2.8999999999999998E-3</v>
      </c>
      <c r="H157" s="9">
        <v>-2.5000000000000001E-3</v>
      </c>
      <c r="I157" s="9">
        <v>4.4999999999999999E-4</v>
      </c>
    </row>
    <row r="158" spans="1:10">
      <c r="A158" s="1" t="s">
        <v>321</v>
      </c>
      <c r="B158" s="1">
        <f>B157*(1+J158)</f>
        <v>744</v>
      </c>
      <c r="C158" s="2">
        <f>C157</f>
        <v>48.4</v>
      </c>
      <c r="D158" s="3">
        <f>D157</f>
        <v>41.2</v>
      </c>
      <c r="E158" s="4">
        <f>E157*(1+J158)</f>
        <v>19.295999999999996</v>
      </c>
      <c r="F158" s="1">
        <f>F157*(1+J158)</f>
        <v>18.071999999999999</v>
      </c>
      <c r="G158" s="9">
        <f>G157</f>
        <v>-2.8999999999999998E-3</v>
      </c>
      <c r="H158" s="9">
        <f>H157</f>
        <v>-2.5000000000000001E-3</v>
      </c>
      <c r="I158" s="9">
        <f>I157</f>
        <v>4.4999999999999999E-4</v>
      </c>
      <c r="J158" s="9">
        <v>0.2</v>
      </c>
    </row>
    <row r="159" spans="1:10">
      <c r="A159" s="1" t="s">
        <v>322</v>
      </c>
      <c r="B159" s="1">
        <v>625</v>
      </c>
      <c r="C159" s="2">
        <v>48.6</v>
      </c>
      <c r="D159" s="3">
        <v>41.4</v>
      </c>
      <c r="E159" s="4">
        <v>16.14</v>
      </c>
      <c r="F159" s="1">
        <v>15.11</v>
      </c>
      <c r="G159" s="9">
        <v>-2.8999999999999998E-3</v>
      </c>
      <c r="H159" s="9">
        <v>-2.5000000000000001E-3</v>
      </c>
      <c r="I159" s="9">
        <v>4.4999999999999999E-4</v>
      </c>
    </row>
    <row r="160" spans="1:10">
      <c r="A160" s="1" t="s">
        <v>323</v>
      </c>
      <c r="B160" s="1">
        <f>B159*(1+J160)</f>
        <v>750</v>
      </c>
      <c r="C160" s="2">
        <f>C159</f>
        <v>48.6</v>
      </c>
      <c r="D160" s="3">
        <f>D159</f>
        <v>41.4</v>
      </c>
      <c r="E160" s="4">
        <f>E159*(1+J160)</f>
        <v>19.367999999999999</v>
      </c>
      <c r="F160" s="1">
        <f>F159*(1+J160)</f>
        <v>18.131999999999998</v>
      </c>
      <c r="G160" s="9">
        <f>G159</f>
        <v>-2.8999999999999998E-3</v>
      </c>
      <c r="H160" s="9">
        <f>H159</f>
        <v>-2.5000000000000001E-3</v>
      </c>
      <c r="I160" s="9">
        <f>I159</f>
        <v>4.4999999999999999E-4</v>
      </c>
      <c r="J160" s="9">
        <v>0.2</v>
      </c>
    </row>
    <row r="161" spans="1:11">
      <c r="A161" s="1" t="s">
        <v>324</v>
      </c>
      <c r="B161" s="1">
        <v>630</v>
      </c>
      <c r="C161" s="2">
        <v>48.8</v>
      </c>
      <c r="D161" s="3">
        <v>41.6</v>
      </c>
      <c r="E161" s="4">
        <v>16.2</v>
      </c>
      <c r="F161" s="1">
        <v>15.16</v>
      </c>
      <c r="G161" s="9">
        <v>-2.8999999999999998E-3</v>
      </c>
      <c r="H161" s="9">
        <v>-2.5000000000000001E-3</v>
      </c>
      <c r="I161" s="9">
        <v>4.4999999999999999E-4</v>
      </c>
    </row>
    <row r="162" spans="1:11">
      <c r="A162" s="1" t="s">
        <v>325</v>
      </c>
      <c r="B162" s="1">
        <f>B161*(1+J162)</f>
        <v>756</v>
      </c>
      <c r="C162" s="2">
        <f>C161</f>
        <v>48.8</v>
      </c>
      <c r="D162" s="3">
        <f>D161</f>
        <v>41.6</v>
      </c>
      <c r="E162" s="4">
        <f>E161*(1+J162)</f>
        <v>19.439999999999998</v>
      </c>
      <c r="F162" s="1">
        <f>F161*(1+J162)</f>
        <v>18.192</v>
      </c>
      <c r="G162" s="9">
        <f>G161</f>
        <v>-2.8999999999999998E-3</v>
      </c>
      <c r="H162" s="9">
        <f>H161</f>
        <v>-2.5000000000000001E-3</v>
      </c>
      <c r="I162" s="9">
        <f>I161</f>
        <v>4.4999999999999999E-4</v>
      </c>
      <c r="J162" s="9">
        <v>0.2</v>
      </c>
    </row>
    <row r="163" spans="1:11">
      <c r="A163" s="1" t="s">
        <v>326</v>
      </c>
      <c r="B163" s="1">
        <v>620</v>
      </c>
      <c r="C163" s="2">
        <v>48.4</v>
      </c>
      <c r="D163" s="3">
        <v>41.2</v>
      </c>
      <c r="E163" s="4">
        <v>16.079999999999998</v>
      </c>
      <c r="F163" s="1">
        <v>15.06</v>
      </c>
      <c r="G163" s="9">
        <v>-2.8999999999999998E-3</v>
      </c>
      <c r="H163" s="9">
        <v>-2.5000000000000001E-3</v>
      </c>
      <c r="I163" s="9">
        <v>4.4999999999999999E-4</v>
      </c>
    </row>
    <row r="164" spans="1:11">
      <c r="A164" s="1" t="s">
        <v>327</v>
      </c>
      <c r="B164" s="1">
        <v>625</v>
      </c>
      <c r="C164" s="2">
        <v>48.6</v>
      </c>
      <c r="D164" s="3">
        <v>41.4</v>
      </c>
      <c r="E164" s="4">
        <v>16.14</v>
      </c>
      <c r="F164" s="1">
        <v>15.11</v>
      </c>
      <c r="G164" s="9">
        <v>-2.8999999999999998E-3</v>
      </c>
      <c r="H164" s="9">
        <v>-2.5000000000000001E-3</v>
      </c>
      <c r="I164" s="9">
        <v>4.4999999999999999E-4</v>
      </c>
    </row>
    <row r="165" spans="1:11">
      <c r="A165" s="1" t="s">
        <v>328</v>
      </c>
      <c r="B165" s="1">
        <v>630</v>
      </c>
      <c r="C165" s="2">
        <v>48.8</v>
      </c>
      <c r="D165" s="3">
        <v>41.6</v>
      </c>
      <c r="E165" s="4">
        <v>16.2</v>
      </c>
      <c r="F165" s="1">
        <v>15.16</v>
      </c>
      <c r="G165" s="9">
        <v>-2.8999999999999998E-3</v>
      </c>
      <c r="H165" s="9">
        <v>-2.5000000000000001E-3</v>
      </c>
      <c r="I165" s="9">
        <v>4.4999999999999999E-4</v>
      </c>
    </row>
    <row r="166" spans="1:11">
      <c r="A166" s="1" t="s">
        <v>329</v>
      </c>
      <c r="B166" s="1">
        <v>635</v>
      </c>
      <c r="C166" s="2">
        <v>49</v>
      </c>
      <c r="D166" s="3">
        <v>41.8</v>
      </c>
      <c r="E166" s="4">
        <v>16.260000000000002</v>
      </c>
      <c r="F166" s="1">
        <v>15.21</v>
      </c>
      <c r="G166" s="9">
        <v>-2.8999999999999998E-3</v>
      </c>
      <c r="H166" s="9">
        <v>-2.5000000000000001E-3</v>
      </c>
      <c r="I166" s="9">
        <v>4.4999999999999999E-4</v>
      </c>
    </row>
    <row r="167" spans="1:11">
      <c r="A167" s="1" t="s">
        <v>330</v>
      </c>
      <c r="B167" s="1">
        <v>240</v>
      </c>
      <c r="C167" s="2">
        <v>37</v>
      </c>
      <c r="D167" s="3">
        <v>29.9</v>
      </c>
      <c r="E167" s="4">
        <v>8.59</v>
      </c>
      <c r="F167" s="1">
        <v>8.0299999999999994</v>
      </c>
      <c r="G167" s="9">
        <v>-4.3E-3</v>
      </c>
      <c r="H167" s="9">
        <v>-3.3999999999999998E-3</v>
      </c>
      <c r="I167" s="9">
        <v>6.4999999999999997E-4</v>
      </c>
    </row>
    <row r="168" spans="1:11">
      <c r="A168" s="1" t="s">
        <v>331</v>
      </c>
      <c r="B168" s="1">
        <f>B167*K168</f>
        <v>0</v>
      </c>
      <c r="C168" s="2">
        <f>C167</f>
        <v>37</v>
      </c>
      <c r="D168" s="3">
        <f>D167</f>
        <v>29.9</v>
      </c>
      <c r="E168" s="4">
        <f>E167*K168</f>
        <v>0</v>
      </c>
      <c r="F168" s="1">
        <f>F167*K168</f>
        <v>0</v>
      </c>
      <c r="G168" s="9">
        <f>G167</f>
        <v>-4.3E-3</v>
      </c>
      <c r="H168" s="9">
        <f>H167</f>
        <v>-3.3999999999999998E-3</v>
      </c>
      <c r="I168" s="9">
        <f>I167</f>
        <v>6.4999999999999997E-4</v>
      </c>
    </row>
    <row r="169" spans="1:11">
      <c r="A169" s="1" t="s">
        <v>332</v>
      </c>
      <c r="B169" s="1">
        <v>245</v>
      </c>
      <c r="C169" s="2">
        <v>37.1</v>
      </c>
      <c r="D169" s="3">
        <v>30</v>
      </c>
      <c r="E169" s="4">
        <v>8.74</v>
      </c>
      <c r="F169" s="1">
        <v>8.17</v>
      </c>
      <c r="G169" s="9">
        <v>-4.3E-3</v>
      </c>
      <c r="H169" s="9">
        <v>-3.3999999999999998E-3</v>
      </c>
      <c r="I169" s="9">
        <v>6.4999999999999997E-4</v>
      </c>
    </row>
    <row r="170" spans="1:11">
      <c r="A170" s="1" t="s">
        <v>333</v>
      </c>
      <c r="B170" s="1">
        <v>250</v>
      </c>
      <c r="C170" s="2">
        <v>37.200000000000003</v>
      </c>
      <c r="D170" s="3">
        <v>30.1</v>
      </c>
      <c r="E170" s="4">
        <v>8.8699999999999992</v>
      </c>
      <c r="F170" s="1">
        <v>8.3000000000000007</v>
      </c>
      <c r="G170" s="9">
        <v>-4.3E-3</v>
      </c>
      <c r="H170" s="9">
        <v>-3.3999999999999998E-3</v>
      </c>
      <c r="I170" s="9">
        <v>6.4999999999999997E-4</v>
      </c>
    </row>
    <row r="171" spans="1:11">
      <c r="A171" s="1" t="s">
        <v>334</v>
      </c>
      <c r="B171" s="1">
        <v>255</v>
      </c>
      <c r="C171" s="2">
        <v>37.4</v>
      </c>
      <c r="D171" s="3">
        <v>30.2</v>
      </c>
      <c r="E171" s="4">
        <v>9</v>
      </c>
      <c r="F171" s="1">
        <v>8.43</v>
      </c>
      <c r="G171" s="9">
        <v>-4.3E-3</v>
      </c>
      <c r="H171" s="9">
        <v>-3.3999999999999998E-3</v>
      </c>
      <c r="I171" s="9">
        <v>6.4999999999999997E-4</v>
      </c>
    </row>
    <row r="172" spans="1:11">
      <c r="A172" s="1" t="s">
        <v>335</v>
      </c>
      <c r="B172" s="1">
        <f>B171*K172</f>
        <v>510</v>
      </c>
      <c r="C172" s="2">
        <f>C171</f>
        <v>37.4</v>
      </c>
      <c r="D172" s="3">
        <f>D171</f>
        <v>30.2</v>
      </c>
      <c r="E172" s="4">
        <f>E171*K172</f>
        <v>18</v>
      </c>
      <c r="F172" s="1">
        <f>F171*K172</f>
        <v>16.86</v>
      </c>
      <c r="G172" s="9">
        <f>G171</f>
        <v>-4.3E-3</v>
      </c>
      <c r="H172" s="9">
        <f>H171</f>
        <v>-3.3999999999999998E-3</v>
      </c>
      <c r="I172" s="9">
        <f>I171</f>
        <v>6.4999999999999997E-4</v>
      </c>
      <c r="K172" s="5">
        <v>2</v>
      </c>
    </row>
    <row r="173" spans="1:11">
      <c r="A173" s="1" t="s">
        <v>336</v>
      </c>
      <c r="B173" s="1">
        <v>260</v>
      </c>
      <c r="C173" s="2">
        <v>37.5</v>
      </c>
      <c r="D173" s="3">
        <v>30.4</v>
      </c>
      <c r="E173" s="4">
        <v>9.1199999999999992</v>
      </c>
      <c r="F173" s="1">
        <v>8.56</v>
      </c>
      <c r="G173" s="9">
        <v>-4.3E-3</v>
      </c>
      <c r="H173" s="9">
        <v>-3.3999999999999998E-3</v>
      </c>
      <c r="I173" s="9">
        <v>6.4999999999999997E-4</v>
      </c>
    </row>
    <row r="174" spans="1:11">
      <c r="A174" s="1" t="s">
        <v>337</v>
      </c>
      <c r="B174" s="1">
        <v>265</v>
      </c>
      <c r="C174" s="2">
        <v>37.6</v>
      </c>
      <c r="D174" s="3">
        <v>30.6</v>
      </c>
      <c r="E174" s="4">
        <v>9.23</v>
      </c>
      <c r="F174" s="1">
        <v>8.66</v>
      </c>
      <c r="G174" s="9">
        <v>-4.3E-3</v>
      </c>
      <c r="H174" s="9">
        <v>-3.3999999999999998E-3</v>
      </c>
      <c r="I174" s="9">
        <v>6.4999999999999997E-4</v>
      </c>
    </row>
    <row r="175" spans="1:11">
      <c r="A175" s="1" t="s">
        <v>338</v>
      </c>
      <c r="B175" s="1">
        <v>405</v>
      </c>
      <c r="C175" s="2">
        <v>37</v>
      </c>
      <c r="D175" s="3">
        <v>31</v>
      </c>
      <c r="E175" s="4">
        <v>13.93</v>
      </c>
      <c r="F175" s="1">
        <v>13.07</v>
      </c>
      <c r="G175" s="9">
        <v>-3.3999999999999998E-3</v>
      </c>
      <c r="H175" s="9">
        <v>-2.5999999999999999E-3</v>
      </c>
      <c r="I175" s="9">
        <v>5.0000000000000001E-4</v>
      </c>
    </row>
    <row r="176" spans="1:11">
      <c r="A176" s="1" t="s">
        <v>339</v>
      </c>
      <c r="B176" s="1">
        <v>410</v>
      </c>
      <c r="C176" s="2">
        <v>37.200000000000003</v>
      </c>
      <c r="D176" s="3">
        <v>31.2</v>
      </c>
      <c r="E176" s="4">
        <v>14.01</v>
      </c>
      <c r="F176" s="1">
        <v>13.15</v>
      </c>
      <c r="G176" s="9">
        <v>-3.3999999999999998E-3</v>
      </c>
      <c r="H176" s="9">
        <v>-2.5999999999999999E-3</v>
      </c>
      <c r="I176" s="9">
        <v>5.0000000000000001E-4</v>
      </c>
    </row>
    <row r="177" spans="1:10">
      <c r="A177" s="1" t="s">
        <v>340</v>
      </c>
      <c r="B177" s="1">
        <v>415</v>
      </c>
      <c r="C177" s="2">
        <v>37.4</v>
      </c>
      <c r="D177" s="3">
        <v>31.4</v>
      </c>
      <c r="E177" s="4">
        <v>14.09</v>
      </c>
      <c r="F177" s="1">
        <v>13.23</v>
      </c>
      <c r="G177" s="9">
        <v>-3.3999999999999998E-3</v>
      </c>
      <c r="H177" s="9">
        <v>-2.5999999999999999E-3</v>
      </c>
      <c r="I177" s="9">
        <v>5.0000000000000001E-4</v>
      </c>
    </row>
    <row r="178" spans="1:10">
      <c r="A178" s="1" t="s">
        <v>341</v>
      </c>
      <c r="B178" s="1">
        <v>420</v>
      </c>
      <c r="C178" s="2">
        <v>38.6</v>
      </c>
      <c r="D178" s="3">
        <v>31.6</v>
      </c>
      <c r="E178" s="4">
        <v>13.71</v>
      </c>
      <c r="F178" s="1">
        <v>13.3</v>
      </c>
      <c r="G178" s="9">
        <v>-2.8999999999999998E-3</v>
      </c>
      <c r="H178" s="9">
        <v>-2.5000000000000001E-3</v>
      </c>
      <c r="I178" s="9">
        <v>5.0000000000000001E-4</v>
      </c>
    </row>
    <row r="179" spans="1:10">
      <c r="A179" s="1" t="s">
        <v>342</v>
      </c>
      <c r="B179" s="1">
        <v>425</v>
      </c>
      <c r="C179" s="2">
        <v>38.799999999999997</v>
      </c>
      <c r="D179" s="3">
        <v>31.8</v>
      </c>
      <c r="E179" s="4">
        <v>13.78</v>
      </c>
      <c r="F179" s="1">
        <v>13.37</v>
      </c>
      <c r="G179" s="9">
        <v>-2.8999999999999998E-3</v>
      </c>
      <c r="H179" s="9">
        <v>-2.5000000000000001E-3</v>
      </c>
      <c r="I179" s="9">
        <v>5.0000000000000001E-4</v>
      </c>
    </row>
    <row r="180" spans="1:10">
      <c r="A180" s="1" t="s">
        <v>343</v>
      </c>
      <c r="B180" s="1">
        <v>430</v>
      </c>
      <c r="C180" s="2">
        <v>40.1</v>
      </c>
      <c r="D180" s="3">
        <v>33.799999999999997</v>
      </c>
      <c r="E180" s="4">
        <v>13.38</v>
      </c>
      <c r="F180" s="1">
        <v>12.76</v>
      </c>
      <c r="G180" s="9">
        <v>-2.5999999999999999E-3</v>
      </c>
      <c r="H180" s="9">
        <v>-2.3999999999999998E-3</v>
      </c>
      <c r="I180" s="9">
        <v>4.0000000000000002E-4</v>
      </c>
    </row>
    <row r="181" spans="1:10">
      <c r="A181" s="1" t="s">
        <v>344</v>
      </c>
      <c r="B181" s="1">
        <v>430</v>
      </c>
      <c r="C181" s="2">
        <v>39</v>
      </c>
      <c r="D181" s="3">
        <v>32</v>
      </c>
      <c r="E181" s="4">
        <v>13.86</v>
      </c>
      <c r="F181" s="1">
        <v>13.44</v>
      </c>
      <c r="G181" s="9">
        <v>-2.8999999999999998E-3</v>
      </c>
      <c r="H181" s="9">
        <v>-2.5000000000000001E-3</v>
      </c>
      <c r="I181" s="9">
        <v>5.0000000000000001E-4</v>
      </c>
    </row>
    <row r="182" spans="1:10">
      <c r="A182" s="1" t="s">
        <v>345</v>
      </c>
      <c r="B182" s="1">
        <v>435</v>
      </c>
      <c r="C182" s="2">
        <v>39.200000000000003</v>
      </c>
      <c r="D182" s="3">
        <v>32.200000000000003</v>
      </c>
      <c r="E182" s="4">
        <v>13.94</v>
      </c>
      <c r="F182" s="1">
        <v>13.51</v>
      </c>
      <c r="G182" s="9">
        <v>-2.8999999999999998E-3</v>
      </c>
      <c r="H182" s="9">
        <v>-2.5000000000000001E-3</v>
      </c>
      <c r="I182" s="9">
        <v>5.0000000000000001E-4</v>
      </c>
    </row>
    <row r="183" spans="1:10">
      <c r="A183" s="1" t="s">
        <v>346</v>
      </c>
      <c r="B183" s="1">
        <v>440</v>
      </c>
      <c r="C183" s="2">
        <v>39.4</v>
      </c>
      <c r="D183" s="3">
        <v>32.4</v>
      </c>
      <c r="E183" s="4">
        <v>14.01</v>
      </c>
      <c r="F183" s="1">
        <v>13.59</v>
      </c>
      <c r="G183" s="9">
        <v>-2.8999999999999998E-3</v>
      </c>
      <c r="H183" s="9">
        <v>-2.5000000000000001E-3</v>
      </c>
      <c r="I183" s="9">
        <v>5.0000000000000001E-4</v>
      </c>
    </row>
    <row r="184" spans="1:10">
      <c r="A184" s="1" t="s">
        <v>347</v>
      </c>
      <c r="B184" s="1">
        <v>315</v>
      </c>
      <c r="C184" s="2">
        <v>28.8</v>
      </c>
      <c r="D184" s="3">
        <v>24.1</v>
      </c>
      <c r="E184" s="4">
        <v>13.08</v>
      </c>
      <c r="F184" s="1">
        <v>13.94</v>
      </c>
      <c r="G184" s="9">
        <v>-3.3999999999999998E-3</v>
      </c>
      <c r="H184" s="9">
        <v>-2.5999999999999999E-3</v>
      </c>
      <c r="I184" s="9">
        <v>5.0000000000000001E-4</v>
      </c>
    </row>
    <row r="185" spans="1:10">
      <c r="A185" s="1" t="s">
        <v>348</v>
      </c>
      <c r="B185" s="1">
        <v>315</v>
      </c>
      <c r="C185" s="2">
        <v>28.8</v>
      </c>
      <c r="D185" s="3">
        <v>24.1</v>
      </c>
      <c r="E185" s="4">
        <v>13.94</v>
      </c>
      <c r="F185" s="1">
        <v>13.08</v>
      </c>
      <c r="G185" s="9">
        <v>-3.3999999999999998E-3</v>
      </c>
      <c r="H185" s="9">
        <v>-2.5999999999999999E-3</v>
      </c>
      <c r="I185" s="9">
        <v>5.0000000000000001E-4</v>
      </c>
    </row>
    <row r="186" spans="1:10">
      <c r="A186" s="1" t="s">
        <v>349</v>
      </c>
      <c r="B186" s="1">
        <v>270</v>
      </c>
      <c r="C186" s="2">
        <v>24.7</v>
      </c>
      <c r="D186" s="3">
        <v>20.7</v>
      </c>
      <c r="E186" s="4">
        <v>13.92</v>
      </c>
      <c r="F186" s="1">
        <v>13.06</v>
      </c>
      <c r="G186" s="9">
        <v>-3.3999999999999998E-3</v>
      </c>
      <c r="H186" s="9">
        <v>-2.5999999999999999E-3</v>
      </c>
      <c r="I186" s="9">
        <v>5.0000000000000001E-4</v>
      </c>
    </row>
    <row r="187" spans="1:10">
      <c r="A187" s="1" t="s">
        <v>350</v>
      </c>
      <c r="B187" s="1">
        <v>535</v>
      </c>
      <c r="C187" s="2">
        <v>49</v>
      </c>
      <c r="D187" s="3">
        <v>41.1</v>
      </c>
      <c r="E187" s="4">
        <v>13.85</v>
      </c>
      <c r="F187" s="1">
        <v>13.02</v>
      </c>
      <c r="G187" s="9">
        <v>-3.3999999999999998E-3</v>
      </c>
      <c r="H187" s="9">
        <v>-2.5999999999999999E-3</v>
      </c>
      <c r="I187" s="9">
        <v>5.0000000000000001E-4</v>
      </c>
    </row>
    <row r="188" spans="1:10">
      <c r="A188" s="1" t="s">
        <v>351</v>
      </c>
      <c r="B188" s="1">
        <v>545</v>
      </c>
      <c r="C188" s="2">
        <v>49.4</v>
      </c>
      <c r="D188" s="3">
        <v>41.5</v>
      </c>
      <c r="E188" s="4">
        <v>13.95</v>
      </c>
      <c r="F188" s="1">
        <v>13.14</v>
      </c>
      <c r="G188" s="9">
        <v>-3.3999999999999998E-3</v>
      </c>
      <c r="H188" s="9">
        <v>-2.5999999999999999E-3</v>
      </c>
      <c r="I188" s="9">
        <v>5.0000000000000001E-4</v>
      </c>
    </row>
    <row r="189" spans="1:10">
      <c r="A189" s="1" t="s">
        <v>352</v>
      </c>
      <c r="B189" s="1">
        <v>550</v>
      </c>
      <c r="C189" s="2">
        <v>49.6</v>
      </c>
      <c r="D189" s="3">
        <v>41.7</v>
      </c>
      <c r="E189" s="4">
        <v>14</v>
      </c>
      <c r="F189" s="1">
        <v>13.2</v>
      </c>
      <c r="G189" s="9">
        <v>-3.3999999999999998E-3</v>
      </c>
      <c r="H189" s="9">
        <v>-2.5999999999999999E-3</v>
      </c>
      <c r="I189" s="9">
        <v>5.0000000000000001E-4</v>
      </c>
    </row>
    <row r="190" spans="1:10">
      <c r="A190" s="1" t="s">
        <v>353</v>
      </c>
      <c r="B190" s="1">
        <v>555</v>
      </c>
      <c r="C190" s="2">
        <v>51.2</v>
      </c>
      <c r="D190" s="3">
        <v>42.1</v>
      </c>
      <c r="E190" s="4">
        <v>13.64</v>
      </c>
      <c r="F190" s="1">
        <v>13.19</v>
      </c>
      <c r="G190" s="9">
        <v>-2.8999999999999998E-3</v>
      </c>
      <c r="H190" s="9">
        <v>-2.5000000000000001E-3</v>
      </c>
      <c r="I190" s="9">
        <v>5.0000000000000001E-4</v>
      </c>
    </row>
    <row r="191" spans="1:10">
      <c r="A191" s="1" t="s">
        <v>354</v>
      </c>
      <c r="B191" s="1">
        <f>B190*(1+J191)</f>
        <v>666</v>
      </c>
      <c r="C191" s="2">
        <f>C190</f>
        <v>51.2</v>
      </c>
      <c r="D191" s="3">
        <f>D190</f>
        <v>42.1</v>
      </c>
      <c r="E191" s="4">
        <f>E190*(1+J191)</f>
        <v>16.367999999999999</v>
      </c>
      <c r="F191" s="1">
        <f>F190*(1+J191)</f>
        <v>15.827999999999999</v>
      </c>
      <c r="G191" s="9">
        <f>G190</f>
        <v>-2.8999999999999998E-3</v>
      </c>
      <c r="H191" s="9">
        <f>H190</f>
        <v>-2.5000000000000001E-3</v>
      </c>
      <c r="I191" s="9">
        <f>I190</f>
        <v>5.0000000000000001E-4</v>
      </c>
      <c r="J191" s="9">
        <v>0.2</v>
      </c>
    </row>
    <row r="192" spans="1:10">
      <c r="A192" s="1" t="s">
        <v>355</v>
      </c>
      <c r="B192" s="1">
        <v>560</v>
      </c>
      <c r="C192" s="2">
        <v>51.4</v>
      </c>
      <c r="D192" s="3">
        <v>42.3</v>
      </c>
      <c r="E192" s="4">
        <v>13.69</v>
      </c>
      <c r="F192" s="1">
        <v>13.24</v>
      </c>
      <c r="G192" s="9">
        <v>-2.8999999999999998E-3</v>
      </c>
      <c r="H192" s="9">
        <v>-2.5000000000000001E-3</v>
      </c>
      <c r="I192" s="9">
        <v>5.0000000000000001E-4</v>
      </c>
    </row>
    <row r="193" spans="1:11">
      <c r="A193" s="1" t="s">
        <v>356</v>
      </c>
      <c r="B193" s="1">
        <v>575</v>
      </c>
      <c r="C193" s="2">
        <v>52</v>
      </c>
      <c r="D193" s="3">
        <v>42.9</v>
      </c>
      <c r="E193" s="4">
        <v>13.88</v>
      </c>
      <c r="F193" s="1">
        <v>13.41</v>
      </c>
      <c r="G193" s="9">
        <v>-2.8999999999999998E-3</v>
      </c>
      <c r="H193" s="9">
        <v>-2.5000000000000001E-3</v>
      </c>
      <c r="I193" s="9">
        <v>5.0000000000000001E-4</v>
      </c>
    </row>
    <row r="194" spans="1:11">
      <c r="A194" s="1" t="s">
        <v>357</v>
      </c>
      <c r="B194" s="1">
        <f>B193*(1+J194)</f>
        <v>690</v>
      </c>
      <c r="C194" s="2">
        <f>C193</f>
        <v>52</v>
      </c>
      <c r="D194" s="3">
        <f>D193</f>
        <v>42.9</v>
      </c>
      <c r="E194" s="4">
        <f>E193*(1+J194)</f>
        <v>16.655999999999999</v>
      </c>
      <c r="F194" s="1">
        <f>F193*(1+J194)</f>
        <v>16.091999999999999</v>
      </c>
      <c r="G194" s="9">
        <f>G193</f>
        <v>-2.8999999999999998E-3</v>
      </c>
      <c r="H194" s="9">
        <f>H193</f>
        <v>-2.5000000000000001E-3</v>
      </c>
      <c r="I194" s="9">
        <f>I193</f>
        <v>5.0000000000000001E-4</v>
      </c>
      <c r="J194" s="9">
        <v>0.2</v>
      </c>
    </row>
    <row r="195" spans="1:11">
      <c r="A195" s="1" t="s">
        <v>358</v>
      </c>
      <c r="B195" s="1">
        <v>580</v>
      </c>
      <c r="C195" s="2">
        <v>52.2</v>
      </c>
      <c r="D195" s="3">
        <v>43.1</v>
      </c>
      <c r="E195" s="4">
        <v>13.93</v>
      </c>
      <c r="F195" s="1">
        <v>13.46</v>
      </c>
      <c r="G195" s="9">
        <v>-2.8999999999999998E-3</v>
      </c>
      <c r="H195" s="9">
        <v>-2.5000000000000001E-3</v>
      </c>
      <c r="I195" s="9">
        <v>5.0000000000000001E-4</v>
      </c>
    </row>
    <row r="196" spans="1:11">
      <c r="A196" s="1" t="s">
        <v>359</v>
      </c>
      <c r="B196" s="1">
        <v>580</v>
      </c>
      <c r="C196" s="2">
        <v>52.2</v>
      </c>
      <c r="D196" s="3">
        <v>43.1</v>
      </c>
      <c r="E196" s="4">
        <v>13.93</v>
      </c>
      <c r="F196" s="1">
        <v>13.46</v>
      </c>
      <c r="G196" s="9">
        <v>-2.8999999999999998E-3</v>
      </c>
      <c r="H196" s="9">
        <v>-2.5000000000000001E-3</v>
      </c>
      <c r="I196" s="9">
        <v>5.0000000000000001E-4</v>
      </c>
    </row>
    <row r="197" spans="1:11">
      <c r="A197" s="1" t="s">
        <v>360</v>
      </c>
      <c r="B197" s="1">
        <f>B196*(1+J197)</f>
        <v>696</v>
      </c>
      <c r="C197" s="2">
        <f>C196</f>
        <v>52.2</v>
      </c>
      <c r="D197" s="3">
        <f>D196</f>
        <v>43.1</v>
      </c>
      <c r="E197" s="4">
        <f>E196*(1+J197)</f>
        <v>16.715999999999998</v>
      </c>
      <c r="F197" s="1">
        <f>F196*(1+J197)</f>
        <v>16.152000000000001</v>
      </c>
      <c r="G197" s="9">
        <f>G196</f>
        <v>-2.8999999999999998E-3</v>
      </c>
      <c r="H197" s="9">
        <f>H196</f>
        <v>-2.5000000000000001E-3</v>
      </c>
      <c r="I197" s="9">
        <f>I196</f>
        <v>5.0000000000000001E-4</v>
      </c>
      <c r="J197" s="9">
        <v>0.2</v>
      </c>
    </row>
    <row r="198" spans="1:11">
      <c r="A198" s="1" t="s">
        <v>361</v>
      </c>
      <c r="B198" s="1">
        <v>585</v>
      </c>
      <c r="C198" s="2">
        <v>52.4</v>
      </c>
      <c r="D198" s="3">
        <v>43.3</v>
      </c>
      <c r="E198" s="4">
        <v>14</v>
      </c>
      <c r="F198" s="1">
        <v>13.52</v>
      </c>
      <c r="G198" s="9">
        <v>-2.8999999999999998E-3</v>
      </c>
      <c r="H198" s="9">
        <v>-2.5000000000000001E-3</v>
      </c>
      <c r="I198" s="9">
        <v>5.0000000000000001E-4</v>
      </c>
    </row>
    <row r="199" spans="1:11">
      <c r="A199" s="1" t="s">
        <v>362</v>
      </c>
      <c r="B199" s="1">
        <f>B198*K199</f>
        <v>12285</v>
      </c>
      <c r="C199" s="2">
        <f>C198</f>
        <v>52.4</v>
      </c>
      <c r="D199" s="3">
        <f>D198</f>
        <v>43.3</v>
      </c>
      <c r="E199" s="4">
        <f>E198*K199</f>
        <v>294</v>
      </c>
      <c r="F199" s="1">
        <f>F198*K199</f>
        <v>283.92</v>
      </c>
      <c r="G199" s="9">
        <f>G198</f>
        <v>-2.8999999999999998E-3</v>
      </c>
      <c r="H199" s="9">
        <f>H198</f>
        <v>-2.5000000000000001E-3</v>
      </c>
      <c r="I199" s="9">
        <f>I198</f>
        <v>5.0000000000000001E-4</v>
      </c>
      <c r="K199" s="5">
        <v>21</v>
      </c>
    </row>
    <row r="200" spans="1:11">
      <c r="A200" s="1" t="s">
        <v>363</v>
      </c>
      <c r="B200" s="1">
        <v>585</v>
      </c>
      <c r="C200" s="2">
        <v>52.4</v>
      </c>
      <c r="D200" s="3">
        <v>43.3</v>
      </c>
      <c r="E200" s="4">
        <v>14</v>
      </c>
      <c r="F200" s="1">
        <v>13.52</v>
      </c>
      <c r="G200" s="9">
        <v>-2.8999999999999998E-3</v>
      </c>
      <c r="H200" s="9">
        <v>-2.5000000000000001E-3</v>
      </c>
      <c r="I200" s="9">
        <v>5.0000000000000001E-4</v>
      </c>
    </row>
    <row r="201" spans="1:11">
      <c r="A201" s="1" t="s">
        <v>364</v>
      </c>
      <c r="B201" s="1">
        <f>B200*(1+J201)</f>
        <v>702</v>
      </c>
      <c r="C201" s="2">
        <f>C200</f>
        <v>52.4</v>
      </c>
      <c r="D201" s="3">
        <f>D200</f>
        <v>43.3</v>
      </c>
      <c r="E201" s="4">
        <f>E200*(1+J201)</f>
        <v>16.8</v>
      </c>
      <c r="F201" s="1">
        <f>F200*(1+J201)</f>
        <v>16.224</v>
      </c>
      <c r="G201" s="9">
        <f>G200</f>
        <v>-2.8999999999999998E-3</v>
      </c>
      <c r="H201" s="9">
        <f>H200</f>
        <v>-2.5000000000000001E-3</v>
      </c>
      <c r="I201" s="9">
        <f>I200</f>
        <v>5.0000000000000001E-4</v>
      </c>
      <c r="J201" s="9">
        <v>0.2</v>
      </c>
    </row>
    <row r="202" spans="1:11">
      <c r="A202" s="1" t="s">
        <v>365</v>
      </c>
      <c r="B202" s="1">
        <v>590</v>
      </c>
      <c r="C202" s="2">
        <v>52.6</v>
      </c>
      <c r="D202" s="3">
        <v>43.5</v>
      </c>
      <c r="E202" s="4">
        <v>14.06</v>
      </c>
      <c r="F202" s="1">
        <v>13.57</v>
      </c>
      <c r="G202" s="9">
        <v>-2.8999999999999998E-3</v>
      </c>
      <c r="H202" s="9">
        <v>-2.5000000000000001E-3</v>
      </c>
      <c r="I202" s="9">
        <v>5.0000000000000001E-4</v>
      </c>
    </row>
    <row r="203" spans="1:11">
      <c r="A203" s="1" t="s">
        <v>366</v>
      </c>
      <c r="B203" s="1">
        <v>595</v>
      </c>
      <c r="C203" s="2">
        <v>52.8</v>
      </c>
      <c r="D203" s="3">
        <v>43.7</v>
      </c>
      <c r="E203" s="4">
        <v>14.12</v>
      </c>
      <c r="F203" s="1">
        <v>13.62</v>
      </c>
      <c r="G203" s="9">
        <v>-2.8999999999999998E-3</v>
      </c>
      <c r="H203" s="9">
        <v>-2.5000000000000001E-3</v>
      </c>
      <c r="I203" s="9">
        <v>5.0000000000000001E-4</v>
      </c>
    </row>
    <row r="204" spans="1:11">
      <c r="A204" s="1" t="s">
        <v>367</v>
      </c>
      <c r="B204" s="1">
        <v>305</v>
      </c>
      <c r="C204" s="2">
        <v>44.8</v>
      </c>
      <c r="D204" s="3">
        <v>36.299999999999997</v>
      </c>
      <c r="E204" s="4">
        <v>8.9700000000000006</v>
      </c>
      <c r="F204" s="1">
        <v>8.41</v>
      </c>
      <c r="G204" s="9">
        <v>-3.3999999999999998E-3</v>
      </c>
      <c r="H204" s="9">
        <v>-2.5999999999999999E-3</v>
      </c>
      <c r="I204" s="9">
        <v>5.0000000000000001E-4</v>
      </c>
    </row>
    <row r="205" spans="1:11">
      <c r="A205" s="1" t="s">
        <v>368</v>
      </c>
      <c r="B205" s="1">
        <f>B204*K205</f>
        <v>4880</v>
      </c>
      <c r="C205" s="2">
        <f>C204</f>
        <v>44.8</v>
      </c>
      <c r="D205" s="3">
        <f>D204</f>
        <v>36.299999999999997</v>
      </c>
      <c r="E205" s="4">
        <f>E204*K205</f>
        <v>143.52000000000001</v>
      </c>
      <c r="F205" s="1">
        <f>F204*K205</f>
        <v>134.56</v>
      </c>
      <c r="G205" s="9">
        <f>G204</f>
        <v>-3.3999999999999998E-3</v>
      </c>
      <c r="H205" s="9">
        <f>H204</f>
        <v>-2.5999999999999999E-3</v>
      </c>
      <c r="I205" s="9">
        <f>I204</f>
        <v>5.0000000000000001E-4</v>
      </c>
      <c r="K205" s="5">
        <v>16</v>
      </c>
    </row>
    <row r="206" spans="1:11">
      <c r="A206" s="1" t="s">
        <v>369</v>
      </c>
      <c r="B206" s="1">
        <v>595</v>
      </c>
      <c r="C206" s="2">
        <v>41.1</v>
      </c>
      <c r="D206" s="3">
        <v>34.700000000000003</v>
      </c>
      <c r="E206" s="4">
        <v>18.420000000000002</v>
      </c>
      <c r="F206" s="1">
        <v>17.149999999999999</v>
      </c>
      <c r="G206" s="9">
        <v>-3.3999999999999998E-3</v>
      </c>
      <c r="H206" s="9">
        <v>-2.5999999999999999E-3</v>
      </c>
      <c r="I206" s="9">
        <v>5.0000000000000001E-4</v>
      </c>
      <c r="J206" s="9">
        <v>0.2</v>
      </c>
    </row>
    <row r="207" spans="1:11">
      <c r="A207" s="1" t="s">
        <v>370</v>
      </c>
      <c r="B207" s="1">
        <f>B206*(1+J206)</f>
        <v>714</v>
      </c>
      <c r="C207" s="2">
        <f>C206</f>
        <v>41.1</v>
      </c>
      <c r="D207" s="3">
        <f>D206</f>
        <v>34.700000000000003</v>
      </c>
      <c r="E207" s="4">
        <f>E206*(1+J206)</f>
        <v>22.104000000000003</v>
      </c>
      <c r="F207" s="1">
        <f>F206*(1+J206)</f>
        <v>20.58</v>
      </c>
      <c r="G207" s="9">
        <f>G206</f>
        <v>-3.3999999999999998E-3</v>
      </c>
      <c r="H207" s="9">
        <f>H206</f>
        <v>-2.5999999999999999E-3</v>
      </c>
      <c r="I207" s="9">
        <f>I206</f>
        <v>5.0000000000000001E-4</v>
      </c>
    </row>
    <row r="208" spans="1:11">
      <c r="A208" s="1" t="s">
        <v>371</v>
      </c>
      <c r="B208" s="1">
        <v>600</v>
      </c>
      <c r="C208" s="2">
        <v>41.3</v>
      </c>
      <c r="D208" s="3">
        <v>34.9</v>
      </c>
      <c r="E208" s="4">
        <v>18.47</v>
      </c>
      <c r="F208" s="1">
        <v>17.2</v>
      </c>
      <c r="G208" s="9">
        <v>-3.3999999999999998E-3</v>
      </c>
      <c r="H208" s="9">
        <v>-2.5999999999999999E-3</v>
      </c>
      <c r="I208" s="9">
        <v>5.0000000000000001E-4</v>
      </c>
    </row>
    <row r="209" spans="1:10">
      <c r="A209" s="1" t="s">
        <v>372</v>
      </c>
      <c r="B209" s="1">
        <v>630</v>
      </c>
      <c r="C209" s="2">
        <v>43.3</v>
      </c>
      <c r="D209" s="3">
        <v>36.1</v>
      </c>
      <c r="E209" s="4">
        <v>18.41</v>
      </c>
      <c r="F209" s="1">
        <v>17.46</v>
      </c>
      <c r="G209" s="9">
        <v>-2.8999999999999998E-3</v>
      </c>
      <c r="H209" s="9">
        <v>-2.5000000000000001E-3</v>
      </c>
      <c r="I209" s="9">
        <v>5.0000000000000001E-4</v>
      </c>
      <c r="J209" s="9">
        <v>0.2</v>
      </c>
    </row>
    <row r="210" spans="1:10">
      <c r="A210" s="1" t="s">
        <v>373</v>
      </c>
      <c r="B210" s="1">
        <f>B209*(1+J210)</f>
        <v>787.5</v>
      </c>
      <c r="C210" s="2">
        <f>C209</f>
        <v>43.3</v>
      </c>
      <c r="D210" s="3">
        <f>D209</f>
        <v>36.1</v>
      </c>
      <c r="E210" s="4">
        <f>E209*(1+J210)</f>
        <v>23.012499999999999</v>
      </c>
      <c r="F210" s="1">
        <f>F209*(1+J210)</f>
        <v>21.825000000000003</v>
      </c>
      <c r="G210" s="9">
        <f>G209</f>
        <v>-2.8999999999999998E-3</v>
      </c>
      <c r="H210" s="9">
        <f>H209</f>
        <v>-2.5000000000000001E-3</v>
      </c>
      <c r="I210" s="9">
        <f>I209</f>
        <v>5.0000000000000001E-4</v>
      </c>
      <c r="J210" s="9">
        <v>0.25</v>
      </c>
    </row>
    <row r="211" spans="1:10">
      <c r="A211" s="1" t="s">
        <v>374</v>
      </c>
      <c r="B211" s="1">
        <v>640</v>
      </c>
      <c r="C211" s="2">
        <v>43.7</v>
      </c>
      <c r="D211" s="3">
        <v>36.5</v>
      </c>
      <c r="E211" s="4">
        <v>18.510000000000002</v>
      </c>
      <c r="F211" s="1">
        <v>17.54</v>
      </c>
      <c r="G211" s="9">
        <v>-2.8999999999999998E-3</v>
      </c>
      <c r="H211" s="9">
        <v>-2.5000000000000001E-3</v>
      </c>
      <c r="I211" s="9">
        <v>5.0000000000000001E-4</v>
      </c>
    </row>
    <row r="212" spans="1:10">
      <c r="A212" s="1" t="s">
        <v>375</v>
      </c>
      <c r="B212" s="1">
        <v>660</v>
      </c>
      <c r="C212" s="2">
        <v>45.4</v>
      </c>
      <c r="D212" s="3">
        <v>38.299999999999997</v>
      </c>
      <c r="E212" s="4">
        <v>18.47</v>
      </c>
      <c r="F212" s="1">
        <v>17.239999999999998</v>
      </c>
      <c r="G212" s="9">
        <v>-3.3999999999999998E-3</v>
      </c>
      <c r="H212" s="9">
        <v>-2.5999999999999999E-3</v>
      </c>
      <c r="I212" s="9">
        <v>5.0000000000000001E-4</v>
      </c>
    </row>
    <row r="213" spans="1:10">
      <c r="A213" s="1" t="s">
        <v>376</v>
      </c>
      <c r="B213" s="1">
        <v>720</v>
      </c>
      <c r="C213" s="2">
        <v>48.7</v>
      </c>
      <c r="D213" s="3">
        <v>40.799999999999997</v>
      </c>
      <c r="E213" s="4">
        <v>18.690000000000001</v>
      </c>
      <c r="F213" s="1">
        <v>17.670000000000002</v>
      </c>
      <c r="G213" s="9">
        <v>-2.8999999999999998E-3</v>
      </c>
      <c r="H213" s="9">
        <v>-2.5000000000000001E-3</v>
      </c>
      <c r="I213" s="9">
        <v>5.0000000000000001E-4</v>
      </c>
    </row>
    <row r="214" spans="1:10">
      <c r="A214" s="1" t="s">
        <v>377</v>
      </c>
      <c r="B214" s="1">
        <v>645</v>
      </c>
      <c r="C214" s="2">
        <v>44.8</v>
      </c>
      <c r="D214" s="3">
        <v>37.700000000000003</v>
      </c>
      <c r="E214" s="4">
        <v>18.350000000000001</v>
      </c>
      <c r="F214" s="1">
        <v>17.11</v>
      </c>
      <c r="G214" s="9">
        <v>-3.3999999999999998E-3</v>
      </c>
      <c r="H214" s="9">
        <v>-2.5999999999999999E-3</v>
      </c>
      <c r="I214" s="9">
        <v>5.0000000000000001E-4</v>
      </c>
      <c r="J214" s="9">
        <v>0.2</v>
      </c>
    </row>
    <row r="215" spans="1:10">
      <c r="A215" s="1" t="s">
        <v>378</v>
      </c>
      <c r="B215" s="1">
        <f>B214*(1+J214)</f>
        <v>774</v>
      </c>
      <c r="C215" s="2">
        <f>C214</f>
        <v>44.8</v>
      </c>
      <c r="D215" s="3">
        <f>D214</f>
        <v>37.700000000000003</v>
      </c>
      <c r="E215" s="4">
        <f>E214*(1+J214)</f>
        <v>22.02</v>
      </c>
      <c r="F215" s="1">
        <f>F214*(1+J214)</f>
        <v>20.532</v>
      </c>
      <c r="G215" s="9">
        <f>G214</f>
        <v>-3.3999999999999998E-3</v>
      </c>
      <c r="H215" s="9">
        <f>H214</f>
        <v>-2.5999999999999999E-3</v>
      </c>
      <c r="I215" s="9">
        <f>I214</f>
        <v>5.0000000000000001E-4</v>
      </c>
    </row>
    <row r="216" spans="1:10">
      <c r="A216" s="1" t="s">
        <v>379</v>
      </c>
      <c r="B216" s="1">
        <v>655</v>
      </c>
      <c r="C216" s="2">
        <v>45.2</v>
      </c>
      <c r="D216" s="3">
        <v>38.1</v>
      </c>
      <c r="E216" s="4">
        <v>18.43</v>
      </c>
      <c r="F216" s="1">
        <v>17.2</v>
      </c>
      <c r="G216" s="9">
        <v>-3.3999999999999998E-3</v>
      </c>
      <c r="H216" s="9">
        <v>-2.5999999999999999E-3</v>
      </c>
      <c r="I216" s="9">
        <v>5.0000000000000001E-4</v>
      </c>
      <c r="J216" s="9">
        <v>0.15</v>
      </c>
    </row>
    <row r="217" spans="1:10">
      <c r="A217" s="1" t="s">
        <v>380</v>
      </c>
      <c r="B217" s="1">
        <f>B216*(1+J216)</f>
        <v>753.24999999999989</v>
      </c>
      <c r="C217" s="2">
        <f>C216</f>
        <v>45.2</v>
      </c>
      <c r="D217" s="3">
        <f>D216</f>
        <v>38.1</v>
      </c>
      <c r="E217" s="4">
        <f>E216*(1+J216)</f>
        <v>21.194499999999998</v>
      </c>
      <c r="F217" s="1">
        <f>F216*(1+J216)</f>
        <v>19.779999999999998</v>
      </c>
      <c r="G217" s="9">
        <f>G216</f>
        <v>-3.3999999999999998E-3</v>
      </c>
      <c r="H217" s="9">
        <f>H216</f>
        <v>-2.5999999999999999E-3</v>
      </c>
      <c r="I217" s="9">
        <f>I216</f>
        <v>5.0000000000000001E-4</v>
      </c>
    </row>
    <row r="218" spans="1:10">
      <c r="A218" s="1" t="s">
        <v>381</v>
      </c>
      <c r="B218" s="1">
        <v>660</v>
      </c>
      <c r="C218" s="2">
        <v>45.4</v>
      </c>
      <c r="D218" s="3">
        <v>38.299999999999997</v>
      </c>
      <c r="E218" s="4">
        <v>18.47</v>
      </c>
      <c r="F218" s="1">
        <v>17.239999999999998</v>
      </c>
      <c r="G218" s="9">
        <v>-3.3999999999999998E-3</v>
      </c>
      <c r="H218" s="9">
        <v>-2.5999999999999999E-3</v>
      </c>
      <c r="I218" s="9">
        <v>5.0000000000000001E-4</v>
      </c>
      <c r="J218" s="9">
        <v>0.15</v>
      </c>
    </row>
    <row r="219" spans="1:10">
      <c r="A219" s="1" t="s">
        <v>382</v>
      </c>
      <c r="B219" s="1">
        <f>B218*(1+J218)</f>
        <v>758.99999999999989</v>
      </c>
      <c r="C219" s="2">
        <f>C218</f>
        <v>45.4</v>
      </c>
      <c r="D219" s="3">
        <f>D218</f>
        <v>38.299999999999997</v>
      </c>
      <c r="E219" s="4">
        <f>E218*(1+J218)</f>
        <v>21.240499999999997</v>
      </c>
      <c r="F219" s="1">
        <f>F218*(1+J218)</f>
        <v>19.825999999999997</v>
      </c>
      <c r="G219" s="9">
        <f>G218</f>
        <v>-3.3999999999999998E-3</v>
      </c>
      <c r="H219" s="9">
        <f>H218</f>
        <v>-2.5999999999999999E-3</v>
      </c>
      <c r="I219" s="9">
        <f>I218</f>
        <v>5.0000000000000001E-4</v>
      </c>
    </row>
    <row r="220" spans="1:10">
      <c r="A220" s="1" t="s">
        <v>383</v>
      </c>
      <c r="B220" s="1">
        <v>660</v>
      </c>
      <c r="C220" s="2">
        <v>45.4</v>
      </c>
      <c r="D220" s="3">
        <v>38.299999999999997</v>
      </c>
      <c r="E220" s="4">
        <v>18.47</v>
      </c>
      <c r="F220" s="1">
        <v>17.239999999999998</v>
      </c>
      <c r="G220" s="9">
        <v>-3.3999999999999998E-3</v>
      </c>
      <c r="H220" s="9">
        <v>-2.5999999999999999E-3</v>
      </c>
      <c r="I220" s="9">
        <v>5.0000000000000001E-4</v>
      </c>
    </row>
    <row r="221" spans="1:10">
      <c r="A221" s="1" t="s">
        <v>384</v>
      </c>
      <c r="B221" s="1">
        <v>660</v>
      </c>
      <c r="C221" s="2">
        <v>45.4</v>
      </c>
      <c r="D221" s="3">
        <v>37.700000000000003</v>
      </c>
      <c r="E221" s="4">
        <v>18.47</v>
      </c>
      <c r="F221" s="1">
        <v>17.510000000000002</v>
      </c>
      <c r="G221" s="9">
        <v>-3.5000000000000001E-3</v>
      </c>
      <c r="H221" s="9">
        <v>-2.7000000000000001E-3</v>
      </c>
      <c r="I221" s="9">
        <v>5.0000000000000001E-4</v>
      </c>
      <c r="J221" s="9">
        <v>0.2</v>
      </c>
    </row>
    <row r="222" spans="1:10">
      <c r="A222" s="1" t="s">
        <v>385</v>
      </c>
      <c r="B222" s="1">
        <f>B221*(1+J221)</f>
        <v>792</v>
      </c>
      <c r="C222" s="2">
        <f>C221</f>
        <v>45.4</v>
      </c>
      <c r="D222" s="3">
        <f>D221</f>
        <v>37.700000000000003</v>
      </c>
      <c r="E222" s="4">
        <f>E221*(1+J221)</f>
        <v>22.163999999999998</v>
      </c>
      <c r="F222" s="1">
        <f>F221*(1+J221)</f>
        <v>21.012</v>
      </c>
      <c r="G222" s="9">
        <f>G221</f>
        <v>-3.5000000000000001E-3</v>
      </c>
      <c r="H222" s="9">
        <f>H221</f>
        <v>-2.7000000000000001E-3</v>
      </c>
      <c r="I222" s="9">
        <f>I221</f>
        <v>5.0000000000000001E-4</v>
      </c>
    </row>
    <row r="223" spans="1:10">
      <c r="A223" s="1" t="s">
        <v>386</v>
      </c>
      <c r="B223" s="1">
        <v>665</v>
      </c>
      <c r="C223" s="2">
        <v>45.6</v>
      </c>
      <c r="D223" s="3">
        <v>38.5</v>
      </c>
      <c r="E223" s="4">
        <v>18.510000000000002</v>
      </c>
      <c r="F223" s="1">
        <v>17.28</v>
      </c>
      <c r="G223" s="9">
        <v>-3.3999999999999998E-3</v>
      </c>
      <c r="H223" s="9">
        <v>-2.5999999999999999E-3</v>
      </c>
      <c r="I223" s="9">
        <v>5.0000000000000001E-4</v>
      </c>
    </row>
    <row r="224" spans="1:10">
      <c r="A224" s="1" t="s">
        <v>387</v>
      </c>
      <c r="B224" s="1">
        <v>685</v>
      </c>
      <c r="C224" s="2">
        <v>47.3</v>
      </c>
      <c r="D224" s="3">
        <v>39.4</v>
      </c>
      <c r="E224" s="4">
        <v>18.34</v>
      </c>
      <c r="F224" s="1">
        <v>17.39</v>
      </c>
      <c r="G224" s="9">
        <v>-3.0000000000000001E-3</v>
      </c>
      <c r="H224" s="9">
        <v>-2.5000000000000001E-3</v>
      </c>
      <c r="I224" s="9">
        <v>5.0000000000000001E-4</v>
      </c>
      <c r="J224" s="9">
        <v>0.2</v>
      </c>
    </row>
    <row r="225" spans="1:10">
      <c r="A225" s="1" t="s">
        <v>388</v>
      </c>
      <c r="B225" s="1">
        <f>B224*(1+J224)</f>
        <v>822</v>
      </c>
      <c r="C225" s="2">
        <f>C224</f>
        <v>47.3</v>
      </c>
      <c r="D225" s="3">
        <f>D224</f>
        <v>39.4</v>
      </c>
      <c r="E225" s="4">
        <f>E224*(1+J224)</f>
        <v>22.007999999999999</v>
      </c>
      <c r="F225" s="1">
        <f>F224*(1+J224)</f>
        <v>20.867999999999999</v>
      </c>
      <c r="G225" s="9">
        <f>G224</f>
        <v>-3.0000000000000001E-3</v>
      </c>
      <c r="H225" s="9">
        <f>H224</f>
        <v>-2.5000000000000001E-3</v>
      </c>
      <c r="I225" s="9">
        <f>I224</f>
        <v>5.0000000000000001E-4</v>
      </c>
    </row>
    <row r="226" spans="1:10">
      <c r="A226" s="1" t="s">
        <v>389</v>
      </c>
      <c r="B226" s="1">
        <v>690</v>
      </c>
      <c r="C226" s="2">
        <v>47.5</v>
      </c>
      <c r="D226" s="3">
        <v>39.6</v>
      </c>
      <c r="E226" s="4">
        <v>18.39</v>
      </c>
      <c r="F226" s="1">
        <v>17.43</v>
      </c>
      <c r="G226" s="9">
        <v>-3.0000000000000001E-3</v>
      </c>
      <c r="H226" s="9">
        <v>-2.5000000000000001E-3</v>
      </c>
      <c r="I226" s="9">
        <v>5.0000000000000001E-4</v>
      </c>
      <c r="J226" s="9">
        <v>0.2</v>
      </c>
    </row>
    <row r="227" spans="1:10">
      <c r="A227" s="1" t="s">
        <v>390</v>
      </c>
      <c r="B227" s="1">
        <f>B226*(1+J226)</f>
        <v>828</v>
      </c>
      <c r="C227" s="2">
        <f>C226</f>
        <v>47.5</v>
      </c>
      <c r="D227" s="3">
        <f>D226</f>
        <v>39.6</v>
      </c>
      <c r="E227" s="4">
        <f>E226*(1+J226)</f>
        <v>22.068000000000001</v>
      </c>
      <c r="F227" s="1">
        <f>F226*(1+J226)</f>
        <v>20.916</v>
      </c>
      <c r="G227" s="9">
        <f>G226</f>
        <v>-3.0000000000000001E-3</v>
      </c>
      <c r="H227" s="9">
        <f>H226</f>
        <v>-2.5000000000000001E-3</v>
      </c>
      <c r="I227" s="9">
        <f>I226</f>
        <v>5.0000000000000001E-4</v>
      </c>
    </row>
    <row r="228" spans="1:10">
      <c r="A228" s="1" t="s">
        <v>391</v>
      </c>
      <c r="B228" s="1">
        <v>695</v>
      </c>
      <c r="C228" s="2">
        <v>47.4</v>
      </c>
      <c r="D228" s="3">
        <v>39.799999999999997</v>
      </c>
      <c r="E228" s="4">
        <v>18.440000000000001</v>
      </c>
      <c r="F228" s="1">
        <v>17.47</v>
      </c>
      <c r="G228" s="9">
        <v>-2.8999999999999998E-3</v>
      </c>
      <c r="H228" s="9">
        <v>-2.5000000000000001E-3</v>
      </c>
      <c r="I228" s="9">
        <v>5.0000000000000001E-4</v>
      </c>
      <c r="J228" s="9">
        <v>0.2</v>
      </c>
    </row>
    <row r="229" spans="1:10">
      <c r="A229" s="1" t="s">
        <v>392</v>
      </c>
      <c r="B229" s="1">
        <f>B228*(1+J228)</f>
        <v>834</v>
      </c>
      <c r="C229" s="2">
        <f>C228</f>
        <v>47.4</v>
      </c>
      <c r="D229" s="3">
        <f>D228</f>
        <v>39.799999999999997</v>
      </c>
      <c r="E229" s="4">
        <f>E228*(1+J228)</f>
        <v>22.128</v>
      </c>
      <c r="F229" s="1">
        <f>F228*(1+J228)</f>
        <v>20.963999999999999</v>
      </c>
      <c r="G229" s="9">
        <f>G228</f>
        <v>-2.8999999999999998E-3</v>
      </c>
      <c r="H229" s="9">
        <f>H228</f>
        <v>-2.5000000000000001E-3</v>
      </c>
      <c r="I229" s="9">
        <f>I228</f>
        <v>5.0000000000000001E-4</v>
      </c>
    </row>
    <row r="230" spans="1:10">
      <c r="A230" s="1" t="s">
        <v>393</v>
      </c>
      <c r="B230" s="1">
        <v>700</v>
      </c>
      <c r="C230" s="2">
        <v>47.9</v>
      </c>
      <c r="D230" s="3">
        <v>40</v>
      </c>
      <c r="E230" s="4">
        <v>18.489999999999998</v>
      </c>
      <c r="F230" s="1">
        <v>17.510000000000002</v>
      </c>
      <c r="G230" s="9">
        <v>-2.8999999999999998E-3</v>
      </c>
      <c r="H230" s="9">
        <v>-2.5000000000000001E-3</v>
      </c>
      <c r="I230" s="9">
        <v>5.0000000000000001E-4</v>
      </c>
    </row>
    <row r="231" spans="1:10">
      <c r="A231" s="1" t="s">
        <v>394</v>
      </c>
      <c r="B231" s="1">
        <f>B230*(1+J231)</f>
        <v>840</v>
      </c>
      <c r="C231" s="2">
        <f>C230</f>
        <v>47.9</v>
      </c>
      <c r="D231" s="3">
        <f>D230</f>
        <v>40</v>
      </c>
      <c r="E231" s="4">
        <f>E230*(1+J231)</f>
        <v>22.187999999999999</v>
      </c>
      <c r="F231" s="1">
        <f>F230*(1+J231)</f>
        <v>21.012</v>
      </c>
      <c r="G231" s="9">
        <f>G230</f>
        <v>-2.8999999999999998E-3</v>
      </c>
      <c r="H231" s="9">
        <f>H230</f>
        <v>-2.5000000000000001E-3</v>
      </c>
      <c r="I231" s="9">
        <f>I230</f>
        <v>5.0000000000000001E-4</v>
      </c>
      <c r="J231" s="9">
        <v>0.2</v>
      </c>
    </row>
    <row r="232" spans="1:10">
      <c r="A232" s="1" t="s">
        <v>395</v>
      </c>
      <c r="B232" s="1">
        <v>705</v>
      </c>
      <c r="C232" s="2">
        <v>48.1</v>
      </c>
      <c r="D232" s="3">
        <v>40.200000000000003</v>
      </c>
      <c r="E232" s="4">
        <v>18.54</v>
      </c>
      <c r="F232" s="1">
        <v>17.55</v>
      </c>
      <c r="G232" s="9">
        <v>-2.8999999999999998E-3</v>
      </c>
      <c r="H232" s="9">
        <v>-2.5000000000000001E-3</v>
      </c>
      <c r="I232" s="9">
        <v>5.0000000000000001E-4</v>
      </c>
    </row>
    <row r="233" spans="1:10">
      <c r="A233" s="1" t="s">
        <v>396</v>
      </c>
      <c r="B233" s="1">
        <f>B232*(1+J233)</f>
        <v>846</v>
      </c>
      <c r="C233" s="2">
        <f>C232</f>
        <v>48.1</v>
      </c>
      <c r="D233" s="3">
        <f>D232</f>
        <v>40.200000000000003</v>
      </c>
      <c r="E233" s="4">
        <f>E232*(1+J233)</f>
        <v>22.247999999999998</v>
      </c>
      <c r="F233" s="1">
        <f>F232*(1+J233)</f>
        <v>21.06</v>
      </c>
      <c r="G233" s="9">
        <f>G232</f>
        <v>-2.8999999999999998E-3</v>
      </c>
      <c r="H233" s="9">
        <f>H232</f>
        <v>-2.5000000000000001E-3</v>
      </c>
      <c r="I233" s="9">
        <f>I232</f>
        <v>5.0000000000000001E-4</v>
      </c>
      <c r="J233" s="9">
        <v>0.2</v>
      </c>
    </row>
    <row r="234" spans="1:10">
      <c r="A234" s="1" t="s">
        <v>397</v>
      </c>
      <c r="B234" s="1">
        <v>710</v>
      </c>
      <c r="C234" s="2">
        <v>48.3</v>
      </c>
      <c r="D234" s="3">
        <v>40.4</v>
      </c>
      <c r="E234" s="4">
        <v>18.59</v>
      </c>
      <c r="F234" s="1">
        <v>17.59</v>
      </c>
      <c r="G234" s="9">
        <v>-2.8999999999999998E-3</v>
      </c>
      <c r="H234" s="9">
        <v>-2.5000000000000001E-3</v>
      </c>
      <c r="I234" s="9">
        <v>5.0000000000000001E-4</v>
      </c>
    </row>
    <row r="235" spans="1:10">
      <c r="A235" s="1" t="s">
        <v>398</v>
      </c>
      <c r="B235" s="1">
        <f>B234*(1+J235)</f>
        <v>852</v>
      </c>
      <c r="C235" s="2">
        <f>C234</f>
        <v>48.3</v>
      </c>
      <c r="D235" s="3">
        <f>D234</f>
        <v>40.4</v>
      </c>
      <c r="E235" s="4">
        <f>E234*(1+J235)</f>
        <v>22.308</v>
      </c>
      <c r="F235" s="1">
        <f>F234*(1+J235)</f>
        <v>21.108000000000001</v>
      </c>
      <c r="G235" s="9">
        <f>G234</f>
        <v>-2.8999999999999998E-3</v>
      </c>
      <c r="H235" s="9">
        <f>H234</f>
        <v>-2.5000000000000001E-3</v>
      </c>
      <c r="I235" s="9">
        <f>I234</f>
        <v>5.0000000000000001E-4</v>
      </c>
      <c r="J235" s="9">
        <v>0.2</v>
      </c>
    </row>
    <row r="236" spans="1:10">
      <c r="A236" s="1" t="s">
        <v>399</v>
      </c>
      <c r="B236" s="1">
        <v>715</v>
      </c>
      <c r="C236" s="2">
        <v>48.5</v>
      </c>
      <c r="D236" s="3">
        <v>40.6</v>
      </c>
      <c r="E236" s="4">
        <v>18.64</v>
      </c>
      <c r="F236" s="1">
        <v>17.63</v>
      </c>
      <c r="G236" s="9">
        <v>-2.8999999999999998E-3</v>
      </c>
      <c r="H236" s="9">
        <v>-2.5000000000000001E-3</v>
      </c>
      <c r="I236" s="9">
        <v>5.0000000000000001E-4</v>
      </c>
    </row>
    <row r="237" spans="1:10">
      <c r="A237" s="1" t="s">
        <v>400</v>
      </c>
      <c r="B237" s="1">
        <f>B236*(1+J237)</f>
        <v>750.75</v>
      </c>
      <c r="C237" s="2">
        <f>C236</f>
        <v>48.5</v>
      </c>
      <c r="D237" s="3">
        <f>D236</f>
        <v>40.6</v>
      </c>
      <c r="E237" s="4">
        <f>E236*(1+J237)</f>
        <v>19.572000000000003</v>
      </c>
      <c r="F237" s="1">
        <f>F236*(1+J237)</f>
        <v>18.511499999999998</v>
      </c>
      <c r="G237" s="9">
        <f>G236</f>
        <v>-2.8999999999999998E-3</v>
      </c>
      <c r="H237" s="9">
        <f>H236</f>
        <v>-2.5000000000000001E-3</v>
      </c>
      <c r="I237" s="9">
        <f>I236</f>
        <v>5.0000000000000001E-4</v>
      </c>
      <c r="J237" s="9">
        <v>0.05</v>
      </c>
    </row>
    <row r="238" spans="1:10">
      <c r="A238" s="1" t="s">
        <v>401</v>
      </c>
      <c r="B238" s="1">
        <v>720</v>
      </c>
      <c r="C238" s="2">
        <v>48.7</v>
      </c>
      <c r="D238" s="3">
        <v>40.799999999999997</v>
      </c>
      <c r="E238" s="4">
        <v>18.690000000000001</v>
      </c>
      <c r="F238" s="1">
        <v>17.670000000000002</v>
      </c>
      <c r="G238" s="9">
        <v>-2.8999999999999998E-3</v>
      </c>
      <c r="H238" s="9">
        <v>-2.5000000000000001E-3</v>
      </c>
      <c r="I238" s="9">
        <v>5.0000000000000001E-4</v>
      </c>
    </row>
    <row r="239" spans="1:10">
      <c r="A239" s="1" t="s">
        <v>402</v>
      </c>
      <c r="B239" s="1">
        <f>B238*(1+J239)</f>
        <v>900</v>
      </c>
      <c r="C239" s="2">
        <f>C238</f>
        <v>48.7</v>
      </c>
      <c r="D239" s="3">
        <f>D238</f>
        <v>40.799999999999997</v>
      </c>
      <c r="E239" s="4">
        <f>E238*(1+J239)</f>
        <v>23.362500000000001</v>
      </c>
      <c r="F239" s="1">
        <f>F238*(1+J239)</f>
        <v>22.087500000000002</v>
      </c>
      <c r="G239" s="9">
        <f>G238</f>
        <v>-2.8999999999999998E-3</v>
      </c>
      <c r="H239" s="9">
        <f>H238</f>
        <v>-2.5000000000000001E-3</v>
      </c>
      <c r="I239" s="9">
        <f>I238</f>
        <v>5.0000000000000001E-4</v>
      </c>
      <c r="J239" s="9">
        <v>0.25</v>
      </c>
    </row>
    <row r="240" spans="1:10">
      <c r="A240" s="1" t="s">
        <v>403</v>
      </c>
      <c r="B240" s="1">
        <v>380</v>
      </c>
      <c r="C240" s="2">
        <v>41.2</v>
      </c>
      <c r="D240" s="3">
        <v>34.5</v>
      </c>
      <c r="E240" s="4">
        <v>11.68</v>
      </c>
      <c r="F240" s="1">
        <v>11.02</v>
      </c>
      <c r="G240" s="9">
        <v>-3.3999999999999998E-3</v>
      </c>
      <c r="H240" s="9">
        <v>-2.5999999999999999E-3</v>
      </c>
      <c r="I240" s="9">
        <v>5.0000000000000001E-4</v>
      </c>
    </row>
    <row r="241" spans="1:10">
      <c r="A241" s="1" t="s">
        <v>404</v>
      </c>
      <c r="B241" s="1">
        <v>300</v>
      </c>
      <c r="C241" s="2">
        <v>39.299999999999997</v>
      </c>
      <c r="D241" s="3">
        <v>32.700000000000003</v>
      </c>
      <c r="E241" s="4">
        <v>9.65</v>
      </c>
      <c r="F241" s="1">
        <v>9.18</v>
      </c>
      <c r="G241" s="9">
        <v>-3.8E-3</v>
      </c>
      <c r="H241" s="9">
        <v>-2.8999999999999998E-3</v>
      </c>
      <c r="I241" s="9">
        <v>5.0000000000000001E-4</v>
      </c>
    </row>
    <row r="242" spans="1:10">
      <c r="A242" s="1" t="s">
        <v>405</v>
      </c>
      <c r="B242" s="1">
        <v>244</v>
      </c>
      <c r="C242" s="2">
        <v>52.9</v>
      </c>
      <c r="D242" s="3">
        <v>43.5</v>
      </c>
      <c r="E242" s="4">
        <v>6.01</v>
      </c>
      <c r="F242" s="1">
        <v>5.61</v>
      </c>
      <c r="G242" s="9">
        <v>-4.0000000000000001E-3</v>
      </c>
      <c r="H242" s="9">
        <v>-3.3E-3</v>
      </c>
    </row>
    <row r="243" spans="1:10">
      <c r="A243" s="1" t="s">
        <v>406</v>
      </c>
      <c r="B243" s="1">
        <v>245</v>
      </c>
      <c r="C243" s="2">
        <v>53</v>
      </c>
      <c r="D243" s="3">
        <v>43.6</v>
      </c>
      <c r="E243" s="4">
        <v>6.01</v>
      </c>
      <c r="F243" s="1">
        <v>5.62</v>
      </c>
      <c r="G243" s="9">
        <v>-4.0000000000000001E-3</v>
      </c>
      <c r="H243" s="9">
        <v>-3.3E-3</v>
      </c>
    </row>
    <row r="244" spans="1:10">
      <c r="A244" s="1" t="s">
        <v>407</v>
      </c>
      <c r="B244" s="1">
        <v>450</v>
      </c>
      <c r="C244" s="2">
        <v>49.6</v>
      </c>
      <c r="D244" s="3">
        <v>41</v>
      </c>
      <c r="E244" s="4">
        <v>11.53</v>
      </c>
      <c r="F244" s="1">
        <v>10.98</v>
      </c>
      <c r="G244" s="9">
        <v>-3.3E-3</v>
      </c>
      <c r="H244" s="9">
        <v>-2.7000000000000001E-3</v>
      </c>
      <c r="I244" s="9">
        <v>5.0000000000000001E-4</v>
      </c>
    </row>
    <row r="245" spans="1:10">
      <c r="A245" s="1" t="s">
        <v>408</v>
      </c>
      <c r="B245" s="1">
        <v>540</v>
      </c>
      <c r="C245" s="2">
        <v>49.9</v>
      </c>
      <c r="D245" s="3">
        <v>42.16</v>
      </c>
      <c r="E245" s="4">
        <v>13.64</v>
      </c>
      <c r="F245" s="1">
        <v>12.81</v>
      </c>
      <c r="G245" s="9">
        <v>-3.5000000000000001E-3</v>
      </c>
      <c r="H245" s="9">
        <v>-2.7499999999999998E-3</v>
      </c>
      <c r="I245" s="9">
        <v>4.4999999999999999E-4</v>
      </c>
    </row>
    <row r="246" spans="1:10">
      <c r="A246" s="1" t="s">
        <v>409</v>
      </c>
      <c r="B246" s="1">
        <v>465</v>
      </c>
      <c r="C246" s="2">
        <v>44.73</v>
      </c>
      <c r="D246" s="3">
        <v>39.32</v>
      </c>
      <c r="E246" s="4">
        <v>12.47</v>
      </c>
      <c r="F246" s="1">
        <v>11.83</v>
      </c>
      <c r="G246" s="9">
        <v>-3.3999999999999998E-3</v>
      </c>
      <c r="H246" s="9">
        <v>-2.5000000000000001E-3</v>
      </c>
      <c r="I246" s="9">
        <v>4.0000000000000002E-4</v>
      </c>
    </row>
    <row r="247" spans="1:10">
      <c r="A247" s="1" t="s">
        <v>410</v>
      </c>
      <c r="B247" s="1">
        <v>420</v>
      </c>
      <c r="C247" s="2">
        <v>49.38</v>
      </c>
      <c r="D247" s="3">
        <v>41.67</v>
      </c>
      <c r="E247" s="4">
        <v>10.81</v>
      </c>
      <c r="F247" s="1">
        <v>10.08</v>
      </c>
      <c r="G247" s="9">
        <v>-3.3999999999999998E-3</v>
      </c>
      <c r="H247" s="9">
        <v>-2.5000000000000001E-3</v>
      </c>
      <c r="I247" s="9">
        <v>4.0000000000000002E-4</v>
      </c>
    </row>
    <row r="248" spans="1:10">
      <c r="A248" s="1" t="s">
        <v>411</v>
      </c>
      <c r="B248" s="1">
        <v>375</v>
      </c>
      <c r="C248" s="2">
        <v>41.3</v>
      </c>
      <c r="D248" s="3">
        <v>34.200000000000003</v>
      </c>
      <c r="E248" s="4">
        <v>11.37</v>
      </c>
      <c r="F248" s="1">
        <v>10.82</v>
      </c>
      <c r="G248" s="9">
        <v>-3.3999999999999998E-3</v>
      </c>
      <c r="H248" s="9">
        <v>-2.5000000000000001E-3</v>
      </c>
      <c r="I248" s="9">
        <v>4.0000000000000002E-4</v>
      </c>
    </row>
    <row r="249" spans="1:10">
      <c r="A249" s="1" t="s">
        <v>412</v>
      </c>
      <c r="B249" s="1">
        <v>445</v>
      </c>
      <c r="C249" s="2">
        <v>49.4</v>
      </c>
      <c r="D249" s="3">
        <v>40.799999999999997</v>
      </c>
      <c r="E249" s="4">
        <v>11.46</v>
      </c>
      <c r="F249" s="1">
        <v>10.9</v>
      </c>
      <c r="G249" s="9">
        <v>-3.3999999999999998E-3</v>
      </c>
      <c r="H249" s="9">
        <v>-2.5000000000000001E-3</v>
      </c>
      <c r="I249" s="9">
        <v>4.0000000000000002E-4</v>
      </c>
    </row>
    <row r="250" spans="1:10">
      <c r="A250" s="1" t="s">
        <v>413</v>
      </c>
      <c r="B250" s="1">
        <v>455</v>
      </c>
      <c r="C250" s="2">
        <v>49.8</v>
      </c>
      <c r="D250" s="3">
        <v>41.2</v>
      </c>
      <c r="E250" s="4">
        <v>11.61</v>
      </c>
      <c r="F250" s="1">
        <v>11.06</v>
      </c>
      <c r="G250" s="9">
        <v>-3.3999999999999998E-3</v>
      </c>
      <c r="H250" s="9">
        <v>-2.5000000000000001E-3</v>
      </c>
      <c r="I250" s="9">
        <v>4.0000000000000002E-4</v>
      </c>
    </row>
    <row r="251" spans="1:10">
      <c r="A251" s="1" t="s">
        <v>414</v>
      </c>
      <c r="B251" s="1">
        <v>500</v>
      </c>
      <c r="C251" s="2">
        <v>51.7</v>
      </c>
      <c r="D251" s="3">
        <v>42.8</v>
      </c>
      <c r="E251" s="4">
        <v>12.28</v>
      </c>
      <c r="F251" s="1">
        <v>11.69</v>
      </c>
      <c r="G251" s="9">
        <v>-3.5999999999999999E-3</v>
      </c>
      <c r="H251" s="9">
        <v>-2.5999999999999999E-3</v>
      </c>
      <c r="I251" s="9">
        <v>4.0000000000000002E-4</v>
      </c>
    </row>
    <row r="252" spans="1:10">
      <c r="A252" s="1" t="s">
        <v>415</v>
      </c>
      <c r="B252" s="1">
        <v>590</v>
      </c>
      <c r="C252" s="2">
        <v>41.1</v>
      </c>
      <c r="D252" s="3">
        <v>34</v>
      </c>
      <c r="E252" s="4">
        <v>18.420000000000002</v>
      </c>
      <c r="F252" s="1">
        <v>17.350000000000001</v>
      </c>
      <c r="G252" s="9">
        <v>-3.3999999999999998E-3</v>
      </c>
      <c r="H252" s="9">
        <v>-2.5000000000000001E-3</v>
      </c>
      <c r="I252" s="9">
        <v>4.0000000000000002E-4</v>
      </c>
    </row>
    <row r="253" spans="1:10">
      <c r="A253" s="1" t="s">
        <v>416</v>
      </c>
      <c r="B253" s="1">
        <v>781.3</v>
      </c>
      <c r="C253" s="2">
        <v>53</v>
      </c>
      <c r="D253" s="3">
        <v>45.2</v>
      </c>
      <c r="E253" s="4">
        <v>14.9</v>
      </c>
      <c r="F253" s="1">
        <v>13.83</v>
      </c>
      <c r="G253" s="9">
        <v>-2.8999999999999998E-3</v>
      </c>
      <c r="H253" s="9">
        <v>-2.5000000000000001E-3</v>
      </c>
      <c r="I253" s="9">
        <v>4.4999999999999999E-4</v>
      </c>
    </row>
    <row r="254" spans="1:10">
      <c r="A254" s="1" t="s">
        <v>417</v>
      </c>
      <c r="B254" s="1">
        <f>B253*(1+J254)</f>
        <v>937.56</v>
      </c>
      <c r="C254" s="2">
        <f>C253</f>
        <v>53</v>
      </c>
      <c r="D254" s="3">
        <f>D253</f>
        <v>45.2</v>
      </c>
      <c r="E254" s="4">
        <f>E253*(1+J254)</f>
        <v>17.88</v>
      </c>
      <c r="F254" s="1">
        <f>F253*(1+J254)</f>
        <v>16.596</v>
      </c>
      <c r="G254" s="9">
        <f>G253</f>
        <v>-2.8999999999999998E-3</v>
      </c>
      <c r="H254" s="9">
        <f>H253</f>
        <v>-2.5000000000000001E-3</v>
      </c>
      <c r="I254" s="9">
        <f>I253</f>
        <v>4.4999999999999999E-4</v>
      </c>
      <c r="J254" s="9">
        <v>0.2</v>
      </c>
    </row>
    <row r="255" spans="1:10">
      <c r="A255" s="1" t="s">
        <v>418</v>
      </c>
      <c r="B255" s="1">
        <v>590</v>
      </c>
      <c r="C255" s="2">
        <v>51.8</v>
      </c>
      <c r="D255" s="3">
        <v>44</v>
      </c>
      <c r="E255" s="4">
        <v>14.26</v>
      </c>
      <c r="F255" s="1">
        <v>13.41</v>
      </c>
      <c r="G255" s="9">
        <v>-3.0000000000000001E-3</v>
      </c>
      <c r="H255" s="9">
        <v>-2.5000000000000001E-3</v>
      </c>
      <c r="I255" s="9">
        <v>4.6000000000000001E-4</v>
      </c>
    </row>
    <row r="256" spans="1:10">
      <c r="A256" s="1" t="s">
        <v>419</v>
      </c>
      <c r="B256" s="1">
        <f>B255*(1+J256)</f>
        <v>737.5</v>
      </c>
      <c r="C256" s="2">
        <f>C255</f>
        <v>51.8</v>
      </c>
      <c r="D256" s="3">
        <f>D255</f>
        <v>44</v>
      </c>
      <c r="E256" s="4">
        <f>E255*(1+J256)</f>
        <v>17.824999999999999</v>
      </c>
      <c r="F256" s="1">
        <f>F255*(1+J256)</f>
        <v>16.762499999999999</v>
      </c>
      <c r="G256" s="9">
        <f>G255</f>
        <v>-3.0000000000000001E-3</v>
      </c>
      <c r="H256" s="9">
        <f>H255</f>
        <v>-2.5000000000000001E-3</v>
      </c>
      <c r="I256" s="9">
        <f>I255</f>
        <v>4.6000000000000001E-4</v>
      </c>
      <c r="J256" s="9">
        <v>0.25</v>
      </c>
    </row>
    <row r="257" spans="1:11">
      <c r="A257" s="1" t="s">
        <v>420</v>
      </c>
      <c r="B257" s="1">
        <v>360</v>
      </c>
      <c r="C257" s="2">
        <v>41.42</v>
      </c>
      <c r="D257" s="3">
        <v>33.67</v>
      </c>
      <c r="E257" s="4">
        <v>11.12</v>
      </c>
      <c r="F257" s="1">
        <v>10.7</v>
      </c>
      <c r="G257" s="9">
        <v>-3.2799999999999999E-3</v>
      </c>
      <c r="H257" s="9">
        <v>-2.5600000000000002E-3</v>
      </c>
      <c r="I257" s="9">
        <v>4.8700000000000002E-4</v>
      </c>
    </row>
    <row r="258" spans="1:11">
      <c r="A258" s="1" t="s">
        <v>421</v>
      </c>
      <c r="B258" s="1">
        <v>375</v>
      </c>
      <c r="C258" s="2">
        <v>41.89</v>
      </c>
      <c r="D258" s="3">
        <v>34.1</v>
      </c>
      <c r="E258" s="4">
        <v>11.43</v>
      </c>
      <c r="F258" s="1">
        <v>11.01</v>
      </c>
      <c r="G258" s="9">
        <v>-3.65E-3</v>
      </c>
      <c r="H258" s="9">
        <v>-2.7000000000000001E-3</v>
      </c>
      <c r="I258" s="9">
        <v>3.8000000000000002E-4</v>
      </c>
    </row>
    <row r="259" spans="1:11">
      <c r="A259" s="1" t="s">
        <v>422</v>
      </c>
      <c r="B259" s="1">
        <v>405</v>
      </c>
      <c r="C259" s="2">
        <v>37.33</v>
      </c>
      <c r="D259" s="3">
        <v>30.52</v>
      </c>
      <c r="E259" s="4">
        <v>13.68</v>
      </c>
      <c r="F259" s="1">
        <v>13.28</v>
      </c>
      <c r="G259" s="9">
        <v>-3.3E-3</v>
      </c>
      <c r="H259" s="9">
        <v>-2.4599999999999999E-3</v>
      </c>
      <c r="I259" s="9">
        <v>4.4799999999999999E-4</v>
      </c>
    </row>
    <row r="260" spans="1:11">
      <c r="A260" s="1" t="s">
        <v>423</v>
      </c>
      <c r="B260" s="1">
        <v>410</v>
      </c>
      <c r="C260" s="2">
        <v>37.33</v>
      </c>
      <c r="D260" s="3">
        <v>31.09</v>
      </c>
      <c r="E260" s="4">
        <v>14.06</v>
      </c>
      <c r="F260" s="1">
        <v>13.2</v>
      </c>
      <c r="G260" s="9">
        <v>-3.3500000000000001E-3</v>
      </c>
      <c r="H260" s="9">
        <v>-2.6900000000000001E-3</v>
      </c>
      <c r="I260" s="9">
        <v>6.3000000000000003E-4</v>
      </c>
    </row>
    <row r="261" spans="1:11">
      <c r="A261" s="1" t="s">
        <v>424</v>
      </c>
      <c r="B261" s="1">
        <f>B260*(1+J261)</f>
        <v>512.5</v>
      </c>
      <c r="C261" s="2">
        <f>C260</f>
        <v>37.33</v>
      </c>
      <c r="D261" s="3">
        <f>D260</f>
        <v>31.09</v>
      </c>
      <c r="E261" s="4">
        <f>E260*(1+J261)</f>
        <v>17.574999999999999</v>
      </c>
      <c r="F261" s="1">
        <f>F260*(1+J261)</f>
        <v>16.5</v>
      </c>
      <c r="G261" s="9">
        <f>G260</f>
        <v>-3.3500000000000001E-3</v>
      </c>
      <c r="H261" s="9">
        <f>H260</f>
        <v>-2.6900000000000001E-3</v>
      </c>
      <c r="I261" s="9">
        <f>I260</f>
        <v>6.3000000000000003E-4</v>
      </c>
      <c r="J261" s="9">
        <v>0.25</v>
      </c>
    </row>
    <row r="262" spans="1:11">
      <c r="A262" s="1" t="s">
        <v>425</v>
      </c>
      <c r="B262" s="1">
        <v>300</v>
      </c>
      <c r="C262" s="2">
        <v>39.799999999999997</v>
      </c>
      <c r="D262" s="3">
        <v>32.61</v>
      </c>
      <c r="E262" s="4">
        <v>9.69</v>
      </c>
      <c r="F262" s="1">
        <v>9.2100000000000009</v>
      </c>
      <c r="G262" s="9">
        <v>-3.8999999999999998E-3</v>
      </c>
      <c r="H262" s="9">
        <v>-3.0000000000000001E-3</v>
      </c>
      <c r="I262" s="9">
        <v>5.9999999999999995E-4</v>
      </c>
    </row>
    <row r="263" spans="1:11">
      <c r="A263" s="1" t="s">
        <v>426</v>
      </c>
      <c r="B263" s="1">
        <v>360</v>
      </c>
      <c r="C263" s="2">
        <v>40.42</v>
      </c>
      <c r="D263" s="3">
        <v>33.65</v>
      </c>
      <c r="E263" s="4">
        <v>11.11</v>
      </c>
      <c r="F263" s="1">
        <v>10.7</v>
      </c>
      <c r="G263" s="9">
        <v>-3.8E-3</v>
      </c>
      <c r="H263" s="9">
        <v>-3.0000000000000001E-3</v>
      </c>
      <c r="I263" s="9">
        <v>4.8000000000000001E-4</v>
      </c>
    </row>
    <row r="264" spans="1:11">
      <c r="A264" s="1" t="s">
        <v>427</v>
      </c>
      <c r="B264" s="1">
        <v>340</v>
      </c>
      <c r="C264" s="2">
        <v>76.459999999999994</v>
      </c>
      <c r="D264" s="3">
        <v>62.41</v>
      </c>
      <c r="E264" s="4">
        <v>5.79</v>
      </c>
      <c r="F264" s="1">
        <v>5.49</v>
      </c>
      <c r="G264" s="9">
        <v>-3.8E-3</v>
      </c>
      <c r="H264" s="9">
        <v>-3.0000000000000001E-3</v>
      </c>
      <c r="I264" s="9">
        <v>4.8000000000000001E-4</v>
      </c>
    </row>
    <row r="265" spans="1:11">
      <c r="A265" s="1" t="s">
        <v>428</v>
      </c>
      <c r="B265" s="1">
        <v>350</v>
      </c>
      <c r="C265" s="2">
        <v>77.3</v>
      </c>
      <c r="D265" s="3">
        <v>62.93</v>
      </c>
      <c r="E265" s="4">
        <v>5.88</v>
      </c>
      <c r="F265" s="1">
        <v>5.62</v>
      </c>
      <c r="G265" s="9">
        <v>-3.8E-3</v>
      </c>
      <c r="H265" s="9">
        <v>-3.0000000000000001E-3</v>
      </c>
      <c r="I265" s="9">
        <v>4.8000000000000001E-4</v>
      </c>
    </row>
    <row r="266" spans="1:11">
      <c r="A266" s="1" t="s">
        <v>429</v>
      </c>
      <c r="B266" s="1">
        <v>375</v>
      </c>
      <c r="C266" s="2">
        <v>41.6</v>
      </c>
      <c r="D266" s="3">
        <v>34.630000000000003</v>
      </c>
      <c r="E266" s="4">
        <v>11.53</v>
      </c>
      <c r="F266" s="1">
        <v>10.83</v>
      </c>
      <c r="G266" s="9">
        <v>-3.3999999999999998E-3</v>
      </c>
      <c r="H266" s="9">
        <v>-2.8E-3</v>
      </c>
      <c r="I266" s="9">
        <v>4.8000000000000001E-4</v>
      </c>
    </row>
    <row r="267" spans="1:11">
      <c r="A267" s="1" t="s">
        <v>430</v>
      </c>
      <c r="B267" s="1">
        <v>280</v>
      </c>
      <c r="C267" s="2">
        <v>49.41</v>
      </c>
      <c r="D267" s="3">
        <v>41.06</v>
      </c>
      <c r="E267" s="4">
        <v>7.19</v>
      </c>
      <c r="F267" s="1">
        <v>6.82</v>
      </c>
      <c r="G267" s="9">
        <v>-2.8999999999999998E-3</v>
      </c>
      <c r="H267" s="9">
        <v>-2.5000000000000001E-3</v>
      </c>
      <c r="I267" s="9">
        <v>4.4999999999999999E-4</v>
      </c>
    </row>
    <row r="268" spans="1:11">
      <c r="A268" s="1" t="s">
        <v>431</v>
      </c>
      <c r="B268" s="1">
        <f>B267*K268</f>
        <v>560</v>
      </c>
      <c r="C268" s="2">
        <f>C267</f>
        <v>49.41</v>
      </c>
      <c r="D268" s="3">
        <f>D267</f>
        <v>41.06</v>
      </c>
      <c r="E268" s="4">
        <f>E267*K268</f>
        <v>14.38</v>
      </c>
      <c r="F268" s="1">
        <f>F267*K268</f>
        <v>13.64</v>
      </c>
      <c r="G268" s="9">
        <f>G267</f>
        <v>-2.8999999999999998E-3</v>
      </c>
      <c r="H268" s="9">
        <f>H267</f>
        <v>-2.5000000000000001E-3</v>
      </c>
      <c r="I268" s="9">
        <f>I267</f>
        <v>4.4999999999999999E-4</v>
      </c>
      <c r="K268" s="5">
        <v>2</v>
      </c>
    </row>
    <row r="269" spans="1:11">
      <c r="A269" s="1" t="s">
        <v>432</v>
      </c>
      <c r="B269" s="1">
        <v>375</v>
      </c>
      <c r="C269" s="2">
        <v>40.92</v>
      </c>
      <c r="D269" s="3">
        <v>34.54</v>
      </c>
      <c r="E269" s="4">
        <v>11.37</v>
      </c>
      <c r="F269" s="1">
        <v>10.86</v>
      </c>
      <c r="G269" s="9">
        <v>-3.9430000000000003E-3</v>
      </c>
      <c r="H269" s="9">
        <v>-3.0349999999999999E-3</v>
      </c>
      <c r="I269" s="9">
        <v>4.84E-4</v>
      </c>
    </row>
    <row r="270" spans="1:11">
      <c r="A270" s="1" t="s">
        <v>433</v>
      </c>
      <c r="B270" s="1">
        <f>B269*(1+J270)</f>
        <v>468.75</v>
      </c>
      <c r="C270" s="2">
        <f>C269</f>
        <v>40.92</v>
      </c>
      <c r="D270" s="3">
        <f>D269</f>
        <v>34.54</v>
      </c>
      <c r="E270" s="4">
        <f>E269*(1+J270)</f>
        <v>14.212499999999999</v>
      </c>
      <c r="F270" s="1">
        <f>F269*(1+J270)</f>
        <v>13.574999999999999</v>
      </c>
      <c r="G270" s="9">
        <f>G269</f>
        <v>-3.9430000000000003E-3</v>
      </c>
      <c r="H270" s="9">
        <f>H269</f>
        <v>-3.0349999999999999E-3</v>
      </c>
      <c r="I270" s="9">
        <f>I269</f>
        <v>4.84E-4</v>
      </c>
      <c r="J270" s="9">
        <v>0.25</v>
      </c>
    </row>
    <row r="271" spans="1:11">
      <c r="A271" s="1" t="s">
        <v>434</v>
      </c>
      <c r="B271" s="1">
        <v>43</v>
      </c>
      <c r="C271" s="2">
        <v>12.01</v>
      </c>
      <c r="D271" s="3">
        <v>9.59</v>
      </c>
      <c r="E271" s="4">
        <v>4.7699999999999996</v>
      </c>
      <c r="F271" s="1">
        <v>4.4489999999999998</v>
      </c>
      <c r="G271" s="9">
        <v>-4.6699999999999997E-3</v>
      </c>
      <c r="H271" s="9">
        <v>-3.3400000000000001E-3</v>
      </c>
      <c r="I271" s="9">
        <v>4.9899999999999999E-4</v>
      </c>
    </row>
    <row r="272" spans="1:11">
      <c r="A272" s="1" t="s">
        <v>435</v>
      </c>
      <c r="B272" s="1">
        <v>42</v>
      </c>
      <c r="C272" s="2">
        <v>11.87</v>
      </c>
      <c r="D272" s="3">
        <v>9.4700000000000006</v>
      </c>
      <c r="E272" s="4">
        <v>4.72</v>
      </c>
      <c r="F272" s="1">
        <v>4.43</v>
      </c>
      <c r="G272" s="9">
        <v>-4.4000000000000003E-3</v>
      </c>
      <c r="H272" s="9">
        <v>-3.3E-3</v>
      </c>
      <c r="I272" s="9">
        <v>5.0000000000000001E-4</v>
      </c>
    </row>
    <row r="273" spans="1:11">
      <c r="A273" s="1" t="s">
        <v>436</v>
      </c>
      <c r="B273" s="1">
        <v>380</v>
      </c>
      <c r="C273" s="2">
        <v>41.24</v>
      </c>
      <c r="D273" s="3">
        <v>34.46</v>
      </c>
      <c r="E273" s="4">
        <v>11.48</v>
      </c>
      <c r="F273" s="1">
        <v>11.03</v>
      </c>
      <c r="G273" s="9">
        <v>-3.5000000000000001E-3</v>
      </c>
      <c r="H273" s="9">
        <v>-2.8E-3</v>
      </c>
      <c r="I273" s="9">
        <v>4.8000000000000001E-4</v>
      </c>
    </row>
    <row r="274" spans="1:11">
      <c r="A274" s="1" t="s">
        <v>437</v>
      </c>
      <c r="B274" s="1">
        <f>320*1.2</f>
        <v>384</v>
      </c>
      <c r="C274" s="2">
        <v>38.840000000000003</v>
      </c>
      <c r="D274" s="3">
        <v>31.91</v>
      </c>
      <c r="E274" s="4">
        <f>10.65*1.2</f>
        <v>12.78</v>
      </c>
      <c r="F274" s="1">
        <f>10.03*1.2</f>
        <v>12.036</v>
      </c>
      <c r="G274" s="9">
        <v>-3.8E-3</v>
      </c>
      <c r="H274" s="9">
        <v>-3.0000000000000001E-3</v>
      </c>
      <c r="I274" s="9">
        <v>4.7999999999999996E-3</v>
      </c>
    </row>
    <row r="275" spans="1:11">
      <c r="A275" s="1" t="s">
        <v>438</v>
      </c>
      <c r="B275" s="1">
        <v>320</v>
      </c>
      <c r="C275" s="2">
        <v>38.840000000000003</v>
      </c>
      <c r="D275" s="3">
        <v>31.91</v>
      </c>
      <c r="E275" s="4">
        <v>10.65</v>
      </c>
      <c r="F275" s="1">
        <v>10.029999999999999</v>
      </c>
      <c r="G275" s="9">
        <v>-3.8E-3</v>
      </c>
      <c r="H275" s="9">
        <v>-3.0000000000000001E-3</v>
      </c>
      <c r="I275" s="9">
        <v>4.7999999999999996E-3</v>
      </c>
    </row>
    <row r="276" spans="1:11">
      <c r="A276" s="1" t="s">
        <v>439</v>
      </c>
      <c r="B276" s="1">
        <v>355</v>
      </c>
      <c r="C276" s="2">
        <v>47.74</v>
      </c>
      <c r="D276" s="3">
        <v>38.979999999999997</v>
      </c>
      <c r="E276" s="4">
        <v>9.65</v>
      </c>
      <c r="F276" s="1">
        <v>9.1199999999999992</v>
      </c>
      <c r="G276" s="9">
        <v>-4.1999999999999997E-3</v>
      </c>
      <c r="H276" s="9">
        <v>-3.0000000000000001E-3</v>
      </c>
    </row>
    <row r="277" spans="1:11">
      <c r="A277" s="1" t="s">
        <v>440</v>
      </c>
      <c r="B277" s="1">
        <v>120</v>
      </c>
      <c r="C277" s="2">
        <v>88.7</v>
      </c>
      <c r="D277" s="3">
        <v>70.8</v>
      </c>
      <c r="E277" s="4">
        <v>1.84</v>
      </c>
      <c r="F277" s="1">
        <v>1.7</v>
      </c>
      <c r="G277" s="9">
        <v>-2.8E-3</v>
      </c>
      <c r="H277" s="9">
        <v>-2.8E-3</v>
      </c>
      <c r="I277" s="9">
        <v>4.0000000000000002E-4</v>
      </c>
    </row>
    <row r="278" spans="1:11">
      <c r="A278" s="1" t="s">
        <v>441</v>
      </c>
      <c r="B278" s="1">
        <v>435</v>
      </c>
      <c r="C278" s="2">
        <v>215.7</v>
      </c>
      <c r="D278" s="3">
        <v>181.2</v>
      </c>
      <c r="E278" s="4">
        <v>2.64</v>
      </c>
      <c r="F278" s="1">
        <v>2.4</v>
      </c>
      <c r="G278" s="9">
        <v>-3.2000000000000002E-3</v>
      </c>
      <c r="H278" s="9">
        <v>-2.8E-3</v>
      </c>
      <c r="I278" s="9">
        <v>4.0000000000000002E-4</v>
      </c>
    </row>
    <row r="279" spans="1:11">
      <c r="A279" s="1" t="s">
        <v>442</v>
      </c>
      <c r="B279" s="1">
        <v>115</v>
      </c>
      <c r="C279" s="2">
        <v>87.8</v>
      </c>
      <c r="D279" s="3">
        <v>70.5</v>
      </c>
      <c r="E279" s="4">
        <v>1.78</v>
      </c>
      <c r="F279" s="1">
        <v>1.63</v>
      </c>
      <c r="G279" s="9">
        <v>-3.3999999999999998E-3</v>
      </c>
      <c r="H279" s="9">
        <v>-2.8999999999999998E-3</v>
      </c>
      <c r="I279" s="9">
        <v>4.0000000000000002E-4</v>
      </c>
    </row>
    <row r="280" spans="1:11">
      <c r="A280" s="1" t="s">
        <v>443</v>
      </c>
      <c r="B280" s="1">
        <v>430</v>
      </c>
      <c r="C280" s="2">
        <v>219.2</v>
      </c>
      <c r="D280" s="3">
        <v>182.6</v>
      </c>
      <c r="E280" s="4">
        <v>2.54</v>
      </c>
      <c r="F280" s="1">
        <v>2.36</v>
      </c>
      <c r="G280" s="9">
        <v>-3.2000000000000002E-3</v>
      </c>
      <c r="H280" s="9">
        <v>-2.8E-3</v>
      </c>
      <c r="I280" s="9">
        <v>4.0000000000000002E-4</v>
      </c>
    </row>
    <row r="281" spans="1:11">
      <c r="A281" s="1" t="s">
        <v>444</v>
      </c>
      <c r="B281" s="1">
        <v>445</v>
      </c>
      <c r="C281" s="2">
        <v>220.4</v>
      </c>
      <c r="D281" s="3">
        <v>185.7</v>
      </c>
      <c r="E281" s="4">
        <v>2.56</v>
      </c>
      <c r="F281" s="1">
        <v>2.4</v>
      </c>
      <c r="G281" s="9">
        <v>-3.2000000000000002E-3</v>
      </c>
      <c r="H281" s="9">
        <v>-2.8E-3</v>
      </c>
      <c r="I281" s="9">
        <v>4.0000000000000002E-4</v>
      </c>
    </row>
    <row r="282" spans="1:11">
      <c r="A282" s="1" t="s">
        <v>445</v>
      </c>
      <c r="B282" s="1">
        <v>280</v>
      </c>
      <c r="C282" s="2">
        <v>39.61</v>
      </c>
      <c r="D282" s="3">
        <v>32</v>
      </c>
      <c r="E282" s="4">
        <v>9.52</v>
      </c>
      <c r="F282" s="1">
        <v>8.75</v>
      </c>
      <c r="G282" s="9">
        <v>-3.0999999999999999E-3</v>
      </c>
      <c r="H282" s="9">
        <v>-3.9300000000000003E-3</v>
      </c>
      <c r="I282" s="9">
        <v>4.0999999999999999E-4</v>
      </c>
    </row>
    <row r="283" spans="1:11">
      <c r="A283" s="1" t="s">
        <v>446</v>
      </c>
      <c r="B283" s="1">
        <v>300</v>
      </c>
      <c r="C283" s="2">
        <v>39.61</v>
      </c>
      <c r="D283" s="3">
        <v>32</v>
      </c>
      <c r="E283" s="4">
        <v>10.199999999999999</v>
      </c>
      <c r="F283" s="1">
        <v>9.3699999999999992</v>
      </c>
      <c r="G283" s="9">
        <v>-3.0999999999999999E-3</v>
      </c>
      <c r="H283" s="9">
        <v>-3.9300000000000003E-3</v>
      </c>
      <c r="I283" s="9">
        <v>4.0999999999999999E-4</v>
      </c>
    </row>
    <row r="284" spans="1:11">
      <c r="A284" s="1" t="s">
        <v>447</v>
      </c>
      <c r="B284" s="1">
        <f>B283*K284</f>
        <v>4200</v>
      </c>
      <c r="C284" s="2">
        <f>C283</f>
        <v>39.61</v>
      </c>
      <c r="D284" s="3">
        <f>D283</f>
        <v>32</v>
      </c>
      <c r="E284" s="4">
        <f>E283*K284</f>
        <v>142.79999999999998</v>
      </c>
      <c r="F284" s="1">
        <f>F283*K284</f>
        <v>131.17999999999998</v>
      </c>
      <c r="G284" s="9">
        <f>G283</f>
        <v>-3.0999999999999999E-3</v>
      </c>
      <c r="H284" s="9">
        <f>H283</f>
        <v>-3.9300000000000003E-3</v>
      </c>
      <c r="I284" s="9">
        <f>I283</f>
        <v>4.0999999999999999E-4</v>
      </c>
      <c r="K284" s="5">
        <v>14</v>
      </c>
    </row>
    <row r="285" spans="1:11">
      <c r="A285" s="1" t="s">
        <v>448</v>
      </c>
      <c r="B285" s="1">
        <v>285</v>
      </c>
      <c r="C285" s="2">
        <v>38.9</v>
      </c>
      <c r="D285" s="3">
        <v>31.8</v>
      </c>
      <c r="E285" s="4">
        <v>9.5399999999999991</v>
      </c>
      <c r="F285" s="1">
        <v>8.9600000000000009</v>
      </c>
      <c r="G285" s="9">
        <v>-4.1000000000000003E-3</v>
      </c>
      <c r="H285" s="9">
        <v>-3.2000000000000002E-3</v>
      </c>
      <c r="I285" s="9">
        <v>5.5000000000000003E-4</v>
      </c>
    </row>
    <row r="286" spans="1:11">
      <c r="A286" s="1" t="s">
        <v>449</v>
      </c>
      <c r="B286" s="1">
        <v>320</v>
      </c>
      <c r="C286" s="2">
        <v>45.8</v>
      </c>
      <c r="D286" s="3">
        <v>37.4</v>
      </c>
      <c r="E286" s="4">
        <v>9.17</v>
      </c>
      <c r="F286" s="1">
        <v>8.56</v>
      </c>
      <c r="G286" s="9">
        <v>-4.4000000000000003E-3</v>
      </c>
      <c r="H286" s="9">
        <v>-3.2000000000000002E-3</v>
      </c>
    </row>
    <row r="287" spans="1:11">
      <c r="A287" s="1" t="s">
        <v>450</v>
      </c>
      <c r="B287" s="1">
        <v>540</v>
      </c>
      <c r="C287" s="2">
        <v>49.24</v>
      </c>
      <c r="D287" s="3">
        <v>41.45</v>
      </c>
      <c r="E287" s="4">
        <v>13.63</v>
      </c>
      <c r="F287" s="1">
        <v>13.03</v>
      </c>
      <c r="G287" s="9">
        <v>-3.5000000000000001E-3</v>
      </c>
      <c r="H287" s="9">
        <v>-2.8E-3</v>
      </c>
      <c r="I287" s="9">
        <v>5.0000000000000001E-4</v>
      </c>
    </row>
    <row r="288" spans="1:11">
      <c r="A288" s="1" t="s">
        <v>451</v>
      </c>
      <c r="B288" s="1">
        <v>555</v>
      </c>
      <c r="C288" s="2">
        <v>50.08</v>
      </c>
      <c r="D288" s="3">
        <v>42.18</v>
      </c>
      <c r="E288" s="4">
        <v>13.93</v>
      </c>
      <c r="F288" s="1">
        <v>13.16</v>
      </c>
      <c r="G288" s="9">
        <v>-3.5000000000000001E-3</v>
      </c>
      <c r="H288" s="9">
        <v>-2.8E-3</v>
      </c>
      <c r="I288" s="9">
        <v>5.0000000000000001E-4</v>
      </c>
      <c r="J288" s="9">
        <v>0.15</v>
      </c>
    </row>
    <row r="289" spans="1:10">
      <c r="A289" s="1" t="s">
        <v>452</v>
      </c>
      <c r="B289" s="1">
        <f>B288*(1+J288)</f>
        <v>638.25</v>
      </c>
      <c r="C289" s="2">
        <f>C288</f>
        <v>50.08</v>
      </c>
      <c r="D289" s="3">
        <f>D288</f>
        <v>42.18</v>
      </c>
      <c r="E289" s="4">
        <f>E288*(1+J288)</f>
        <v>16.019499999999997</v>
      </c>
      <c r="F289" s="1">
        <f>F288*(1+J288)</f>
        <v>15.133999999999999</v>
      </c>
      <c r="G289" s="9">
        <f>G288</f>
        <v>-3.5000000000000001E-3</v>
      </c>
      <c r="H289" s="9">
        <f>H288</f>
        <v>-2.8E-3</v>
      </c>
      <c r="I289" s="9">
        <f>I288</f>
        <v>5.0000000000000001E-4</v>
      </c>
    </row>
    <row r="290" spans="1:10">
      <c r="A290" s="1" t="s">
        <v>453</v>
      </c>
      <c r="B290" s="1">
        <v>525</v>
      </c>
      <c r="C290" s="2">
        <v>49.05</v>
      </c>
      <c r="D290" s="3">
        <v>41.21</v>
      </c>
      <c r="E290" s="4">
        <v>13.53</v>
      </c>
      <c r="F290" s="1">
        <v>12.74</v>
      </c>
      <c r="G290" s="9">
        <v>-3.5999999999999999E-3</v>
      </c>
      <c r="H290" s="9">
        <v>-2.8E-3</v>
      </c>
      <c r="I290" s="9">
        <v>5.0000000000000001E-4</v>
      </c>
    </row>
    <row r="291" spans="1:10">
      <c r="A291" s="1" t="s">
        <v>454</v>
      </c>
      <c r="B291" s="1">
        <v>535</v>
      </c>
      <c r="C291" s="2">
        <v>49.51</v>
      </c>
      <c r="D291" s="3">
        <v>41.77</v>
      </c>
      <c r="E291" s="4">
        <v>13.6</v>
      </c>
      <c r="F291" s="1">
        <v>12.81</v>
      </c>
      <c r="G291" s="9">
        <v>-3.8999999999999998E-3</v>
      </c>
      <c r="H291" s="9">
        <v>-3.0000000000000001E-3</v>
      </c>
      <c r="I291" s="9">
        <v>5.9999999999999995E-4</v>
      </c>
      <c r="J291" s="9">
        <v>0.2</v>
      </c>
    </row>
    <row r="292" spans="1:10">
      <c r="A292" s="1" t="s">
        <v>455</v>
      </c>
      <c r="B292" s="1">
        <f>B291*(1+J291)</f>
        <v>642</v>
      </c>
      <c r="C292" s="2">
        <f>C291</f>
        <v>49.51</v>
      </c>
      <c r="D292" s="3">
        <f>D291</f>
        <v>41.77</v>
      </c>
      <c r="E292" s="4">
        <f>E291*(1+J291)</f>
        <v>16.32</v>
      </c>
      <c r="F292" s="1">
        <f>F291*(1+J291)</f>
        <v>15.372</v>
      </c>
      <c r="G292" s="9">
        <f>G291</f>
        <v>-3.8999999999999998E-3</v>
      </c>
      <c r="H292" s="9">
        <f>H291</f>
        <v>-3.0000000000000001E-3</v>
      </c>
      <c r="I292" s="9">
        <f>I291</f>
        <v>5.9999999999999995E-4</v>
      </c>
    </row>
    <row r="293" spans="1:10">
      <c r="A293" s="1" t="s">
        <v>456</v>
      </c>
      <c r="B293" s="1">
        <v>545</v>
      </c>
      <c r="C293" s="2">
        <v>49.98</v>
      </c>
      <c r="D293" s="3">
        <v>42.35</v>
      </c>
      <c r="E293" s="4">
        <v>13.66</v>
      </c>
      <c r="F293" s="1">
        <v>12.87</v>
      </c>
      <c r="G293" s="9">
        <v>-3.5999999999999999E-3</v>
      </c>
      <c r="H293" s="9">
        <v>-2.8E-3</v>
      </c>
      <c r="I293" s="9">
        <v>5.0000000000000001E-4</v>
      </c>
    </row>
    <row r="294" spans="1:10">
      <c r="A294" s="1" t="s">
        <v>457</v>
      </c>
      <c r="B294" s="1">
        <v>550</v>
      </c>
      <c r="C294" s="2">
        <v>50.22</v>
      </c>
      <c r="D294" s="3">
        <v>42.64</v>
      </c>
      <c r="E294" s="4">
        <v>13.7</v>
      </c>
      <c r="F294" s="1">
        <v>12.9</v>
      </c>
      <c r="G294" s="9">
        <v>-3.5999999999999999E-3</v>
      </c>
      <c r="H294" s="9">
        <v>-2.8E-3</v>
      </c>
      <c r="I294" s="9">
        <v>5.0000000000000001E-4</v>
      </c>
    </row>
    <row r="295" spans="1:10">
      <c r="A295" s="1" t="s">
        <v>458</v>
      </c>
      <c r="B295" s="1">
        <v>560</v>
      </c>
      <c r="C295" s="2">
        <v>50.68</v>
      </c>
      <c r="D295" s="3">
        <v>43.22</v>
      </c>
      <c r="E295" s="4">
        <v>13.76</v>
      </c>
      <c r="F295" s="1">
        <v>12.96</v>
      </c>
      <c r="G295" s="9">
        <v>-3.5999999999999999E-3</v>
      </c>
      <c r="H295" s="9">
        <v>-2.8E-3</v>
      </c>
      <c r="I295" s="9">
        <v>5.0000000000000001E-4</v>
      </c>
    </row>
    <row r="296" spans="1:10">
      <c r="A296" s="1" t="s">
        <v>459</v>
      </c>
      <c r="B296" s="1">
        <v>630</v>
      </c>
      <c r="C296" s="2">
        <v>42.7</v>
      </c>
      <c r="D296" s="3">
        <v>36.450000000000003</v>
      </c>
      <c r="E296" s="4">
        <v>17.739999999999998</v>
      </c>
      <c r="F296" s="1">
        <v>17.010000000000002</v>
      </c>
      <c r="G296" s="9">
        <v>-3.0999999999999999E-3</v>
      </c>
      <c r="H296" s="9">
        <v>-2.5999999999999999E-3</v>
      </c>
      <c r="I296" s="9">
        <v>3.8000000000000002E-4</v>
      </c>
    </row>
    <row r="297" spans="1:10">
      <c r="A297" s="1" t="s">
        <v>460</v>
      </c>
      <c r="B297" s="1">
        <v>615</v>
      </c>
      <c r="C297" s="2">
        <v>42.05</v>
      </c>
      <c r="D297" s="3">
        <v>34.96</v>
      </c>
      <c r="E297" s="4">
        <v>18.71</v>
      </c>
      <c r="F297" s="1">
        <v>17.59</v>
      </c>
      <c r="G297" s="9">
        <v>-3.5999999999999999E-3</v>
      </c>
      <c r="H297" s="9">
        <v>-2.8E-3</v>
      </c>
      <c r="I297" s="9">
        <v>5.0000000000000001E-4</v>
      </c>
    </row>
    <row r="298" spans="1:10">
      <c r="A298" s="1" t="s">
        <v>461</v>
      </c>
      <c r="B298" s="1">
        <v>600</v>
      </c>
      <c r="C298" s="2">
        <v>41.45</v>
      </c>
      <c r="D298" s="3">
        <v>34.36</v>
      </c>
      <c r="E298" s="4">
        <v>18.55</v>
      </c>
      <c r="F298" s="1">
        <v>17.46</v>
      </c>
      <c r="G298" s="9">
        <v>-3.5999999999999999E-3</v>
      </c>
      <c r="H298" s="9">
        <v>-2.8E-3</v>
      </c>
      <c r="I298" s="9">
        <v>5.0000000000000001E-4</v>
      </c>
    </row>
    <row r="299" spans="1:10">
      <c r="A299" s="1" t="s">
        <v>462</v>
      </c>
      <c r="B299" s="1">
        <v>660</v>
      </c>
      <c r="C299" s="2">
        <v>45.2</v>
      </c>
      <c r="D299" s="3">
        <v>37.799999999999997</v>
      </c>
      <c r="E299" s="4">
        <v>18.55</v>
      </c>
      <c r="F299" s="1">
        <v>17.46</v>
      </c>
      <c r="G299" s="9">
        <v>-3.5999999999999999E-3</v>
      </c>
      <c r="H299" s="9">
        <v>-2.8E-3</v>
      </c>
      <c r="I299" s="9">
        <v>5.0000000000000001E-4</v>
      </c>
    </row>
    <row r="300" spans="1:10">
      <c r="A300" s="1" t="s">
        <v>463</v>
      </c>
      <c r="B300" s="1">
        <v>405</v>
      </c>
      <c r="C300" s="2">
        <v>45.3</v>
      </c>
      <c r="D300" s="3">
        <v>37.4</v>
      </c>
      <c r="E300" s="4">
        <v>11.39</v>
      </c>
      <c r="F300" s="1">
        <v>10.83</v>
      </c>
      <c r="G300" s="9">
        <v>-4.0000000000000001E-3</v>
      </c>
      <c r="H300" s="9">
        <v>-3.0999999999999999E-3</v>
      </c>
      <c r="I300" s="9">
        <v>5.0000000000000001E-4</v>
      </c>
    </row>
    <row r="301" spans="1:10">
      <c r="A301" s="1" t="s">
        <v>464</v>
      </c>
      <c r="B301" s="1">
        <v>410</v>
      </c>
      <c r="C301" s="2">
        <v>45.3</v>
      </c>
      <c r="D301" s="3">
        <v>37.5</v>
      </c>
      <c r="E301" s="4">
        <v>11.43</v>
      </c>
      <c r="F301" s="1">
        <v>10.93</v>
      </c>
      <c r="G301" s="9">
        <v>-4.0000000000000001E-3</v>
      </c>
      <c r="H301" s="9">
        <v>-3.0999999999999999E-3</v>
      </c>
      <c r="I301" s="9">
        <v>5.0000000000000001E-4</v>
      </c>
    </row>
    <row r="302" spans="1:10">
      <c r="A302" s="1" t="s">
        <v>465</v>
      </c>
      <c r="B302" s="1">
        <v>340</v>
      </c>
      <c r="C302" s="2">
        <v>40.98</v>
      </c>
      <c r="D302" s="3">
        <v>34.520000000000003</v>
      </c>
      <c r="E302" s="4">
        <v>10.28</v>
      </c>
      <c r="F302" s="1">
        <v>9.85</v>
      </c>
      <c r="G302" s="9">
        <v>-3.8999999999999998E-3</v>
      </c>
      <c r="H302" s="9">
        <v>-3.0000000000000001E-3</v>
      </c>
      <c r="I302" s="9">
        <v>5.9999999999999995E-4</v>
      </c>
    </row>
    <row r="303" spans="1:10">
      <c r="A303" s="1" t="s">
        <v>466</v>
      </c>
      <c r="B303" s="1">
        <v>410</v>
      </c>
      <c r="C303" s="2">
        <v>49.53</v>
      </c>
      <c r="D303" s="3">
        <v>41.29</v>
      </c>
      <c r="E303" s="4">
        <v>10.43</v>
      </c>
      <c r="F303" s="1">
        <v>9.93</v>
      </c>
      <c r="G303" s="9">
        <v>-3.8999999999999998E-3</v>
      </c>
      <c r="H303" s="9">
        <v>-3.0000000000000001E-3</v>
      </c>
      <c r="I303" s="9">
        <v>5.9999999999999995E-4</v>
      </c>
    </row>
    <row r="304" spans="1:10">
      <c r="A304" s="1" t="s">
        <v>467</v>
      </c>
      <c r="B304" s="1">
        <v>400</v>
      </c>
      <c r="C304" s="2">
        <v>48.93</v>
      </c>
      <c r="D304" s="3">
        <v>40.61</v>
      </c>
      <c r="E304" s="4">
        <v>10.36</v>
      </c>
      <c r="F304" s="1">
        <v>9.85</v>
      </c>
      <c r="G304" s="9">
        <v>-3.8E-3</v>
      </c>
      <c r="H304" s="9">
        <v>-3.0000000000000001E-3</v>
      </c>
      <c r="I304" s="9">
        <v>5.9999999999999995E-4</v>
      </c>
    </row>
    <row r="305" spans="1:9">
      <c r="A305" s="1" t="s">
        <v>468</v>
      </c>
      <c r="B305" s="1">
        <v>410</v>
      </c>
      <c r="C305" s="2">
        <v>49.53</v>
      </c>
      <c r="D305" s="3">
        <v>41.29</v>
      </c>
      <c r="E305" s="4">
        <v>10.43</v>
      </c>
      <c r="F305" s="1">
        <v>9.93</v>
      </c>
      <c r="G305" s="9">
        <v>-3.8E-3</v>
      </c>
      <c r="H305" s="9">
        <v>-3.0000000000000001E-3</v>
      </c>
      <c r="I305" s="9">
        <v>5.9999999999999995E-4</v>
      </c>
    </row>
    <row r="306" spans="1:9">
      <c r="A306" s="1" t="s">
        <v>469</v>
      </c>
      <c r="B306" s="1">
        <v>375</v>
      </c>
      <c r="C306" s="2">
        <v>41.5</v>
      </c>
      <c r="D306" s="3">
        <v>35.049999999999997</v>
      </c>
      <c r="E306" s="4">
        <v>11.36</v>
      </c>
      <c r="F306" s="1">
        <v>10.7</v>
      </c>
      <c r="G306" s="9">
        <v>-3.8999999999999998E-3</v>
      </c>
      <c r="H306" s="9">
        <v>-3.0000000000000001E-3</v>
      </c>
      <c r="I306" s="9">
        <v>5.9999999999999995E-4</v>
      </c>
    </row>
    <row r="307" spans="1:9">
      <c r="A307" s="1" t="s">
        <v>470</v>
      </c>
      <c r="B307" s="1">
        <v>420</v>
      </c>
      <c r="C307" s="2">
        <v>48.13</v>
      </c>
      <c r="D307" s="3">
        <v>40.4</v>
      </c>
      <c r="E307" s="4">
        <v>11</v>
      </c>
      <c r="F307" s="1">
        <v>10.49</v>
      </c>
      <c r="G307" s="9">
        <v>-3.8E-3</v>
      </c>
      <c r="H307" s="9">
        <v>-3.0000000000000001E-3</v>
      </c>
      <c r="I307" s="9">
        <v>5.9999999999999995E-4</v>
      </c>
    </row>
    <row r="308" spans="1:9">
      <c r="A308" s="1" t="s">
        <v>471</v>
      </c>
      <c r="B308" s="1">
        <v>455</v>
      </c>
      <c r="C308" s="2">
        <v>50.1</v>
      </c>
      <c r="D308" s="3">
        <v>42.41</v>
      </c>
      <c r="E308" s="4">
        <v>11.37</v>
      </c>
      <c r="F308" s="1">
        <v>10.73</v>
      </c>
      <c r="G308" s="9">
        <v>-3.8999999999999998E-3</v>
      </c>
      <c r="H308" s="9">
        <v>-3.0000000000000001E-3</v>
      </c>
      <c r="I308" s="9">
        <v>5.9999999999999995E-4</v>
      </c>
    </row>
    <row r="309" spans="1:9">
      <c r="A309" s="1" t="s">
        <v>472</v>
      </c>
      <c r="B309" s="1">
        <v>420</v>
      </c>
      <c r="C309" s="2">
        <v>48.13</v>
      </c>
      <c r="D309" s="3">
        <v>40.04</v>
      </c>
      <c r="E309" s="4">
        <v>11</v>
      </c>
      <c r="F309" s="1">
        <v>10.49</v>
      </c>
      <c r="G309" s="9">
        <v>-3.8999999999999998E-3</v>
      </c>
      <c r="H309" s="9">
        <v>-3.0000000000000001E-3</v>
      </c>
      <c r="I309" s="9">
        <v>5.9999999999999995E-4</v>
      </c>
    </row>
    <row r="310" spans="1:9">
      <c r="A310" s="1" t="s">
        <v>473</v>
      </c>
      <c r="B310" s="1">
        <v>440</v>
      </c>
      <c r="C310" s="2">
        <v>49.25</v>
      </c>
      <c r="D310" s="3">
        <v>41.4</v>
      </c>
      <c r="E310" s="4">
        <v>11.14</v>
      </c>
      <c r="F310" s="1">
        <v>10.63</v>
      </c>
      <c r="G310" s="9">
        <v>-3.8999999999999998E-3</v>
      </c>
      <c r="H310" s="9">
        <v>-3.0000000000000001E-3</v>
      </c>
      <c r="I310" s="9">
        <v>5.9999999999999995E-4</v>
      </c>
    </row>
    <row r="311" spans="1:9">
      <c r="A311" s="1" t="s">
        <v>474</v>
      </c>
      <c r="B311" s="1">
        <v>445</v>
      </c>
      <c r="C311" s="2">
        <v>49.55</v>
      </c>
      <c r="D311" s="3">
        <v>41.75</v>
      </c>
      <c r="E311" s="4">
        <v>11.17</v>
      </c>
      <c r="F311" s="1">
        <v>10.66</v>
      </c>
      <c r="G311" s="9">
        <v>-3.8999999999999998E-3</v>
      </c>
      <c r="H311" s="9">
        <v>-3.0000000000000001E-3</v>
      </c>
      <c r="I311" s="9">
        <v>5.9999999999999995E-4</v>
      </c>
    </row>
    <row r="312" spans="1:9">
      <c r="A312" s="1" t="s">
        <v>475</v>
      </c>
      <c r="B312" s="1">
        <v>455</v>
      </c>
      <c r="C312" s="2">
        <v>50.1</v>
      </c>
      <c r="D312" s="3">
        <v>42.41</v>
      </c>
      <c r="E312" s="4">
        <v>11.37</v>
      </c>
      <c r="F312" s="1">
        <v>10.73</v>
      </c>
      <c r="G312" s="9">
        <v>-3.8999999999999998E-3</v>
      </c>
      <c r="H312" s="9">
        <v>-3.0000000000000001E-3</v>
      </c>
      <c r="I312" s="9">
        <v>5.9999999999999995E-4</v>
      </c>
    </row>
    <row r="313" spans="1:9">
      <c r="A313" s="1" t="s">
        <v>476</v>
      </c>
      <c r="B313" s="1">
        <v>325</v>
      </c>
      <c r="C313" s="2">
        <v>40.4</v>
      </c>
      <c r="D313" s="3">
        <v>35.64</v>
      </c>
      <c r="E313" s="4">
        <v>10.42</v>
      </c>
      <c r="F313" s="1">
        <v>9.1199999999999992</v>
      </c>
      <c r="G313" s="9">
        <v>-3.8E-3</v>
      </c>
      <c r="H313" s="9">
        <v>-3.0000000000000001E-3</v>
      </c>
    </row>
    <row r="314" spans="1:9">
      <c r="A314" s="1" t="s">
        <v>477</v>
      </c>
      <c r="B314" s="1">
        <f>400+283</f>
        <v>683</v>
      </c>
      <c r="C314" s="2">
        <v>49.04</v>
      </c>
      <c r="D314" s="3">
        <v>40.71</v>
      </c>
      <c r="E314" s="4">
        <f>10.55+7.39</f>
        <v>17.940000000000001</v>
      </c>
      <c r="F314" s="1">
        <f>9.95+6.95</f>
        <v>16.899999999999999</v>
      </c>
      <c r="G314" s="9">
        <v>-3.8E-3</v>
      </c>
      <c r="H314" s="9">
        <v>-3.0000000000000001E-3</v>
      </c>
      <c r="I314" s="9">
        <v>5.9999999999999995E-4</v>
      </c>
    </row>
    <row r="315" spans="1:9">
      <c r="A315" s="1" t="s">
        <v>478</v>
      </c>
      <c r="B315" s="1">
        <f>405+286</f>
        <v>691</v>
      </c>
      <c r="C315" s="2">
        <v>49.2</v>
      </c>
      <c r="D315" s="3">
        <v>40.840000000000003</v>
      </c>
      <c r="E315" s="4">
        <f>10.64+7.45</f>
        <v>18.09</v>
      </c>
      <c r="F315" s="1">
        <f>10.04+7.01</f>
        <v>17.049999999999997</v>
      </c>
      <c r="G315" s="9">
        <v>-3.8E-3</v>
      </c>
      <c r="H315" s="9">
        <v>-3.0000000000000001E-3</v>
      </c>
      <c r="I315" s="9">
        <v>5.9999999999999995E-4</v>
      </c>
    </row>
    <row r="316" spans="1:9">
      <c r="A316" s="1" t="s">
        <v>479</v>
      </c>
      <c r="B316" s="1">
        <v>335</v>
      </c>
      <c r="C316" s="2">
        <v>46.4</v>
      </c>
      <c r="D316" s="3">
        <v>38</v>
      </c>
      <c r="E316" s="4">
        <v>9.41</v>
      </c>
      <c r="F316" s="1">
        <v>8.82</v>
      </c>
      <c r="G316" s="9">
        <v>-3.8999999999999998E-3</v>
      </c>
      <c r="H316" s="9">
        <v>-3.0000000000000001E-3</v>
      </c>
      <c r="I316" s="9">
        <v>5.0000000000000001E-4</v>
      </c>
    </row>
    <row r="317" spans="1:9">
      <c r="A317" s="1" t="s">
        <v>480</v>
      </c>
      <c r="B317" s="1">
        <v>60</v>
      </c>
      <c r="C317" s="2">
        <v>91.8</v>
      </c>
      <c r="D317" s="3">
        <v>67</v>
      </c>
      <c r="E317" s="4">
        <v>1.19</v>
      </c>
      <c r="F317" s="1">
        <v>0.9</v>
      </c>
      <c r="G317" s="9">
        <v>-3.3999999999999998E-3</v>
      </c>
      <c r="H317" s="9">
        <v>-2.8999999999999998E-3</v>
      </c>
    </row>
    <row r="318" spans="1:9">
      <c r="A318" s="1" t="s">
        <v>481</v>
      </c>
      <c r="B318" s="1">
        <v>270</v>
      </c>
      <c r="C318" s="2">
        <v>38.5</v>
      </c>
      <c r="H318" s="9">
        <v>-3.0000000000000001E-3</v>
      </c>
    </row>
    <row r="319" spans="1:9">
      <c r="A319" s="1" t="s">
        <v>482</v>
      </c>
      <c r="B319" s="1">
        <v>275</v>
      </c>
      <c r="C319" s="2">
        <v>38.700000000000003</v>
      </c>
      <c r="H319" s="9">
        <v>-3.0000000000000001E-3</v>
      </c>
    </row>
    <row r="320" spans="1:9">
      <c r="A320" s="1" t="s">
        <v>483</v>
      </c>
      <c r="B320" s="1">
        <v>280</v>
      </c>
      <c r="C320" s="2">
        <v>38.9</v>
      </c>
      <c r="H320" s="9">
        <v>-3.0000000000000001E-3</v>
      </c>
    </row>
    <row r="321" spans="1:11">
      <c r="A321" s="1" t="s">
        <v>484</v>
      </c>
      <c r="B321" s="1">
        <v>285</v>
      </c>
      <c r="C321" s="2">
        <v>40</v>
      </c>
      <c r="H321" s="9">
        <v>-3.0000000000000001E-3</v>
      </c>
    </row>
    <row r="322" spans="1:11">
      <c r="A322" s="1" t="s">
        <v>485</v>
      </c>
      <c r="B322" s="1">
        <v>290</v>
      </c>
      <c r="C322" s="2">
        <v>40.4</v>
      </c>
      <c r="H322" s="9">
        <v>-3.0000000000000001E-3</v>
      </c>
    </row>
    <row r="323" spans="1:11">
      <c r="A323" s="1" t="s">
        <v>486</v>
      </c>
      <c r="B323" s="1">
        <v>295</v>
      </c>
      <c r="C323" s="2">
        <v>40.9</v>
      </c>
      <c r="H323" s="9">
        <v>-3.0000000000000001E-3</v>
      </c>
    </row>
    <row r="324" spans="1:11">
      <c r="A324" s="1" t="s">
        <v>487</v>
      </c>
      <c r="B324" s="1">
        <v>245</v>
      </c>
      <c r="C324" s="2">
        <v>31.8</v>
      </c>
      <c r="D324" s="3">
        <v>26.35</v>
      </c>
      <c r="E324" s="4">
        <v>9.7899999999999991</v>
      </c>
      <c r="F324" s="1">
        <v>9.3000000000000007</v>
      </c>
      <c r="G324" s="9">
        <v>-3.65E-3</v>
      </c>
      <c r="H324" s="9">
        <v>-2.7000000000000001E-3</v>
      </c>
      <c r="I324" s="9">
        <v>3.8000000000000002E-4</v>
      </c>
    </row>
    <row r="325" spans="1:11">
      <c r="A325" s="1" t="s">
        <v>488</v>
      </c>
      <c r="B325" s="1">
        <v>100</v>
      </c>
      <c r="C325" s="2">
        <v>22.5</v>
      </c>
      <c r="D325" s="3">
        <v>18.2</v>
      </c>
      <c r="E325" s="4">
        <v>5.7</v>
      </c>
      <c r="F325" s="1">
        <v>5.5</v>
      </c>
      <c r="G325" s="9">
        <v>-4.4000000000000003E-3</v>
      </c>
      <c r="H325" s="9">
        <v>-3.0000000000000001E-3</v>
      </c>
      <c r="I325" s="9">
        <v>4.0000000000000002E-4</v>
      </c>
    </row>
    <row r="326" spans="1:11">
      <c r="A326" s="1" t="s">
        <v>489</v>
      </c>
      <c r="B326" s="1">
        <v>55</v>
      </c>
      <c r="C326" s="2">
        <v>49</v>
      </c>
      <c r="D326" s="3">
        <v>39.5</v>
      </c>
      <c r="E326" s="4">
        <v>1.73</v>
      </c>
      <c r="F326" s="1">
        <v>1.39</v>
      </c>
      <c r="G326" s="9">
        <v>-2E-3</v>
      </c>
      <c r="H326" s="9">
        <v>-1.6000000000000001E-3</v>
      </c>
      <c r="I326" s="9">
        <v>1E-4</v>
      </c>
    </row>
    <row r="327" spans="1:11">
      <c r="A327" s="1" t="s">
        <v>490</v>
      </c>
      <c r="B327" s="1">
        <v>55</v>
      </c>
      <c r="C327" s="2">
        <v>49</v>
      </c>
      <c r="D327" s="3">
        <v>39.5</v>
      </c>
      <c r="E327" s="4">
        <v>1.73</v>
      </c>
      <c r="F327" s="1">
        <v>1.39</v>
      </c>
      <c r="G327" s="9">
        <v>-2.3999999999999998E-3</v>
      </c>
      <c r="H327" s="9">
        <v>-1.6000000000000001E-3</v>
      </c>
      <c r="I327" s="9">
        <v>1E-4</v>
      </c>
    </row>
    <row r="328" spans="1:11">
      <c r="A328" s="1" t="s">
        <v>491</v>
      </c>
      <c r="B328" s="1">
        <v>115</v>
      </c>
      <c r="C328" s="2">
        <v>278</v>
      </c>
      <c r="D328" s="3">
        <v>210</v>
      </c>
      <c r="E328" s="4">
        <v>0.64</v>
      </c>
      <c r="F328" s="1">
        <v>0.55000000000000004</v>
      </c>
      <c r="G328" s="9">
        <v>-4.4999999999999997E-3</v>
      </c>
      <c r="H328" s="9">
        <v>-3.3999999999999998E-3</v>
      </c>
      <c r="I328" s="9">
        <v>5.0000000000000001E-4</v>
      </c>
    </row>
    <row r="329" spans="1:11">
      <c r="A329" s="1" t="s">
        <v>492</v>
      </c>
      <c r="B329" s="1">
        <f>B328*K329</f>
        <v>690</v>
      </c>
      <c r="C329" s="2">
        <f>C328</f>
        <v>278</v>
      </c>
      <c r="D329" s="3">
        <f>D328</f>
        <v>210</v>
      </c>
      <c r="E329" s="4">
        <f>E328*K329</f>
        <v>3.84</v>
      </c>
      <c r="F329" s="1">
        <f>F328*K329</f>
        <v>3.3000000000000003</v>
      </c>
      <c r="G329" s="9">
        <f>G328</f>
        <v>-4.4999999999999997E-3</v>
      </c>
      <c r="H329" s="9">
        <f>H328</f>
        <v>-3.3999999999999998E-3</v>
      </c>
      <c r="I329" s="9">
        <f>I328</f>
        <v>5.0000000000000001E-4</v>
      </c>
      <c r="K329" s="5">
        <v>6</v>
      </c>
    </row>
    <row r="330" spans="1:11">
      <c r="A330" s="1" t="s">
        <v>493</v>
      </c>
      <c r="B330" s="1">
        <v>125</v>
      </c>
      <c r="C330" s="2">
        <v>280</v>
      </c>
      <c r="D330" s="3">
        <v>215</v>
      </c>
      <c r="E330" s="4">
        <v>0.66</v>
      </c>
      <c r="F330" s="1">
        <v>0.57999999999999996</v>
      </c>
      <c r="G330" s="9">
        <f>G328</f>
        <v>-4.4999999999999997E-3</v>
      </c>
      <c r="H330" s="9">
        <f>H328</f>
        <v>-3.3999999999999998E-3</v>
      </c>
      <c r="I330" s="9">
        <f>I328</f>
        <v>5.0000000000000001E-4</v>
      </c>
    </row>
    <row r="331" spans="1:11">
      <c r="A331" s="1" t="s">
        <v>494</v>
      </c>
      <c r="B331" s="1">
        <v>125</v>
      </c>
      <c r="C331" s="2">
        <v>93.3</v>
      </c>
      <c r="D331" s="3">
        <v>71.7</v>
      </c>
      <c r="E331" s="4">
        <v>1.98</v>
      </c>
      <c r="F331" s="1">
        <v>1.74</v>
      </c>
      <c r="G331" s="9">
        <v>-3.7000000000000002E-3</v>
      </c>
      <c r="H331" s="9">
        <v>-3.0999999999999999E-3</v>
      </c>
      <c r="I331" s="9">
        <v>5.0000000000000001E-4</v>
      </c>
    </row>
    <row r="332" spans="1:11">
      <c r="A332" s="1" t="s">
        <v>495</v>
      </c>
      <c r="B332" s="1">
        <v>285</v>
      </c>
      <c r="C332" s="2">
        <v>38.5</v>
      </c>
      <c r="D332" s="3">
        <v>31.8</v>
      </c>
      <c r="E332" s="4">
        <v>9.51</v>
      </c>
      <c r="F332" s="1">
        <v>8.9700000000000006</v>
      </c>
      <c r="G332" s="9">
        <v>-3.8999999999999998E-3</v>
      </c>
      <c r="H332" s="9">
        <v>-2.8999999999999998E-3</v>
      </c>
      <c r="I332" s="9">
        <v>5.0000000000000001E-4</v>
      </c>
    </row>
    <row r="333" spans="1:11">
      <c r="A333" s="1" t="s">
        <v>496</v>
      </c>
      <c r="B333" s="1">
        <v>190</v>
      </c>
      <c r="C333" s="2">
        <v>46.4</v>
      </c>
      <c r="D333" s="3">
        <v>37.6</v>
      </c>
      <c r="E333" s="4">
        <v>5.75</v>
      </c>
      <c r="F333" s="1">
        <v>5.05</v>
      </c>
      <c r="G333" s="9">
        <v>-4.4000000000000003E-3</v>
      </c>
      <c r="H333" s="9">
        <v>-3.3E-3</v>
      </c>
      <c r="I333" s="9">
        <v>5.0000000000000001E-4</v>
      </c>
    </row>
    <row r="334" spans="1:11">
      <c r="A334" s="1" t="s">
        <v>497</v>
      </c>
      <c r="B334" s="1">
        <v>200</v>
      </c>
      <c r="C334" s="2">
        <v>68.7</v>
      </c>
      <c r="D334" s="3">
        <v>55.8</v>
      </c>
      <c r="E334" s="4">
        <v>3.83</v>
      </c>
      <c r="F334" s="1">
        <v>3.59</v>
      </c>
      <c r="G334" s="9">
        <v>-4.4000000000000003E-3</v>
      </c>
      <c r="H334" s="9">
        <v>-3.3E-3</v>
      </c>
      <c r="I334" s="9">
        <v>5.0000000000000001E-4</v>
      </c>
    </row>
    <row r="335" spans="1:11">
      <c r="A335" s="1" t="s">
        <v>498</v>
      </c>
      <c r="B335" s="1">
        <v>200</v>
      </c>
      <c r="C335" s="2">
        <v>68.7</v>
      </c>
      <c r="D335" s="3">
        <v>55.8</v>
      </c>
      <c r="E335" s="4">
        <v>3.83</v>
      </c>
      <c r="F335" s="1">
        <v>3.59</v>
      </c>
      <c r="G335" s="9">
        <v>-4.4000000000000003E-3</v>
      </c>
      <c r="H335" s="9">
        <v>-3.3E-3</v>
      </c>
      <c r="I335" s="9">
        <v>5.0000000000000001E-4</v>
      </c>
    </row>
    <row r="336" spans="1:11">
      <c r="A336" s="1" t="s">
        <v>499</v>
      </c>
      <c r="B336" s="1">
        <v>210</v>
      </c>
      <c r="C336" s="2">
        <v>73.599999999999994</v>
      </c>
      <c r="D336" s="3">
        <v>59.7</v>
      </c>
      <c r="E336" s="4">
        <v>3.79</v>
      </c>
      <c r="F336" s="1">
        <v>3.52</v>
      </c>
      <c r="G336" s="9">
        <v>-4.4000000000000003E-3</v>
      </c>
      <c r="H336" s="9">
        <v>-3.3E-3</v>
      </c>
      <c r="I336" s="9">
        <v>5.0000000000000001E-4</v>
      </c>
    </row>
    <row r="337" spans="1:9">
      <c r="A337" s="1" t="s">
        <v>500</v>
      </c>
      <c r="B337" s="1">
        <v>210</v>
      </c>
      <c r="C337" s="2">
        <v>73.599999999999994</v>
      </c>
      <c r="D337" s="3">
        <v>59.7</v>
      </c>
      <c r="E337" s="4">
        <v>3.79</v>
      </c>
      <c r="F337" s="1">
        <v>3.52</v>
      </c>
      <c r="G337" s="9">
        <v>-4.4000000000000003E-3</v>
      </c>
      <c r="H337" s="9">
        <v>-3.3E-3</v>
      </c>
      <c r="I337" s="9">
        <v>5.0000000000000001E-4</v>
      </c>
    </row>
    <row r="338" spans="1:9">
      <c r="A338" s="1" t="s">
        <v>501</v>
      </c>
      <c r="B338" s="1">
        <v>210</v>
      </c>
      <c r="C338" s="2">
        <v>50.9</v>
      </c>
      <c r="D338" s="3">
        <v>41.3</v>
      </c>
      <c r="E338" s="4">
        <v>5.57</v>
      </c>
      <c r="F338" s="1">
        <v>5.09</v>
      </c>
      <c r="G338" s="9">
        <v>-4.4000000000000003E-3</v>
      </c>
      <c r="H338" s="9">
        <v>-3.3E-3</v>
      </c>
      <c r="I338" s="9">
        <v>5.0000000000000001E-4</v>
      </c>
    </row>
    <row r="339" spans="1:9">
      <c r="A339" s="1" t="s">
        <v>502</v>
      </c>
      <c r="B339" s="1">
        <v>215</v>
      </c>
      <c r="C339" s="2">
        <v>51.6</v>
      </c>
      <c r="D339" s="3">
        <v>42</v>
      </c>
      <c r="E339" s="4">
        <v>5.61</v>
      </c>
      <c r="F339" s="1">
        <v>5.13</v>
      </c>
      <c r="G339" s="9">
        <v>-4.4000000000000003E-3</v>
      </c>
      <c r="H339" s="9">
        <v>-3.3E-3</v>
      </c>
      <c r="I339" s="9">
        <v>5.0000000000000001E-4</v>
      </c>
    </row>
    <row r="340" spans="1:9">
      <c r="A340" s="1" t="s">
        <v>503</v>
      </c>
      <c r="B340" s="1">
        <v>150</v>
      </c>
      <c r="C340" s="2">
        <v>63.7</v>
      </c>
      <c r="D340" s="3">
        <v>48.9</v>
      </c>
      <c r="E340" s="4">
        <v>3.61</v>
      </c>
      <c r="F340" s="1">
        <v>3.07</v>
      </c>
      <c r="G340" s="9">
        <v>-4.4000000000000003E-3</v>
      </c>
      <c r="H340" s="9">
        <v>-3.3E-3</v>
      </c>
      <c r="I340" s="9">
        <v>5.0000000000000001E-4</v>
      </c>
    </row>
    <row r="341" spans="1:9">
      <c r="A341" s="1" t="s">
        <v>504</v>
      </c>
      <c r="B341" s="1">
        <v>180</v>
      </c>
      <c r="C341" s="2">
        <v>64</v>
      </c>
      <c r="D341" s="3">
        <v>50.7</v>
      </c>
      <c r="E341" s="4">
        <v>3.75</v>
      </c>
      <c r="F341" s="1">
        <v>3.55</v>
      </c>
      <c r="G341" s="9">
        <v>-4.4000000000000003E-3</v>
      </c>
      <c r="H341" s="9">
        <v>-3.3E-3</v>
      </c>
      <c r="I341" s="9">
        <v>5.0000000000000001E-4</v>
      </c>
    </row>
    <row r="342" spans="1:9">
      <c r="A342" s="1" t="s">
        <v>505</v>
      </c>
      <c r="B342" s="1">
        <v>300</v>
      </c>
      <c r="C342" s="2">
        <v>39.700000000000003</v>
      </c>
      <c r="D342" s="3">
        <v>32.9</v>
      </c>
      <c r="E342" s="4">
        <v>9.58</v>
      </c>
      <c r="F342" s="1">
        <v>9.1199999999999992</v>
      </c>
      <c r="G342" s="9">
        <v>-3.8999999999999998E-3</v>
      </c>
      <c r="H342" s="9">
        <v>-3.0000000000000001E-3</v>
      </c>
      <c r="I342" s="9">
        <v>5.0000000000000001E-4</v>
      </c>
    </row>
    <row r="343" spans="1:9">
      <c r="A343" s="1" t="s">
        <v>506</v>
      </c>
      <c r="B343" s="1">
        <v>245</v>
      </c>
      <c r="C343" s="2">
        <v>37.4</v>
      </c>
      <c r="D343" s="3">
        <v>30.3</v>
      </c>
      <c r="E343" s="4">
        <v>8.6</v>
      </c>
      <c r="F343" s="1">
        <v>8.1</v>
      </c>
      <c r="G343" s="9">
        <v>-4.4000000000000003E-3</v>
      </c>
      <c r="H343" s="9">
        <v>-3.3999999999999998E-3</v>
      </c>
      <c r="I343" s="9">
        <v>5.1999999999999995E-4</v>
      </c>
    </row>
    <row r="344" spans="1:9">
      <c r="A344" s="1" t="s">
        <v>507</v>
      </c>
      <c r="B344" s="1">
        <f>B343*K344</f>
        <v>0</v>
      </c>
      <c r="C344" s="2">
        <f>C343</f>
        <v>37.4</v>
      </c>
      <c r="D344" s="3">
        <f>D343</f>
        <v>30.3</v>
      </c>
      <c r="E344" s="4">
        <f>E343*K344</f>
        <v>0</v>
      </c>
      <c r="F344" s="1">
        <f>F343*K344</f>
        <v>0</v>
      </c>
      <c r="G344" s="9">
        <f>G343</f>
        <v>-4.4000000000000003E-3</v>
      </c>
      <c r="H344" s="9">
        <f>H343</f>
        <v>-3.3999999999999998E-3</v>
      </c>
      <c r="I344" s="9">
        <f>I343</f>
        <v>5.1999999999999995E-4</v>
      </c>
    </row>
    <row r="345" spans="1:9">
      <c r="A345" s="1" t="s">
        <v>508</v>
      </c>
      <c r="B345" s="1">
        <v>260</v>
      </c>
      <c r="C345" s="2">
        <v>37.799999999999997</v>
      </c>
      <c r="D345" s="3">
        <v>31</v>
      </c>
      <c r="E345" s="4">
        <v>8.9</v>
      </c>
      <c r="F345" s="1">
        <v>8.4</v>
      </c>
      <c r="G345" s="9">
        <v>-4.4999999999999997E-3</v>
      </c>
      <c r="H345" s="9">
        <v>-3.3E-3</v>
      </c>
      <c r="I345" s="9">
        <v>3.2000000000000003E-4</v>
      </c>
    </row>
    <row r="346" spans="1:9">
      <c r="A346" s="1" t="s">
        <v>509</v>
      </c>
      <c r="B346" s="1">
        <v>290</v>
      </c>
      <c r="C346" s="2">
        <v>38.799999999999997</v>
      </c>
      <c r="D346" s="3">
        <v>32</v>
      </c>
      <c r="E346" s="4">
        <v>9.6999999999999993</v>
      </c>
      <c r="F346" s="1">
        <v>9.1</v>
      </c>
      <c r="G346" s="9">
        <v>-4.1999999999999997E-3</v>
      </c>
      <c r="H346" s="9">
        <v>-3.2000000000000002E-3</v>
      </c>
      <c r="I346" s="9">
        <v>5.0000000000000001E-4</v>
      </c>
    </row>
    <row r="347" spans="1:9">
      <c r="A347" s="1" t="s">
        <v>510</v>
      </c>
      <c r="B347" s="1">
        <v>205</v>
      </c>
      <c r="C347" s="2">
        <v>69</v>
      </c>
      <c r="D347" s="3">
        <v>56.8</v>
      </c>
      <c r="E347" s="4">
        <v>3.9</v>
      </c>
      <c r="F347" s="1">
        <v>3.61</v>
      </c>
      <c r="G347" s="9">
        <v>-4.4000000000000003E-3</v>
      </c>
      <c r="H347" s="9">
        <v>-3.0999999999999999E-3</v>
      </c>
      <c r="I347" s="9">
        <v>5.0000000000000001E-4</v>
      </c>
    </row>
    <row r="348" spans="1:9">
      <c r="A348" s="1" t="s">
        <v>511</v>
      </c>
      <c r="B348" s="1">
        <v>250</v>
      </c>
      <c r="C348" s="2">
        <v>37.6</v>
      </c>
      <c r="D348" s="3">
        <v>30.5</v>
      </c>
      <c r="E348" s="4">
        <v>8.7200000000000006</v>
      </c>
      <c r="F348" s="1">
        <v>8.1999999999999993</v>
      </c>
      <c r="G348" s="9">
        <v>-4.1000000000000003E-3</v>
      </c>
      <c r="H348" s="9">
        <v>-3.5000000000000001E-3</v>
      </c>
      <c r="I348" s="9">
        <v>5.5000000000000003E-4</v>
      </c>
    </row>
    <row r="349" spans="1:9">
      <c r="A349" s="1" t="s">
        <v>512</v>
      </c>
      <c r="B349" s="1">
        <v>315</v>
      </c>
      <c r="C349" s="2">
        <v>40.299999999999997</v>
      </c>
      <c r="D349" s="3">
        <v>32.4</v>
      </c>
      <c r="E349" s="4">
        <v>10.199999999999999</v>
      </c>
      <c r="F349" s="1">
        <v>9.7200000000000006</v>
      </c>
      <c r="G349" s="9">
        <v>-4.0000000000000001E-3</v>
      </c>
      <c r="H349" s="9">
        <v>-3.0000000000000001E-3</v>
      </c>
    </row>
    <row r="350" spans="1:9">
      <c r="A350" s="1" t="s">
        <v>513</v>
      </c>
      <c r="B350" s="1">
        <v>270</v>
      </c>
      <c r="C350" s="2">
        <v>47.6</v>
      </c>
      <c r="D350" s="3">
        <v>40.4</v>
      </c>
      <c r="E350" s="4">
        <v>7.18</v>
      </c>
      <c r="F350" s="1">
        <v>6.69</v>
      </c>
      <c r="G350" s="9">
        <v>-3.5000000000000001E-3</v>
      </c>
      <c r="H350" s="9">
        <v>-2.7000000000000001E-3</v>
      </c>
      <c r="I350" s="9">
        <v>5.0000000000000001E-4</v>
      </c>
    </row>
    <row r="351" spans="1:9">
      <c r="A351" s="1" t="s">
        <v>514</v>
      </c>
      <c r="B351" s="1">
        <v>270</v>
      </c>
      <c r="C351" s="2">
        <v>38.4</v>
      </c>
      <c r="D351" s="3">
        <v>30.9</v>
      </c>
      <c r="G351" s="9">
        <v>-4.1000000000000003E-3</v>
      </c>
      <c r="H351" s="9">
        <v>-3.2000000000000002E-3</v>
      </c>
    </row>
    <row r="352" spans="1:9">
      <c r="A352" s="1" t="s">
        <v>515</v>
      </c>
      <c r="B352" s="1">
        <v>280</v>
      </c>
      <c r="C352" s="2">
        <v>38.200000000000003</v>
      </c>
      <c r="D352" s="3">
        <v>31.4</v>
      </c>
      <c r="E352" s="4">
        <v>9.49</v>
      </c>
      <c r="F352" s="1">
        <v>9.02</v>
      </c>
      <c r="G352" s="9">
        <v>-4.1000000000000003E-3</v>
      </c>
      <c r="H352" s="9">
        <v>-3.2000000000000002E-3</v>
      </c>
      <c r="I352" s="9">
        <v>5.0000000000000001E-4</v>
      </c>
    </row>
    <row r="353" spans="1:11">
      <c r="A353" s="1" t="s">
        <v>516</v>
      </c>
      <c r="B353" s="1">
        <v>255</v>
      </c>
      <c r="C353" s="2">
        <v>37.54</v>
      </c>
      <c r="D353" s="3">
        <v>30.25</v>
      </c>
      <c r="E353" s="4">
        <v>8.94</v>
      </c>
      <c r="F353" s="1">
        <v>8.43</v>
      </c>
      <c r="G353" s="9">
        <v>-4.4000000000000003E-3</v>
      </c>
      <c r="H353" s="9">
        <v>-3.3E-3</v>
      </c>
      <c r="I353" s="9">
        <v>5.5000000000000003E-4</v>
      </c>
    </row>
    <row r="354" spans="1:11">
      <c r="A354" s="1" t="s">
        <v>517</v>
      </c>
      <c r="B354" s="1">
        <v>680</v>
      </c>
      <c r="C354" s="2">
        <v>49.5</v>
      </c>
      <c r="D354" s="3">
        <v>41.49</v>
      </c>
      <c r="E354" s="4">
        <v>17.190000000000001</v>
      </c>
      <c r="F354" s="1">
        <v>16.39</v>
      </c>
      <c r="G354" s="9">
        <v>-2.5999999999999999E-3</v>
      </c>
      <c r="H354" s="9">
        <v>-2.3999999999999998E-3</v>
      </c>
      <c r="I354" s="9">
        <v>3.8000000000000002E-4</v>
      </c>
      <c r="J354" s="9">
        <v>0.2</v>
      </c>
    </row>
    <row r="355" spans="1:11">
      <c r="A355" s="1" t="s">
        <v>518</v>
      </c>
      <c r="B355" s="1">
        <f>B354*(1+J354)</f>
        <v>816</v>
      </c>
      <c r="C355" s="2">
        <f>C354</f>
        <v>49.5</v>
      </c>
      <c r="D355" s="3">
        <f>D354</f>
        <v>41.49</v>
      </c>
      <c r="E355" s="4">
        <f>E354*(1+J354)</f>
        <v>20.628</v>
      </c>
      <c r="F355" s="1">
        <f>F354*(1+J354)</f>
        <v>19.667999999999999</v>
      </c>
      <c r="G355" s="9">
        <f>G354</f>
        <v>-2.5999999999999999E-3</v>
      </c>
      <c r="H355" s="9">
        <f>H354</f>
        <v>-2.3999999999999998E-3</v>
      </c>
      <c r="I355" s="9">
        <f>I354</f>
        <v>3.8000000000000002E-4</v>
      </c>
    </row>
    <row r="356" spans="1:11">
      <c r="A356" s="1" t="s">
        <v>519</v>
      </c>
      <c r="B356" s="1">
        <v>245</v>
      </c>
      <c r="C356" s="2">
        <v>37.4</v>
      </c>
      <c r="D356" s="3">
        <v>30.1</v>
      </c>
      <c r="E356" s="4">
        <v>8.6999999999999993</v>
      </c>
      <c r="F356" s="1">
        <v>8.15</v>
      </c>
      <c r="G356" s="9">
        <v>-4.3E-3</v>
      </c>
      <c r="H356" s="9">
        <v>-3.0999999999999999E-3</v>
      </c>
      <c r="I356" s="9">
        <v>4.2999999999999999E-4</v>
      </c>
    </row>
    <row r="357" spans="1:11">
      <c r="A357" s="1" t="s">
        <v>520</v>
      </c>
      <c r="B357" s="1">
        <v>250</v>
      </c>
      <c r="C357" s="2">
        <v>37.700000000000003</v>
      </c>
      <c r="D357" s="3">
        <v>30.4</v>
      </c>
      <c r="E357" s="4">
        <v>8.98</v>
      </c>
      <c r="F357" s="1">
        <v>7.23</v>
      </c>
      <c r="G357" s="9">
        <v>-4.1000000000000003E-3</v>
      </c>
      <c r="H357" s="9">
        <v>-3.0999999999999999E-3</v>
      </c>
      <c r="I357" s="9">
        <v>5.5000000000000003E-4</v>
      </c>
    </row>
    <row r="358" spans="1:11">
      <c r="A358" s="1" t="s">
        <v>521</v>
      </c>
      <c r="B358" s="1">
        <v>260</v>
      </c>
      <c r="C358" s="2">
        <v>38.1</v>
      </c>
      <c r="D358" s="3">
        <v>30.9</v>
      </c>
      <c r="E358" s="4">
        <v>8.98</v>
      </c>
      <c r="F358" s="1">
        <v>8.42</v>
      </c>
      <c r="G358" s="9">
        <v>-4.1000000000000003E-3</v>
      </c>
      <c r="H358" s="9">
        <v>-3.0999999999999999E-3</v>
      </c>
      <c r="I358" s="9">
        <v>5.5000000000000003E-4</v>
      </c>
    </row>
    <row r="359" spans="1:11">
      <c r="A359" s="1" t="s">
        <v>522</v>
      </c>
      <c r="B359" s="1">
        <f>B358*K359</f>
        <v>2080</v>
      </c>
      <c r="C359" s="2">
        <f>C358</f>
        <v>38.1</v>
      </c>
      <c r="D359" s="3">
        <f>D358</f>
        <v>30.9</v>
      </c>
      <c r="E359" s="4">
        <f>E358*K359</f>
        <v>71.84</v>
      </c>
      <c r="F359" s="1">
        <f>F358*K359</f>
        <v>67.36</v>
      </c>
      <c r="G359" s="9">
        <f>G358</f>
        <v>-4.1000000000000003E-3</v>
      </c>
      <c r="H359" s="9">
        <f>H358</f>
        <v>-3.0999999999999999E-3</v>
      </c>
      <c r="I359" s="9">
        <f>I358</f>
        <v>5.5000000000000003E-4</v>
      </c>
      <c r="K359" s="5">
        <v>8</v>
      </c>
    </row>
    <row r="360" spans="1:11">
      <c r="A360" s="1" t="s">
        <v>523</v>
      </c>
      <c r="B360" s="1">
        <v>270</v>
      </c>
      <c r="C360" s="2">
        <v>38.5</v>
      </c>
      <c r="D360" s="3">
        <v>31.2</v>
      </c>
      <c r="E360" s="4">
        <v>9.2200000000000006</v>
      </c>
      <c r="F360" s="1">
        <v>8.66</v>
      </c>
      <c r="G360" s="9">
        <v>-4.1000000000000003E-3</v>
      </c>
      <c r="H360" s="9">
        <v>-3.0999999999999999E-3</v>
      </c>
      <c r="I360" s="9">
        <v>5.5000000000000003E-4</v>
      </c>
    </row>
    <row r="361" spans="1:11">
      <c r="A361" s="1" t="s">
        <v>524</v>
      </c>
      <c r="B361" s="1">
        <v>310</v>
      </c>
      <c r="C361" s="2">
        <v>45.1</v>
      </c>
      <c r="D361" s="3">
        <v>37.1</v>
      </c>
      <c r="E361" s="4">
        <v>8.91</v>
      </c>
      <c r="F361" s="1">
        <v>8.36</v>
      </c>
      <c r="G361" s="9">
        <v>-4.1000000000000003E-3</v>
      </c>
      <c r="H361" s="9">
        <v>-3.0999999999999999E-3</v>
      </c>
      <c r="I361" s="9">
        <v>5.5000000000000003E-4</v>
      </c>
    </row>
    <row r="362" spans="1:11">
      <c r="A362" s="1" t="s">
        <v>525</v>
      </c>
      <c r="B362" s="1">
        <f>B361*K362</f>
        <v>6200</v>
      </c>
      <c r="C362" s="2">
        <f>C361</f>
        <v>45.1</v>
      </c>
      <c r="D362" s="3">
        <f>D361</f>
        <v>37.1</v>
      </c>
      <c r="E362" s="4">
        <f>E361*K362</f>
        <v>178.2</v>
      </c>
      <c r="F362" s="1">
        <f>F361*K362</f>
        <v>167.2</v>
      </c>
      <c r="G362" s="9">
        <f>G361</f>
        <v>-4.1000000000000003E-3</v>
      </c>
      <c r="H362" s="9">
        <f>H361</f>
        <v>-3.0999999999999999E-3</v>
      </c>
      <c r="I362" s="9">
        <f>I361</f>
        <v>5.5000000000000003E-4</v>
      </c>
      <c r="K362" s="5">
        <v>20</v>
      </c>
    </row>
    <row r="363" spans="1:11">
      <c r="A363" s="1" t="s">
        <v>526</v>
      </c>
      <c r="B363" s="1">
        <v>255</v>
      </c>
      <c r="C363" s="2">
        <v>38.1</v>
      </c>
      <c r="D363" s="3">
        <v>30.5</v>
      </c>
      <c r="E363" s="4">
        <v>8.8800000000000008</v>
      </c>
      <c r="F363" s="1">
        <v>8.3699999999999992</v>
      </c>
      <c r="G363" s="9">
        <v>-4.1000000000000003E-3</v>
      </c>
      <c r="H363" s="9">
        <v>-3.2000000000000002E-3</v>
      </c>
      <c r="I363" s="9">
        <v>5.2999999999999998E-4</v>
      </c>
    </row>
    <row r="364" spans="1:11">
      <c r="A364" s="1" t="s">
        <v>527</v>
      </c>
      <c r="B364" s="1">
        <v>300</v>
      </c>
      <c r="C364" s="2">
        <v>40.1</v>
      </c>
      <c r="D364" s="3">
        <v>33.200000000000003</v>
      </c>
      <c r="E364" s="4">
        <v>9.7799999999999994</v>
      </c>
      <c r="F364" s="1">
        <v>9.2100000000000009</v>
      </c>
      <c r="G364" s="9">
        <v>-3.8999999999999998E-3</v>
      </c>
      <c r="H364" s="9">
        <v>-2.8999999999999998E-3</v>
      </c>
      <c r="I364" s="9">
        <v>4.8999999999999998E-4</v>
      </c>
    </row>
    <row r="365" spans="1:11">
      <c r="A365" s="1" t="s">
        <v>528</v>
      </c>
      <c r="B365" s="1">
        <v>300</v>
      </c>
      <c r="C365" s="2">
        <v>39.9</v>
      </c>
      <c r="D365" s="3">
        <v>32.799999999999997</v>
      </c>
      <c r="E365" s="4">
        <v>9.7100000000000009</v>
      </c>
      <c r="F365" s="1">
        <v>9.16</v>
      </c>
      <c r="G365" s="9">
        <v>-3.8999999999999998E-3</v>
      </c>
      <c r="H365" s="9">
        <v>-2.8999999999999998E-3</v>
      </c>
      <c r="I365" s="9">
        <v>4.8999999999999998E-4</v>
      </c>
    </row>
    <row r="366" spans="1:11">
      <c r="A366" s="1" t="s">
        <v>529</v>
      </c>
      <c r="B366" s="1">
        <v>300</v>
      </c>
      <c r="C366" s="2">
        <v>39.4</v>
      </c>
      <c r="D366" s="3">
        <v>32.5</v>
      </c>
      <c r="E366" s="4">
        <v>9.9600000000000009</v>
      </c>
      <c r="F366" s="1">
        <v>9.25</v>
      </c>
      <c r="G366" s="9">
        <v>-3.8999999999999998E-3</v>
      </c>
      <c r="H366" s="9">
        <v>-2.8999999999999998E-3</v>
      </c>
      <c r="I366" s="9">
        <v>4.8999999999999998E-4</v>
      </c>
    </row>
    <row r="367" spans="1:11">
      <c r="A367" s="1" t="s">
        <v>530</v>
      </c>
      <c r="B367" s="1">
        <v>300</v>
      </c>
      <c r="C367" s="2">
        <v>39.4</v>
      </c>
      <c r="D367" s="3">
        <v>33.4</v>
      </c>
      <c r="E367" s="4">
        <v>9.6</v>
      </c>
      <c r="F367" s="1">
        <v>9</v>
      </c>
      <c r="G367" s="9">
        <v>-3.8999999999999998E-3</v>
      </c>
      <c r="H367" s="9">
        <v>-2.8999999999999998E-3</v>
      </c>
      <c r="I367" s="9">
        <v>4.8999999999999998E-4</v>
      </c>
    </row>
    <row r="368" spans="1:11">
      <c r="A368" s="1" t="s">
        <v>531</v>
      </c>
      <c r="B368" s="1">
        <v>320</v>
      </c>
      <c r="C368" s="2">
        <v>40.6</v>
      </c>
      <c r="D368" s="3">
        <v>33.700000000000003</v>
      </c>
      <c r="E368" s="4">
        <v>10.36</v>
      </c>
      <c r="F368" s="1">
        <v>9.51</v>
      </c>
      <c r="G368" s="9">
        <v>-3.8999999999999998E-3</v>
      </c>
      <c r="H368" s="9">
        <v>-2.8999999999999998E-3</v>
      </c>
      <c r="I368" s="9">
        <v>4.8999999999999998E-4</v>
      </c>
    </row>
    <row r="369" spans="1:11">
      <c r="A369" s="1" t="s">
        <v>532</v>
      </c>
      <c r="B369" s="1">
        <v>445</v>
      </c>
      <c r="C369" s="2">
        <v>49.9</v>
      </c>
      <c r="D369" s="3">
        <v>41</v>
      </c>
      <c r="E369" s="4">
        <v>11.72</v>
      </c>
      <c r="F369" s="1">
        <v>10.86</v>
      </c>
      <c r="G369" s="9">
        <v>-3.8999999999999998E-3</v>
      </c>
      <c r="H369" s="9">
        <v>-2.8999999999999998E-3</v>
      </c>
      <c r="I369" s="9">
        <v>4.8999999999999998E-4</v>
      </c>
    </row>
    <row r="370" spans="1:11">
      <c r="A370" s="1" t="s">
        <v>533</v>
      </c>
      <c r="B370" s="1">
        <v>460</v>
      </c>
      <c r="C370" s="2">
        <v>50.02</v>
      </c>
      <c r="D370" s="3">
        <v>41.3</v>
      </c>
      <c r="E370" s="4">
        <v>12.06</v>
      </c>
      <c r="F370" s="1">
        <v>11.15</v>
      </c>
      <c r="G370" s="9">
        <v>-3.8999999999999998E-3</v>
      </c>
      <c r="H370" s="9">
        <v>-2.8999999999999998E-3</v>
      </c>
      <c r="I370" s="9">
        <v>4.8999999999999998E-4</v>
      </c>
    </row>
    <row r="371" spans="1:11">
      <c r="A371" s="1" t="s">
        <v>534</v>
      </c>
      <c r="B371" s="1">
        <v>545</v>
      </c>
      <c r="C371" s="2">
        <v>49.65</v>
      </c>
      <c r="D371" s="3">
        <v>41.8</v>
      </c>
      <c r="E371" s="4">
        <v>13.95</v>
      </c>
      <c r="F371" s="1">
        <v>13.05</v>
      </c>
      <c r="G371" s="9">
        <v>-3.8999999999999998E-3</v>
      </c>
      <c r="H371" s="9">
        <v>-2.8999999999999998E-3</v>
      </c>
      <c r="I371" s="9">
        <v>4.8999999999999998E-4</v>
      </c>
    </row>
    <row r="372" spans="1:11">
      <c r="A372" s="1" t="s">
        <v>535</v>
      </c>
      <c r="B372" s="1">
        <v>380</v>
      </c>
      <c r="C372" s="2">
        <v>41.4</v>
      </c>
      <c r="D372" s="3">
        <v>34.32</v>
      </c>
      <c r="E372" s="4">
        <v>11.6</v>
      </c>
      <c r="F372" s="1">
        <v>11.08</v>
      </c>
      <c r="G372" s="9">
        <v>-3.5000000000000001E-3</v>
      </c>
      <c r="H372" s="9">
        <v>-2.7000000000000001E-3</v>
      </c>
      <c r="I372" s="9">
        <v>4.8000000000000001E-4</v>
      </c>
    </row>
    <row r="373" spans="1:11">
      <c r="A373" s="1" t="s">
        <v>536</v>
      </c>
      <c r="B373" s="1">
        <v>545</v>
      </c>
      <c r="C373" s="2">
        <v>49.68</v>
      </c>
      <c r="D373" s="3">
        <v>41.18</v>
      </c>
      <c r="E373" s="4">
        <v>13.71</v>
      </c>
      <c r="F373" s="1">
        <v>13.24</v>
      </c>
      <c r="G373" s="9">
        <v>-3.5000000000000001E-3</v>
      </c>
      <c r="H373" s="9">
        <v>-2.7000000000000001E-3</v>
      </c>
      <c r="I373" s="9">
        <v>4.8000000000000001E-4</v>
      </c>
    </row>
    <row r="374" spans="1:11">
      <c r="A374" s="1" t="s">
        <v>537</v>
      </c>
      <c r="B374" s="1">
        <v>575</v>
      </c>
      <c r="C374" s="2">
        <v>51.33</v>
      </c>
      <c r="D374" s="3">
        <v>42.6</v>
      </c>
      <c r="E374" s="4">
        <v>14</v>
      </c>
      <c r="F374" s="1">
        <v>13.5</v>
      </c>
      <c r="G374" s="9">
        <v>-3.0000000000000001E-3</v>
      </c>
      <c r="H374" s="9">
        <v>-2.5000000000000001E-3</v>
      </c>
      <c r="I374" s="9">
        <v>4.6000000000000001E-4</v>
      </c>
    </row>
    <row r="375" spans="1:11">
      <c r="A375" s="1" t="s">
        <v>538</v>
      </c>
      <c r="B375" s="1">
        <v>410</v>
      </c>
      <c r="C375" s="2">
        <v>49.76</v>
      </c>
      <c r="D375" s="3">
        <v>41.29</v>
      </c>
      <c r="E375" s="4">
        <v>10.43</v>
      </c>
      <c r="F375" s="1">
        <v>9.93</v>
      </c>
      <c r="G375" s="9">
        <v>-3.9300000000000003E-3</v>
      </c>
      <c r="H375" s="9">
        <v>-2.8700000000000002E-3</v>
      </c>
      <c r="I375" s="9">
        <v>2.4000000000000001E-4</v>
      </c>
    </row>
    <row r="376" spans="1:11">
      <c r="A376" s="1" t="s">
        <v>539</v>
      </c>
      <c r="B376" s="1">
        <v>440</v>
      </c>
      <c r="C376" s="2">
        <v>54.38</v>
      </c>
      <c r="D376" s="3">
        <v>45.42</v>
      </c>
      <c r="E376" s="4">
        <v>10.23</v>
      </c>
      <c r="F376" s="1">
        <v>9.69</v>
      </c>
      <c r="G376" s="9">
        <v>-3.0000000000000001E-3</v>
      </c>
      <c r="H376" s="9">
        <v>-2.8999999999999998E-3</v>
      </c>
      <c r="I376" s="9">
        <v>5.0000000000000001E-4</v>
      </c>
    </row>
    <row r="377" spans="1:11">
      <c r="A377" s="1" t="s">
        <v>540</v>
      </c>
      <c r="B377" s="1">
        <v>290</v>
      </c>
      <c r="C377" s="2">
        <v>39.1</v>
      </c>
      <c r="D377" s="3">
        <v>32.4</v>
      </c>
      <c r="E377" s="4">
        <v>9.0399999999999991</v>
      </c>
      <c r="F377" s="1">
        <v>8.9499999999999993</v>
      </c>
      <c r="G377" s="9">
        <v>-3.8E-3</v>
      </c>
      <c r="H377" s="9">
        <v>-3.5999999999999999E-3</v>
      </c>
    </row>
    <row r="378" spans="1:11">
      <c r="A378" s="1" t="s">
        <v>541</v>
      </c>
      <c r="B378" s="1">
        <v>25</v>
      </c>
      <c r="C378" s="2">
        <v>143</v>
      </c>
      <c r="D378" s="3">
        <v>119</v>
      </c>
      <c r="E378" s="4">
        <v>0.27</v>
      </c>
      <c r="F378" s="1">
        <v>0.21099999999999999</v>
      </c>
      <c r="G378" s="9">
        <v>-4.4000000000000003E-3</v>
      </c>
      <c r="H378" s="9">
        <v>-3.3E-3</v>
      </c>
      <c r="I378" s="9">
        <v>5.0000000000000001E-4</v>
      </c>
    </row>
    <row r="379" spans="1:11">
      <c r="A379" s="1" t="s">
        <v>542</v>
      </c>
      <c r="B379" s="1">
        <f>B378*K377</f>
        <v>0</v>
      </c>
      <c r="C379" s="2">
        <f>C378</f>
        <v>143</v>
      </c>
      <c r="D379" s="3">
        <f>D378</f>
        <v>119</v>
      </c>
      <c r="E379" s="4">
        <f>E378*K377</f>
        <v>0</v>
      </c>
      <c r="F379" s="1">
        <f>F378*K377</f>
        <v>0</v>
      </c>
      <c r="G379" s="9">
        <f>G378</f>
        <v>-4.4000000000000003E-3</v>
      </c>
      <c r="H379" s="9">
        <f>H378</f>
        <v>-3.3E-3</v>
      </c>
      <c r="I379" s="9">
        <f>I378</f>
        <v>5.0000000000000001E-4</v>
      </c>
    </row>
    <row r="380" spans="1:11">
      <c r="A380" s="1" t="s">
        <v>543</v>
      </c>
      <c r="B380" s="1">
        <v>26</v>
      </c>
      <c r="C380" s="2">
        <v>143</v>
      </c>
      <c r="D380" s="3">
        <v>119</v>
      </c>
      <c r="E380" s="4">
        <v>0.27</v>
      </c>
      <c r="F380" s="1">
        <v>0.219</v>
      </c>
      <c r="G380" s="9">
        <v>-4.4000000000000003E-3</v>
      </c>
      <c r="H380" s="9">
        <v>-3.3E-3</v>
      </c>
      <c r="I380" s="9">
        <v>5.0000000000000001E-4</v>
      </c>
    </row>
    <row r="381" spans="1:11">
      <c r="A381" s="1" t="s">
        <v>544</v>
      </c>
      <c r="B381" s="1">
        <f>B380*K381</f>
        <v>676</v>
      </c>
      <c r="C381" s="2">
        <f>C380</f>
        <v>143</v>
      </c>
      <c r="D381" s="3">
        <f>D380</f>
        <v>119</v>
      </c>
      <c r="E381" s="4">
        <f>E380*K381</f>
        <v>7.0200000000000005</v>
      </c>
      <c r="F381" s="1">
        <f>F380*K381</f>
        <v>5.694</v>
      </c>
      <c r="G381" s="9">
        <f>G380</f>
        <v>-4.4000000000000003E-3</v>
      </c>
      <c r="H381" s="9">
        <f>H380</f>
        <v>-3.3E-3</v>
      </c>
      <c r="I381" s="9">
        <f>I380</f>
        <v>5.0000000000000001E-4</v>
      </c>
      <c r="K381" s="5">
        <v>26</v>
      </c>
    </row>
    <row r="382" spans="1:11">
      <c r="A382" s="1" t="s">
        <v>545</v>
      </c>
      <c r="B382" s="1">
        <v>255</v>
      </c>
      <c r="C382" s="2">
        <v>37.54</v>
      </c>
      <c r="D382" s="3">
        <v>30.78</v>
      </c>
      <c r="E382" s="4">
        <v>8.85</v>
      </c>
      <c r="F382" s="1">
        <v>8.2899999999999991</v>
      </c>
      <c r="G382" s="9">
        <v>-4.5999999999999999E-3</v>
      </c>
      <c r="H382" s="9">
        <v>-3.3999999999999998E-3</v>
      </c>
      <c r="I382" s="9">
        <v>6.9999999999999999E-4</v>
      </c>
    </row>
    <row r="383" spans="1:11">
      <c r="A383" s="1" t="s">
        <v>546</v>
      </c>
      <c r="B383" s="1">
        <f>B382*K383</f>
        <v>0</v>
      </c>
      <c r="C383" s="2">
        <f>C382</f>
        <v>37.54</v>
      </c>
      <c r="D383" s="3">
        <f>D382</f>
        <v>30.78</v>
      </c>
      <c r="E383" s="4">
        <f>E382*K383</f>
        <v>0</v>
      </c>
      <c r="F383" s="1">
        <f>F382*K383</f>
        <v>0</v>
      </c>
      <c r="G383" s="9">
        <f>G382</f>
        <v>-4.5999999999999999E-3</v>
      </c>
      <c r="H383" s="9">
        <f>H382</f>
        <v>-3.3999999999999998E-3</v>
      </c>
      <c r="I383" s="9">
        <f>I382</f>
        <v>6.9999999999999999E-4</v>
      </c>
    </row>
    <row r="384" spans="1:11">
      <c r="A384" s="1" t="s">
        <v>547</v>
      </c>
      <c r="B384" s="1">
        <v>270</v>
      </c>
      <c r="C384" s="2">
        <v>38.479999999999997</v>
      </c>
      <c r="D384" s="3">
        <v>31.44</v>
      </c>
      <c r="E384" s="4">
        <v>9.15</v>
      </c>
      <c r="F384" s="1">
        <v>8.65</v>
      </c>
      <c r="G384" s="9">
        <v>-4.1000000000000003E-3</v>
      </c>
      <c r="H384" s="9">
        <v>-3.3E-3</v>
      </c>
    </row>
    <row r="385" spans="1:10">
      <c r="A385" s="1" t="s">
        <v>548</v>
      </c>
      <c r="B385" s="1">
        <v>270</v>
      </c>
      <c r="C385" s="2">
        <v>38.17</v>
      </c>
      <c r="D385" s="3">
        <v>31.13</v>
      </c>
      <c r="E385" s="4">
        <v>9.18</v>
      </c>
      <c r="F385" s="1">
        <v>8.67</v>
      </c>
      <c r="G385" s="9">
        <v>-4.1000000000000003E-3</v>
      </c>
      <c r="H385" s="9">
        <v>-3.3E-3</v>
      </c>
      <c r="I385" s="9">
        <v>5.8E-4</v>
      </c>
    </row>
    <row r="386" spans="1:10">
      <c r="A386" s="1" t="s">
        <v>549</v>
      </c>
      <c r="B386" s="1">
        <v>275</v>
      </c>
      <c r="C386" s="2">
        <v>38.380000000000003</v>
      </c>
      <c r="D386" s="3">
        <v>31.34</v>
      </c>
      <c r="E386" s="4">
        <v>9.2899999999999991</v>
      </c>
      <c r="F386" s="1">
        <v>8.77</v>
      </c>
      <c r="G386" s="9">
        <v>-4.1000000000000003E-3</v>
      </c>
      <c r="H386" s="9">
        <v>-3.3E-3</v>
      </c>
      <c r="I386" s="9">
        <v>5.8E-4</v>
      </c>
    </row>
    <row r="387" spans="1:10">
      <c r="A387" s="1" t="s">
        <v>550</v>
      </c>
      <c r="B387" s="1">
        <v>290</v>
      </c>
      <c r="C387" s="2">
        <v>39.46</v>
      </c>
      <c r="D387" s="3">
        <v>32.07</v>
      </c>
      <c r="G387" s="9">
        <v>-3.8999999999999998E-3</v>
      </c>
      <c r="H387" s="9">
        <v>-3.0000000000000001E-3</v>
      </c>
    </row>
    <row r="388" spans="1:10">
      <c r="A388" s="1" t="s">
        <v>551</v>
      </c>
      <c r="B388" s="1">
        <v>295</v>
      </c>
      <c r="C388" s="2">
        <v>39.64</v>
      </c>
      <c r="D388" s="3">
        <v>32.29</v>
      </c>
      <c r="E388" s="4">
        <v>9.67</v>
      </c>
      <c r="F388" s="1">
        <v>9.23</v>
      </c>
      <c r="G388" s="9">
        <v>-3.8999999999999998E-3</v>
      </c>
      <c r="H388" s="9">
        <v>-3.0000000000000001E-3</v>
      </c>
      <c r="I388" s="9">
        <v>5.9999999999999995E-4</v>
      </c>
    </row>
    <row r="389" spans="1:10">
      <c r="A389" s="1" t="s">
        <v>552</v>
      </c>
      <c r="B389" s="1">
        <v>310</v>
      </c>
      <c r="C389" s="2">
        <v>40.299999999999997</v>
      </c>
      <c r="D389" s="3">
        <v>32.840000000000003</v>
      </c>
      <c r="E389" s="4">
        <v>9.91</v>
      </c>
      <c r="F389" s="1">
        <v>9.44</v>
      </c>
      <c r="G389" s="9">
        <v>-3.8999999999999998E-3</v>
      </c>
      <c r="H389" s="9">
        <v>-3.0000000000000001E-3</v>
      </c>
      <c r="I389" s="9">
        <v>5.9999999999999995E-4</v>
      </c>
    </row>
    <row r="390" spans="1:10">
      <c r="A390" s="1" t="s">
        <v>553</v>
      </c>
      <c r="B390" s="1">
        <v>315</v>
      </c>
      <c r="C390" s="2">
        <v>45.85</v>
      </c>
      <c r="D390" s="3">
        <v>37.090000000000003</v>
      </c>
      <c r="E390" s="4">
        <v>9.01</v>
      </c>
      <c r="F390" s="1">
        <v>8.49</v>
      </c>
      <c r="G390" s="9">
        <v>-4.1000000000000003E-3</v>
      </c>
      <c r="H390" s="9">
        <v>-3.3E-3</v>
      </c>
    </row>
    <row r="391" spans="1:10">
      <c r="A391" s="1" t="s">
        <v>554</v>
      </c>
      <c r="B391" s="1">
        <v>325</v>
      </c>
      <c r="C391" s="2">
        <v>46.38</v>
      </c>
      <c r="D391" s="3">
        <v>37.39</v>
      </c>
      <c r="G391" s="9">
        <v>-4.1000000000000003E-3</v>
      </c>
      <c r="H391" s="9">
        <v>-3.3E-3</v>
      </c>
    </row>
    <row r="392" spans="1:10">
      <c r="A392" s="1" t="s">
        <v>555</v>
      </c>
      <c r="B392" s="1">
        <v>360</v>
      </c>
      <c r="C392" s="2">
        <v>47.66</v>
      </c>
      <c r="D392" s="3">
        <v>38.96</v>
      </c>
      <c r="E392" s="4">
        <v>9.7799999999999994</v>
      </c>
      <c r="F392" s="1">
        <v>9.24</v>
      </c>
      <c r="G392" s="9">
        <v>-3.8999999999999998E-3</v>
      </c>
      <c r="H392" s="9">
        <v>-3.0000000000000001E-3</v>
      </c>
      <c r="I392" s="9">
        <v>5.9999999999999995E-4</v>
      </c>
    </row>
    <row r="393" spans="1:10">
      <c r="A393" s="1" t="s">
        <v>556</v>
      </c>
      <c r="B393" s="1">
        <v>370</v>
      </c>
      <c r="C393" s="2">
        <v>48.18</v>
      </c>
      <c r="D393" s="3">
        <v>39.450000000000003</v>
      </c>
      <c r="E393" s="4">
        <v>9.91</v>
      </c>
      <c r="F393" s="1">
        <v>9.3800000000000008</v>
      </c>
      <c r="G393" s="9">
        <v>-3.8999999999999998E-3</v>
      </c>
      <c r="H393" s="9">
        <v>-3.0000000000000001E-3</v>
      </c>
      <c r="I393" s="9">
        <v>6.0000000000000001E-3</v>
      </c>
    </row>
    <row r="394" spans="1:10">
      <c r="A394" s="1" t="s">
        <v>557</v>
      </c>
      <c r="B394" s="1">
        <v>360</v>
      </c>
      <c r="C394" s="2">
        <v>47.66</v>
      </c>
      <c r="D394" s="3">
        <v>38.96</v>
      </c>
      <c r="E394" s="4">
        <v>9.7799999999999994</v>
      </c>
      <c r="F394" s="1">
        <v>9.24</v>
      </c>
      <c r="G394" s="9">
        <v>-3.8999999999999998E-3</v>
      </c>
      <c r="H394" s="9">
        <v>-3.0000000000000001E-3</v>
      </c>
      <c r="I394" s="9">
        <v>5.9999999999999995E-4</v>
      </c>
    </row>
    <row r="395" spans="1:10">
      <c r="A395" s="1" t="s">
        <v>558</v>
      </c>
      <c r="B395" s="1">
        <v>535</v>
      </c>
      <c r="C395" s="2">
        <v>49.45</v>
      </c>
      <c r="D395" s="3">
        <v>41.47</v>
      </c>
      <c r="E395" s="4">
        <v>13.79</v>
      </c>
      <c r="F395" s="1">
        <v>12.9</v>
      </c>
      <c r="G395" s="9">
        <v>-3.5000000000000001E-3</v>
      </c>
      <c r="H395" s="9">
        <v>-2.7499999999999998E-3</v>
      </c>
      <c r="I395" s="9">
        <v>3.5E-4</v>
      </c>
    </row>
    <row r="396" spans="1:10">
      <c r="A396" s="1" t="s">
        <v>559</v>
      </c>
      <c r="B396" s="1">
        <v>540</v>
      </c>
      <c r="C396" s="2">
        <v>49.6</v>
      </c>
      <c r="D396" s="3">
        <v>41.64</v>
      </c>
      <c r="E396" s="4">
        <v>13.86</v>
      </c>
      <c r="F396" s="1">
        <v>12.97</v>
      </c>
      <c r="G396" s="9">
        <v>-3.5000000000000001E-3</v>
      </c>
      <c r="H396" s="9">
        <v>-2.7499999999999998E-3</v>
      </c>
      <c r="I396" s="9">
        <v>4.4999999999999999E-4</v>
      </c>
      <c r="J396" s="9">
        <v>0.15</v>
      </c>
    </row>
    <row r="397" spans="1:10">
      <c r="A397" s="1" t="s">
        <v>560</v>
      </c>
      <c r="B397" s="1">
        <f>B396*(1+J396)</f>
        <v>621</v>
      </c>
      <c r="C397" s="2">
        <f>C396</f>
        <v>49.6</v>
      </c>
      <c r="D397" s="3">
        <f>D396</f>
        <v>41.64</v>
      </c>
      <c r="E397" s="4">
        <f>E396*(1+J396)</f>
        <v>15.938999999999998</v>
      </c>
      <c r="F397" s="1">
        <f>F396*(1+J396)</f>
        <v>14.9155</v>
      </c>
      <c r="G397" s="9">
        <f>G396</f>
        <v>-3.5000000000000001E-3</v>
      </c>
      <c r="H397" s="9">
        <f>H396</f>
        <v>-2.7499999999999998E-3</v>
      </c>
      <c r="I397" s="9">
        <f>I396</f>
        <v>4.4999999999999999E-4</v>
      </c>
    </row>
    <row r="398" spans="1:10">
      <c r="A398" s="1" t="s">
        <v>561</v>
      </c>
      <c r="B398" s="1">
        <v>405</v>
      </c>
      <c r="C398" s="2">
        <v>37.229999999999997</v>
      </c>
      <c r="D398" s="3">
        <v>31.21</v>
      </c>
      <c r="E398" s="4">
        <v>13.87</v>
      </c>
      <c r="F398" s="1">
        <v>12.98</v>
      </c>
      <c r="G398" s="9">
        <v>-3.5000000000000001E-3</v>
      </c>
      <c r="H398" s="9">
        <v>-2.7499999999999998E-3</v>
      </c>
      <c r="I398" s="9">
        <v>4.4999999999999999E-4</v>
      </c>
    </row>
    <row r="399" spans="1:10">
      <c r="A399" s="1" t="s">
        <v>562</v>
      </c>
      <c r="B399" s="1">
        <v>410</v>
      </c>
      <c r="C399" s="2">
        <v>37.32</v>
      </c>
      <c r="D399" s="3">
        <v>31.45</v>
      </c>
      <c r="E399" s="4">
        <v>13.95</v>
      </c>
      <c r="F399" s="1">
        <v>13.04</v>
      </c>
      <c r="G399" s="9">
        <v>-3.5000000000000001E-3</v>
      </c>
      <c r="H399" s="9">
        <v>-2.7499999999999998E-3</v>
      </c>
      <c r="I399" s="9">
        <v>4.4999999999999999E-4</v>
      </c>
    </row>
    <row r="400" spans="1:10">
      <c r="A400" s="1" t="s">
        <v>563</v>
      </c>
      <c r="B400" s="1">
        <v>300</v>
      </c>
      <c r="C400" s="2">
        <v>39.85</v>
      </c>
      <c r="D400" s="3">
        <v>32.26</v>
      </c>
      <c r="E400" s="4">
        <v>9.75</v>
      </c>
      <c r="F400" s="1">
        <v>9.3000000000000007</v>
      </c>
      <c r="G400" s="9">
        <v>-3.5400000000000002E-3</v>
      </c>
      <c r="H400" s="9">
        <v>-2.7200000000000002E-3</v>
      </c>
      <c r="I400" s="9">
        <v>4.4000000000000002E-4</v>
      </c>
    </row>
    <row r="401" spans="1:10">
      <c r="A401" s="1" t="s">
        <v>564</v>
      </c>
      <c r="B401" s="1">
        <v>385</v>
      </c>
      <c r="C401" s="2">
        <v>41.68</v>
      </c>
      <c r="D401" s="3">
        <v>34.82</v>
      </c>
      <c r="E401" s="4">
        <v>11.58</v>
      </c>
      <c r="F401" s="1">
        <v>11.06</v>
      </c>
      <c r="G401" s="9">
        <v>-3.5400000000000002E-3</v>
      </c>
      <c r="H401" s="9">
        <v>-2.7200000000000002E-3</v>
      </c>
      <c r="I401" s="9">
        <v>4.4000000000000002E-4</v>
      </c>
      <c r="J401" s="9">
        <v>0.2</v>
      </c>
    </row>
    <row r="402" spans="1:10">
      <c r="A402" s="1" t="s">
        <v>565</v>
      </c>
      <c r="B402" s="1">
        <f>B401*(1+J401)</f>
        <v>462</v>
      </c>
      <c r="C402" s="2">
        <f>C401</f>
        <v>41.68</v>
      </c>
      <c r="D402" s="3">
        <f>D401</f>
        <v>34.82</v>
      </c>
      <c r="E402" s="4">
        <f>E401*(1+J401)</f>
        <v>13.895999999999999</v>
      </c>
      <c r="F402" s="1">
        <f>F401*(1+J401)</f>
        <v>13.272</v>
      </c>
      <c r="G402" s="9">
        <f>G401</f>
        <v>-3.5400000000000002E-3</v>
      </c>
      <c r="H402" s="9">
        <f>H401</f>
        <v>-2.7200000000000002E-3</v>
      </c>
      <c r="I402" s="9">
        <f>I401</f>
        <v>4.4000000000000002E-4</v>
      </c>
    </row>
    <row r="403" spans="1:10">
      <c r="A403" s="1" t="s">
        <v>566</v>
      </c>
      <c r="B403" s="1">
        <v>315</v>
      </c>
      <c r="C403" s="2">
        <v>40.53</v>
      </c>
      <c r="D403" s="3">
        <v>33.159999999999997</v>
      </c>
      <c r="E403" s="4">
        <v>9.98</v>
      </c>
      <c r="F403" s="1">
        <v>9.5</v>
      </c>
      <c r="G403" s="9">
        <v>-3.8E-3</v>
      </c>
      <c r="H403" s="9">
        <v>-3.0000000000000001E-3</v>
      </c>
      <c r="I403" s="9">
        <v>5.9999999999999995E-4</v>
      </c>
    </row>
    <row r="404" spans="1:10">
      <c r="A404" s="1" t="s">
        <v>567</v>
      </c>
      <c r="B404" s="1">
        <v>320</v>
      </c>
      <c r="C404" s="2">
        <v>40.799999999999997</v>
      </c>
      <c r="D404" s="3">
        <v>33.479999999999997</v>
      </c>
      <c r="E404" s="4">
        <v>10.050000000000001</v>
      </c>
      <c r="F404" s="1">
        <v>9.56</v>
      </c>
      <c r="G404" s="9">
        <v>-3.8E-3</v>
      </c>
      <c r="H404" s="9">
        <v>-3.0000000000000001E-3</v>
      </c>
      <c r="I404" s="9">
        <v>5.9999999999999995E-4</v>
      </c>
    </row>
    <row r="405" spans="1:10">
      <c r="A405" s="1" t="s">
        <v>568</v>
      </c>
      <c r="B405" s="1">
        <v>320</v>
      </c>
      <c r="C405" s="2">
        <v>40.78</v>
      </c>
      <c r="D405" s="3">
        <v>33.17</v>
      </c>
      <c r="E405" s="4">
        <v>10.18</v>
      </c>
      <c r="F405" s="1">
        <v>9.65</v>
      </c>
      <c r="G405" s="9">
        <v>-3.7000000000000002E-3</v>
      </c>
      <c r="H405" s="9">
        <v>-3.0000000000000001E-3</v>
      </c>
      <c r="I405" s="9">
        <v>5.9999999999999995E-4</v>
      </c>
    </row>
    <row r="406" spans="1:10">
      <c r="A406" s="1" t="s">
        <v>569</v>
      </c>
      <c r="B406" s="1">
        <v>325</v>
      </c>
      <c r="C406" s="2">
        <v>41.04</v>
      </c>
      <c r="D406" s="3">
        <v>33.44</v>
      </c>
      <c r="E406" s="4">
        <v>10.25</v>
      </c>
      <c r="F406" s="1">
        <v>9.7200000000000006</v>
      </c>
      <c r="G406" s="9">
        <v>-3.7000000000000002E-3</v>
      </c>
      <c r="H406" s="9">
        <v>-3.0000000000000001E-3</v>
      </c>
      <c r="I406" s="9">
        <v>5.9999999999999995E-4</v>
      </c>
    </row>
    <row r="407" spans="1:10">
      <c r="A407" s="1" t="s">
        <v>570</v>
      </c>
      <c r="B407" s="1">
        <v>340</v>
      </c>
      <c r="C407" s="2">
        <v>41.55</v>
      </c>
      <c r="D407" s="3">
        <v>34.729999999999997</v>
      </c>
      <c r="E407" s="4">
        <v>10.46</v>
      </c>
      <c r="F407" s="1">
        <v>9.7899999999999991</v>
      </c>
      <c r="G407" s="9">
        <v>-3.5000000000000001E-3</v>
      </c>
      <c r="H407" s="9">
        <v>-2.7200000000000002E-3</v>
      </c>
      <c r="I407" s="9">
        <v>4.4000000000000002E-4</v>
      </c>
    </row>
    <row r="408" spans="1:10">
      <c r="A408" s="1" t="s">
        <v>571</v>
      </c>
      <c r="B408" s="1">
        <v>340</v>
      </c>
      <c r="C408" s="2">
        <v>41.55</v>
      </c>
      <c r="D408" s="3">
        <v>34.729999999999997</v>
      </c>
      <c r="E408" s="4">
        <v>10.46</v>
      </c>
      <c r="F408" s="1">
        <v>9.7899999999999991</v>
      </c>
      <c r="G408" s="9">
        <v>-3.5000000000000001E-3</v>
      </c>
      <c r="H408" s="9">
        <v>-2.7200000000000002E-3</v>
      </c>
      <c r="I408" s="9">
        <v>4.4000000000000002E-4</v>
      </c>
    </row>
    <row r="409" spans="1:10">
      <c r="A409" s="1" t="s">
        <v>572</v>
      </c>
      <c r="B409" s="1">
        <v>340</v>
      </c>
      <c r="C409" s="2">
        <v>41.36</v>
      </c>
      <c r="D409" s="3">
        <v>34.630000000000003</v>
      </c>
      <c r="E409" s="4">
        <v>10.46</v>
      </c>
      <c r="F409" s="1">
        <v>9.82</v>
      </c>
      <c r="G409" s="9">
        <v>-3.5000000000000001E-3</v>
      </c>
      <c r="H409" s="9">
        <v>-2.8900000000000002E-3</v>
      </c>
      <c r="I409" s="9">
        <v>5.1000000000000004E-4</v>
      </c>
    </row>
    <row r="410" spans="1:10">
      <c r="A410" s="1" t="s">
        <v>573</v>
      </c>
      <c r="B410" s="1">
        <v>345</v>
      </c>
      <c r="C410" s="2">
        <v>41.76</v>
      </c>
      <c r="D410" s="3">
        <v>34.99</v>
      </c>
      <c r="E410" s="4">
        <v>10.54</v>
      </c>
      <c r="F410" s="1">
        <v>9.86</v>
      </c>
      <c r="G410" s="9">
        <v>-3.5000000000000001E-3</v>
      </c>
      <c r="H410" s="9">
        <v>-2.7200000000000002E-3</v>
      </c>
      <c r="I410" s="9">
        <v>4.4000000000000002E-4</v>
      </c>
    </row>
    <row r="411" spans="1:10">
      <c r="A411" s="1" t="s">
        <v>574</v>
      </c>
      <c r="B411" s="1">
        <v>380</v>
      </c>
      <c r="C411" s="2">
        <v>41.62</v>
      </c>
      <c r="D411" s="3">
        <v>34.770000000000003</v>
      </c>
      <c r="E411" s="4">
        <v>11.47</v>
      </c>
      <c r="F411" s="1">
        <v>10.93</v>
      </c>
      <c r="G411" s="9">
        <v>-3.5000000000000001E-3</v>
      </c>
      <c r="H411" s="9">
        <v>-2.7200000000000002E-3</v>
      </c>
      <c r="I411" s="9">
        <v>4.4000000000000002E-4</v>
      </c>
    </row>
    <row r="412" spans="1:10">
      <c r="A412" s="1" t="s">
        <v>575</v>
      </c>
      <c r="B412" s="1">
        <v>385</v>
      </c>
      <c r="C412" s="2">
        <v>41.78</v>
      </c>
      <c r="D412" s="3">
        <v>35.04</v>
      </c>
      <c r="E412" s="4">
        <v>11.53</v>
      </c>
      <c r="F412" s="1">
        <v>10.99</v>
      </c>
      <c r="G412" s="9">
        <v>-3.5000000000000001E-3</v>
      </c>
      <c r="H412" s="9">
        <v>-2.7200000000000002E-3</v>
      </c>
      <c r="I412" s="9">
        <v>4.4000000000000002E-4</v>
      </c>
    </row>
    <row r="413" spans="1:10">
      <c r="A413" s="1" t="s">
        <v>576</v>
      </c>
      <c r="B413" s="1">
        <v>390</v>
      </c>
      <c r="C413" s="2">
        <v>41.94</v>
      </c>
      <c r="D413" s="3">
        <v>35.33</v>
      </c>
      <c r="E413" s="4">
        <v>11.58</v>
      </c>
      <c r="F413" s="1">
        <v>11.04</v>
      </c>
      <c r="G413" s="9">
        <v>-3.5000000000000001E-3</v>
      </c>
      <c r="H413" s="9">
        <v>-2.7200000000000002E-3</v>
      </c>
      <c r="I413" s="9">
        <v>4.4000000000000002E-4</v>
      </c>
    </row>
    <row r="414" spans="1:10">
      <c r="A414" s="1" t="s">
        <v>577</v>
      </c>
      <c r="B414" s="1">
        <v>585</v>
      </c>
      <c r="C414" s="2">
        <v>48.38</v>
      </c>
      <c r="D414" s="3">
        <v>40.630000000000003</v>
      </c>
      <c r="E414" s="4">
        <v>15.26</v>
      </c>
      <c r="F414" s="1">
        <v>14.4</v>
      </c>
      <c r="G414" s="9">
        <v>-3.0000000000000001E-3</v>
      </c>
      <c r="H414" s="9">
        <v>-2.5999999999999999E-3</v>
      </c>
      <c r="I414" s="9">
        <v>4.6000000000000001E-4</v>
      </c>
    </row>
    <row r="415" spans="1:10">
      <c r="A415" s="1" t="s">
        <v>578</v>
      </c>
      <c r="B415" s="1">
        <f>B414*(1+J415)</f>
        <v>731.25</v>
      </c>
      <c r="C415" s="2">
        <f>C414</f>
        <v>48.38</v>
      </c>
      <c r="D415" s="3">
        <f>D414</f>
        <v>40.630000000000003</v>
      </c>
      <c r="E415" s="4">
        <f>E414*(1+J415)</f>
        <v>19.074999999999999</v>
      </c>
      <c r="F415" s="1">
        <f>F414*(1+J415)</f>
        <v>18</v>
      </c>
      <c r="G415" s="9">
        <f>G414</f>
        <v>-3.0000000000000001E-3</v>
      </c>
      <c r="H415" s="9">
        <f>H414</f>
        <v>-2.5999999999999999E-3</v>
      </c>
      <c r="I415" s="9">
        <f>I414</f>
        <v>4.6000000000000001E-4</v>
      </c>
      <c r="J415" s="9">
        <v>0.25</v>
      </c>
    </row>
    <row r="416" spans="1:10">
      <c r="A416" s="1" t="s">
        <v>579</v>
      </c>
      <c r="B416" s="1">
        <v>615</v>
      </c>
      <c r="C416" s="2">
        <v>48.3</v>
      </c>
      <c r="D416" s="3">
        <v>39.96</v>
      </c>
      <c r="E416" s="4">
        <v>16.100000000000001</v>
      </c>
      <c r="F416" s="1">
        <v>15.39</v>
      </c>
      <c r="G416" s="9">
        <v>-2.8999999999999998E-3</v>
      </c>
      <c r="H416" s="9">
        <v>-2.5000000000000001E-3</v>
      </c>
      <c r="I416" s="9">
        <v>4.4999999999999999E-4</v>
      </c>
    </row>
    <row r="417" spans="1:10">
      <c r="A417" s="1" t="s">
        <v>580</v>
      </c>
      <c r="B417" s="1">
        <f>B416*(1+J417)</f>
        <v>768.75</v>
      </c>
      <c r="C417" s="2">
        <f>C416</f>
        <v>48.3</v>
      </c>
      <c r="D417" s="3">
        <f>D416</f>
        <v>39.96</v>
      </c>
      <c r="E417" s="4">
        <f>E416*(1+J417)</f>
        <v>20.125</v>
      </c>
      <c r="F417" s="1">
        <f>F416*(1+J417)</f>
        <v>19.237500000000001</v>
      </c>
      <c r="G417" s="9">
        <f>G416</f>
        <v>-2.8999999999999998E-3</v>
      </c>
      <c r="H417" s="9">
        <f>H416</f>
        <v>-2.5000000000000001E-3</v>
      </c>
      <c r="I417" s="9">
        <f>I416</f>
        <v>4.4999999999999999E-4</v>
      </c>
      <c r="J417" s="9">
        <v>0.25</v>
      </c>
    </row>
    <row r="418" spans="1:10">
      <c r="A418" s="1" t="s">
        <v>581</v>
      </c>
      <c r="B418" s="1">
        <v>620</v>
      </c>
      <c r="C418" s="2">
        <v>48.5</v>
      </c>
      <c r="D418" s="3">
        <v>40.21</v>
      </c>
      <c r="E418" s="4">
        <v>16.13</v>
      </c>
      <c r="F418" s="1">
        <v>15.42</v>
      </c>
      <c r="G418" s="9">
        <v>-2.8999999999999998E-3</v>
      </c>
      <c r="H418" s="9">
        <v>-2.5000000000000001E-3</v>
      </c>
      <c r="I418" s="9">
        <v>4.4999999999999999E-4</v>
      </c>
    </row>
    <row r="419" spans="1:10">
      <c r="A419" s="1" t="s">
        <v>582</v>
      </c>
      <c r="B419" s="1">
        <f>B418*(1+J419)</f>
        <v>775</v>
      </c>
      <c r="C419" s="2">
        <f>C418</f>
        <v>48.5</v>
      </c>
      <c r="D419" s="3">
        <f>D418</f>
        <v>40.21</v>
      </c>
      <c r="E419" s="4">
        <f>E418*(1+J419)</f>
        <v>20.162499999999998</v>
      </c>
      <c r="F419" s="1">
        <f>F418*(1+J419)</f>
        <v>19.274999999999999</v>
      </c>
      <c r="G419" s="9">
        <f>G418</f>
        <v>-2.8999999999999998E-3</v>
      </c>
      <c r="H419" s="9">
        <f>H418</f>
        <v>-2.5000000000000001E-3</v>
      </c>
      <c r="I419" s="9">
        <f>I418</f>
        <v>4.4999999999999999E-4</v>
      </c>
      <c r="J419" s="9">
        <v>0.25</v>
      </c>
    </row>
    <row r="420" spans="1:10">
      <c r="A420" s="1" t="s">
        <v>583</v>
      </c>
      <c r="B420" s="1">
        <v>540</v>
      </c>
      <c r="C420" s="2">
        <v>49.6</v>
      </c>
      <c r="D420" s="3">
        <v>41.64</v>
      </c>
      <c r="E420" s="4">
        <v>13.86</v>
      </c>
      <c r="F420" s="1">
        <v>12.97</v>
      </c>
      <c r="G420" s="9">
        <v>-3.5000000000000001E-3</v>
      </c>
      <c r="H420" s="9">
        <v>-2.7499999999999998E-3</v>
      </c>
      <c r="I420" s="9">
        <v>4.4999999999999999E-4</v>
      </c>
      <c r="J420" s="9">
        <v>0.1</v>
      </c>
    </row>
    <row r="421" spans="1:10">
      <c r="A421" s="1" t="s">
        <v>584</v>
      </c>
      <c r="B421" s="1">
        <f>B420*(1+J420)</f>
        <v>594</v>
      </c>
      <c r="C421" s="2">
        <f>C420</f>
        <v>49.6</v>
      </c>
      <c r="D421" s="3">
        <f>D420</f>
        <v>41.64</v>
      </c>
      <c r="E421" s="4">
        <f>E420*(1+J420)</f>
        <v>15.246</v>
      </c>
      <c r="F421" s="1">
        <f>F420*(1+J420)</f>
        <v>14.267000000000001</v>
      </c>
      <c r="G421" s="9">
        <f>G420</f>
        <v>-3.5000000000000001E-3</v>
      </c>
      <c r="H421" s="9">
        <f>H420</f>
        <v>-2.7499999999999998E-3</v>
      </c>
      <c r="I421" s="9">
        <f>I420</f>
        <v>4.4999999999999999E-4</v>
      </c>
    </row>
    <row r="422" spans="1:10">
      <c r="A422" s="1" t="s">
        <v>585</v>
      </c>
      <c r="B422" s="1">
        <v>545</v>
      </c>
      <c r="C422" s="2">
        <v>49.75</v>
      </c>
      <c r="D422" s="3">
        <v>41.8</v>
      </c>
      <c r="E422" s="4">
        <v>13.93</v>
      </c>
      <c r="F422" s="1">
        <v>13.04</v>
      </c>
      <c r="G422" s="9">
        <v>-3.5000000000000001E-3</v>
      </c>
      <c r="H422" s="9">
        <v>-2.7499999999999998E-3</v>
      </c>
      <c r="I422" s="9">
        <v>4.4999999999999999E-4</v>
      </c>
      <c r="J422" s="9">
        <v>0.1</v>
      </c>
    </row>
    <row r="423" spans="1:10">
      <c r="A423" s="1" t="s">
        <v>586</v>
      </c>
      <c r="B423" s="1">
        <f>B422*(1+J422)</f>
        <v>599.5</v>
      </c>
      <c r="C423" s="2">
        <f>C422</f>
        <v>49.75</v>
      </c>
      <c r="D423" s="3">
        <f>D422</f>
        <v>41.8</v>
      </c>
      <c r="E423" s="4">
        <f>E422*(1+J422)</f>
        <v>15.323</v>
      </c>
      <c r="F423" s="1">
        <f>F422*(1+J422)</f>
        <v>14.343999999999999</v>
      </c>
      <c r="G423" s="9">
        <f>G422</f>
        <v>-3.5000000000000001E-3</v>
      </c>
      <c r="H423" s="9">
        <f>H422</f>
        <v>-2.7499999999999998E-3</v>
      </c>
      <c r="I423" s="9">
        <f>I422</f>
        <v>4.4999999999999999E-4</v>
      </c>
    </row>
    <row r="424" spans="1:10">
      <c r="A424" s="1" t="s">
        <v>587</v>
      </c>
      <c r="B424" s="1">
        <v>550</v>
      </c>
      <c r="C424" s="2">
        <v>49.9</v>
      </c>
      <c r="D424" s="3">
        <v>41.9</v>
      </c>
      <c r="E424" s="4">
        <v>14</v>
      </c>
      <c r="F424" s="1">
        <v>13.11</v>
      </c>
      <c r="G424" s="9">
        <v>-3.5000000000000001E-3</v>
      </c>
      <c r="H424" s="9">
        <v>-2.7499999999999998E-3</v>
      </c>
      <c r="I424" s="9">
        <v>4.4999999999999999E-4</v>
      </c>
    </row>
    <row r="425" spans="1:10">
      <c r="A425" s="1" t="s">
        <v>588</v>
      </c>
      <c r="B425" s="1">
        <v>535</v>
      </c>
      <c r="C425" s="2">
        <v>49.45</v>
      </c>
      <c r="D425" s="3">
        <v>41.45</v>
      </c>
      <c r="E425" s="4">
        <v>13.79</v>
      </c>
      <c r="F425" s="1">
        <v>12.9</v>
      </c>
      <c r="G425" s="9">
        <v>-3.5000000000000001E-3</v>
      </c>
      <c r="H425" s="9">
        <v>-2.7499999999999998E-3</v>
      </c>
      <c r="I425" s="9">
        <v>4.4999999999999999E-4</v>
      </c>
      <c r="J425" s="9">
        <v>0.25</v>
      </c>
    </row>
    <row r="426" spans="1:10">
      <c r="A426" s="1" t="s">
        <v>589</v>
      </c>
      <c r="B426" s="1">
        <f>B425*(1+J425)</f>
        <v>668.75</v>
      </c>
      <c r="C426" s="2">
        <f>C425</f>
        <v>49.45</v>
      </c>
      <c r="D426" s="3">
        <f>D425</f>
        <v>41.45</v>
      </c>
      <c r="E426" s="4">
        <f>E425*(1+J425)</f>
        <v>17.237499999999997</v>
      </c>
      <c r="F426" s="1">
        <f>F425*(1+J425)</f>
        <v>16.125</v>
      </c>
      <c r="G426" s="9">
        <f>G425</f>
        <v>-3.5000000000000001E-3</v>
      </c>
      <c r="H426" s="9">
        <f>H425</f>
        <v>-2.7499999999999998E-3</v>
      </c>
      <c r="I426" s="9">
        <f>I425</f>
        <v>4.4999999999999999E-4</v>
      </c>
    </row>
    <row r="427" spans="1:10">
      <c r="A427" s="1" t="s">
        <v>590</v>
      </c>
      <c r="B427" s="1">
        <v>540</v>
      </c>
      <c r="C427" s="2">
        <v>49.6</v>
      </c>
      <c r="D427" s="3">
        <v>41.64</v>
      </c>
      <c r="E427" s="4">
        <v>13.86</v>
      </c>
      <c r="F427" s="1">
        <v>12.97</v>
      </c>
      <c r="G427" s="9">
        <v>-3.5000000000000001E-3</v>
      </c>
      <c r="H427" s="9">
        <v>-2.7499999999999998E-3</v>
      </c>
      <c r="I427" s="9">
        <v>4.4999999999999999E-4</v>
      </c>
      <c r="J427" s="9">
        <v>0.15</v>
      </c>
    </row>
    <row r="428" spans="1:10">
      <c r="A428" s="1" t="s">
        <v>591</v>
      </c>
      <c r="B428" s="1">
        <f>B427*(1+J427)</f>
        <v>621</v>
      </c>
      <c r="C428" s="2">
        <f>C427</f>
        <v>49.6</v>
      </c>
      <c r="D428" s="3">
        <f>D427</f>
        <v>41.64</v>
      </c>
      <c r="E428" s="4">
        <f>E427*(1+J427)</f>
        <v>15.938999999999998</v>
      </c>
      <c r="F428" s="1">
        <f>F427*(1+J427)</f>
        <v>14.9155</v>
      </c>
      <c r="G428" s="9">
        <f>G427</f>
        <v>-3.5000000000000001E-3</v>
      </c>
      <c r="H428" s="9">
        <f>H427</f>
        <v>-2.7499999999999998E-3</v>
      </c>
      <c r="I428" s="9">
        <f>I427</f>
        <v>4.4999999999999999E-4</v>
      </c>
    </row>
    <row r="429" spans="1:10">
      <c r="A429" s="1" t="s">
        <v>592</v>
      </c>
      <c r="B429" s="1">
        <v>550</v>
      </c>
      <c r="C429" s="2">
        <v>49.9</v>
      </c>
      <c r="D429" s="3">
        <v>41.96</v>
      </c>
      <c r="E429" s="4">
        <v>14</v>
      </c>
      <c r="F429" s="1">
        <v>13.11</v>
      </c>
      <c r="G429" s="9">
        <v>-3.5000000000000001E-3</v>
      </c>
      <c r="H429" s="9">
        <v>-2.7499999999999998E-3</v>
      </c>
      <c r="I429" s="9">
        <v>4.4999999999999999E-4</v>
      </c>
    </row>
    <row r="430" spans="1:10">
      <c r="A430" s="1" t="s">
        <v>593</v>
      </c>
      <c r="B430" s="1">
        <f>B429*(1+J430)</f>
        <v>687.5</v>
      </c>
      <c r="C430" s="2">
        <f>C429</f>
        <v>49.9</v>
      </c>
      <c r="D430" s="3">
        <f>D429</f>
        <v>41.96</v>
      </c>
      <c r="E430" s="4">
        <f>E429*(1+J430)</f>
        <v>17.5</v>
      </c>
      <c r="F430" s="1">
        <f>F429*(1+J430)</f>
        <v>16.387499999999999</v>
      </c>
      <c r="G430" s="9">
        <f>G429</f>
        <v>-3.5000000000000001E-3</v>
      </c>
      <c r="H430" s="9">
        <f>H429</f>
        <v>-2.7499999999999998E-3</v>
      </c>
      <c r="I430" s="9">
        <f>I429</f>
        <v>4.4999999999999999E-4</v>
      </c>
      <c r="J430" s="9">
        <v>0.25</v>
      </c>
    </row>
    <row r="431" spans="1:10">
      <c r="A431" s="1" t="s">
        <v>594</v>
      </c>
      <c r="B431" s="1">
        <v>550</v>
      </c>
      <c r="C431" s="2">
        <v>49.9</v>
      </c>
      <c r="D431" s="3">
        <v>41.96</v>
      </c>
      <c r="E431" s="4">
        <v>14</v>
      </c>
      <c r="F431" s="1">
        <v>13.11</v>
      </c>
      <c r="G431" s="9">
        <v>-3.5000000000000001E-3</v>
      </c>
      <c r="H431" s="9">
        <v>-2.7499999999999998E-3</v>
      </c>
      <c r="I431" s="9">
        <v>4.4999999999999999E-4</v>
      </c>
      <c r="J431" s="9">
        <v>7.0000000000000007E-2</v>
      </c>
    </row>
    <row r="432" spans="1:10">
      <c r="A432" s="1" t="s">
        <v>595</v>
      </c>
      <c r="B432" s="1">
        <f>B431*(1+J431)</f>
        <v>588.5</v>
      </c>
      <c r="C432" s="2">
        <f>C431</f>
        <v>49.9</v>
      </c>
      <c r="D432" s="3">
        <f>D431</f>
        <v>41.96</v>
      </c>
      <c r="E432" s="4">
        <f>E431*(1+J431)</f>
        <v>14.98</v>
      </c>
      <c r="F432" s="1">
        <f>F431*(1+J431)</f>
        <v>14.027699999999999</v>
      </c>
      <c r="G432" s="9">
        <f>G431</f>
        <v>-3.5000000000000001E-3</v>
      </c>
      <c r="H432" s="9">
        <f>H431</f>
        <v>-2.7499999999999998E-3</v>
      </c>
      <c r="I432" s="9">
        <f>I431</f>
        <v>4.4999999999999999E-4</v>
      </c>
    </row>
    <row r="433" spans="1:10">
      <c r="A433" s="1" t="s">
        <v>596</v>
      </c>
      <c r="B433" s="1">
        <v>570</v>
      </c>
      <c r="C433" s="2">
        <v>51</v>
      </c>
      <c r="D433" s="3">
        <v>42.7</v>
      </c>
      <c r="E433" s="4">
        <v>14.23</v>
      </c>
      <c r="F433" s="1">
        <v>13.35</v>
      </c>
      <c r="G433" s="9">
        <v>-3.0000000000000001E-3</v>
      </c>
      <c r="H433" s="9">
        <v>-2.5999999999999999E-3</v>
      </c>
      <c r="I433" s="9">
        <v>4.6000000000000001E-4</v>
      </c>
      <c r="J433" s="9">
        <v>7.0000000000000007E-2</v>
      </c>
    </row>
    <row r="434" spans="1:10">
      <c r="A434" s="1" t="s">
        <v>597</v>
      </c>
      <c r="B434" s="1">
        <f>B433*(1+J433)</f>
        <v>609.90000000000009</v>
      </c>
      <c r="C434" s="2">
        <f>C433</f>
        <v>51</v>
      </c>
      <c r="D434" s="3">
        <f>D433</f>
        <v>42.7</v>
      </c>
      <c r="E434" s="4">
        <f>E433*(1+J433)</f>
        <v>15.226100000000001</v>
      </c>
      <c r="F434" s="1">
        <f>F433*(1+J433)</f>
        <v>14.284500000000001</v>
      </c>
      <c r="G434" s="9">
        <f>G433</f>
        <v>-3.0000000000000001E-3</v>
      </c>
      <c r="H434" s="9">
        <f>H433</f>
        <v>-2.5999999999999999E-3</v>
      </c>
      <c r="I434" s="9">
        <f>I433</f>
        <v>4.6000000000000001E-4</v>
      </c>
    </row>
    <row r="435" spans="1:10">
      <c r="A435" s="1" t="s">
        <v>598</v>
      </c>
      <c r="B435" s="1">
        <v>620</v>
      </c>
      <c r="C435" s="2">
        <v>51.86</v>
      </c>
      <c r="D435" s="3">
        <v>43.51</v>
      </c>
      <c r="E435" s="4">
        <v>14.98</v>
      </c>
      <c r="F435" s="1">
        <v>14.25</v>
      </c>
      <c r="G435" s="9">
        <v>-3.0000000000000001E-3</v>
      </c>
      <c r="H435" s="9">
        <v>-2.5999999999999999E-3</v>
      </c>
      <c r="I435" s="9">
        <v>4.6000000000000001E-4</v>
      </c>
    </row>
    <row r="436" spans="1:10">
      <c r="A436" s="1" t="s">
        <v>599</v>
      </c>
      <c r="B436" s="1">
        <f>B435*(1+J436)</f>
        <v>775</v>
      </c>
      <c r="C436" s="2">
        <f>C435</f>
        <v>51.86</v>
      </c>
      <c r="D436" s="3">
        <f>D435</f>
        <v>43.51</v>
      </c>
      <c r="E436" s="4">
        <f>E435*(1+J436)</f>
        <v>18.725000000000001</v>
      </c>
      <c r="F436" s="1">
        <f>F435*(1+J436)</f>
        <v>17.8125</v>
      </c>
      <c r="G436" s="9">
        <f>G435</f>
        <v>-3.0000000000000001E-3</v>
      </c>
      <c r="H436" s="9">
        <f>H435</f>
        <v>-2.5999999999999999E-3</v>
      </c>
      <c r="I436" s="9">
        <f>I435</f>
        <v>4.6000000000000001E-4</v>
      </c>
      <c r="J436" s="9">
        <v>0.25</v>
      </c>
    </row>
    <row r="437" spans="1:10">
      <c r="A437" s="1" t="s">
        <v>600</v>
      </c>
      <c r="B437" s="1">
        <v>625</v>
      </c>
      <c r="C437" s="2">
        <v>52.05</v>
      </c>
      <c r="D437" s="3">
        <v>43.71</v>
      </c>
      <c r="E437" s="4">
        <v>15.03</v>
      </c>
      <c r="F437" s="1">
        <v>14.3</v>
      </c>
      <c r="G437" s="9">
        <v>-3.0000000000000001E-3</v>
      </c>
      <c r="H437" s="9">
        <v>-2.5999999999999999E-3</v>
      </c>
      <c r="I437" s="9">
        <v>4.6000000000000001E-4</v>
      </c>
    </row>
    <row r="438" spans="1:10">
      <c r="A438" s="1" t="s">
        <v>601</v>
      </c>
      <c r="B438" s="1">
        <f>B437*(1+J438)</f>
        <v>781.25</v>
      </c>
      <c r="C438" s="2">
        <f>C437</f>
        <v>52.05</v>
      </c>
      <c r="D438" s="3">
        <f>D437</f>
        <v>43.71</v>
      </c>
      <c r="E438" s="4">
        <f>E437*(1+J438)</f>
        <v>18.787499999999998</v>
      </c>
      <c r="F438" s="1">
        <f>F437*(1+J438)</f>
        <v>17.875</v>
      </c>
      <c r="G438" s="9">
        <f>G437</f>
        <v>-3.0000000000000001E-3</v>
      </c>
      <c r="H438" s="9">
        <f>H437</f>
        <v>-2.5999999999999999E-3</v>
      </c>
      <c r="I438" s="9">
        <f>I437</f>
        <v>4.6000000000000001E-4</v>
      </c>
      <c r="J438" s="9">
        <v>0.25</v>
      </c>
    </row>
    <row r="439" spans="1:10">
      <c r="A439" s="1" t="s">
        <v>602</v>
      </c>
      <c r="B439" s="1">
        <v>630</v>
      </c>
      <c r="C439" s="2">
        <v>52.47</v>
      </c>
      <c r="D439" s="3">
        <v>43.9</v>
      </c>
      <c r="E439" s="4">
        <v>15.21</v>
      </c>
      <c r="F439" s="1">
        <v>14.35</v>
      </c>
      <c r="G439" s="9">
        <v>-3.0000000000000001E-3</v>
      </c>
      <c r="H439" s="9">
        <v>-2.5999999999999999E-3</v>
      </c>
      <c r="I439" s="9">
        <v>4.6000000000000001E-4</v>
      </c>
    </row>
    <row r="440" spans="1:10">
      <c r="A440" s="1" t="s">
        <v>603</v>
      </c>
      <c r="B440" s="1">
        <f>B439*(1+J440)</f>
        <v>787.5</v>
      </c>
      <c r="C440" s="2">
        <f>C439</f>
        <v>52.47</v>
      </c>
      <c r="D440" s="3">
        <f>D439</f>
        <v>43.9</v>
      </c>
      <c r="E440" s="4">
        <f>E439*(1+J440)</f>
        <v>19.012500000000003</v>
      </c>
      <c r="F440" s="1">
        <f>F439*(1+J440)</f>
        <v>17.9375</v>
      </c>
      <c r="G440" s="9">
        <f>G439</f>
        <v>-3.0000000000000001E-3</v>
      </c>
      <c r="H440" s="9">
        <f>H439</f>
        <v>-2.5999999999999999E-3</v>
      </c>
      <c r="I440" s="9">
        <f>I439</f>
        <v>4.6000000000000001E-4</v>
      </c>
      <c r="J440" s="9">
        <v>0.25</v>
      </c>
    </row>
    <row r="441" spans="1:10">
      <c r="A441" s="1" t="s">
        <v>604</v>
      </c>
      <c r="B441" s="1">
        <v>370</v>
      </c>
      <c r="C441" s="2">
        <v>48.18</v>
      </c>
      <c r="D441" s="3">
        <v>39.450000000000003</v>
      </c>
      <c r="E441" s="4">
        <v>9.91</v>
      </c>
      <c r="F441" s="1">
        <v>9.2799999999999994</v>
      </c>
      <c r="G441" s="9">
        <v>-3.8E-3</v>
      </c>
      <c r="H441" s="9">
        <v>-3.0000000000000001E-3</v>
      </c>
      <c r="I441" s="9">
        <v>5.9999999999999995E-4</v>
      </c>
    </row>
    <row r="442" spans="1:10">
      <c r="A442" s="1" t="s">
        <v>605</v>
      </c>
      <c r="B442" s="1">
        <v>385</v>
      </c>
      <c r="C442" s="2">
        <v>48.98</v>
      </c>
      <c r="D442" s="3">
        <v>40.29</v>
      </c>
      <c r="E442" s="4">
        <v>10.11</v>
      </c>
      <c r="F442" s="1">
        <v>9.56</v>
      </c>
      <c r="G442" s="9">
        <v>-3.8E-3</v>
      </c>
      <c r="H442" s="9">
        <v>-3.0000000000000001E-3</v>
      </c>
      <c r="I442" s="9">
        <v>5.9999999999999995E-4</v>
      </c>
    </row>
    <row r="443" spans="1:10">
      <c r="A443" s="1" t="s">
        <v>606</v>
      </c>
      <c r="B443" s="1">
        <v>380</v>
      </c>
      <c r="C443" s="2">
        <v>48.05</v>
      </c>
      <c r="D443" s="3">
        <v>39.799999999999997</v>
      </c>
      <c r="E443" s="4">
        <v>10.09</v>
      </c>
      <c r="F443" s="1">
        <v>9.5500000000000007</v>
      </c>
      <c r="G443" s="9">
        <v>-3.5999999999999999E-3</v>
      </c>
      <c r="H443" s="9">
        <v>-2.8900000000000002E-3</v>
      </c>
      <c r="I443" s="9">
        <v>5.1000000000000004E-4</v>
      </c>
    </row>
    <row r="444" spans="1:10">
      <c r="A444" s="1" t="s">
        <v>607</v>
      </c>
      <c r="B444" s="1">
        <v>390</v>
      </c>
      <c r="C444" s="2">
        <v>49.35</v>
      </c>
      <c r="D444" s="3">
        <v>40.549999999999997</v>
      </c>
      <c r="E444" s="4">
        <v>10.220000000000001</v>
      </c>
      <c r="F444" s="1">
        <v>9.6999999999999993</v>
      </c>
      <c r="G444" s="9">
        <v>-3.5000000000000001E-3</v>
      </c>
      <c r="H444" s="9">
        <v>-2.8900000000000002E-3</v>
      </c>
      <c r="I444" s="9">
        <v>5.1000000000000004E-4</v>
      </c>
    </row>
    <row r="445" spans="1:10">
      <c r="A445" s="1" t="s">
        <v>608</v>
      </c>
      <c r="B445" s="1">
        <v>420</v>
      </c>
      <c r="C445" s="2">
        <v>50.7</v>
      </c>
      <c r="D445" s="3">
        <v>42.47</v>
      </c>
      <c r="E445" s="4">
        <v>10.56</v>
      </c>
      <c r="F445" s="1">
        <v>9.89</v>
      </c>
      <c r="G445" s="9">
        <v>-3.5000000000000001E-3</v>
      </c>
      <c r="H445" s="9">
        <v>-2.7200000000000002E-3</v>
      </c>
      <c r="I445" s="9">
        <v>4.4000000000000002E-4</v>
      </c>
      <c r="J445" s="9">
        <v>0.25</v>
      </c>
    </row>
    <row r="446" spans="1:10">
      <c r="A446" s="1" t="s">
        <v>609</v>
      </c>
      <c r="B446" s="1">
        <f>B445*(1+J445)</f>
        <v>525</v>
      </c>
      <c r="C446" s="2">
        <v>50.7</v>
      </c>
      <c r="D446" s="3">
        <v>42.47</v>
      </c>
      <c r="E446" s="4">
        <f>E445*(1+J445)</f>
        <v>13.200000000000001</v>
      </c>
      <c r="F446" s="1">
        <f>F445*(1+J445)</f>
        <v>12.362500000000001</v>
      </c>
      <c r="G446" s="9">
        <v>-3.5000000000000001E-3</v>
      </c>
      <c r="H446" s="9">
        <f>H445</f>
        <v>-2.7200000000000002E-3</v>
      </c>
      <c r="I446" s="9">
        <f>I445</f>
        <v>4.4000000000000002E-4</v>
      </c>
    </row>
    <row r="447" spans="1:10">
      <c r="A447" s="1" t="s">
        <v>610</v>
      </c>
      <c r="B447" s="1">
        <v>400</v>
      </c>
      <c r="C447" s="2">
        <v>49.58</v>
      </c>
      <c r="D447" s="3">
        <v>41.33</v>
      </c>
      <c r="E447" s="4">
        <v>10.33</v>
      </c>
      <c r="F447" s="1">
        <v>9.68</v>
      </c>
      <c r="G447" s="9">
        <v>-3.5000000000000001E-3</v>
      </c>
      <c r="H447" s="9">
        <v>-2.7200000000000002E-3</v>
      </c>
      <c r="I447" s="9">
        <v>4.4000000000000002E-4</v>
      </c>
    </row>
    <row r="448" spans="1:10">
      <c r="A448" s="1" t="s">
        <v>611</v>
      </c>
      <c r="B448" s="1">
        <v>415</v>
      </c>
      <c r="C448" s="2">
        <v>50.41</v>
      </c>
      <c r="D448" s="3">
        <v>42.18</v>
      </c>
      <c r="E448" s="4">
        <v>10.51</v>
      </c>
      <c r="F448" s="1">
        <v>42.18</v>
      </c>
      <c r="G448" s="9">
        <v>-3.5000000000000001E-3</v>
      </c>
      <c r="H448" s="9">
        <v>-2.7200000000000002E-3</v>
      </c>
      <c r="I448" s="9">
        <v>4.4000000000000002E-4</v>
      </c>
    </row>
    <row r="449" spans="1:11">
      <c r="A449" s="1" t="s">
        <v>612</v>
      </c>
      <c r="B449" s="1">
        <v>415</v>
      </c>
      <c r="C449" s="2">
        <v>50.41</v>
      </c>
      <c r="D449" s="3">
        <v>42.18</v>
      </c>
      <c r="E449" s="4">
        <v>10.51</v>
      </c>
      <c r="F449" s="1">
        <v>9.84</v>
      </c>
      <c r="G449" s="9">
        <v>-3.5000000000000001E-3</v>
      </c>
      <c r="H449" s="9">
        <v>-2.7200000000000002E-3</v>
      </c>
      <c r="I449" s="9">
        <v>4.4000000000000002E-4</v>
      </c>
    </row>
    <row r="450" spans="1:11">
      <c r="A450" s="1" t="s">
        <v>613</v>
      </c>
      <c r="B450" s="1">
        <v>460</v>
      </c>
      <c r="C450" s="2">
        <v>50.01</v>
      </c>
      <c r="D450" s="3">
        <v>42.13</v>
      </c>
      <c r="E450" s="4">
        <v>11.45</v>
      </c>
      <c r="F450" s="1">
        <v>10.92</v>
      </c>
      <c r="G450" s="9">
        <v>-3.5000000000000001E-3</v>
      </c>
      <c r="H450" s="9">
        <v>-2.7200000000000002E-3</v>
      </c>
      <c r="I450" s="9">
        <v>4.4000000000000002E-4</v>
      </c>
    </row>
    <row r="451" spans="1:11">
      <c r="A451" s="1" t="s">
        <v>614</v>
      </c>
      <c r="B451" s="1">
        <v>445</v>
      </c>
      <c r="C451" s="2">
        <v>54.56</v>
      </c>
      <c r="D451" s="3">
        <v>44.46</v>
      </c>
      <c r="E451" s="4">
        <v>10.48</v>
      </c>
      <c r="F451" s="1">
        <v>10.01</v>
      </c>
      <c r="G451" s="9">
        <v>-3.5000000000000001E-3</v>
      </c>
      <c r="H451" s="9">
        <v>-2.8900000000000002E-3</v>
      </c>
      <c r="I451" s="9">
        <v>5.1000000000000004E-4</v>
      </c>
    </row>
    <row r="452" spans="1:11">
      <c r="A452" s="1" t="s">
        <v>615</v>
      </c>
      <c r="B452" s="1">
        <v>455</v>
      </c>
      <c r="C452" s="2">
        <v>49.85</v>
      </c>
      <c r="D452" s="3">
        <v>41.82</v>
      </c>
      <c r="E452" s="4">
        <v>11.41</v>
      </c>
      <c r="F452" s="1">
        <v>10.88</v>
      </c>
      <c r="G452" s="9">
        <v>-3.5000000000000001E-3</v>
      </c>
      <c r="H452" s="9">
        <v>-2.7200000000000002E-3</v>
      </c>
      <c r="I452" s="9">
        <v>4.4000000000000002E-4</v>
      </c>
    </row>
    <row r="453" spans="1:11">
      <c r="A453" s="1" t="s">
        <v>616</v>
      </c>
      <c r="B453" s="1">
        <v>460</v>
      </c>
      <c r="C453" s="2">
        <v>49.91</v>
      </c>
      <c r="D453" s="3">
        <v>41.79</v>
      </c>
      <c r="E453" s="4">
        <v>11.5</v>
      </c>
      <c r="F453" s="1">
        <v>11.01</v>
      </c>
      <c r="G453" s="9">
        <v>-3.5400000000000002E-3</v>
      </c>
      <c r="H453" s="9">
        <v>-2.7200000000000002E-3</v>
      </c>
      <c r="I453" s="9">
        <v>4.4000000000000002E-4</v>
      </c>
      <c r="J453" s="9">
        <v>0.25</v>
      </c>
    </row>
    <row r="454" spans="1:11">
      <c r="A454" s="1" t="s">
        <v>617</v>
      </c>
      <c r="B454" s="1">
        <f>B453*(1+J453)</f>
        <v>575</v>
      </c>
      <c r="C454" s="2">
        <f>C453</f>
        <v>49.91</v>
      </c>
      <c r="D454" s="3">
        <f>D453</f>
        <v>41.79</v>
      </c>
      <c r="E454" s="4">
        <f>E453*(1+J453)</f>
        <v>14.375</v>
      </c>
      <c r="F454" s="1">
        <f>F453*(1+J453)</f>
        <v>13.762499999999999</v>
      </c>
      <c r="G454" s="9">
        <f>G453</f>
        <v>-3.5400000000000002E-3</v>
      </c>
      <c r="H454" s="9">
        <f>H453</f>
        <v>-2.7200000000000002E-3</v>
      </c>
      <c r="I454" s="9">
        <f>I453</f>
        <v>4.4000000000000002E-4</v>
      </c>
    </row>
    <row r="455" spans="1:11">
      <c r="A455" s="1" t="s">
        <v>618</v>
      </c>
      <c r="B455" s="1">
        <v>460</v>
      </c>
      <c r="C455" s="2">
        <v>50.01</v>
      </c>
      <c r="D455" s="3">
        <v>42.13</v>
      </c>
      <c r="E455" s="4">
        <v>11.45</v>
      </c>
      <c r="F455" s="1">
        <v>10.92</v>
      </c>
      <c r="G455" s="9">
        <v>-3.5000000000000001E-3</v>
      </c>
      <c r="H455" s="9">
        <v>-2.7200000000000002E-3</v>
      </c>
      <c r="I455" s="9">
        <v>4.4000000000000002E-4</v>
      </c>
    </row>
    <row r="456" spans="1:11">
      <c r="A456" s="1" t="s">
        <v>619</v>
      </c>
      <c r="B456" s="1">
        <v>460</v>
      </c>
      <c r="C456" s="2">
        <v>25.61</v>
      </c>
      <c r="D456" s="3">
        <v>20.3</v>
      </c>
      <c r="E456" s="4">
        <v>8.2100000000000009</v>
      </c>
      <c r="F456" s="1">
        <v>7.54</v>
      </c>
      <c r="G456" s="9">
        <v>-3.5000000000000001E-3</v>
      </c>
      <c r="H456" s="9">
        <v>-2.7200000000000002E-3</v>
      </c>
      <c r="I456" s="9">
        <v>4.4000000000000002E-4</v>
      </c>
    </row>
    <row r="457" spans="1:11">
      <c r="A457" s="1" t="s">
        <v>620</v>
      </c>
      <c r="B457" s="1">
        <v>540</v>
      </c>
      <c r="C457" s="2">
        <v>49.9</v>
      </c>
      <c r="D457" s="3">
        <v>42.16</v>
      </c>
      <c r="E457" s="4">
        <v>13.57</v>
      </c>
      <c r="F457" s="1">
        <v>12.81</v>
      </c>
      <c r="G457" s="9">
        <v>-3.5000000000000001E-3</v>
      </c>
      <c r="H457" s="9">
        <v>-2.7499999999999998E-3</v>
      </c>
      <c r="I457" s="9">
        <v>4.4999999999999999E-4</v>
      </c>
    </row>
    <row r="458" spans="1:11">
      <c r="A458" s="1" t="s">
        <v>621</v>
      </c>
      <c r="B458" s="1">
        <v>540</v>
      </c>
      <c r="C458" s="2">
        <v>49.6</v>
      </c>
      <c r="D458" s="3">
        <v>41.64</v>
      </c>
      <c r="E458" s="4">
        <v>13.86</v>
      </c>
      <c r="F458" s="1">
        <v>12.97</v>
      </c>
      <c r="G458" s="9">
        <v>-3.5000000000000001E-3</v>
      </c>
      <c r="H458" s="9">
        <v>-2.7499999999999998E-3</v>
      </c>
      <c r="I458" s="9">
        <v>4.4999999999999999E-4</v>
      </c>
    </row>
    <row r="459" spans="1:11">
      <c r="A459" s="1" t="s">
        <v>622</v>
      </c>
      <c r="B459" s="1">
        <v>545</v>
      </c>
      <c r="C459" s="2">
        <v>49.75</v>
      </c>
      <c r="D459" s="3">
        <v>41.8</v>
      </c>
      <c r="E459" s="4">
        <v>13.93</v>
      </c>
      <c r="F459" s="1">
        <v>13.04</v>
      </c>
      <c r="G459" s="9">
        <v>-3.5000000000000001E-3</v>
      </c>
      <c r="H459" s="9">
        <v>-2.7499999999999998E-3</v>
      </c>
      <c r="I459" s="9">
        <v>4.4999999999999999E-4</v>
      </c>
      <c r="K459" s="5">
        <v>29</v>
      </c>
    </row>
    <row r="460" spans="1:11">
      <c r="A460" s="1" t="s">
        <v>623</v>
      </c>
      <c r="B460" s="1">
        <f>550*1</f>
        <v>550</v>
      </c>
      <c r="C460" s="2">
        <v>49.9</v>
      </c>
      <c r="D460" s="3">
        <v>41.96</v>
      </c>
      <c r="E460" s="4">
        <v>14</v>
      </c>
      <c r="F460" s="1">
        <v>13.11</v>
      </c>
      <c r="G460" s="9">
        <v>-3.5000000000000001E-3</v>
      </c>
      <c r="H460" s="9">
        <v>-2.7499999999999998E-3</v>
      </c>
      <c r="I460" s="9">
        <v>4.4999999999999999E-4</v>
      </c>
    </row>
    <row r="461" spans="1:11">
      <c r="A461" s="1" t="s">
        <v>624</v>
      </c>
      <c r="B461" s="1">
        <v>530</v>
      </c>
      <c r="C461" s="2">
        <v>49.65</v>
      </c>
      <c r="D461" s="3">
        <v>41.65</v>
      </c>
      <c r="E461" s="4">
        <v>13.71</v>
      </c>
      <c r="F461" s="1">
        <v>12.71</v>
      </c>
      <c r="G461" s="9">
        <v>-3.5000000000000001E-3</v>
      </c>
      <c r="H461" s="9">
        <v>-2.7499999999999998E-3</v>
      </c>
      <c r="I461" s="9">
        <v>4.4999999999999999E-4</v>
      </c>
    </row>
    <row r="462" spans="1:11">
      <c r="A462" s="1" t="s">
        <v>625</v>
      </c>
      <c r="B462" s="1">
        <v>540</v>
      </c>
      <c r="C462" s="2">
        <v>49.6</v>
      </c>
      <c r="D462" s="3">
        <v>41.64</v>
      </c>
      <c r="E462" s="4">
        <v>13.86</v>
      </c>
      <c r="F462" s="1">
        <v>12.97</v>
      </c>
      <c r="G462" s="9">
        <v>-3.5000000000000001E-3</v>
      </c>
      <c r="H462" s="9">
        <v>-2.7499999999999998E-3</v>
      </c>
      <c r="I462" s="9">
        <v>4.4999999999999999E-4</v>
      </c>
    </row>
    <row r="463" spans="1:11">
      <c r="A463" s="1" t="s">
        <v>626</v>
      </c>
      <c r="B463" s="1">
        <v>545</v>
      </c>
      <c r="C463" s="2">
        <v>49.75</v>
      </c>
      <c r="D463" s="3">
        <v>41.8</v>
      </c>
      <c r="E463" s="4">
        <v>13.93</v>
      </c>
      <c r="F463" s="1">
        <v>13.04</v>
      </c>
      <c r="G463" s="9">
        <v>-3.5000000000000001E-3</v>
      </c>
      <c r="H463" s="9">
        <v>-2.7499999999999998E-3</v>
      </c>
      <c r="I463" s="9">
        <v>4.4999999999999999E-4</v>
      </c>
    </row>
    <row r="464" spans="1:11">
      <c r="A464" s="1" t="s">
        <v>627</v>
      </c>
      <c r="B464" s="1">
        <v>550</v>
      </c>
      <c r="C464" s="2">
        <v>49.9</v>
      </c>
      <c r="D464" s="3">
        <v>41.96</v>
      </c>
      <c r="E464" s="4">
        <v>14</v>
      </c>
      <c r="F464" s="1">
        <v>13.11</v>
      </c>
      <c r="G464" s="9">
        <v>-3.5000000000000001E-3</v>
      </c>
      <c r="H464" s="9">
        <v>-2.7499999999999998E-3</v>
      </c>
      <c r="I464" s="9">
        <v>4.4999999999999999E-4</v>
      </c>
    </row>
    <row r="465" spans="1:11">
      <c r="A465" s="1" t="s">
        <v>628</v>
      </c>
      <c r="B465" s="1">
        <v>570</v>
      </c>
      <c r="C465" s="2">
        <v>49.95</v>
      </c>
      <c r="D465" s="3">
        <v>41.87</v>
      </c>
      <c r="E465" s="4">
        <v>14.37</v>
      </c>
      <c r="F465" s="1">
        <v>13.62</v>
      </c>
      <c r="G465" s="9">
        <v>-3.5000000000000001E-3</v>
      </c>
      <c r="H465" s="9">
        <v>-2.7499999999999998E-3</v>
      </c>
      <c r="I465" s="9">
        <v>4.4999999999999999E-4</v>
      </c>
    </row>
    <row r="466" spans="1:11">
      <c r="A466" s="1" t="s">
        <v>629</v>
      </c>
      <c r="B466" s="1">
        <v>335</v>
      </c>
      <c r="C466" s="2">
        <v>41.36</v>
      </c>
      <c r="D466" s="3">
        <v>34.630000000000003</v>
      </c>
      <c r="E466" s="4">
        <v>10.64</v>
      </c>
      <c r="F466" s="1">
        <v>9.82</v>
      </c>
      <c r="G466" s="9">
        <v>-3.5000000000000001E-3</v>
      </c>
      <c r="H466" s="9">
        <v>-2.8900000000000002E-3</v>
      </c>
      <c r="I466" s="9">
        <v>5.1000000000000004E-4</v>
      </c>
    </row>
    <row r="467" spans="1:11">
      <c r="A467" s="1" t="s">
        <v>630</v>
      </c>
      <c r="B467" s="1">
        <v>585</v>
      </c>
      <c r="C467" s="2">
        <v>53.2</v>
      </c>
      <c r="D467" s="3">
        <v>44.56</v>
      </c>
      <c r="E467" s="4">
        <v>13.88</v>
      </c>
      <c r="F467" s="1">
        <v>13.13</v>
      </c>
      <c r="G467" s="9">
        <v>-3.5000000000000001E-3</v>
      </c>
      <c r="H467" s="9">
        <v>-2.7499999999999998E-3</v>
      </c>
      <c r="I467" s="9">
        <v>4.4999999999999999E-4</v>
      </c>
      <c r="J467" s="9">
        <v>0.2</v>
      </c>
    </row>
    <row r="468" spans="1:11">
      <c r="A468" s="1" t="s">
        <v>631</v>
      </c>
      <c r="B468" s="1">
        <f>B467*(1+J467)</f>
        <v>702</v>
      </c>
      <c r="C468" s="2">
        <f>C467</f>
        <v>53.2</v>
      </c>
      <c r="D468" s="3">
        <f>D467</f>
        <v>44.56</v>
      </c>
      <c r="E468" s="4">
        <f>E467*(1+J467)</f>
        <v>16.655999999999999</v>
      </c>
      <c r="F468" s="1">
        <f>F467*(1+J467)</f>
        <v>15.756</v>
      </c>
      <c r="G468" s="9">
        <f>G467</f>
        <v>-3.5000000000000001E-3</v>
      </c>
      <c r="H468" s="9">
        <f>H467</f>
        <v>-2.7499999999999998E-3</v>
      </c>
      <c r="I468" s="9">
        <f>I467</f>
        <v>4.4999999999999999E-4</v>
      </c>
    </row>
    <row r="469" spans="1:11">
      <c r="A469" s="1" t="s">
        <v>632</v>
      </c>
      <c r="B469" s="1">
        <v>590</v>
      </c>
      <c r="C469" s="2">
        <v>53.3</v>
      </c>
      <c r="D469" s="3">
        <v>44.8</v>
      </c>
      <c r="E469" s="4">
        <v>13.93</v>
      </c>
      <c r="F469" s="1">
        <v>13.17</v>
      </c>
      <c r="G469" s="9">
        <v>-3.5000000000000001E-3</v>
      </c>
      <c r="H469" s="9">
        <v>-2.7499999999999998E-3</v>
      </c>
      <c r="I469" s="9">
        <v>4.4999999999999999E-4</v>
      </c>
      <c r="J469" s="9">
        <v>0.2</v>
      </c>
    </row>
    <row r="470" spans="1:11">
      <c r="A470" s="1" t="s">
        <v>633</v>
      </c>
      <c r="B470" s="1">
        <f>B469*(1+J469)</f>
        <v>708</v>
      </c>
      <c r="C470" s="2">
        <f>C469</f>
        <v>53.3</v>
      </c>
      <c r="D470" s="3">
        <f>D469</f>
        <v>44.8</v>
      </c>
      <c r="E470" s="4">
        <f>E469*(1+J469)</f>
        <v>16.715999999999998</v>
      </c>
      <c r="F470" s="1">
        <f>F469*(1+J469)</f>
        <v>15.803999999999998</v>
      </c>
      <c r="G470" s="9">
        <f>G469</f>
        <v>-3.5000000000000001E-3</v>
      </c>
      <c r="H470" s="9">
        <f>H469</f>
        <v>-2.7499999999999998E-3</v>
      </c>
      <c r="I470" s="9">
        <f>I469</f>
        <v>4.4999999999999999E-4</v>
      </c>
    </row>
    <row r="471" spans="1:11">
      <c r="A471" s="1" t="s">
        <v>634</v>
      </c>
      <c r="B471" s="1">
        <v>625</v>
      </c>
      <c r="C471" s="2">
        <v>55.49</v>
      </c>
      <c r="D471" s="3">
        <v>46.37</v>
      </c>
      <c r="E471" s="4">
        <v>14.36</v>
      </c>
      <c r="F471" s="1">
        <v>13.48</v>
      </c>
      <c r="G471" s="9">
        <v>-3.0000000000000001E-3</v>
      </c>
      <c r="H471" s="9">
        <v>-2.5999999999999999E-3</v>
      </c>
      <c r="I471" s="9">
        <v>4.6000000000000001E-4</v>
      </c>
    </row>
    <row r="472" spans="1:11">
      <c r="A472" s="1" t="s">
        <v>635</v>
      </c>
      <c r="B472" s="1">
        <v>445</v>
      </c>
      <c r="C472" s="2">
        <v>53.31</v>
      </c>
      <c r="D472" s="3">
        <v>45.18</v>
      </c>
      <c r="E472" s="4">
        <v>10.48</v>
      </c>
      <c r="F472" s="1">
        <v>9.85</v>
      </c>
      <c r="G472" s="9">
        <v>-3.5000000000000001E-3</v>
      </c>
      <c r="H472" s="9">
        <v>-2.7200000000000002E-3</v>
      </c>
      <c r="I472" s="9">
        <v>4.4000000000000002E-4</v>
      </c>
    </row>
    <row r="473" spans="1:11">
      <c r="A473" s="1" t="s">
        <v>636</v>
      </c>
      <c r="B473" s="1">
        <v>435</v>
      </c>
      <c r="C473" s="2">
        <v>53.98</v>
      </c>
      <c r="D473" s="3">
        <v>43.78</v>
      </c>
      <c r="E473" s="4">
        <v>10.4</v>
      </c>
      <c r="F473" s="1">
        <v>9.94</v>
      </c>
      <c r="G473" s="9">
        <v>-3.5000000000000001E-3</v>
      </c>
      <c r="H473" s="9">
        <v>-2.8900000000000002E-3</v>
      </c>
      <c r="I473" s="9">
        <v>5.1000000000000004E-4</v>
      </c>
    </row>
    <row r="474" spans="1:11">
      <c r="A474" s="1" t="s">
        <v>637</v>
      </c>
      <c r="B474" s="1">
        <v>250</v>
      </c>
      <c r="C474" s="2">
        <v>37.659999999999997</v>
      </c>
      <c r="D474" s="3">
        <v>29.94</v>
      </c>
      <c r="E474" s="4">
        <v>8.92</v>
      </c>
      <c r="F474" s="1">
        <v>8.35</v>
      </c>
      <c r="G474" s="9">
        <v>-4.1000000000000003E-3</v>
      </c>
      <c r="H474" s="9">
        <v>-3.3E-3</v>
      </c>
      <c r="I474" s="9">
        <v>5.8E-4</v>
      </c>
    </row>
    <row r="475" spans="1:11">
      <c r="A475" s="1" t="s">
        <v>638</v>
      </c>
      <c r="B475" s="1">
        <f>B474*K475</f>
        <v>3750</v>
      </c>
      <c r="C475" s="2">
        <f>C474</f>
        <v>37.659999999999997</v>
      </c>
      <c r="D475" s="3">
        <f>D474</f>
        <v>29.94</v>
      </c>
      <c r="E475" s="4">
        <f>E474*K475</f>
        <v>133.80000000000001</v>
      </c>
      <c r="F475" s="1">
        <f>F474*K475</f>
        <v>125.25</v>
      </c>
      <c r="G475" s="9">
        <f>G474</f>
        <v>-4.1000000000000003E-3</v>
      </c>
      <c r="H475" s="9">
        <f>H474</f>
        <v>-3.3E-3</v>
      </c>
      <c r="I475" s="9">
        <f>I474</f>
        <v>5.8E-4</v>
      </c>
      <c r="K475" s="5">
        <v>15</v>
      </c>
    </row>
    <row r="476" spans="1:11">
      <c r="A476" s="1" t="s">
        <v>639</v>
      </c>
      <c r="B476" s="1">
        <v>330</v>
      </c>
      <c r="C476" s="2">
        <v>46.4</v>
      </c>
      <c r="D476" s="3">
        <v>37.65</v>
      </c>
      <c r="E476" s="4">
        <v>9.2799999999999994</v>
      </c>
      <c r="F476" s="1">
        <v>8.77</v>
      </c>
      <c r="G476" s="9">
        <v>-4.1000000000000003E-3</v>
      </c>
      <c r="H476" s="9">
        <v>-3.3E-3</v>
      </c>
      <c r="I476" s="9">
        <v>5.8E-4</v>
      </c>
    </row>
    <row r="477" spans="1:11">
      <c r="A477" s="1" t="s">
        <v>640</v>
      </c>
      <c r="B477" s="1">
        <v>315</v>
      </c>
      <c r="C477" s="2">
        <v>40.53</v>
      </c>
      <c r="D477" s="3">
        <v>33.159999999999997</v>
      </c>
      <c r="E477" s="4">
        <v>9.98</v>
      </c>
      <c r="F477" s="1">
        <v>9.5</v>
      </c>
      <c r="G477" s="9">
        <v>-3.8999999999999998E-3</v>
      </c>
      <c r="H477" s="9">
        <v>-3.0000000000000001E-3</v>
      </c>
      <c r="I477" s="9">
        <v>5.9999999999999995E-4</v>
      </c>
      <c r="K477" s="5">
        <v>10.5</v>
      </c>
    </row>
    <row r="478" spans="1:11">
      <c r="A478" s="1" t="s">
        <v>641</v>
      </c>
      <c r="B478" s="1">
        <v>33</v>
      </c>
      <c r="C478" s="2">
        <v>143</v>
      </c>
      <c r="D478" s="3">
        <v>118</v>
      </c>
      <c r="E478" s="4">
        <v>0.36699999999999999</v>
      </c>
      <c r="F478" s="1">
        <v>0.29699999999999999</v>
      </c>
      <c r="G478" s="9">
        <v>-4.1000000000000003E-3</v>
      </c>
      <c r="H478" s="9">
        <v>-3.2000000000000002E-3</v>
      </c>
      <c r="I478" s="9">
        <v>5.2999999999999998E-4</v>
      </c>
    </row>
    <row r="479" spans="1:11">
      <c r="A479" s="1" t="s">
        <v>642</v>
      </c>
      <c r="B479" s="1">
        <f>B478*K479</f>
        <v>0</v>
      </c>
      <c r="C479" s="2">
        <f>C478</f>
        <v>143</v>
      </c>
      <c r="D479" s="3">
        <f>D478</f>
        <v>118</v>
      </c>
      <c r="E479" s="4">
        <f>E478*K479</f>
        <v>0</v>
      </c>
      <c r="F479" s="1">
        <f>F478*K479</f>
        <v>0</v>
      </c>
      <c r="G479" s="9">
        <f>G478</f>
        <v>-4.1000000000000003E-3</v>
      </c>
      <c r="H479" s="9">
        <f>H478</f>
        <v>-3.2000000000000002E-3</v>
      </c>
      <c r="I479" s="9">
        <f>I478</f>
        <v>5.2999999999999998E-4</v>
      </c>
    </row>
    <row r="480" spans="1:11">
      <c r="A480" s="1" t="s">
        <v>643</v>
      </c>
      <c r="B480" s="1">
        <v>250</v>
      </c>
      <c r="C480" s="2">
        <v>37.4</v>
      </c>
      <c r="D480" s="3">
        <v>30.1</v>
      </c>
      <c r="E480" s="4">
        <v>8.83</v>
      </c>
      <c r="F480" s="1">
        <v>8.31</v>
      </c>
      <c r="G480" s="9">
        <v>-4.0000000000000001E-3</v>
      </c>
      <c r="H480" s="9">
        <v>-3.0000000000000001E-3</v>
      </c>
      <c r="I480" s="9">
        <v>4.0000000000000002E-4</v>
      </c>
    </row>
    <row r="481" spans="1:9">
      <c r="A481" s="1" t="s">
        <v>644</v>
      </c>
      <c r="B481" s="1">
        <v>260</v>
      </c>
      <c r="C481" s="2">
        <v>37.6</v>
      </c>
      <c r="D481" s="3">
        <v>30.5</v>
      </c>
      <c r="E481" s="4">
        <v>8.9499999999999993</v>
      </c>
      <c r="F481" s="1">
        <v>8.5299999999999994</v>
      </c>
      <c r="G481" s="9">
        <v>-4.0000000000000001E-3</v>
      </c>
      <c r="H481" s="9">
        <v>-3.0000000000000001E-3</v>
      </c>
      <c r="I481" s="9">
        <v>4.0000000000000002E-4</v>
      </c>
    </row>
    <row r="482" spans="1:9">
      <c r="A482" s="1" t="s">
        <v>645</v>
      </c>
      <c r="B482" s="1">
        <v>330</v>
      </c>
      <c r="C482" s="2">
        <v>46.2</v>
      </c>
      <c r="D482" s="3">
        <v>37.799999999999997</v>
      </c>
      <c r="E482" s="4">
        <v>9.33</v>
      </c>
      <c r="F482" s="1">
        <v>8.73</v>
      </c>
      <c r="G482" s="9">
        <v>-4.1000000000000003E-3</v>
      </c>
      <c r="H482" s="9">
        <v>-3.2000000000000002E-3</v>
      </c>
    </row>
    <row r="483" spans="1:9">
      <c r="A483" s="1" t="s">
        <v>646</v>
      </c>
      <c r="B483" s="1">
        <v>370</v>
      </c>
      <c r="C483" s="2">
        <v>48.5</v>
      </c>
      <c r="D483" s="3">
        <v>40.1</v>
      </c>
      <c r="E483" s="4">
        <v>9.61</v>
      </c>
      <c r="F483" s="1">
        <v>9.23</v>
      </c>
      <c r="G483" s="9">
        <v>-3.8999999999999998E-3</v>
      </c>
      <c r="H483" s="9">
        <v>-2.8999999999999998E-3</v>
      </c>
      <c r="I483" s="9">
        <v>5.0000000000000001E-4</v>
      </c>
    </row>
    <row r="484" spans="1:9">
      <c r="A484" s="1" t="s">
        <v>647</v>
      </c>
      <c r="B484" s="1">
        <v>305</v>
      </c>
      <c r="C484" s="2">
        <v>45.6</v>
      </c>
      <c r="D484" s="3">
        <v>36.799999999999997</v>
      </c>
      <c r="E484" s="4">
        <v>8.91</v>
      </c>
      <c r="F484" s="1">
        <v>8.3000000000000007</v>
      </c>
      <c r="G484" s="9">
        <v>-4.0000000000000001E-3</v>
      </c>
      <c r="H484" s="9">
        <v>-3.0000000000000001E-3</v>
      </c>
    </row>
    <row r="485" spans="1:9">
      <c r="A485" s="1" t="s">
        <v>648</v>
      </c>
      <c r="B485" s="1">
        <v>305</v>
      </c>
      <c r="C485" s="2">
        <v>40.299999999999997</v>
      </c>
      <c r="D485" s="3">
        <v>32.799999999999997</v>
      </c>
      <c r="E485" s="4">
        <v>9.83</v>
      </c>
      <c r="F485" s="1">
        <v>9.3000000000000007</v>
      </c>
      <c r="G485" s="9">
        <v>-3.7000000000000002E-3</v>
      </c>
      <c r="H485" s="9">
        <v>-2.8999999999999998E-3</v>
      </c>
      <c r="I485" s="9">
        <v>4.8000000000000001E-4</v>
      </c>
    </row>
    <row r="486" spans="1:9">
      <c r="A486" s="1" t="s">
        <v>649</v>
      </c>
      <c r="B486" s="1">
        <v>310</v>
      </c>
      <c r="C486" s="2">
        <v>40.5</v>
      </c>
      <c r="D486" s="3">
        <v>33</v>
      </c>
      <c r="E486" s="4">
        <v>9.92</v>
      </c>
      <c r="F486" s="1">
        <v>9.4</v>
      </c>
      <c r="G486" s="9">
        <v>-3.8999999999999998E-3</v>
      </c>
      <c r="H486" s="9">
        <v>-2.8999999999999998E-3</v>
      </c>
      <c r="I486" s="9">
        <v>4.8000000000000001E-4</v>
      </c>
    </row>
    <row r="487" spans="1:9">
      <c r="A487" s="1" t="s">
        <v>650</v>
      </c>
      <c r="B487" s="1">
        <v>330</v>
      </c>
      <c r="C487" s="2">
        <v>46.9</v>
      </c>
      <c r="D487" s="3">
        <v>37.799999999999997</v>
      </c>
      <c r="E487" s="4">
        <v>9.14</v>
      </c>
      <c r="F487" s="1">
        <v>8.74</v>
      </c>
      <c r="G487" s="9">
        <v>-4.0000000000000001E-3</v>
      </c>
      <c r="H487" s="9">
        <v>-3.0999999999999999E-3</v>
      </c>
    </row>
    <row r="488" spans="1:9">
      <c r="A488" s="1" t="s">
        <v>651</v>
      </c>
      <c r="B488" s="1">
        <v>340</v>
      </c>
      <c r="C488" s="2">
        <v>47.1</v>
      </c>
      <c r="D488" s="3">
        <v>38.700000000000003</v>
      </c>
      <c r="E488" s="4">
        <v>9.24</v>
      </c>
      <c r="F488" s="1">
        <v>8.7899999999999991</v>
      </c>
      <c r="G488" s="9">
        <v>-4.0000000000000001E-3</v>
      </c>
      <c r="H488" s="9">
        <v>-3.0999999999999999E-3</v>
      </c>
    </row>
    <row r="489" spans="1:9">
      <c r="A489" s="1" t="s">
        <v>652</v>
      </c>
      <c r="B489" s="1">
        <v>390</v>
      </c>
      <c r="C489" s="2">
        <v>49.3</v>
      </c>
      <c r="D489" s="3">
        <v>41.1</v>
      </c>
      <c r="E489" s="4">
        <v>10.119999999999999</v>
      </c>
      <c r="F489" s="1">
        <v>9.49</v>
      </c>
      <c r="G489" s="9">
        <v>-3.7000000000000002E-3</v>
      </c>
      <c r="H489" s="9">
        <v>-2.8999999999999998E-3</v>
      </c>
      <c r="I489" s="9">
        <v>4.8000000000000001E-4</v>
      </c>
    </row>
    <row r="490" spans="1:9">
      <c r="A490" s="1" t="s">
        <v>653</v>
      </c>
      <c r="B490" s="1">
        <v>190</v>
      </c>
      <c r="C490" s="2">
        <v>35</v>
      </c>
      <c r="H490" s="9">
        <v>-3.0000000000000001E-3</v>
      </c>
    </row>
    <row r="491" spans="1:9">
      <c r="A491" s="1" t="s">
        <v>654</v>
      </c>
      <c r="B491" s="1">
        <v>255</v>
      </c>
      <c r="C491" s="2">
        <v>38</v>
      </c>
      <c r="H491" s="9">
        <v>-3.0000000000000001E-3</v>
      </c>
    </row>
    <row r="492" spans="1:9">
      <c r="A492" s="1" t="s">
        <v>655</v>
      </c>
      <c r="B492" s="1">
        <v>194</v>
      </c>
      <c r="C492" s="2">
        <v>35.1</v>
      </c>
      <c r="H492" s="9">
        <v>-3.0000000000000001E-3</v>
      </c>
    </row>
    <row r="493" spans="1:9">
      <c r="A493" s="1" t="s">
        <v>656</v>
      </c>
      <c r="B493" s="1">
        <v>260</v>
      </c>
      <c r="C493" s="2">
        <v>38.1</v>
      </c>
      <c r="H493" s="9">
        <v>-3.0000000000000001E-3</v>
      </c>
    </row>
    <row r="494" spans="1:9">
      <c r="A494" s="1" t="s">
        <v>657</v>
      </c>
      <c r="B494" s="1">
        <v>198</v>
      </c>
      <c r="C494" s="2">
        <v>35.299999999999997</v>
      </c>
      <c r="H494" s="9">
        <v>-3.0000000000000001E-3</v>
      </c>
    </row>
    <row r="495" spans="1:9">
      <c r="A495" s="1" t="s">
        <v>658</v>
      </c>
      <c r="B495" s="1">
        <v>265</v>
      </c>
      <c r="C495" s="2">
        <v>38.6</v>
      </c>
      <c r="D495" s="3">
        <v>31.4</v>
      </c>
      <c r="E495" s="4">
        <v>9.0299999999999994</v>
      </c>
      <c r="F495" s="1">
        <v>8.44</v>
      </c>
      <c r="G495" s="9">
        <v>-4.0000000000000001E-3</v>
      </c>
      <c r="H495" s="9">
        <v>-3.0000000000000001E-3</v>
      </c>
    </row>
    <row r="496" spans="1:9">
      <c r="A496" s="1" t="s">
        <v>659</v>
      </c>
      <c r="B496" s="1">
        <f>B495*K496</f>
        <v>0</v>
      </c>
      <c r="C496" s="2">
        <f>C495</f>
        <v>38.6</v>
      </c>
      <c r="D496" s="3">
        <f>D495</f>
        <v>31.4</v>
      </c>
      <c r="E496" s="4">
        <f>E495*K496</f>
        <v>0</v>
      </c>
      <c r="F496" s="1">
        <f>F495*K496</f>
        <v>0</v>
      </c>
      <c r="G496" s="9">
        <f>G495</f>
        <v>-4.0000000000000001E-3</v>
      </c>
      <c r="H496" s="9">
        <f>H495</f>
        <v>-3.0000000000000001E-3</v>
      </c>
      <c r="I496" s="9">
        <f>I495</f>
        <v>0</v>
      </c>
    </row>
    <row r="497" spans="1:9">
      <c r="A497" s="1" t="s">
        <v>660</v>
      </c>
      <c r="B497" s="1">
        <v>202</v>
      </c>
      <c r="C497" s="2">
        <v>35.6</v>
      </c>
      <c r="H497" s="9">
        <v>-3.0000000000000001E-3</v>
      </c>
    </row>
    <row r="498" spans="1:9">
      <c r="A498" s="1" t="s">
        <v>661</v>
      </c>
      <c r="B498" s="1">
        <v>270</v>
      </c>
      <c r="C498" s="2">
        <v>38.799999999999997</v>
      </c>
      <c r="D498" s="3">
        <v>31.7</v>
      </c>
      <c r="G498" s="9">
        <v>-4.0000000000000001E-3</v>
      </c>
      <c r="H498" s="9">
        <v>-3.0000000000000001E-3</v>
      </c>
    </row>
    <row r="499" spans="1:9">
      <c r="A499" s="1" t="s">
        <v>662</v>
      </c>
      <c r="B499" s="1">
        <v>205</v>
      </c>
      <c r="C499" s="2">
        <v>35.9</v>
      </c>
      <c r="H499" s="9">
        <v>-3.0000000000000001E-3</v>
      </c>
    </row>
    <row r="500" spans="1:9">
      <c r="A500" s="1" t="s">
        <v>663</v>
      </c>
      <c r="B500" s="1">
        <v>275</v>
      </c>
      <c r="C500" s="2">
        <v>39.1</v>
      </c>
      <c r="D500" s="3">
        <v>32</v>
      </c>
      <c r="E500" s="4">
        <v>9.15</v>
      </c>
      <c r="F500" s="1">
        <v>8.61</v>
      </c>
      <c r="G500" s="9">
        <v>-4.0000000000000001E-3</v>
      </c>
      <c r="H500" s="9">
        <v>-3.0000000000000001E-3</v>
      </c>
    </row>
    <row r="501" spans="1:9">
      <c r="A501" s="1" t="s">
        <v>664</v>
      </c>
      <c r="B501" s="1">
        <v>285</v>
      </c>
      <c r="C501" s="2">
        <v>39.799999999999997</v>
      </c>
      <c r="D501" s="2">
        <v>32.6</v>
      </c>
      <c r="E501" s="2">
        <v>9.24</v>
      </c>
      <c r="F501" s="2">
        <v>8.73</v>
      </c>
      <c r="G501" s="9">
        <v>-3.8E-3</v>
      </c>
      <c r="H501" s="9">
        <v>-3.0999999999999999E-3</v>
      </c>
    </row>
    <row r="502" spans="1:9">
      <c r="A502" s="1" t="s">
        <v>665</v>
      </c>
      <c r="B502" s="1">
        <v>231</v>
      </c>
      <c r="C502" s="2">
        <v>42.7</v>
      </c>
      <c r="H502" s="9">
        <v>-3.0000000000000001E-3</v>
      </c>
    </row>
    <row r="503" spans="1:9">
      <c r="A503" s="1" t="s">
        <v>666</v>
      </c>
      <c r="B503" s="1">
        <v>310</v>
      </c>
      <c r="C503" s="2">
        <v>45.9</v>
      </c>
      <c r="D503" s="3">
        <v>37</v>
      </c>
      <c r="G503" s="9">
        <v>-4.0000000000000001E-3</v>
      </c>
      <c r="H503" s="9">
        <v>-3.0000000000000001E-3</v>
      </c>
    </row>
    <row r="504" spans="1:9">
      <c r="A504" s="1" t="s">
        <v>667</v>
      </c>
      <c r="B504" s="1">
        <v>235</v>
      </c>
      <c r="C504" s="2">
        <v>43.2</v>
      </c>
      <c r="H504" s="9">
        <v>-3.0000000000000001E-3</v>
      </c>
    </row>
    <row r="505" spans="1:9">
      <c r="A505" s="1" t="s">
        <v>668</v>
      </c>
      <c r="B505" s="1">
        <v>315</v>
      </c>
      <c r="C505" s="2">
        <v>46.2</v>
      </c>
      <c r="H505" s="9">
        <v>-3.0000000000000001E-3</v>
      </c>
    </row>
    <row r="506" spans="1:9">
      <c r="A506" s="1" t="s">
        <v>669</v>
      </c>
      <c r="B506" s="1">
        <v>238</v>
      </c>
      <c r="C506" s="2">
        <v>43.7</v>
      </c>
      <c r="H506" s="9">
        <v>-3.0000000000000001E-3</v>
      </c>
    </row>
    <row r="507" spans="1:9">
      <c r="A507" s="1" t="s">
        <v>670</v>
      </c>
      <c r="B507" s="1">
        <v>320</v>
      </c>
      <c r="C507" s="2">
        <v>46.4</v>
      </c>
      <c r="D507" s="3">
        <v>37.4</v>
      </c>
      <c r="E507" s="4">
        <v>9.0500000000000007</v>
      </c>
      <c r="F507" s="1">
        <v>8.56</v>
      </c>
      <c r="G507" s="9">
        <v>-4.0000000000000001E-3</v>
      </c>
      <c r="H507" s="9">
        <v>-3.0000000000000001E-3</v>
      </c>
    </row>
    <row r="508" spans="1:9">
      <c r="A508" s="1" t="s">
        <v>671</v>
      </c>
      <c r="B508" s="1">
        <v>242</v>
      </c>
      <c r="C508" s="2">
        <v>44</v>
      </c>
      <c r="H508" s="9">
        <v>-3.0000000000000001E-3</v>
      </c>
    </row>
    <row r="509" spans="1:9">
      <c r="A509" s="1" t="s">
        <v>672</v>
      </c>
      <c r="B509" s="1">
        <v>325</v>
      </c>
      <c r="C509" s="2">
        <v>46.7</v>
      </c>
      <c r="D509" s="3">
        <v>46.7</v>
      </c>
      <c r="E509" s="4">
        <v>9.1</v>
      </c>
      <c r="F509" s="1">
        <v>8.66</v>
      </c>
      <c r="G509" s="9">
        <v>-4.0000000000000001E-3</v>
      </c>
      <c r="H509" s="9">
        <v>-3.0000000000000001E-3</v>
      </c>
    </row>
    <row r="510" spans="1:9">
      <c r="A510" s="1" t="s">
        <v>673</v>
      </c>
      <c r="B510" s="1">
        <v>380</v>
      </c>
      <c r="C510" s="2">
        <v>49.1</v>
      </c>
      <c r="D510" s="3">
        <v>40.299999999999997</v>
      </c>
      <c r="E510" s="4">
        <v>9.73</v>
      </c>
      <c r="F510" s="1">
        <v>9.39</v>
      </c>
      <c r="G510" s="9">
        <v>-3.7000000000000002E-3</v>
      </c>
      <c r="H510" s="9">
        <v>-2.8999999999999998E-3</v>
      </c>
      <c r="I510" s="9">
        <v>4.8000000000000001E-4</v>
      </c>
    </row>
    <row r="511" spans="1:9">
      <c r="A511" s="1" t="s">
        <v>674</v>
      </c>
      <c r="B511" s="1">
        <v>275</v>
      </c>
      <c r="C511" s="2">
        <v>39.1</v>
      </c>
      <c r="D511" s="3">
        <v>32</v>
      </c>
      <c r="E511" s="4">
        <v>9.15</v>
      </c>
      <c r="F511" s="1">
        <v>8.61</v>
      </c>
      <c r="G511" s="9">
        <v>-4.1000000000000003E-3</v>
      </c>
      <c r="H511" s="9">
        <v>-3.0999999999999999E-3</v>
      </c>
      <c r="I511" s="9">
        <v>6.0000000000000002E-5</v>
      </c>
    </row>
    <row r="512" spans="1:9">
      <c r="A512" s="1" t="s">
        <v>675</v>
      </c>
      <c r="B512" s="1">
        <v>275</v>
      </c>
      <c r="C512" s="2">
        <v>39.1</v>
      </c>
      <c r="D512" s="3">
        <v>32</v>
      </c>
      <c r="E512" s="4">
        <v>9.15</v>
      </c>
      <c r="F512" s="1">
        <v>8.61</v>
      </c>
      <c r="G512" s="9">
        <v>-4.0000000000000001E-3</v>
      </c>
      <c r="H512" s="9">
        <v>-3.0000000000000001E-3</v>
      </c>
      <c r="I512" s="9">
        <v>5.9999999999999995E-4</v>
      </c>
    </row>
    <row r="513" spans="1:9">
      <c r="A513" s="1" t="s">
        <v>676</v>
      </c>
      <c r="B513" s="1">
        <v>280</v>
      </c>
      <c r="C513" s="2">
        <v>39.5</v>
      </c>
      <c r="D513" s="3">
        <v>32.299999999999997</v>
      </c>
      <c r="E513" s="4">
        <v>9.18</v>
      </c>
      <c r="F513" s="1">
        <v>8.66</v>
      </c>
      <c r="G513" s="9">
        <v>-3.8E-3</v>
      </c>
      <c r="H513" s="9">
        <v>-3.0999999999999999E-3</v>
      </c>
      <c r="I513" s="9">
        <v>5.9999999999999995E-4</v>
      </c>
    </row>
    <row r="514" spans="1:9">
      <c r="A514" s="1" t="s">
        <v>677</v>
      </c>
      <c r="B514" s="1">
        <v>310</v>
      </c>
      <c r="C514" s="2">
        <v>40.5</v>
      </c>
      <c r="D514" s="3">
        <v>33</v>
      </c>
      <c r="E514" s="4">
        <v>9.92</v>
      </c>
      <c r="F514" s="1">
        <v>9.4</v>
      </c>
      <c r="G514" s="9">
        <v>-3.8999999999999998E-3</v>
      </c>
      <c r="H514" s="9">
        <v>-2.8999999999999998E-3</v>
      </c>
      <c r="I514" s="9">
        <v>4.8000000000000001E-4</v>
      </c>
    </row>
    <row r="515" spans="1:9">
      <c r="A515" s="1" t="s">
        <v>678</v>
      </c>
      <c r="B515" s="1">
        <v>315</v>
      </c>
      <c r="C515" s="2">
        <v>40.700000000000003</v>
      </c>
      <c r="D515" s="3">
        <v>33.200000000000003</v>
      </c>
      <c r="E515" s="4">
        <v>10.4</v>
      </c>
      <c r="F515" s="1">
        <v>9.49</v>
      </c>
      <c r="G515" s="9">
        <v>-3.8999999999999998E-3</v>
      </c>
      <c r="H515" s="9">
        <v>-2.8999999999999998E-3</v>
      </c>
      <c r="I515" s="9">
        <v>4.8000000000000001E-4</v>
      </c>
    </row>
    <row r="516" spans="1:9">
      <c r="A516" s="1" t="s">
        <v>679</v>
      </c>
      <c r="B516" s="1">
        <v>315</v>
      </c>
      <c r="C516" s="2">
        <v>40.700000000000003</v>
      </c>
      <c r="D516" s="3">
        <v>33.200000000000003</v>
      </c>
      <c r="E516" s="4">
        <v>10.039999999999999</v>
      </c>
      <c r="F516" s="1">
        <v>9.49</v>
      </c>
      <c r="G516" s="9">
        <v>-4.0000000000000001E-3</v>
      </c>
      <c r="H516" s="9">
        <v>-2.8999999999999998E-3</v>
      </c>
      <c r="I516" s="9">
        <v>5.0000000000000001E-4</v>
      </c>
    </row>
    <row r="517" spans="1:9">
      <c r="A517" s="1" t="s">
        <v>680</v>
      </c>
      <c r="B517" s="1">
        <v>315</v>
      </c>
      <c r="C517" s="2">
        <v>40.1</v>
      </c>
      <c r="D517" s="3">
        <v>33</v>
      </c>
      <c r="E517" s="4">
        <v>10.039999999999999</v>
      </c>
      <c r="F517" s="1">
        <v>9.5500000000000007</v>
      </c>
      <c r="G517" s="9">
        <v>-3.8999999999999998E-3</v>
      </c>
      <c r="H517" s="9">
        <v>-3.0000000000000001E-3</v>
      </c>
      <c r="I517" s="9">
        <v>5.0000000000000001E-4</v>
      </c>
    </row>
    <row r="518" spans="1:9">
      <c r="A518" s="1" t="s">
        <v>681</v>
      </c>
      <c r="B518" s="1">
        <v>320</v>
      </c>
      <c r="C518" s="2">
        <v>41.1</v>
      </c>
      <c r="D518" s="3">
        <v>33.4</v>
      </c>
      <c r="E518" s="4">
        <v>9.86</v>
      </c>
      <c r="F518" s="1">
        <v>9.57</v>
      </c>
      <c r="G518" s="9">
        <v>-3.7000000000000002E-3</v>
      </c>
      <c r="H518" s="9">
        <v>-2.8999999999999998E-3</v>
      </c>
      <c r="I518" s="9">
        <v>4.8000000000000001E-4</v>
      </c>
    </row>
    <row r="519" spans="1:9">
      <c r="A519" s="1" t="s">
        <v>682</v>
      </c>
      <c r="B519" s="1">
        <v>320</v>
      </c>
      <c r="C519" s="2">
        <v>41.1</v>
      </c>
      <c r="D519" s="3">
        <v>33.4</v>
      </c>
      <c r="E519" s="4">
        <v>9.86</v>
      </c>
      <c r="F519" s="1">
        <v>9.57</v>
      </c>
      <c r="G519" s="9">
        <v>-3.7000000000000002E-3</v>
      </c>
      <c r="H519" s="9">
        <v>-2.8999999999999998E-3</v>
      </c>
      <c r="I519" s="9">
        <v>4.8000000000000001E-4</v>
      </c>
    </row>
    <row r="520" spans="1:9">
      <c r="A520" s="1" t="s">
        <v>683</v>
      </c>
      <c r="B520" s="1">
        <v>320</v>
      </c>
      <c r="C520" s="2">
        <v>40.9</v>
      </c>
      <c r="D520" s="3">
        <v>33.4</v>
      </c>
      <c r="E520" s="4">
        <v>10.15</v>
      </c>
      <c r="F520" s="1">
        <v>9.59</v>
      </c>
      <c r="G520" s="9">
        <v>-3.8999999999999998E-3</v>
      </c>
      <c r="H520" s="9">
        <v>-2.8999999999999998E-3</v>
      </c>
      <c r="I520" s="9">
        <v>4.8000000000000001E-4</v>
      </c>
    </row>
    <row r="521" spans="1:9">
      <c r="A521" s="1" t="s">
        <v>684</v>
      </c>
      <c r="B521" s="1">
        <v>330</v>
      </c>
      <c r="C521" s="2">
        <v>41.3</v>
      </c>
      <c r="D521" s="3">
        <v>33.799999999999997</v>
      </c>
      <c r="E521" s="4">
        <v>10.31</v>
      </c>
      <c r="F521" s="1">
        <v>9.77</v>
      </c>
      <c r="G521" s="9">
        <v>-3.7000000000000002E-3</v>
      </c>
      <c r="H521" s="9">
        <v>-2.8999999999999998E-3</v>
      </c>
      <c r="I521" s="9">
        <v>4.8000000000000001E-4</v>
      </c>
    </row>
    <row r="522" spans="1:9">
      <c r="A522" s="1" t="s">
        <v>685</v>
      </c>
      <c r="B522" s="1">
        <v>335</v>
      </c>
      <c r="C522" s="2">
        <v>41.5</v>
      </c>
      <c r="D522" s="3">
        <v>34</v>
      </c>
      <c r="E522" s="4">
        <v>10.36</v>
      </c>
      <c r="F522" s="1">
        <v>9.8699999999999992</v>
      </c>
      <c r="G522" s="9">
        <v>-3.7000000000000002E-3</v>
      </c>
      <c r="H522" s="9">
        <v>-2.8999999999999998E-3</v>
      </c>
      <c r="I522" s="9">
        <v>4.8000000000000001E-4</v>
      </c>
    </row>
    <row r="523" spans="1:9">
      <c r="A523" s="1" t="s">
        <v>686</v>
      </c>
      <c r="B523" s="1">
        <v>340</v>
      </c>
      <c r="C523" s="2">
        <v>47.1</v>
      </c>
      <c r="D523" s="3">
        <v>38.700000000000003</v>
      </c>
      <c r="E523" s="4">
        <v>9.24</v>
      </c>
      <c r="F523" s="1">
        <v>8.7899999999999991</v>
      </c>
      <c r="G523" s="9">
        <v>-4.0000000000000001E-3</v>
      </c>
      <c r="H523" s="9">
        <v>-2.8999999999999998E-3</v>
      </c>
      <c r="I523" s="9">
        <v>5.0000000000000001E-4</v>
      </c>
    </row>
    <row r="524" spans="1:9">
      <c r="A524" s="1" t="s">
        <v>687</v>
      </c>
      <c r="B524" s="1">
        <v>340</v>
      </c>
      <c r="C524" s="2">
        <v>47.1</v>
      </c>
      <c r="D524" s="3">
        <v>38.700000000000003</v>
      </c>
      <c r="E524" s="4">
        <v>9.24</v>
      </c>
      <c r="F524" s="1">
        <v>8.7899999999999991</v>
      </c>
      <c r="G524" s="9">
        <v>-4.0000000000000001E-3</v>
      </c>
      <c r="H524" s="9">
        <v>-2.8999999999999998E-3</v>
      </c>
      <c r="I524" s="9">
        <v>5.0000000000000001E-4</v>
      </c>
    </row>
    <row r="525" spans="1:9">
      <c r="A525" s="1" t="s">
        <v>688</v>
      </c>
      <c r="B525" s="1">
        <v>355</v>
      </c>
      <c r="C525" s="2">
        <v>48.1</v>
      </c>
      <c r="D525" s="3">
        <v>39.5</v>
      </c>
      <c r="E525" s="4">
        <v>9.2799999999999994</v>
      </c>
      <c r="F525" s="1">
        <v>8.99</v>
      </c>
      <c r="G525" s="9">
        <v>-3.7000000000000002E-3</v>
      </c>
      <c r="H525" s="9">
        <v>-2.8999999999999998E-3</v>
      </c>
      <c r="I525" s="9">
        <v>4.8000000000000001E-4</v>
      </c>
    </row>
    <row r="526" spans="1:9">
      <c r="A526" s="1" t="s">
        <v>689</v>
      </c>
      <c r="B526" s="1">
        <v>370</v>
      </c>
      <c r="C526" s="2">
        <v>48.5</v>
      </c>
      <c r="D526" s="3">
        <v>39.9</v>
      </c>
      <c r="E526" s="4">
        <v>9.61</v>
      </c>
      <c r="F526" s="1">
        <v>9.2799999999999994</v>
      </c>
      <c r="G526" s="9">
        <v>-4.0000000000000001E-3</v>
      </c>
      <c r="H526" s="9">
        <v>-2.8999999999999998E-3</v>
      </c>
      <c r="I526" s="9">
        <v>5.0000000000000001E-4</v>
      </c>
    </row>
    <row r="527" spans="1:9">
      <c r="A527" s="1" t="s">
        <v>690</v>
      </c>
      <c r="B527" s="1">
        <v>400</v>
      </c>
      <c r="C527" s="2">
        <v>49.8</v>
      </c>
      <c r="D527" s="3">
        <v>41.7</v>
      </c>
      <c r="G527" s="9">
        <v>-3.7000000000000002E-3</v>
      </c>
      <c r="H527" s="9">
        <v>-2.8999999999999998E-3</v>
      </c>
    </row>
    <row r="528" spans="1:9">
      <c r="A528" s="1" t="s">
        <v>691</v>
      </c>
      <c r="B528" s="1">
        <v>240</v>
      </c>
      <c r="C528" s="2">
        <v>21.44</v>
      </c>
      <c r="D528" s="3">
        <v>17.96</v>
      </c>
      <c r="E528" s="4">
        <v>14.15</v>
      </c>
      <c r="F528" s="1">
        <v>13.36</v>
      </c>
      <c r="G528" s="9">
        <v>-2.8999999999999998E-3</v>
      </c>
      <c r="H528" s="9">
        <v>-2.5000000000000001E-3</v>
      </c>
      <c r="I528" s="9">
        <v>4.4999999999999999E-4</v>
      </c>
    </row>
    <row r="529" spans="1:10">
      <c r="A529" s="1" t="s">
        <v>692</v>
      </c>
      <c r="B529" s="1">
        <v>260</v>
      </c>
      <c r="C529" s="2">
        <v>37.799999999999997</v>
      </c>
      <c r="D529" s="3">
        <v>30.7</v>
      </c>
      <c r="E529" s="4">
        <v>9.11</v>
      </c>
      <c r="F529" s="1">
        <v>8.4700000000000006</v>
      </c>
      <c r="G529" s="9">
        <v>-4.3E-3</v>
      </c>
      <c r="H529" s="9">
        <v>-3.2000000000000002E-3</v>
      </c>
      <c r="I529" s="9">
        <v>5.9999999999999995E-4</v>
      </c>
    </row>
    <row r="530" spans="1:10">
      <c r="A530" s="1" t="s">
        <v>693</v>
      </c>
      <c r="B530" s="1">
        <f>B529*K530</f>
        <v>0</v>
      </c>
      <c r="C530" s="2">
        <f>C529</f>
        <v>37.799999999999997</v>
      </c>
      <c r="D530" s="3">
        <f>D529</f>
        <v>30.7</v>
      </c>
      <c r="E530" s="4">
        <f>E529*K530</f>
        <v>0</v>
      </c>
      <c r="F530" s="1">
        <f>F529*K530</f>
        <v>0</v>
      </c>
      <c r="G530" s="9">
        <f>G529</f>
        <v>-4.3E-3</v>
      </c>
      <c r="H530" s="9">
        <f>H529</f>
        <v>-3.2000000000000002E-3</v>
      </c>
      <c r="I530" s="9">
        <f>I529</f>
        <v>5.9999999999999995E-4</v>
      </c>
    </row>
    <row r="531" spans="1:10">
      <c r="A531" s="1" t="s">
        <v>694</v>
      </c>
      <c r="B531" s="1">
        <v>285</v>
      </c>
      <c r="C531" s="2">
        <v>39.6</v>
      </c>
      <c r="D531" s="3">
        <v>32.5</v>
      </c>
      <c r="E531" s="4">
        <v>9.26</v>
      </c>
      <c r="F531" s="1">
        <v>8.77</v>
      </c>
      <c r="G531" s="9">
        <v>-3.8000000000000002E-4</v>
      </c>
      <c r="H531" s="9">
        <v>-3.0999999999999999E-3</v>
      </c>
      <c r="I531" s="9">
        <v>5.9999999999999995E-4</v>
      </c>
    </row>
    <row r="532" spans="1:10">
      <c r="A532" s="1" t="s">
        <v>695</v>
      </c>
      <c r="B532" s="1">
        <v>290</v>
      </c>
      <c r="C532" s="2">
        <v>39.5</v>
      </c>
      <c r="D532" s="3">
        <v>32.200000000000003</v>
      </c>
      <c r="E532" s="4">
        <v>9.5500000000000007</v>
      </c>
      <c r="F532" s="1">
        <v>9.02</v>
      </c>
      <c r="G532" s="9">
        <v>-4.0000000000000001E-3</v>
      </c>
      <c r="H532" s="9">
        <v>-2.8999999999999998E-3</v>
      </c>
      <c r="I532" s="9">
        <v>5.0000000000000001E-4</v>
      </c>
    </row>
    <row r="533" spans="1:10">
      <c r="A533" s="1" t="s">
        <v>696</v>
      </c>
      <c r="B533" s="1">
        <v>305</v>
      </c>
      <c r="C533" s="2">
        <v>40.299999999999997</v>
      </c>
      <c r="D533" s="3">
        <v>32.799999999999997</v>
      </c>
      <c r="E533" s="4">
        <v>9.83</v>
      </c>
      <c r="F533" s="1">
        <v>9.3000000000000007</v>
      </c>
      <c r="G533" s="9">
        <v>-3.8999999999999998E-3</v>
      </c>
      <c r="H533" s="9">
        <v>-2.8999999999999998E-3</v>
      </c>
      <c r="I533" s="9">
        <v>5.0000000000000001E-4</v>
      </c>
    </row>
    <row r="534" spans="1:10">
      <c r="A534" s="1" t="s">
        <v>697</v>
      </c>
      <c r="B534" s="1">
        <v>310</v>
      </c>
      <c r="C534" s="2">
        <v>40.5</v>
      </c>
      <c r="D534" s="3">
        <v>33</v>
      </c>
      <c r="E534" s="4">
        <v>9.92</v>
      </c>
      <c r="F534" s="1">
        <v>9.4</v>
      </c>
      <c r="G534" s="9">
        <v>-3.8999999999999998E-3</v>
      </c>
      <c r="H534" s="9">
        <v>-2.8999999999999998E-3</v>
      </c>
      <c r="I534" s="9">
        <v>5.0000000000000001E-4</v>
      </c>
    </row>
    <row r="535" spans="1:10">
      <c r="A535" s="1" t="s">
        <v>698</v>
      </c>
      <c r="B535" s="1">
        <v>310</v>
      </c>
      <c r="C535" s="2">
        <v>45.9</v>
      </c>
      <c r="D535" s="3">
        <v>37</v>
      </c>
      <c r="E535" s="4">
        <v>8.9600000000000009</v>
      </c>
      <c r="F535" s="1">
        <v>8.3800000000000008</v>
      </c>
      <c r="G535" s="9">
        <v>-4.0000000000000001E-3</v>
      </c>
      <c r="H535" s="9">
        <v>-3.0000000000000001E-3</v>
      </c>
      <c r="I535" s="9">
        <v>5.9999999999999995E-4</v>
      </c>
    </row>
    <row r="536" spans="1:10">
      <c r="A536" s="1" t="s">
        <v>699</v>
      </c>
      <c r="B536" s="1">
        <v>325</v>
      </c>
      <c r="C536" s="2">
        <v>41.1</v>
      </c>
      <c r="D536" s="3">
        <v>33.6</v>
      </c>
      <c r="E536" s="4">
        <v>10.199999999999999</v>
      </c>
      <c r="F536" s="1">
        <v>9.68</v>
      </c>
      <c r="G536" s="9">
        <v>-3.7000000000000002E-3</v>
      </c>
      <c r="H536" s="9">
        <v>-2.8999999999999998E-3</v>
      </c>
    </row>
    <row r="537" spans="1:10">
      <c r="A537" s="1" t="s">
        <v>700</v>
      </c>
      <c r="B537" s="1">
        <v>330</v>
      </c>
      <c r="C537" s="2">
        <v>41.3</v>
      </c>
      <c r="D537" s="3">
        <v>33.799999999999997</v>
      </c>
      <c r="E537" s="4">
        <v>10.31</v>
      </c>
      <c r="F537" s="1">
        <v>9.77</v>
      </c>
      <c r="G537" s="9">
        <v>-4.0000000000000001E-3</v>
      </c>
      <c r="H537" s="9">
        <v>-2.8999999999999998E-3</v>
      </c>
      <c r="I537" s="9">
        <v>4.8000000000000001E-4</v>
      </c>
    </row>
    <row r="538" spans="1:10">
      <c r="A538" s="1" t="s">
        <v>701</v>
      </c>
      <c r="B538" s="1">
        <v>330</v>
      </c>
      <c r="C538" s="2">
        <v>41.3</v>
      </c>
      <c r="D538" s="3">
        <v>33.799999999999997</v>
      </c>
      <c r="E538" s="4">
        <v>10.31</v>
      </c>
      <c r="F538" s="1">
        <v>9.77</v>
      </c>
      <c r="G538" s="9">
        <v>-3.7000000000000002E-3</v>
      </c>
      <c r="H538" s="9">
        <v>-2.8999999999999998E-3</v>
      </c>
      <c r="I538" s="9">
        <v>4.8000000000000001E-4</v>
      </c>
    </row>
    <row r="539" spans="1:10">
      <c r="A539" s="1" t="s">
        <v>702</v>
      </c>
      <c r="B539" s="1">
        <v>330</v>
      </c>
      <c r="C539" s="2">
        <v>41.3</v>
      </c>
      <c r="D539" s="3">
        <v>33.799999999999997</v>
      </c>
      <c r="E539" s="4">
        <v>10.31</v>
      </c>
      <c r="F539" s="1">
        <v>9.77</v>
      </c>
      <c r="G539" s="9">
        <v>-3.7000000000000002E-3</v>
      </c>
      <c r="H539" s="9">
        <v>-2.8999999999999998E-3</v>
      </c>
      <c r="I539" s="9">
        <v>4.8000000000000001E-4</v>
      </c>
    </row>
    <row r="540" spans="1:10">
      <c r="A540" s="1" t="s">
        <v>703</v>
      </c>
      <c r="B540" s="1">
        <v>330</v>
      </c>
      <c r="C540" s="2">
        <v>41.3</v>
      </c>
      <c r="D540" s="3">
        <v>33.799999999999997</v>
      </c>
      <c r="E540" s="4">
        <v>10.31</v>
      </c>
      <c r="F540" s="1">
        <v>9.77</v>
      </c>
      <c r="G540" s="9">
        <v>-3.7000000000000002E-3</v>
      </c>
      <c r="H540" s="9">
        <v>-2.8999999999999998E-3</v>
      </c>
    </row>
    <row r="541" spans="1:10" ht="15.4" customHeight="1">
      <c r="A541" s="1" t="s">
        <v>704</v>
      </c>
      <c r="B541" s="1">
        <v>330</v>
      </c>
      <c r="C541" s="2">
        <v>40.39</v>
      </c>
      <c r="D541" s="3">
        <v>33.24</v>
      </c>
      <c r="E541" s="4">
        <v>10.25</v>
      </c>
      <c r="F541" s="1">
        <v>9.93</v>
      </c>
      <c r="G541" s="9">
        <v>-3.5999999999999999E-3</v>
      </c>
      <c r="H541" s="9">
        <v>-2.8999999999999998E-3</v>
      </c>
      <c r="I541" s="9">
        <v>4.8000000000000001E-4</v>
      </c>
      <c r="J541" s="9">
        <v>0.25</v>
      </c>
    </row>
    <row r="542" spans="1:10">
      <c r="A542" s="1" t="s">
        <v>705</v>
      </c>
      <c r="B542" s="1">
        <f>B541*(1+J541)</f>
        <v>412.5</v>
      </c>
      <c r="C542" s="2">
        <v>40.39</v>
      </c>
      <c r="D542" s="3">
        <v>33.24</v>
      </c>
      <c r="E542" s="4">
        <f>E541*(1+J541)</f>
        <v>12.8125</v>
      </c>
      <c r="F542" s="1">
        <f>F541*(1+J541)</f>
        <v>12.4125</v>
      </c>
      <c r="G542" s="9">
        <v>-3.5999999999999999E-3</v>
      </c>
      <c r="H542" s="9">
        <f>H541</f>
        <v>-2.8999999999999998E-3</v>
      </c>
      <c r="I542" s="9">
        <f>I541</f>
        <v>4.8000000000000001E-4</v>
      </c>
    </row>
    <row r="543" spans="1:10">
      <c r="A543" s="1" t="s">
        <v>706</v>
      </c>
      <c r="B543" s="1">
        <v>330</v>
      </c>
      <c r="C543" s="2">
        <v>46.9</v>
      </c>
      <c r="D543" s="3">
        <v>37.799999999999997</v>
      </c>
      <c r="E543" s="4">
        <v>9.14</v>
      </c>
      <c r="F543" s="1">
        <v>8.74</v>
      </c>
      <c r="G543" s="9">
        <v>-4.0000000000000001E-3</v>
      </c>
      <c r="H543" s="9">
        <v>-3.0000000000000001E-3</v>
      </c>
      <c r="I543" s="9">
        <v>5.9999999999999995E-4</v>
      </c>
    </row>
    <row r="544" spans="1:10">
      <c r="A544" s="1" t="s">
        <v>707</v>
      </c>
      <c r="B544" s="1">
        <v>335</v>
      </c>
      <c r="C544" s="2">
        <v>41.5</v>
      </c>
      <c r="D544" s="3">
        <v>34</v>
      </c>
      <c r="E544" s="4">
        <v>10.36</v>
      </c>
      <c r="F544" s="1">
        <v>9.8699999999999992</v>
      </c>
      <c r="G544" s="9">
        <v>-3.7000000000000002E-3</v>
      </c>
      <c r="H544" s="9">
        <v>-2.8999999999999998E-3</v>
      </c>
      <c r="I544" s="9">
        <v>4.8000000000000001E-4</v>
      </c>
    </row>
    <row r="545" spans="1:9">
      <c r="A545" s="1" t="s">
        <v>708</v>
      </c>
      <c r="B545" s="1">
        <v>335</v>
      </c>
      <c r="C545" s="2">
        <v>41.5</v>
      </c>
      <c r="D545" s="3">
        <v>34</v>
      </c>
      <c r="E545" s="4">
        <v>10.36</v>
      </c>
      <c r="F545" s="1">
        <v>9.8699999999999992</v>
      </c>
      <c r="G545" s="9">
        <v>-3.5999999999999999E-3</v>
      </c>
      <c r="H545" s="9">
        <v>-2.8E-3</v>
      </c>
      <c r="I545" s="9">
        <v>4.8000000000000001E-4</v>
      </c>
    </row>
    <row r="546" spans="1:9">
      <c r="A546" s="1" t="s">
        <v>709</v>
      </c>
      <c r="B546" s="1">
        <v>335</v>
      </c>
      <c r="C546" s="2">
        <v>40.46</v>
      </c>
      <c r="D546" s="3">
        <v>33.4</v>
      </c>
      <c r="E546" s="4">
        <v>10.34</v>
      </c>
      <c r="F546" s="1">
        <v>10.029999999999999</v>
      </c>
      <c r="G546" s="9">
        <v>-3.5999999999999999E-3</v>
      </c>
      <c r="H546" s="9">
        <v>-2.8999999999999998E-3</v>
      </c>
      <c r="I546" s="9">
        <v>4.8000000000000001E-4</v>
      </c>
    </row>
    <row r="547" spans="1:9">
      <c r="A547" s="1" t="s">
        <v>710</v>
      </c>
      <c r="B547" s="1">
        <f>335*1.25</f>
        <v>418.75</v>
      </c>
      <c r="C547" s="2">
        <v>40.46</v>
      </c>
      <c r="D547" s="3">
        <v>33.4</v>
      </c>
      <c r="E547" s="4">
        <f>10.34*1.25</f>
        <v>12.925000000000001</v>
      </c>
      <c r="F547" s="1">
        <f>10.03*1.25</f>
        <v>12.5375</v>
      </c>
      <c r="G547" s="9">
        <v>-3.5999999999999999E-3</v>
      </c>
      <c r="H547" s="9">
        <v>-2.8999999999999998E-3</v>
      </c>
      <c r="I547" s="9">
        <v>4.8000000000000001E-4</v>
      </c>
    </row>
    <row r="548" spans="1:9">
      <c r="A548" s="1" t="s">
        <v>711</v>
      </c>
      <c r="B548" s="1">
        <v>335</v>
      </c>
      <c r="C548" s="2">
        <v>41.5</v>
      </c>
      <c r="D548" s="3">
        <v>34</v>
      </c>
      <c r="E548" s="4">
        <v>10.36</v>
      </c>
      <c r="F548" s="1">
        <v>9.8699999999999992</v>
      </c>
      <c r="G548" s="9">
        <v>-3.7000000000000002E-3</v>
      </c>
      <c r="H548" s="9">
        <v>-2.8999999999999998E-3</v>
      </c>
      <c r="I548" s="9">
        <v>4.7999999999999996E-3</v>
      </c>
    </row>
    <row r="549" spans="1:9">
      <c r="A549" s="1" t="s">
        <v>712</v>
      </c>
      <c r="B549" s="1">
        <v>340</v>
      </c>
      <c r="C549" s="2">
        <v>41.7</v>
      </c>
      <c r="D549" s="3">
        <v>34.200000000000003</v>
      </c>
      <c r="E549" s="4">
        <v>10.55</v>
      </c>
      <c r="F549" s="1">
        <v>9.9600000000000009</v>
      </c>
      <c r="G549" s="9">
        <v>-3.5000000000000001E-3</v>
      </c>
      <c r="H549" s="9">
        <v>-2.8999999999999998E-3</v>
      </c>
      <c r="I549" s="9">
        <v>4.8000000000000001E-4</v>
      </c>
    </row>
    <row r="550" spans="1:9">
      <c r="A550" s="1" t="s">
        <v>713</v>
      </c>
      <c r="B550" s="1">
        <v>340</v>
      </c>
      <c r="C550" s="2">
        <v>41.7</v>
      </c>
      <c r="D550" s="3">
        <v>34.200000000000003</v>
      </c>
      <c r="E550" s="4">
        <v>10.55</v>
      </c>
      <c r="F550" s="1">
        <v>9.9600000000000009</v>
      </c>
      <c r="G550" s="9">
        <v>-3.5999999999999999E-3</v>
      </c>
      <c r="H550" s="9">
        <v>-2.8E-3</v>
      </c>
      <c r="I550" s="9">
        <v>4.8000000000000001E-4</v>
      </c>
    </row>
    <row r="551" spans="1:9">
      <c r="A551" s="1" t="s">
        <v>714</v>
      </c>
      <c r="B551" s="1">
        <v>340</v>
      </c>
      <c r="C551" s="2">
        <v>41.7</v>
      </c>
      <c r="D551" s="3">
        <v>34.200000000000003</v>
      </c>
      <c r="E551" s="4">
        <v>10.82</v>
      </c>
      <c r="F551" s="1">
        <v>9.9499999999999993</v>
      </c>
      <c r="G551" s="9">
        <v>-3.5999999999999999E-3</v>
      </c>
      <c r="H551" s="9">
        <v>-2.8E-3</v>
      </c>
    </row>
    <row r="552" spans="1:9">
      <c r="A552" s="1" t="s">
        <v>715</v>
      </c>
      <c r="B552" s="1">
        <v>340</v>
      </c>
      <c r="C552" s="2">
        <v>41.7</v>
      </c>
      <c r="D552" s="3">
        <v>34.200000000000003</v>
      </c>
      <c r="E552" s="4">
        <v>10.55</v>
      </c>
      <c r="F552" s="1">
        <v>9.9600000000000009</v>
      </c>
      <c r="G552" s="9">
        <v>-3.5999999999999999E-3</v>
      </c>
      <c r="H552" s="9">
        <v>-2.8E-3</v>
      </c>
      <c r="I552" s="9">
        <v>4.8000000000000001E-4</v>
      </c>
    </row>
    <row r="553" spans="1:9">
      <c r="A553" s="1" t="s">
        <v>716</v>
      </c>
      <c r="B553" s="1">
        <v>340</v>
      </c>
      <c r="C553" s="2">
        <v>41.7</v>
      </c>
      <c r="D553" s="3">
        <v>34.200000000000003</v>
      </c>
      <c r="E553" s="4">
        <v>10.55</v>
      </c>
      <c r="F553" s="1">
        <v>9.9600000000000009</v>
      </c>
      <c r="G553" s="9">
        <v>-3.5000000000000001E-3</v>
      </c>
      <c r="H553" s="9">
        <v>-2.8999999999999998E-3</v>
      </c>
      <c r="I553" s="9">
        <v>4.8000000000000001E-4</v>
      </c>
    </row>
    <row r="554" spans="1:9">
      <c r="A554" s="1" t="s">
        <v>717</v>
      </c>
      <c r="B554" s="1">
        <v>340</v>
      </c>
      <c r="C554" s="2">
        <v>47.1</v>
      </c>
      <c r="D554" s="3">
        <v>38.700000000000003</v>
      </c>
      <c r="E554" s="4">
        <v>9.24</v>
      </c>
      <c r="F554" s="1">
        <v>8.7899999999999991</v>
      </c>
      <c r="G554" s="9">
        <v>-4.0000000000000001E-3</v>
      </c>
      <c r="H554" s="9">
        <v>-2.8999999999999998E-3</v>
      </c>
      <c r="I554" s="9">
        <v>5.0000000000000001E-4</v>
      </c>
    </row>
    <row r="555" spans="1:9">
      <c r="A555" s="1" t="s">
        <v>718</v>
      </c>
      <c r="B555" s="1">
        <v>345</v>
      </c>
      <c r="C555" s="2">
        <v>41.9</v>
      </c>
      <c r="D555" s="3">
        <v>34.4</v>
      </c>
      <c r="E555" s="4">
        <v>10.64</v>
      </c>
      <c r="F555" s="1">
        <v>10.039999999999999</v>
      </c>
      <c r="G555" s="9">
        <v>-3.5999999999999999E-3</v>
      </c>
      <c r="H555" s="9">
        <v>-2.8E-3</v>
      </c>
      <c r="I555" s="9">
        <v>4.8000000000000001E-4</v>
      </c>
    </row>
    <row r="556" spans="1:9">
      <c r="A556" s="1" t="s">
        <v>719</v>
      </c>
      <c r="B556" s="1">
        <v>345</v>
      </c>
      <c r="C556" s="2">
        <v>41.9</v>
      </c>
      <c r="D556" s="3">
        <v>32.4</v>
      </c>
      <c r="E556" s="4">
        <v>10.64</v>
      </c>
      <c r="F556" s="1">
        <v>10.039999999999999</v>
      </c>
      <c r="G556" s="9">
        <v>-3.5000000000000001E-3</v>
      </c>
      <c r="H556" s="9">
        <v>-2.8999999999999998E-3</v>
      </c>
      <c r="I556" s="9">
        <v>4.8000000000000001E-4</v>
      </c>
    </row>
    <row r="557" spans="1:9">
      <c r="A557" s="1" t="s">
        <v>720</v>
      </c>
      <c r="B557" s="1">
        <v>370</v>
      </c>
      <c r="C557" s="2">
        <v>48.7</v>
      </c>
      <c r="D557" s="3">
        <v>40.1</v>
      </c>
      <c r="E557" s="4">
        <v>9.5299999999999994</v>
      </c>
      <c r="F557" s="1">
        <v>9.23</v>
      </c>
      <c r="G557" s="9">
        <v>-3.7000000000000002E-3</v>
      </c>
      <c r="H557" s="9">
        <v>-2.8999999999999998E-3</v>
      </c>
      <c r="I557" s="9">
        <v>4.8000000000000001E-4</v>
      </c>
    </row>
    <row r="558" spans="1:9">
      <c r="A558" s="1" t="s">
        <v>721</v>
      </c>
      <c r="B558" s="1">
        <v>370</v>
      </c>
      <c r="C558" s="2">
        <v>48.5</v>
      </c>
      <c r="D558" s="3">
        <v>39.9</v>
      </c>
      <c r="E558" s="4">
        <v>9.61</v>
      </c>
      <c r="F558" s="1">
        <v>9.2799999999999994</v>
      </c>
      <c r="G558" s="9">
        <v>-4.0000000000000001E-3</v>
      </c>
      <c r="H558" s="9">
        <v>-2.8999999999999998E-3</v>
      </c>
      <c r="I558" s="9">
        <v>5.0000000000000001E-4</v>
      </c>
    </row>
    <row r="559" spans="1:9">
      <c r="A559" s="1" t="s">
        <v>722</v>
      </c>
      <c r="B559" s="1">
        <v>375</v>
      </c>
      <c r="C559" s="2">
        <v>48.7</v>
      </c>
      <c r="D559" s="3">
        <v>40.200000000000003</v>
      </c>
      <c r="E559" s="4">
        <v>9.68</v>
      </c>
      <c r="F559" s="1">
        <v>9.33</v>
      </c>
      <c r="G559" s="9">
        <v>-4.0000000000000001E-3</v>
      </c>
      <c r="H559" s="9">
        <v>-2.8999999999999998E-3</v>
      </c>
      <c r="I559" s="9">
        <v>4.8000000000000001E-4</v>
      </c>
    </row>
    <row r="560" spans="1:9">
      <c r="A560" s="1" t="s">
        <v>723</v>
      </c>
      <c r="B560" s="1">
        <v>385</v>
      </c>
      <c r="C560" s="2">
        <v>49.1</v>
      </c>
      <c r="D560" s="3">
        <v>40.799999999999997</v>
      </c>
      <c r="E560" s="4">
        <v>9.92</v>
      </c>
      <c r="F560" s="1">
        <v>9.44</v>
      </c>
      <c r="G560" s="9">
        <v>-4.0000000000000001E-3</v>
      </c>
      <c r="H560" s="9">
        <v>-2.8999999999999998E-3</v>
      </c>
      <c r="I560" s="9">
        <v>4.8000000000000001E-4</v>
      </c>
    </row>
    <row r="561" spans="1:10">
      <c r="A561" s="1" t="s">
        <v>724</v>
      </c>
      <c r="B561" s="1">
        <v>385</v>
      </c>
      <c r="C561" s="2">
        <v>43.03</v>
      </c>
      <c r="D561" s="3">
        <v>36.39</v>
      </c>
      <c r="E561" s="4">
        <v>11.47</v>
      </c>
      <c r="F561" s="1">
        <v>10.58</v>
      </c>
      <c r="G561" s="9">
        <v>-3.5000000000000001E-3</v>
      </c>
      <c r="H561" s="9">
        <v>-2.8E-3</v>
      </c>
      <c r="I561" s="9">
        <v>4.8000000000000001E-4</v>
      </c>
    </row>
    <row r="562" spans="1:10">
      <c r="A562" s="1" t="s">
        <v>725</v>
      </c>
      <c r="B562" s="1">
        <v>385</v>
      </c>
      <c r="C562" s="2">
        <v>43.66</v>
      </c>
      <c r="D562" s="3">
        <v>36.39</v>
      </c>
      <c r="E562" s="4">
        <v>11.3</v>
      </c>
      <c r="F562" s="1">
        <v>10.58</v>
      </c>
      <c r="G562" s="9">
        <v>-3.5000000000000001E-3</v>
      </c>
      <c r="H562" s="9">
        <v>-2.8E-3</v>
      </c>
      <c r="I562" s="9">
        <v>4.8000000000000001E-4</v>
      </c>
    </row>
    <row r="563" spans="1:10">
      <c r="A563" s="1" t="s">
        <v>726</v>
      </c>
      <c r="B563" s="1">
        <v>385</v>
      </c>
      <c r="C563" s="2">
        <v>48.1</v>
      </c>
      <c r="D563" s="3">
        <v>40.299999999999997</v>
      </c>
      <c r="E563" s="4">
        <v>10.01</v>
      </c>
      <c r="F563" s="1">
        <v>9.56</v>
      </c>
      <c r="G563" s="9">
        <v>-3.5999999999999999E-3</v>
      </c>
      <c r="H563" s="9">
        <v>-2.8999999999999998E-3</v>
      </c>
      <c r="I563" s="9">
        <v>4.8000000000000001E-4</v>
      </c>
    </row>
    <row r="564" spans="1:10">
      <c r="A564" s="1" t="s">
        <v>727</v>
      </c>
      <c r="B564" s="1">
        <v>481</v>
      </c>
      <c r="C564" s="2">
        <v>48.1</v>
      </c>
      <c r="D564" s="3">
        <v>40.299999999999997</v>
      </c>
      <c r="E564" s="4">
        <v>10.01</v>
      </c>
      <c r="F564" s="1">
        <v>9.56</v>
      </c>
      <c r="G564" s="9">
        <v>-3.5999999999999999E-3</v>
      </c>
      <c r="H564" s="9">
        <v>-2.8999999999999998E-3</v>
      </c>
      <c r="I564" s="9">
        <v>4.8000000000000001E-4</v>
      </c>
    </row>
    <row r="565" spans="1:10">
      <c r="A565" s="1" t="s">
        <v>728</v>
      </c>
      <c r="B565" s="1">
        <v>390</v>
      </c>
      <c r="C565" s="2">
        <v>43.92</v>
      </c>
      <c r="D565" s="3">
        <v>36.9</v>
      </c>
      <c r="E565" s="4">
        <v>11.15</v>
      </c>
      <c r="F565" s="1">
        <v>10.57</v>
      </c>
      <c r="G565" s="9">
        <v>-3.5000000000000001E-3</v>
      </c>
      <c r="H565" s="9">
        <v>-2.8E-3</v>
      </c>
      <c r="I565" s="9">
        <v>4.8000000000000001E-4</v>
      </c>
    </row>
    <row r="566" spans="1:10">
      <c r="A566" s="1" t="s">
        <v>729</v>
      </c>
      <c r="B566" s="1">
        <v>390</v>
      </c>
      <c r="C566" s="2">
        <v>48</v>
      </c>
      <c r="D566" s="3">
        <v>39.1</v>
      </c>
      <c r="E566" s="4">
        <v>7.54</v>
      </c>
      <c r="F566" s="1">
        <v>8.02</v>
      </c>
      <c r="G566" s="9">
        <v>-3.8999999999999998E-3</v>
      </c>
      <c r="H566" s="9">
        <v>-2.8999999999999998E-3</v>
      </c>
      <c r="I566" s="9">
        <v>4.8000000000000001E-4</v>
      </c>
    </row>
    <row r="567" spans="1:10">
      <c r="A567" s="1" t="s">
        <v>730</v>
      </c>
      <c r="B567" s="1">
        <v>390</v>
      </c>
      <c r="C567" s="2">
        <v>49.3</v>
      </c>
      <c r="D567" s="3">
        <v>39.49</v>
      </c>
      <c r="E567" s="4">
        <v>10.119999999999999</v>
      </c>
      <c r="F567" s="1">
        <v>9.49</v>
      </c>
      <c r="G567" s="9">
        <v>-3.8999999999999998E-3</v>
      </c>
      <c r="H567" s="9">
        <v>-2.8999999999999998E-3</v>
      </c>
      <c r="I567" s="9">
        <v>4.8000000000000001E-4</v>
      </c>
    </row>
    <row r="568" spans="1:10">
      <c r="A568" s="1" t="s">
        <v>731</v>
      </c>
      <c r="B568" s="1">
        <v>390</v>
      </c>
      <c r="C568" s="2">
        <v>49.3</v>
      </c>
      <c r="D568" s="3">
        <v>41.1</v>
      </c>
      <c r="E568" s="4">
        <v>10.119999999999999</v>
      </c>
      <c r="F568" s="1">
        <v>9.49</v>
      </c>
      <c r="G568" s="9">
        <v>-3.7000000000000002E-3</v>
      </c>
      <c r="H568" s="9">
        <v>-2.8999999999999998E-3</v>
      </c>
      <c r="I568" s="9">
        <v>4.8000000000000001E-4</v>
      </c>
    </row>
    <row r="569" spans="1:10">
      <c r="A569" s="1" t="s">
        <v>732</v>
      </c>
      <c r="B569" s="1">
        <v>390</v>
      </c>
      <c r="C569" s="2">
        <v>43.92</v>
      </c>
      <c r="D569" s="3">
        <v>36.799999999999997</v>
      </c>
      <c r="E569" s="4">
        <v>11.4</v>
      </c>
      <c r="F569" s="1">
        <v>10.6</v>
      </c>
      <c r="G569" s="9">
        <v>-3.3999999999999998E-3</v>
      </c>
      <c r="H569" s="9">
        <v>-2.8E-3</v>
      </c>
      <c r="I569" s="9">
        <v>4.8000000000000001E-4</v>
      </c>
      <c r="J569" s="9">
        <v>0.25</v>
      </c>
    </row>
    <row r="570" spans="1:10">
      <c r="A570" s="1" t="s">
        <v>733</v>
      </c>
      <c r="B570" s="1">
        <f>B569*(1+J569)</f>
        <v>487.5</v>
      </c>
      <c r="C570" s="2">
        <v>43.92</v>
      </c>
      <c r="D570" s="3">
        <v>36.799999999999997</v>
      </c>
      <c r="E570" s="4">
        <f>E569*(1+J569)</f>
        <v>14.25</v>
      </c>
      <c r="F570" s="1">
        <f>F569*(1+J569)</f>
        <v>13.25</v>
      </c>
      <c r="G570" s="9">
        <f>G569</f>
        <v>-3.3999999999999998E-3</v>
      </c>
      <c r="H570" s="9">
        <f>H569</f>
        <v>-2.8E-3</v>
      </c>
      <c r="I570" s="9">
        <f>I569</f>
        <v>4.8000000000000001E-4</v>
      </c>
    </row>
    <row r="571" spans="1:10">
      <c r="A571" s="1" t="s">
        <v>734</v>
      </c>
      <c r="B571" s="1">
        <v>395</v>
      </c>
      <c r="C571" s="2">
        <v>43.93</v>
      </c>
      <c r="D571" s="3">
        <v>36.58</v>
      </c>
      <c r="E571" s="4">
        <v>11.48</v>
      </c>
      <c r="F571" s="1">
        <v>10.8</v>
      </c>
      <c r="G571" s="9">
        <v>-3.5000000000000001E-3</v>
      </c>
      <c r="H571" s="9">
        <v>-2.8E-3</v>
      </c>
      <c r="I571" s="9">
        <v>4.8000000000000001E-4</v>
      </c>
    </row>
    <row r="572" spans="1:10">
      <c r="A572" s="1" t="s">
        <v>735</v>
      </c>
      <c r="B572" s="1">
        <v>395</v>
      </c>
      <c r="C572" s="2">
        <v>43.93</v>
      </c>
      <c r="D572" s="3">
        <v>36.58</v>
      </c>
      <c r="E572" s="4">
        <v>11.48</v>
      </c>
      <c r="F572" s="1">
        <v>10.8</v>
      </c>
      <c r="G572" s="9">
        <v>-3.5000000000000001E-3</v>
      </c>
      <c r="H572" s="9">
        <v>-2.8E-3</v>
      </c>
      <c r="I572" s="9">
        <v>4.8000000000000001E-4</v>
      </c>
    </row>
    <row r="573" spans="1:10">
      <c r="A573" s="1" t="s">
        <v>736</v>
      </c>
      <c r="B573" s="1">
        <v>395</v>
      </c>
      <c r="C573" s="2">
        <v>44</v>
      </c>
      <c r="D573" s="3">
        <v>36.950000000000003</v>
      </c>
      <c r="E573" s="4">
        <v>11.25</v>
      </c>
      <c r="F573" s="1">
        <v>10.69</v>
      </c>
      <c r="G573" s="9">
        <v>-3.5000000000000001E-3</v>
      </c>
      <c r="H573" s="9">
        <v>-2.8E-3</v>
      </c>
      <c r="I573" s="9">
        <v>4.8000000000000001E-4</v>
      </c>
    </row>
    <row r="574" spans="1:10">
      <c r="A574" s="1" t="s">
        <v>737</v>
      </c>
      <c r="B574" s="1">
        <v>395</v>
      </c>
      <c r="C574" s="2">
        <v>43.93</v>
      </c>
      <c r="D574" s="3">
        <v>36.58</v>
      </c>
      <c r="E574" s="4">
        <v>11.48</v>
      </c>
      <c r="F574" s="1">
        <v>10.8</v>
      </c>
      <c r="G574" s="9">
        <v>-3.5000000000000001E-3</v>
      </c>
      <c r="H574" s="9">
        <v>-2.8E-3</v>
      </c>
      <c r="I574" s="9">
        <v>4.8000000000000001E-4</v>
      </c>
      <c r="J574" s="9">
        <v>-0.1</v>
      </c>
    </row>
    <row r="575" spans="1:10">
      <c r="A575" s="1" t="s">
        <v>738</v>
      </c>
      <c r="B575" s="1">
        <f>B574*(1+J574)</f>
        <v>355.5</v>
      </c>
      <c r="C575" s="2">
        <f>C574</f>
        <v>43.93</v>
      </c>
      <c r="D575" s="3">
        <f>D574</f>
        <v>36.58</v>
      </c>
      <c r="E575" s="4">
        <f>E574*(1+J574)</f>
        <v>10.332000000000001</v>
      </c>
      <c r="F575" s="1">
        <f>F574*(1+J574)</f>
        <v>9.7200000000000006</v>
      </c>
      <c r="G575" s="9">
        <f>G574</f>
        <v>-3.5000000000000001E-3</v>
      </c>
      <c r="H575" s="9">
        <f>H574</f>
        <v>-2.8E-3</v>
      </c>
      <c r="I575" s="9">
        <f>I574</f>
        <v>4.8000000000000001E-4</v>
      </c>
    </row>
    <row r="576" spans="1:10">
      <c r="A576" s="1" t="s">
        <v>739</v>
      </c>
      <c r="B576" s="1">
        <v>395</v>
      </c>
      <c r="C576" s="2">
        <v>43.92</v>
      </c>
      <c r="D576" s="3">
        <v>36.18</v>
      </c>
      <c r="E576" s="4">
        <v>11.63</v>
      </c>
      <c r="F576" s="1">
        <v>10.92</v>
      </c>
      <c r="G576" s="9">
        <v>-3.3999999999999998E-3</v>
      </c>
      <c r="H576" s="9">
        <v>-2.8E-3</v>
      </c>
      <c r="I576" s="9">
        <v>4.8000000000000001E-4</v>
      </c>
    </row>
    <row r="577" spans="1:10">
      <c r="A577" s="1" t="s">
        <v>740</v>
      </c>
      <c r="B577" s="1">
        <v>395</v>
      </c>
      <c r="C577" s="2">
        <v>43.93</v>
      </c>
      <c r="D577" s="3">
        <v>36.58</v>
      </c>
      <c r="E577" s="4">
        <v>11.48</v>
      </c>
      <c r="F577" s="1">
        <v>10.08</v>
      </c>
      <c r="G577" s="9">
        <v>-3.5000000000000001E-3</v>
      </c>
      <c r="H577" s="9">
        <v>-2.8E-3</v>
      </c>
      <c r="I577" s="9">
        <v>4.8000000000000001E-4</v>
      </c>
    </row>
    <row r="578" spans="1:10">
      <c r="A578" s="1" t="s">
        <v>741</v>
      </c>
      <c r="B578" s="1">
        <v>395</v>
      </c>
      <c r="C578" s="2">
        <v>44</v>
      </c>
      <c r="D578" s="3">
        <v>36.85</v>
      </c>
      <c r="E578" s="4">
        <v>11.52</v>
      </c>
      <c r="F578" s="1">
        <v>10.72</v>
      </c>
      <c r="G578" s="9">
        <v>-3.3999999999999998E-3</v>
      </c>
      <c r="H578" s="9">
        <v>-2.8E-3</v>
      </c>
      <c r="I578" s="9">
        <v>4.8000000000000001E-4</v>
      </c>
      <c r="J578" s="9">
        <v>0.15</v>
      </c>
    </row>
    <row r="579" spans="1:10">
      <c r="A579" s="1" t="s">
        <v>742</v>
      </c>
      <c r="B579" s="1">
        <f>B578*(1+J578)</f>
        <v>454.24999999999994</v>
      </c>
      <c r="C579" s="2">
        <v>45</v>
      </c>
      <c r="D579" s="3">
        <v>37</v>
      </c>
      <c r="E579" s="4">
        <f>E578*(1+J578)</f>
        <v>13.247999999999999</v>
      </c>
      <c r="F579" s="1">
        <f>F578*(1+J578)</f>
        <v>12.327999999999999</v>
      </c>
      <c r="G579" s="9">
        <v>-3.5000000000000001E-3</v>
      </c>
      <c r="H579" s="9">
        <f>H578</f>
        <v>-2.8E-3</v>
      </c>
      <c r="I579" s="9">
        <f>I578</f>
        <v>4.8000000000000001E-4</v>
      </c>
    </row>
    <row r="580" spans="1:10">
      <c r="A580" s="1" t="s">
        <v>743</v>
      </c>
      <c r="B580" s="1">
        <v>400</v>
      </c>
      <c r="C580" s="2">
        <v>44.12</v>
      </c>
      <c r="D580" s="3">
        <v>36.67</v>
      </c>
      <c r="E580" s="4">
        <v>11.57</v>
      </c>
      <c r="F580" s="1">
        <v>10.91</v>
      </c>
      <c r="G580" s="9">
        <v>-3.5000000000000001E-3</v>
      </c>
      <c r="H580" s="9">
        <v>-2.8E-3</v>
      </c>
      <c r="I580" s="9">
        <v>4.8000000000000001E-4</v>
      </c>
    </row>
    <row r="581" spans="1:10">
      <c r="A581" s="1" t="s">
        <v>744</v>
      </c>
      <c r="B581" s="1">
        <v>400</v>
      </c>
      <c r="C581" s="2">
        <v>49.8</v>
      </c>
      <c r="D581" s="3">
        <v>41.7</v>
      </c>
      <c r="E581" s="4">
        <v>10.36</v>
      </c>
      <c r="F581" s="1">
        <v>9.6</v>
      </c>
      <c r="G581" s="9">
        <v>-3.7000000000000002E-3</v>
      </c>
      <c r="H581" s="9">
        <v>-2.8999999999999998E-3</v>
      </c>
      <c r="I581" s="9">
        <v>4.8000000000000001E-4</v>
      </c>
    </row>
    <row r="582" spans="1:10">
      <c r="A582" s="1" t="s">
        <v>745</v>
      </c>
      <c r="B582" s="1">
        <v>405</v>
      </c>
      <c r="C582" s="2">
        <v>37.06</v>
      </c>
      <c r="D582" s="3">
        <v>30.52</v>
      </c>
      <c r="E582" s="4">
        <v>13.85</v>
      </c>
      <c r="F582" s="1">
        <v>13.27</v>
      </c>
      <c r="G582" s="9">
        <v>-3.5000000000000001E-3</v>
      </c>
      <c r="H582" s="9">
        <v>-2.8E-3</v>
      </c>
      <c r="I582" s="9">
        <v>4.8000000000000001E-4</v>
      </c>
    </row>
    <row r="583" spans="1:10">
      <c r="A583" s="1" t="s">
        <v>746</v>
      </c>
      <c r="B583" s="1">
        <v>405</v>
      </c>
      <c r="C583" s="2">
        <v>50.1</v>
      </c>
      <c r="D583" s="3">
        <v>42</v>
      </c>
      <c r="E583" s="4">
        <v>10.48</v>
      </c>
      <c r="F583" s="1">
        <v>9.65</v>
      </c>
      <c r="G583" s="9">
        <v>-3.5999999999999999E-3</v>
      </c>
      <c r="H583" s="9">
        <v>-2.8E-3</v>
      </c>
      <c r="I583" s="9">
        <v>4.8000000000000001E-4</v>
      </c>
    </row>
    <row r="584" spans="1:10">
      <c r="A584" s="1" t="s">
        <v>747</v>
      </c>
      <c r="B584" s="1">
        <v>405</v>
      </c>
      <c r="C584" s="2">
        <v>50.1</v>
      </c>
      <c r="D584" s="3">
        <v>42</v>
      </c>
      <c r="E584" s="4">
        <v>10.48</v>
      </c>
      <c r="F584" s="1">
        <v>9.65</v>
      </c>
      <c r="G584" s="9">
        <v>-3.5999999999999999E-3</v>
      </c>
      <c r="H584" s="9">
        <v>-2.8E-3</v>
      </c>
      <c r="I584" s="9">
        <v>4.8000000000000001E-4</v>
      </c>
    </row>
    <row r="585" spans="1:10">
      <c r="A585" s="1" t="s">
        <v>748</v>
      </c>
      <c r="B585" s="1">
        <v>410</v>
      </c>
      <c r="C585" s="2">
        <v>50.4</v>
      </c>
      <c r="D585" s="3">
        <v>42.3</v>
      </c>
      <c r="E585" s="4">
        <v>10.6</v>
      </c>
      <c r="F585" s="1">
        <v>9.69</v>
      </c>
      <c r="G585" s="9">
        <v>-3.5000000000000001E-3</v>
      </c>
      <c r="H585" s="9">
        <v>-2.8999999999999998E-3</v>
      </c>
      <c r="I585" s="9">
        <v>4.8000000000000001E-4</v>
      </c>
    </row>
    <row r="586" spans="1:10">
      <c r="A586" s="1" t="s">
        <v>749</v>
      </c>
      <c r="B586" s="1">
        <v>410</v>
      </c>
      <c r="C586" s="2">
        <v>50.4</v>
      </c>
      <c r="D586" s="3">
        <v>42.3</v>
      </c>
      <c r="E586" s="4">
        <v>10.6</v>
      </c>
      <c r="F586" s="1">
        <v>9.69</v>
      </c>
      <c r="G586" s="9">
        <v>-3.5000000000000001E-3</v>
      </c>
      <c r="H586" s="9">
        <v>-2.8999999999999998E-3</v>
      </c>
      <c r="I586" s="9">
        <v>4.8000000000000001E-4</v>
      </c>
    </row>
    <row r="587" spans="1:10">
      <c r="A587" s="1" t="s">
        <v>750</v>
      </c>
      <c r="B587" s="1">
        <v>410</v>
      </c>
      <c r="C587" s="2">
        <v>50.4</v>
      </c>
      <c r="D587" s="3">
        <v>42.3</v>
      </c>
      <c r="E587" s="4">
        <v>10.6</v>
      </c>
      <c r="F587" s="1">
        <v>9.69</v>
      </c>
      <c r="G587" s="9">
        <v>-3.5999999999999999E-3</v>
      </c>
      <c r="H587" s="9">
        <v>-2.8E-3</v>
      </c>
      <c r="I587" s="9">
        <v>4.8000000000000001E-4</v>
      </c>
    </row>
    <row r="588" spans="1:10">
      <c r="A588" s="1" t="s">
        <v>751</v>
      </c>
      <c r="B588" s="1">
        <v>410</v>
      </c>
      <c r="C588" s="2">
        <v>50.4</v>
      </c>
      <c r="D588" s="3">
        <v>42.3</v>
      </c>
      <c r="E588" s="4">
        <v>10.6</v>
      </c>
      <c r="F588" s="1">
        <v>9.69</v>
      </c>
      <c r="G588" s="9">
        <v>-3.5999999999999999E-3</v>
      </c>
      <c r="H588" s="9">
        <v>-2.8999999999999998E-3</v>
      </c>
      <c r="I588" s="9">
        <v>4.8000000000000001E-4</v>
      </c>
    </row>
    <row r="589" spans="1:10">
      <c r="A589" s="1" t="s">
        <v>752</v>
      </c>
      <c r="B589" s="1">
        <v>415</v>
      </c>
      <c r="C589" s="2">
        <v>50.7</v>
      </c>
      <c r="D589" s="3">
        <v>42.6</v>
      </c>
      <c r="E589" s="4">
        <v>10.72</v>
      </c>
      <c r="F589" s="1">
        <v>9.74</v>
      </c>
      <c r="G589" s="9">
        <v>-3.5000000000000001E-3</v>
      </c>
      <c r="H589" s="9">
        <v>-2.8E-3</v>
      </c>
      <c r="I589" s="9">
        <v>4.8000000000000001E-4</v>
      </c>
    </row>
    <row r="590" spans="1:10">
      <c r="A590" s="1" t="s">
        <v>753</v>
      </c>
      <c r="B590" s="1">
        <v>415</v>
      </c>
      <c r="C590" s="2">
        <v>50.7</v>
      </c>
      <c r="D590" s="3">
        <v>42.6</v>
      </c>
      <c r="E590" s="4">
        <v>10.72</v>
      </c>
      <c r="F590" s="1">
        <v>9.74</v>
      </c>
      <c r="G590" s="9">
        <v>-3.5000000000000001E-3</v>
      </c>
      <c r="H590" s="9">
        <v>-2.8999999999999998E-3</v>
      </c>
      <c r="I590" s="9">
        <v>4.8000000000000001E-4</v>
      </c>
    </row>
    <row r="591" spans="1:10">
      <c r="A591" s="1" t="s">
        <v>754</v>
      </c>
      <c r="B591" s="1">
        <v>440</v>
      </c>
      <c r="C591" s="2">
        <v>41.02</v>
      </c>
      <c r="D591" s="3">
        <v>33.72</v>
      </c>
      <c r="E591" s="4">
        <v>13.73</v>
      </c>
      <c r="F591" s="1">
        <v>13.05</v>
      </c>
      <c r="G591" s="9">
        <v>-3.5000000000000001E-3</v>
      </c>
      <c r="H591" s="9">
        <v>-2.8E-3</v>
      </c>
      <c r="I591" s="9">
        <v>4.8000000000000001E-4</v>
      </c>
    </row>
    <row r="592" spans="1:10">
      <c r="A592" s="1" t="s">
        <v>755</v>
      </c>
      <c r="B592" s="1">
        <v>440</v>
      </c>
      <c r="C592" s="2">
        <v>52.38</v>
      </c>
      <c r="D592" s="3">
        <v>43.66</v>
      </c>
      <c r="E592" s="4">
        <v>10.77</v>
      </c>
      <c r="F592" s="1">
        <v>10.08</v>
      </c>
      <c r="G592" s="9">
        <v>-3.5999999999999999E-3</v>
      </c>
      <c r="H592" s="9">
        <v>-2.8999999999999998E-3</v>
      </c>
      <c r="I592" s="9">
        <v>4.8000000000000001E-4</v>
      </c>
    </row>
    <row r="593" spans="1:10">
      <c r="A593" s="1" t="s">
        <v>756</v>
      </c>
      <c r="B593" s="1">
        <v>445</v>
      </c>
      <c r="C593" s="2">
        <v>51.8</v>
      </c>
      <c r="D593" s="3">
        <v>43.73</v>
      </c>
      <c r="E593" s="4">
        <f>11.03*1</f>
        <v>11.03</v>
      </c>
      <c r="F593" s="1">
        <f>10.18*1</f>
        <v>10.18</v>
      </c>
      <c r="G593" s="9">
        <v>-3.5000000000000001E-3</v>
      </c>
      <c r="H593" s="9">
        <v>-2.8E-3</v>
      </c>
      <c r="I593" s="9">
        <v>4.8000000000000001E-4</v>
      </c>
    </row>
    <row r="594" spans="1:10">
      <c r="A594" s="1" t="s">
        <v>757</v>
      </c>
      <c r="B594" s="1">
        <v>556</v>
      </c>
      <c r="C594" s="2">
        <v>51.8</v>
      </c>
      <c r="D594" s="3">
        <v>43.73</v>
      </c>
      <c r="E594" s="4">
        <f>11.03*1.25</f>
        <v>13.7875</v>
      </c>
      <c r="F594" s="1">
        <f>10.18*1.25</f>
        <v>12.725</v>
      </c>
      <c r="G594" s="9">
        <v>-3.5000000000000001E-3</v>
      </c>
      <c r="H594" s="9">
        <v>-2.8E-3</v>
      </c>
      <c r="I594" s="9">
        <v>4.8000000000000001E-4</v>
      </c>
    </row>
    <row r="595" spans="1:10">
      <c r="A595" s="1" t="s">
        <v>758</v>
      </c>
      <c r="B595" s="1">
        <v>445</v>
      </c>
      <c r="C595" s="2">
        <v>39.590000000000003</v>
      </c>
      <c r="D595" s="3">
        <v>33.020000000000003</v>
      </c>
      <c r="E595" s="4">
        <v>13.93</v>
      </c>
      <c r="F595" s="1">
        <v>13.48</v>
      </c>
      <c r="G595" s="9">
        <v>-3.0000000000000001E-3</v>
      </c>
      <c r="H595" s="9">
        <v>-2.5000000000000001E-3</v>
      </c>
      <c r="I595" s="9">
        <v>4.6000000000000001E-4</v>
      </c>
    </row>
    <row r="596" spans="1:10">
      <c r="A596" s="1" t="s">
        <v>759</v>
      </c>
      <c r="B596" s="1">
        <v>450</v>
      </c>
      <c r="C596" s="2">
        <v>51.9</v>
      </c>
      <c r="D596" s="3">
        <v>43.82</v>
      </c>
      <c r="E596" s="4">
        <v>11.12</v>
      </c>
      <c r="F596" s="1">
        <v>10.27</v>
      </c>
      <c r="G596" s="9">
        <v>-3.5000000000000001E-3</v>
      </c>
      <c r="H596" s="9">
        <v>-2.8E-3</v>
      </c>
      <c r="I596" s="9">
        <v>4.8000000000000001E-4</v>
      </c>
    </row>
    <row r="597" spans="1:10">
      <c r="A597" s="1" t="s">
        <v>760</v>
      </c>
      <c r="B597" s="1">
        <v>450</v>
      </c>
      <c r="C597" s="2">
        <v>41.18</v>
      </c>
      <c r="D597" s="3">
        <v>33.909999999999997</v>
      </c>
      <c r="E597" s="4">
        <v>13.85</v>
      </c>
      <c r="F597" s="1">
        <v>13.27</v>
      </c>
      <c r="G597" s="9">
        <v>-3.5000000000000001E-3</v>
      </c>
      <c r="H597" s="9">
        <v>-2.8E-3</v>
      </c>
      <c r="I597" s="9">
        <v>4.8000000000000001E-4</v>
      </c>
    </row>
    <row r="598" spans="1:10">
      <c r="A598" s="1" t="s">
        <v>761</v>
      </c>
      <c r="B598" s="1">
        <v>455</v>
      </c>
      <c r="C598" s="2">
        <v>41.33</v>
      </c>
      <c r="D598" s="3">
        <v>34.06</v>
      </c>
      <c r="E598" s="4">
        <v>13.93</v>
      </c>
      <c r="F598" s="1">
        <v>13.36</v>
      </c>
      <c r="G598" s="9">
        <v>-3.5000000000000001E-3</v>
      </c>
      <c r="H598" s="9">
        <v>-2.8E-3</v>
      </c>
      <c r="I598" s="9">
        <v>4.8000000000000001E-4</v>
      </c>
    </row>
    <row r="599" spans="1:10">
      <c r="A599" s="5" t="s">
        <v>762</v>
      </c>
      <c r="B599" s="1">
        <v>455</v>
      </c>
      <c r="C599" s="2">
        <v>41.33</v>
      </c>
      <c r="D599" s="3">
        <v>34.06</v>
      </c>
      <c r="E599" s="4">
        <v>13.93</v>
      </c>
      <c r="F599" s="1">
        <v>13.36</v>
      </c>
      <c r="G599" s="9">
        <v>-3.5000000000000001E-3</v>
      </c>
      <c r="H599" s="9">
        <v>-2.8E-3</v>
      </c>
      <c r="I599" s="9">
        <v>4.8000000000000001E-4</v>
      </c>
    </row>
    <row r="600" spans="1:10">
      <c r="A600" s="1" t="s">
        <v>763</v>
      </c>
      <c r="B600" s="1">
        <v>455</v>
      </c>
      <c r="C600" s="2">
        <v>51.8</v>
      </c>
      <c r="D600" s="3">
        <v>43.13</v>
      </c>
      <c r="E600" s="4">
        <v>11.41</v>
      </c>
      <c r="F600" s="1">
        <v>10.55</v>
      </c>
      <c r="G600" s="9">
        <v>-3.5000000000000001E-3</v>
      </c>
      <c r="H600" s="9">
        <v>-2.8E-3</v>
      </c>
      <c r="I600" s="9">
        <v>4.8000000000000001E-4</v>
      </c>
    </row>
    <row r="601" spans="1:10">
      <c r="A601" s="1" t="s">
        <v>764</v>
      </c>
      <c r="B601" s="1">
        <v>460</v>
      </c>
      <c r="C601" s="2">
        <v>41.48</v>
      </c>
      <c r="D601" s="3">
        <v>34.200000000000003</v>
      </c>
      <c r="E601" s="4">
        <v>14.01</v>
      </c>
      <c r="F601" s="1">
        <v>13.45</v>
      </c>
      <c r="G601" s="9">
        <v>-3.5000000000000001E-3</v>
      </c>
      <c r="H601" s="9">
        <v>-2.8E-3</v>
      </c>
      <c r="I601" s="9">
        <v>4.8000000000000001E-4</v>
      </c>
    </row>
    <row r="602" spans="1:10">
      <c r="A602" s="1" t="s">
        <v>765</v>
      </c>
      <c r="B602" s="1">
        <v>460</v>
      </c>
      <c r="C602" s="2">
        <v>51.7</v>
      </c>
      <c r="D602" s="3">
        <v>43.08</v>
      </c>
      <c r="E602" s="4">
        <v>11.5</v>
      </c>
      <c r="F602" s="1">
        <v>10.68</v>
      </c>
      <c r="G602" s="9">
        <v>-3.5000000000000001E-3</v>
      </c>
      <c r="H602" s="9">
        <v>-2.8E-3</v>
      </c>
      <c r="I602" s="9">
        <v>4.8000000000000001E-4</v>
      </c>
      <c r="J602" s="9">
        <v>-0.1</v>
      </c>
    </row>
    <row r="603" spans="1:10">
      <c r="A603" s="1" t="s">
        <v>766</v>
      </c>
      <c r="B603" s="1">
        <f>B602*(1+J602)</f>
        <v>414</v>
      </c>
      <c r="C603" s="2">
        <f>C602</f>
        <v>51.7</v>
      </c>
      <c r="D603" s="3">
        <f>D602</f>
        <v>43.08</v>
      </c>
      <c r="E603" s="1">
        <f>E602*(1+J602)</f>
        <v>10.35</v>
      </c>
      <c r="F603" s="1">
        <f>F602*(1+J602)</f>
        <v>9.6120000000000001</v>
      </c>
      <c r="G603" s="9">
        <v>-3.5000000000000001E-3</v>
      </c>
      <c r="H603" s="9">
        <v>-2.8E-3</v>
      </c>
      <c r="I603" s="9">
        <v>4.8000000000000001E-4</v>
      </c>
    </row>
    <row r="604" spans="1:10">
      <c r="A604" s="1" t="s">
        <v>767</v>
      </c>
      <c r="B604" s="1">
        <v>460</v>
      </c>
      <c r="C604" s="2">
        <v>52.1</v>
      </c>
      <c r="D604" s="3">
        <v>44.02</v>
      </c>
      <c r="E604" s="4">
        <v>11.3</v>
      </c>
      <c r="F604" s="1">
        <v>10.45</v>
      </c>
      <c r="G604" s="9">
        <v>-3.5000000000000001E-3</v>
      </c>
      <c r="H604" s="9">
        <v>-2.8E-3</v>
      </c>
      <c r="I604" s="9">
        <v>4.8000000000000001E-4</v>
      </c>
    </row>
    <row r="605" spans="1:10">
      <c r="A605" s="1" t="s">
        <v>768</v>
      </c>
      <c r="B605" s="1">
        <v>465</v>
      </c>
      <c r="C605" s="2">
        <v>52</v>
      </c>
      <c r="D605" s="3">
        <v>43.3</v>
      </c>
      <c r="E605" s="4">
        <v>11.59</v>
      </c>
      <c r="F605" s="1">
        <v>10.73</v>
      </c>
      <c r="G605" s="9">
        <v>-3.5000000000000001E-3</v>
      </c>
      <c r="H605" s="9">
        <v>-2.8E-3</v>
      </c>
      <c r="I605" s="9">
        <v>4.8000000000000001E-4</v>
      </c>
    </row>
    <row r="606" spans="1:10">
      <c r="A606" s="1" t="s">
        <v>769</v>
      </c>
      <c r="B606" s="1">
        <v>465</v>
      </c>
      <c r="C606" s="2">
        <v>41.63</v>
      </c>
      <c r="D606" s="3">
        <v>34.369999999999997</v>
      </c>
      <c r="E606" s="4">
        <v>14.09</v>
      </c>
      <c r="F606" s="1">
        <v>13.53</v>
      </c>
      <c r="G606" s="9">
        <v>-3.5000000000000001E-3</v>
      </c>
      <c r="H606" s="9">
        <v>-2.8E-3</v>
      </c>
      <c r="I606" s="9">
        <v>4.8000000000000001E-4</v>
      </c>
    </row>
    <row r="607" spans="1:10">
      <c r="A607" s="1" t="s">
        <v>770</v>
      </c>
      <c r="B607" s="1">
        <v>465</v>
      </c>
      <c r="C607" s="2">
        <v>51.92</v>
      </c>
      <c r="D607" s="3">
        <v>43.18</v>
      </c>
      <c r="E607" s="4">
        <v>11.59</v>
      </c>
      <c r="F607" s="1">
        <v>10.77</v>
      </c>
      <c r="G607" s="9">
        <v>-3.5000000000000001E-3</v>
      </c>
      <c r="H607" s="9">
        <v>-2.8E-3</v>
      </c>
      <c r="I607" s="9">
        <v>4.8000000000000001E-4</v>
      </c>
    </row>
    <row r="608" spans="1:10">
      <c r="A608" s="1" t="s">
        <v>771</v>
      </c>
      <c r="B608" s="1">
        <v>465</v>
      </c>
      <c r="C608" s="2">
        <v>52</v>
      </c>
      <c r="D608" s="3">
        <v>43.38</v>
      </c>
      <c r="E608" s="4">
        <v>11.44</v>
      </c>
      <c r="F608" s="1">
        <v>10.72</v>
      </c>
      <c r="G608" s="9">
        <v>-3.5000000000000001E-3</v>
      </c>
      <c r="H608" s="9">
        <v>-2.8E-3</v>
      </c>
      <c r="I608" s="9">
        <v>4.8000000000000001E-4</v>
      </c>
      <c r="J608" s="9">
        <v>0.15</v>
      </c>
    </row>
    <row r="609" spans="1:10">
      <c r="A609" s="1" t="s">
        <v>772</v>
      </c>
      <c r="B609" s="1">
        <f>B608*(1+J608)</f>
        <v>534.75</v>
      </c>
      <c r="C609" s="2">
        <f>C608</f>
        <v>52</v>
      </c>
      <c r="D609" s="3">
        <f>D608</f>
        <v>43.38</v>
      </c>
      <c r="E609" s="1">
        <f>E608*(1+J608)</f>
        <v>13.155999999999999</v>
      </c>
      <c r="F609" s="1">
        <f>F608*(1+J608)</f>
        <v>12.327999999999999</v>
      </c>
      <c r="G609" s="9">
        <v>-3.5000000000000001E-3</v>
      </c>
      <c r="H609" s="9">
        <v>-2.8E-3</v>
      </c>
      <c r="I609" s="9">
        <v>4.8000000000000001E-4</v>
      </c>
    </row>
    <row r="610" spans="1:10">
      <c r="A610" s="1" t="s">
        <v>773</v>
      </c>
      <c r="B610" s="1">
        <v>465</v>
      </c>
      <c r="C610" s="2">
        <v>51.92</v>
      </c>
      <c r="D610" s="3">
        <v>43.18</v>
      </c>
      <c r="E610" s="4">
        <v>11.59</v>
      </c>
      <c r="F610" s="1">
        <v>10.77</v>
      </c>
      <c r="G610" s="9">
        <v>-3.5000000000000001E-3</v>
      </c>
      <c r="H610" s="9">
        <v>-2.8E-3</v>
      </c>
      <c r="I610" s="9">
        <v>4.8000000000000001E-4</v>
      </c>
    </row>
    <row r="611" spans="1:10">
      <c r="A611" s="1" t="s">
        <v>774</v>
      </c>
      <c r="B611" s="1">
        <v>470</v>
      </c>
      <c r="C611" s="2">
        <v>52.1</v>
      </c>
      <c r="D611" s="3">
        <v>43.44</v>
      </c>
      <c r="E611" s="4">
        <v>11.68</v>
      </c>
      <c r="F611" s="1">
        <v>10.82</v>
      </c>
      <c r="G611" s="9">
        <v>-3.5000000000000001E-3</v>
      </c>
      <c r="H611" s="9">
        <v>-2.8E-3</v>
      </c>
      <c r="I611" s="9">
        <v>4.8000000000000001E-4</v>
      </c>
    </row>
    <row r="612" spans="1:10">
      <c r="A612" s="1" t="s">
        <v>775</v>
      </c>
      <c r="B612" s="1">
        <v>470</v>
      </c>
      <c r="C612" s="2">
        <v>52.14</v>
      </c>
      <c r="D612" s="3">
        <v>43.28</v>
      </c>
      <c r="E612" s="4">
        <v>11.68</v>
      </c>
      <c r="F612" s="1">
        <v>10.86</v>
      </c>
      <c r="G612" s="9">
        <v>-3.5000000000000001E-3</v>
      </c>
      <c r="H612" s="9">
        <v>-2.8E-3</v>
      </c>
      <c r="I612" s="9">
        <v>4.8000000000000001E-4</v>
      </c>
    </row>
    <row r="613" spans="1:10">
      <c r="A613" s="1" t="s">
        <v>776</v>
      </c>
      <c r="B613" s="1">
        <v>470</v>
      </c>
      <c r="C613" s="2">
        <v>52.14</v>
      </c>
      <c r="D613" s="3">
        <v>43.28</v>
      </c>
      <c r="E613" s="4">
        <v>11.68</v>
      </c>
      <c r="F613" s="1">
        <v>10.86</v>
      </c>
      <c r="G613" s="9">
        <v>-3.5000000000000001E-3</v>
      </c>
      <c r="H613" s="9">
        <v>-2.8E-3</v>
      </c>
      <c r="I613" s="9">
        <v>4.8000000000000001E-4</v>
      </c>
    </row>
    <row r="614" spans="1:10">
      <c r="A614" s="1" t="s">
        <v>777</v>
      </c>
      <c r="B614" s="1">
        <v>475</v>
      </c>
      <c r="C614" s="2">
        <v>52.24</v>
      </c>
      <c r="D614" s="3">
        <v>43.38</v>
      </c>
      <c r="E614" s="4">
        <v>11.77</v>
      </c>
      <c r="F614" s="1">
        <v>10.95</v>
      </c>
      <c r="G614" s="9">
        <v>-3.5000000000000001E-3</v>
      </c>
      <c r="H614" s="9">
        <v>-2.8E-3</v>
      </c>
      <c r="I614" s="9">
        <v>4.8000000000000001E-4</v>
      </c>
    </row>
    <row r="615" spans="1:10">
      <c r="A615" s="1" t="s">
        <v>778</v>
      </c>
      <c r="B615" s="1">
        <v>475</v>
      </c>
      <c r="C615" s="2">
        <v>52.2</v>
      </c>
      <c r="D615" s="3">
        <v>43.54</v>
      </c>
      <c r="E615" s="4">
        <v>11.77</v>
      </c>
      <c r="F615" s="1">
        <v>10.91</v>
      </c>
      <c r="G615" s="9">
        <v>-3.5000000000000001E-3</v>
      </c>
      <c r="H615" s="9">
        <v>-2.8E-3</v>
      </c>
      <c r="I615" s="9">
        <v>4.8000000000000001E-4</v>
      </c>
    </row>
    <row r="616" spans="1:10">
      <c r="A616" s="1" t="s">
        <v>779</v>
      </c>
      <c r="B616" s="1">
        <v>475</v>
      </c>
      <c r="C616" s="2">
        <v>42.54</v>
      </c>
      <c r="D616" s="3">
        <v>35.21</v>
      </c>
      <c r="E616" s="4">
        <v>14.23</v>
      </c>
      <c r="F616" s="1">
        <v>13.49</v>
      </c>
      <c r="G616" s="9">
        <v>-3.0000000000000001E-3</v>
      </c>
      <c r="H616" s="9">
        <v>-2.5000000000000001E-3</v>
      </c>
      <c r="I616" s="9">
        <v>4.6000000000000001E-4</v>
      </c>
    </row>
    <row r="617" spans="1:10">
      <c r="A617" s="1" t="s">
        <v>780</v>
      </c>
      <c r="B617" s="1">
        <v>480</v>
      </c>
      <c r="C617" s="2">
        <v>43.6</v>
      </c>
      <c r="D617" s="3">
        <v>36.06</v>
      </c>
      <c r="E617" s="4">
        <v>13.85</v>
      </c>
      <c r="F617" s="1">
        <v>13.31</v>
      </c>
      <c r="G617" s="9">
        <v>-3.0000000000000001E-3</v>
      </c>
      <c r="H617" s="9">
        <v>-2.5000000000000001E-3</v>
      </c>
      <c r="I617" s="9">
        <v>4.6000000000000001E-4</v>
      </c>
    </row>
    <row r="618" spans="1:10">
      <c r="A618" s="1" t="s">
        <v>781</v>
      </c>
      <c r="B618" s="1">
        <v>480</v>
      </c>
      <c r="C618" s="2">
        <v>42.71</v>
      </c>
      <c r="D618" s="3">
        <v>35.380000000000003</v>
      </c>
      <c r="E618" s="4">
        <v>14.31</v>
      </c>
      <c r="F618" s="1">
        <v>13.57</v>
      </c>
      <c r="G618" s="9">
        <v>-3.0000000000000001E-3</v>
      </c>
      <c r="H618" s="9">
        <v>-2.5000000000000001E-3</v>
      </c>
      <c r="I618" s="9">
        <v>4.6000000000000001E-4</v>
      </c>
    </row>
    <row r="619" spans="1:10">
      <c r="A619" s="1" t="s">
        <v>782</v>
      </c>
      <c r="B619" s="1">
        <v>485</v>
      </c>
      <c r="C619" s="2">
        <v>43.76</v>
      </c>
      <c r="D619" s="3">
        <v>36.25</v>
      </c>
      <c r="E619" s="4">
        <v>13.38</v>
      </c>
      <c r="F619" s="1">
        <v>13.93</v>
      </c>
      <c r="G619" s="9">
        <v>-2.8999999999999998E-3</v>
      </c>
      <c r="H619" s="9">
        <v>-2.5000000000000001E-3</v>
      </c>
      <c r="I619" s="9">
        <v>4.6000000000000001E-4</v>
      </c>
    </row>
    <row r="620" spans="1:10">
      <c r="A620" s="1" t="s">
        <v>783</v>
      </c>
      <c r="B620" s="1">
        <v>490</v>
      </c>
      <c r="C620" s="2">
        <v>43.91</v>
      </c>
      <c r="D620" s="3">
        <v>36.43</v>
      </c>
      <c r="E620" s="4">
        <v>14.01</v>
      </c>
      <c r="F620" s="1">
        <v>13.45</v>
      </c>
      <c r="G620" s="9">
        <v>-3.0000000000000001E-3</v>
      </c>
      <c r="H620" s="9">
        <v>-2.5000000000000001E-3</v>
      </c>
      <c r="I620" s="9">
        <v>4.6000000000000001E-4</v>
      </c>
    </row>
    <row r="621" spans="1:10">
      <c r="A621" s="1" t="s">
        <v>784</v>
      </c>
      <c r="B621" s="1">
        <f>+D621*F621</f>
        <v>421.38580999999994</v>
      </c>
      <c r="C621" s="2">
        <v>43.91</v>
      </c>
      <c r="D621" s="3">
        <v>36.43</v>
      </c>
      <c r="E621" s="4">
        <f>+E620*0.86</f>
        <v>12.0486</v>
      </c>
      <c r="F621" s="1">
        <f>+F620*0.86</f>
        <v>11.566999999999998</v>
      </c>
      <c r="G621" s="9">
        <v>-3.0000000000000001E-3</v>
      </c>
      <c r="H621" s="9">
        <v>-2.5000000000000001E-3</v>
      </c>
      <c r="I621" s="9">
        <v>4.6000000000000001E-4</v>
      </c>
    </row>
    <row r="622" spans="1:10">
      <c r="A622" s="1" t="s">
        <v>785</v>
      </c>
      <c r="B622" s="1">
        <v>515</v>
      </c>
      <c r="C622" s="2">
        <v>49.24</v>
      </c>
      <c r="D622" s="3">
        <v>41.7</v>
      </c>
      <c r="E622" s="4">
        <v>13.07</v>
      </c>
      <c r="F622" s="1">
        <v>12.35</v>
      </c>
      <c r="G622" s="9">
        <v>-3.5000000000000001E-3</v>
      </c>
      <c r="H622" s="9">
        <v>-2.8E-3</v>
      </c>
      <c r="I622" s="9">
        <v>4.8000000000000001E-4</v>
      </c>
      <c r="J622" s="9">
        <v>0.25</v>
      </c>
    </row>
    <row r="623" spans="1:10">
      <c r="A623" s="1" t="s">
        <v>786</v>
      </c>
      <c r="B623" s="1">
        <f>B622*(1+J622)</f>
        <v>643.75</v>
      </c>
      <c r="C623" s="2">
        <v>49.24</v>
      </c>
      <c r="D623" s="3">
        <v>41.7</v>
      </c>
      <c r="E623" s="4">
        <f>E622*(1+J622)</f>
        <v>16.337499999999999</v>
      </c>
      <c r="F623" s="1">
        <f>F622*(1+J622)</f>
        <v>15.4375</v>
      </c>
      <c r="G623" s="9">
        <v>-3.5000000000000001E-3</v>
      </c>
      <c r="H623" s="9">
        <f>H622</f>
        <v>-2.8E-3</v>
      </c>
      <c r="I623" s="9">
        <f>I622</f>
        <v>4.8000000000000001E-4</v>
      </c>
    </row>
    <row r="624" spans="1:10">
      <c r="A624" s="1" t="s">
        <v>787</v>
      </c>
      <c r="B624" s="1">
        <v>520</v>
      </c>
      <c r="C624" s="2">
        <v>49.34</v>
      </c>
      <c r="D624" s="3">
        <v>41.8</v>
      </c>
      <c r="E624" s="4">
        <v>13.16</v>
      </c>
      <c r="F624" s="1">
        <v>12.44</v>
      </c>
      <c r="G624" s="9">
        <v>-3.5000000000000001E-3</v>
      </c>
      <c r="H624" s="9">
        <v>-2.8E-3</v>
      </c>
      <c r="I624" s="9">
        <v>4.8000000000000001E-4</v>
      </c>
      <c r="J624" s="9">
        <v>0.25</v>
      </c>
    </row>
    <row r="625" spans="1:10">
      <c r="A625" s="1" t="s">
        <v>788</v>
      </c>
      <c r="B625" s="1">
        <f>B624*(1+J624)</f>
        <v>650</v>
      </c>
      <c r="C625" s="2">
        <v>49.34</v>
      </c>
      <c r="D625" s="3">
        <v>41.8</v>
      </c>
      <c r="E625" s="4">
        <f>E624*(1+J624)</f>
        <v>16.45</v>
      </c>
      <c r="F625" s="1">
        <f>F624*(1+J624)</f>
        <v>15.549999999999999</v>
      </c>
      <c r="G625" s="9">
        <v>-3.5000000000000001E-3</v>
      </c>
      <c r="H625" s="9">
        <f>H624</f>
        <v>-2.8E-3</v>
      </c>
      <c r="I625" s="9">
        <f>I624</f>
        <v>4.8000000000000001E-4</v>
      </c>
    </row>
    <row r="626" spans="1:10">
      <c r="A626" s="1" t="s">
        <v>789</v>
      </c>
      <c r="B626" s="1">
        <v>520</v>
      </c>
      <c r="C626" s="2">
        <v>49.14</v>
      </c>
      <c r="D626" s="3">
        <v>41.6</v>
      </c>
      <c r="E626" s="4">
        <v>13.23</v>
      </c>
      <c r="F626" s="1">
        <v>12.5</v>
      </c>
      <c r="G626" s="9">
        <v>-3.5000000000000001E-3</v>
      </c>
      <c r="H626" s="9">
        <v>-2.8E-3</v>
      </c>
      <c r="I626" s="9">
        <v>4.8000000000000001E-4</v>
      </c>
    </row>
    <row r="627" spans="1:10">
      <c r="A627" s="1" t="s">
        <v>790</v>
      </c>
      <c r="B627" s="1">
        <v>525</v>
      </c>
      <c r="C627" s="2">
        <v>49.42</v>
      </c>
      <c r="D627" s="3">
        <v>40.799999999999997</v>
      </c>
      <c r="E627" s="4">
        <v>13.63</v>
      </c>
      <c r="F627" s="1">
        <v>12.87</v>
      </c>
      <c r="G627" s="9">
        <v>-3.5000000000000001E-3</v>
      </c>
      <c r="H627" s="9">
        <v>-2.8E-3</v>
      </c>
      <c r="I627" s="9">
        <v>4.8000000000000001E-4</v>
      </c>
      <c r="J627" s="9">
        <v>0.25</v>
      </c>
    </row>
    <row r="628" spans="1:10">
      <c r="A628" s="1" t="s">
        <v>791</v>
      </c>
      <c r="B628" s="1">
        <f>B627*(1+J627)</f>
        <v>656.25</v>
      </c>
      <c r="C628" s="2">
        <f>C627</f>
        <v>49.42</v>
      </c>
      <c r="D628" s="3">
        <f>D627</f>
        <v>40.799999999999997</v>
      </c>
      <c r="E628" s="4">
        <f>E627*(1+J627)</f>
        <v>17.037500000000001</v>
      </c>
      <c r="F628" s="1">
        <f>F627*(1+J627)</f>
        <v>16.087499999999999</v>
      </c>
      <c r="G628" s="9">
        <f>G627</f>
        <v>-3.5000000000000001E-3</v>
      </c>
      <c r="H628" s="9">
        <f>H627</f>
        <v>-2.8E-3</v>
      </c>
      <c r="I628" s="9">
        <f>I627</f>
        <v>4.8000000000000001E-4</v>
      </c>
    </row>
    <row r="629" spans="1:10">
      <c r="A629" s="1" t="s">
        <v>792</v>
      </c>
      <c r="B629" s="1">
        <v>525</v>
      </c>
      <c r="C629" s="2">
        <v>49.44</v>
      </c>
      <c r="D629" s="3">
        <v>41.9</v>
      </c>
      <c r="E629" s="4">
        <v>13.25</v>
      </c>
      <c r="F629" s="1">
        <v>15.53</v>
      </c>
      <c r="G629" s="9">
        <v>-3.5000000000000001E-3</v>
      </c>
      <c r="H629" s="9">
        <v>-2.8E-3</v>
      </c>
      <c r="I629" s="9">
        <v>4.8000000000000001E-4</v>
      </c>
      <c r="J629" s="9">
        <v>0.25</v>
      </c>
    </row>
    <row r="630" spans="1:10">
      <c r="A630" s="1" t="s">
        <v>793</v>
      </c>
      <c r="B630" s="1">
        <f>B629*(1+J629)</f>
        <v>656.25</v>
      </c>
      <c r="C630" s="2">
        <v>49.44</v>
      </c>
      <c r="D630" s="3">
        <v>41.9</v>
      </c>
      <c r="E630" s="1">
        <f>E629*(1+J629)</f>
        <v>16.5625</v>
      </c>
      <c r="F630" s="1">
        <f>F629*(1+J629)</f>
        <v>19.412499999999998</v>
      </c>
      <c r="G630" s="9">
        <v>-3.5000000000000001E-3</v>
      </c>
      <c r="H630" s="9">
        <v>-2.8E-3</v>
      </c>
      <c r="I630" s="9">
        <v>4.8000000000000001E-4</v>
      </c>
    </row>
    <row r="631" spans="1:10">
      <c r="A631" s="1" t="s">
        <v>794</v>
      </c>
      <c r="B631" s="1">
        <v>525</v>
      </c>
      <c r="C631" s="2">
        <v>49.24</v>
      </c>
      <c r="D631" s="3">
        <v>41.7</v>
      </c>
      <c r="E631" s="4">
        <v>13.32</v>
      </c>
      <c r="F631" s="1">
        <v>12.59</v>
      </c>
      <c r="G631" s="9">
        <v>-3.5000000000000001E-3</v>
      </c>
      <c r="H631" s="9">
        <v>-2.8E-3</v>
      </c>
      <c r="I631" s="9">
        <v>4.8000000000000001E-4</v>
      </c>
    </row>
    <row r="632" spans="1:10">
      <c r="A632" s="1" t="s">
        <v>795</v>
      </c>
      <c r="B632" s="1">
        <v>525</v>
      </c>
      <c r="C632" s="2">
        <v>49.13</v>
      </c>
      <c r="D632" s="3">
        <v>40.61</v>
      </c>
      <c r="E632" s="4">
        <v>13.61</v>
      </c>
      <c r="F632" s="1">
        <v>12.93</v>
      </c>
      <c r="G632" s="9">
        <v>-3.5000000000000001E-3</v>
      </c>
      <c r="H632" s="9">
        <v>-2.8E-3</v>
      </c>
      <c r="I632" s="9">
        <v>4.8000000000000001E-4</v>
      </c>
    </row>
    <row r="633" spans="1:10">
      <c r="A633" s="1" t="s">
        <v>796</v>
      </c>
      <c r="B633" s="1">
        <v>530</v>
      </c>
      <c r="C633" s="2">
        <v>49.48</v>
      </c>
      <c r="D633" s="3">
        <v>40.869999999999997</v>
      </c>
      <c r="E633" s="4">
        <v>13.73</v>
      </c>
      <c r="F633" s="1">
        <v>12.97</v>
      </c>
      <c r="G633" s="9">
        <v>-3.5000000000000001E-3</v>
      </c>
      <c r="H633" s="9">
        <v>-2.8E-3</v>
      </c>
      <c r="I633" s="9">
        <v>4.8000000000000001E-4</v>
      </c>
      <c r="J633" s="9">
        <v>0.25</v>
      </c>
    </row>
    <row r="634" spans="1:10">
      <c r="A634" s="1" t="s">
        <v>797</v>
      </c>
      <c r="B634" s="1">
        <f>B633*(1+J633)</f>
        <v>662.5</v>
      </c>
      <c r="C634" s="2">
        <f>C633</f>
        <v>49.48</v>
      </c>
      <c r="D634" s="3">
        <f>D633</f>
        <v>40.869999999999997</v>
      </c>
      <c r="E634" s="4">
        <f>E633*(1+J633)</f>
        <v>17.162500000000001</v>
      </c>
      <c r="F634" s="1">
        <f>F633*(1+J633)</f>
        <v>16.212500000000002</v>
      </c>
      <c r="G634" s="9">
        <f>G633</f>
        <v>-3.5000000000000001E-3</v>
      </c>
      <c r="H634" s="9">
        <f>H633</f>
        <v>-2.8E-3</v>
      </c>
      <c r="I634" s="9">
        <f>I633</f>
        <v>4.8000000000000001E-4</v>
      </c>
    </row>
    <row r="635" spans="1:10">
      <c r="A635" s="1" t="s">
        <v>798</v>
      </c>
      <c r="B635" s="1">
        <v>530</v>
      </c>
      <c r="C635" s="2">
        <v>49.35</v>
      </c>
      <c r="D635" s="3">
        <v>40.71</v>
      </c>
      <c r="E635" s="4">
        <v>13.71</v>
      </c>
      <c r="F635" s="1">
        <v>13.02</v>
      </c>
      <c r="G635" s="9">
        <v>-3.5000000000000001E-3</v>
      </c>
      <c r="H635" s="9">
        <v>-2.8E-3</v>
      </c>
      <c r="I635" s="9">
        <v>4.8000000000000001E-4</v>
      </c>
      <c r="J635" s="9">
        <v>0.1</v>
      </c>
    </row>
    <row r="636" spans="1:10">
      <c r="A636" s="1" t="s">
        <v>799</v>
      </c>
      <c r="B636" s="1">
        <f>B634*(1+J635)</f>
        <v>728.75000000000011</v>
      </c>
      <c r="C636" s="2">
        <f>C634</f>
        <v>49.48</v>
      </c>
      <c r="D636" s="3">
        <f>D634</f>
        <v>40.869999999999997</v>
      </c>
      <c r="E636" s="4">
        <f>E634*(1+J635)</f>
        <v>18.878750000000004</v>
      </c>
      <c r="F636" s="1">
        <f>F634*(1+J635)</f>
        <v>17.833750000000006</v>
      </c>
      <c r="G636" s="9">
        <f t="shared" ref="G636:I637" si="1">G634</f>
        <v>-3.5000000000000001E-3</v>
      </c>
      <c r="H636" s="9">
        <f t="shared" si="1"/>
        <v>-2.8E-3</v>
      </c>
      <c r="I636" s="9">
        <f t="shared" si="1"/>
        <v>4.8000000000000001E-4</v>
      </c>
      <c r="J636" s="9">
        <v>0.25</v>
      </c>
    </row>
    <row r="637" spans="1:10">
      <c r="A637" s="1" t="s">
        <v>800</v>
      </c>
      <c r="B637" s="1">
        <f>B635*(1+J636)</f>
        <v>662.5</v>
      </c>
      <c r="C637" s="2">
        <f>C635</f>
        <v>49.35</v>
      </c>
      <c r="D637" s="3">
        <f>D635</f>
        <v>40.71</v>
      </c>
      <c r="E637" s="4">
        <f>E635*(1+J636)</f>
        <v>17.137500000000003</v>
      </c>
      <c r="F637" s="1">
        <f>F635*(1+J636)</f>
        <v>16.274999999999999</v>
      </c>
      <c r="G637" s="9">
        <f t="shared" si="1"/>
        <v>-3.5000000000000001E-3</v>
      </c>
      <c r="H637" s="9">
        <f t="shared" si="1"/>
        <v>-2.8E-3</v>
      </c>
      <c r="I637" s="9">
        <f t="shared" si="1"/>
        <v>4.8000000000000001E-4</v>
      </c>
    </row>
    <row r="638" spans="1:10">
      <c r="A638" s="1" t="s">
        <v>801</v>
      </c>
      <c r="B638" s="1">
        <v>530</v>
      </c>
      <c r="C638" s="2">
        <v>49.26</v>
      </c>
      <c r="D638" s="3">
        <v>40.56</v>
      </c>
      <c r="E638" s="4">
        <v>13.71</v>
      </c>
      <c r="F638" s="1">
        <v>13.07</v>
      </c>
      <c r="G638" s="9">
        <v>-3.5000000000000001E-3</v>
      </c>
      <c r="H638" s="9">
        <v>-2.8E-3</v>
      </c>
      <c r="I638" s="9">
        <v>4.8000000000000001E-4</v>
      </c>
    </row>
    <row r="639" spans="1:10">
      <c r="A639" s="1" t="s">
        <v>802</v>
      </c>
      <c r="B639" s="1">
        <v>530</v>
      </c>
      <c r="C639" s="2">
        <v>49.34</v>
      </c>
      <c r="D639" s="3">
        <v>41.8</v>
      </c>
      <c r="E639" s="4">
        <v>13.41</v>
      </c>
      <c r="F639" s="1">
        <v>12.68</v>
      </c>
      <c r="G639" s="9">
        <v>-3.5000000000000001E-3</v>
      </c>
      <c r="H639" s="9">
        <v>-2.8E-3</v>
      </c>
      <c r="I639" s="9">
        <v>4.8000000000000001E-4</v>
      </c>
    </row>
    <row r="640" spans="1:10">
      <c r="A640" s="1" t="s">
        <v>803</v>
      </c>
      <c r="B640" s="1">
        <v>535</v>
      </c>
      <c r="C640" s="2">
        <v>49.42</v>
      </c>
      <c r="D640" s="3">
        <v>40.81</v>
      </c>
      <c r="E640" s="4">
        <v>13.79</v>
      </c>
      <c r="F640" s="1">
        <v>13.11</v>
      </c>
      <c r="G640" s="9">
        <v>-3.5000000000000001E-3</v>
      </c>
      <c r="H640" s="9">
        <v>-2.8E-3</v>
      </c>
      <c r="I640" s="9">
        <v>4.8000000000000001E-4</v>
      </c>
      <c r="J640" s="9">
        <v>0.15</v>
      </c>
    </row>
    <row r="641" spans="1:10">
      <c r="A641" s="1" t="s">
        <v>804</v>
      </c>
      <c r="B641" s="1">
        <f>B640*(1+J640)</f>
        <v>615.25</v>
      </c>
      <c r="C641" s="2">
        <f>C640</f>
        <v>49.42</v>
      </c>
      <c r="D641" s="3">
        <f>D640</f>
        <v>40.81</v>
      </c>
      <c r="E641" s="4">
        <f>E640*(1+J640)</f>
        <v>15.858499999999998</v>
      </c>
      <c r="F641" s="1">
        <f>F640*(1+J640)</f>
        <v>15.076499999999998</v>
      </c>
      <c r="G641" s="9">
        <f>G640</f>
        <v>-3.5000000000000001E-3</v>
      </c>
      <c r="H641" s="9">
        <f>H640</f>
        <v>-2.8E-3</v>
      </c>
      <c r="I641" s="9">
        <f>I640</f>
        <v>4.8000000000000001E-4</v>
      </c>
    </row>
    <row r="642" spans="1:10">
      <c r="A642" s="1" t="s">
        <v>805</v>
      </c>
      <c r="B642" s="1">
        <v>535</v>
      </c>
      <c r="C642" s="2">
        <v>49.34</v>
      </c>
      <c r="D642" s="3">
        <v>40.630000000000003</v>
      </c>
      <c r="E642" s="4">
        <v>13.79</v>
      </c>
      <c r="F642" s="1">
        <v>13.17</v>
      </c>
      <c r="G642" s="9">
        <v>-3.5000000000000001E-3</v>
      </c>
      <c r="H642" s="9">
        <v>-2.8E-3</v>
      </c>
      <c r="I642" s="9">
        <v>4.8000000000000001E-4</v>
      </c>
    </row>
    <row r="643" spans="1:10">
      <c r="A643" s="1" t="s">
        <v>806</v>
      </c>
      <c r="B643" s="1">
        <v>540</v>
      </c>
      <c r="C643" s="2">
        <v>49.73</v>
      </c>
      <c r="D643" s="3">
        <v>41.13</v>
      </c>
      <c r="E643" s="4">
        <v>13.89</v>
      </c>
      <c r="F643" s="1">
        <v>13.13</v>
      </c>
      <c r="G643" s="9">
        <v>-3.5000000000000001E-3</v>
      </c>
      <c r="H643" s="9">
        <v>-2.8E-3</v>
      </c>
      <c r="I643" s="9">
        <v>4.8000000000000001E-4</v>
      </c>
      <c r="J643" s="9">
        <v>0.25</v>
      </c>
    </row>
    <row r="644" spans="1:10">
      <c r="A644" s="1" t="s">
        <v>807</v>
      </c>
      <c r="B644" s="1">
        <f>B643*(1+J643)</f>
        <v>675</v>
      </c>
      <c r="C644" s="2">
        <f>C643</f>
        <v>49.73</v>
      </c>
      <c r="D644" s="3">
        <f>D643</f>
        <v>41.13</v>
      </c>
      <c r="E644" s="4">
        <f>E643*(1+J643)</f>
        <v>17.362500000000001</v>
      </c>
      <c r="F644" s="1">
        <f>F643*(1+J643)</f>
        <v>16.412500000000001</v>
      </c>
      <c r="G644" s="9">
        <f>G643</f>
        <v>-3.5000000000000001E-3</v>
      </c>
      <c r="H644" s="9">
        <f>H643</f>
        <v>-2.8E-3</v>
      </c>
      <c r="I644" s="9">
        <f>I643</f>
        <v>4.8000000000000001E-4</v>
      </c>
    </row>
    <row r="645" spans="1:10">
      <c r="A645" s="1" t="s">
        <v>808</v>
      </c>
      <c r="B645" s="1">
        <v>540</v>
      </c>
      <c r="C645" s="2">
        <v>49.26</v>
      </c>
      <c r="D645" s="3">
        <v>40.76</v>
      </c>
      <c r="E645" s="4">
        <v>13.93</v>
      </c>
      <c r="F645" s="1">
        <v>13.25</v>
      </c>
      <c r="G645" s="9">
        <v>-3.5000000000000001E-3</v>
      </c>
      <c r="H645" s="9">
        <v>-2.8E-3</v>
      </c>
      <c r="I645" s="9">
        <v>4.8000000000000001E-4</v>
      </c>
      <c r="J645" s="9">
        <v>0.2</v>
      </c>
    </row>
    <row r="646" spans="1:10">
      <c r="A646" s="1" t="s">
        <v>809</v>
      </c>
      <c r="B646" s="1">
        <f>B645*(1+J645)</f>
        <v>648</v>
      </c>
      <c r="C646" s="2">
        <f>C645</f>
        <v>49.26</v>
      </c>
      <c r="D646" s="3">
        <f>D645</f>
        <v>40.76</v>
      </c>
      <c r="E646" s="4">
        <f>E645*(1+J645)</f>
        <v>16.715999999999998</v>
      </c>
      <c r="F646" s="1">
        <f>F645*(1+J645)</f>
        <v>15.899999999999999</v>
      </c>
      <c r="G646" s="9">
        <f>G645</f>
        <v>-3.5000000000000001E-3</v>
      </c>
      <c r="H646" s="9">
        <f>H645</f>
        <v>-2.8E-3</v>
      </c>
      <c r="I646" s="9">
        <f>I645</f>
        <v>4.8000000000000001E-4</v>
      </c>
    </row>
    <row r="647" spans="1:10">
      <c r="A647" s="1" t="s">
        <v>810</v>
      </c>
      <c r="B647" s="1">
        <v>540</v>
      </c>
      <c r="C647" s="2">
        <v>49.42</v>
      </c>
      <c r="D647" s="3">
        <v>40.700000000000003</v>
      </c>
      <c r="E647" s="4">
        <v>13.85</v>
      </c>
      <c r="F647" s="1">
        <v>13.27</v>
      </c>
      <c r="G647" s="9">
        <v>-3.5000000000000001E-3</v>
      </c>
      <c r="H647" s="9">
        <v>-2.8E-3</v>
      </c>
      <c r="I647" s="9">
        <v>4.8000000000000001E-4</v>
      </c>
      <c r="J647" s="9">
        <v>0.15</v>
      </c>
    </row>
    <row r="648" spans="1:10">
      <c r="A648" s="1" t="s">
        <v>811</v>
      </c>
      <c r="B648" s="1">
        <f>B647*(1+J647)</f>
        <v>621</v>
      </c>
      <c r="C648" s="2">
        <f>C647</f>
        <v>49.42</v>
      </c>
      <c r="D648" s="3">
        <f>D647</f>
        <v>40.700000000000003</v>
      </c>
      <c r="E648" s="4">
        <f>E647*(1+J647)</f>
        <v>15.927499999999998</v>
      </c>
      <c r="F648" s="1">
        <f>F647*(1+J647)</f>
        <v>15.260499999999999</v>
      </c>
      <c r="G648" s="9">
        <f>G647</f>
        <v>-3.5000000000000001E-3</v>
      </c>
      <c r="H648" s="9">
        <f>H647</f>
        <v>-2.8E-3</v>
      </c>
      <c r="I648" s="9">
        <f>I647</f>
        <v>4.8000000000000001E-4</v>
      </c>
    </row>
    <row r="649" spans="1:10">
      <c r="A649" s="1" t="s">
        <v>812</v>
      </c>
      <c r="B649" s="1">
        <v>545</v>
      </c>
      <c r="C649" s="2">
        <v>49.92</v>
      </c>
      <c r="D649" s="3">
        <v>41.32</v>
      </c>
      <c r="E649" s="4">
        <v>13.95</v>
      </c>
      <c r="F649" s="1">
        <v>13.19</v>
      </c>
      <c r="G649" s="9">
        <v>-3.5000000000000001E-3</v>
      </c>
      <c r="H649" s="9">
        <v>-2.8E-3</v>
      </c>
      <c r="I649" s="9">
        <v>4.8000000000000001E-4</v>
      </c>
      <c r="J649" s="9">
        <v>0.25</v>
      </c>
    </row>
    <row r="650" spans="1:10">
      <c r="A650" s="1" t="s">
        <v>813</v>
      </c>
      <c r="B650" s="1">
        <f>B649*(1+J649)</f>
        <v>681.25</v>
      </c>
      <c r="C650" s="2">
        <f>C649</f>
        <v>49.92</v>
      </c>
      <c r="D650" s="3">
        <f>D649</f>
        <v>41.32</v>
      </c>
      <c r="E650" s="4">
        <f>E649*(1+J649)</f>
        <v>17.4375</v>
      </c>
      <c r="F650" s="1">
        <f>F649*(1+J649)</f>
        <v>16.487500000000001</v>
      </c>
      <c r="G650" s="9">
        <f>G649</f>
        <v>-3.5000000000000001E-3</v>
      </c>
      <c r="H650" s="9">
        <f>H649</f>
        <v>-2.8E-3</v>
      </c>
      <c r="I650" s="9">
        <f>I649</f>
        <v>4.8000000000000001E-4</v>
      </c>
    </row>
    <row r="651" spans="1:10">
      <c r="A651" s="1" t="s">
        <v>814</v>
      </c>
      <c r="B651" s="1">
        <v>545</v>
      </c>
      <c r="C651" s="2">
        <v>49.92</v>
      </c>
      <c r="D651" s="3">
        <v>41.32</v>
      </c>
      <c r="E651" s="4">
        <v>13.95</v>
      </c>
      <c r="F651" s="1">
        <v>13.19</v>
      </c>
      <c r="G651" s="9">
        <v>-3.5000000000000001E-3</v>
      </c>
      <c r="H651" s="9">
        <v>-2.8E-3</v>
      </c>
      <c r="I651" s="9">
        <v>4.8000000000000001E-4</v>
      </c>
      <c r="J651" s="9">
        <v>0.25</v>
      </c>
    </row>
    <row r="652" spans="1:10">
      <c r="A652" s="1" t="s">
        <v>815</v>
      </c>
      <c r="B652" s="1">
        <f>B651*(1+J651)</f>
        <v>681.25</v>
      </c>
      <c r="C652" s="2">
        <f>C651</f>
        <v>49.92</v>
      </c>
      <c r="D652" s="3">
        <f>D651</f>
        <v>41.32</v>
      </c>
      <c r="E652" s="4">
        <f>E651*(1+J651)</f>
        <v>17.4375</v>
      </c>
      <c r="F652" s="1">
        <f>F651*(1+J651)</f>
        <v>16.487500000000001</v>
      </c>
      <c r="G652" s="9">
        <f>G651</f>
        <v>-3.5000000000000001E-3</v>
      </c>
      <c r="H652" s="9">
        <f>H651</f>
        <v>-2.8E-3</v>
      </c>
      <c r="I652" s="9">
        <f>I651</f>
        <v>4.8000000000000001E-4</v>
      </c>
    </row>
    <row r="653" spans="1:10">
      <c r="A653" s="1" t="s">
        <v>816</v>
      </c>
      <c r="B653" s="1">
        <v>545</v>
      </c>
      <c r="C653" s="2">
        <v>49.52</v>
      </c>
      <c r="D653" s="3">
        <v>40.799999999999997</v>
      </c>
      <c r="E653" s="4">
        <v>13.94</v>
      </c>
      <c r="F653" s="1">
        <v>13.36</v>
      </c>
      <c r="G653" s="9">
        <v>-3.5000000000000001E-3</v>
      </c>
      <c r="H653" s="9">
        <v>-2.8E-3</v>
      </c>
      <c r="I653" s="9">
        <v>4.8000000000000001E-4</v>
      </c>
    </row>
    <row r="654" spans="1:10">
      <c r="A654" s="1" t="s">
        <v>817</v>
      </c>
      <c r="B654" s="1">
        <v>550</v>
      </c>
      <c r="C654" s="2">
        <v>49.62</v>
      </c>
      <c r="D654" s="3">
        <v>40.9</v>
      </c>
      <c r="E654" s="4">
        <v>14.03</v>
      </c>
      <c r="F654" s="1">
        <v>13.45</v>
      </c>
      <c r="G654" s="9">
        <v>-3.5000000000000001E-3</v>
      </c>
      <c r="H654" s="9">
        <v>-2.8E-3</v>
      </c>
      <c r="I654" s="9">
        <v>4.8000000000000001E-4</v>
      </c>
    </row>
    <row r="655" spans="1:10">
      <c r="A655" s="1" t="s">
        <v>818</v>
      </c>
      <c r="B655" s="1">
        <v>555</v>
      </c>
      <c r="C655" s="2">
        <v>50.34</v>
      </c>
      <c r="D655" s="3">
        <v>41.64</v>
      </c>
      <c r="E655" s="4">
        <v>14.07</v>
      </c>
      <c r="F655" s="1">
        <v>13.33</v>
      </c>
      <c r="G655" s="9">
        <v>-3.0000000000000001E-3</v>
      </c>
      <c r="H655" s="9">
        <v>-2.5000000000000001E-3</v>
      </c>
      <c r="I655" s="9">
        <v>4.6000000000000001E-4</v>
      </c>
    </row>
    <row r="656" spans="1:10">
      <c r="A656" s="1" t="s">
        <v>819</v>
      </c>
      <c r="B656" s="1">
        <v>560</v>
      </c>
      <c r="C656" s="2">
        <v>52.85</v>
      </c>
      <c r="D656" s="3">
        <v>43.65</v>
      </c>
      <c r="E656" s="4">
        <v>13.51</v>
      </c>
      <c r="F656" s="1">
        <v>12.85</v>
      </c>
      <c r="G656" s="9">
        <v>-3.5000000000000001E-3</v>
      </c>
      <c r="H656" s="9">
        <v>-2.8E-3</v>
      </c>
      <c r="I656" s="9">
        <v>4.8000000000000001E-4</v>
      </c>
    </row>
    <row r="657" spans="1:10">
      <c r="A657" s="1" t="s">
        <v>820</v>
      </c>
      <c r="B657" s="1">
        <v>560</v>
      </c>
      <c r="C657" s="2">
        <v>50.67</v>
      </c>
      <c r="D657" s="3">
        <v>41.95</v>
      </c>
      <c r="E657" s="4">
        <v>14.13</v>
      </c>
      <c r="F657" s="1">
        <v>13.35</v>
      </c>
      <c r="G657" s="9">
        <f>G654</f>
        <v>-3.5000000000000001E-3</v>
      </c>
      <c r="H657" s="9">
        <f>H654</f>
        <v>-2.8E-3</v>
      </c>
      <c r="I657" s="9">
        <f>I654</f>
        <v>4.8000000000000001E-4</v>
      </c>
      <c r="J657" s="9">
        <v>0.25</v>
      </c>
    </row>
    <row r="658" spans="1:10">
      <c r="A658" s="1" t="s">
        <v>821</v>
      </c>
      <c r="B658" s="1">
        <f>B657*(1+J657)</f>
        <v>700</v>
      </c>
      <c r="C658" s="2">
        <f>C657</f>
        <v>50.67</v>
      </c>
      <c r="D658" s="3">
        <f>D657</f>
        <v>41.95</v>
      </c>
      <c r="E658" s="4">
        <f>E657*(1+J657)</f>
        <v>17.662500000000001</v>
      </c>
      <c r="F658" s="1">
        <f>F657*(1+J657)</f>
        <v>16.6875</v>
      </c>
      <c r="G658" s="9">
        <f>G657</f>
        <v>-3.5000000000000001E-3</v>
      </c>
      <c r="H658" s="9">
        <f>H657</f>
        <v>-2.8E-3</v>
      </c>
      <c r="I658" s="9">
        <f>I657</f>
        <v>4.8000000000000001E-4</v>
      </c>
    </row>
    <row r="659" spans="1:10">
      <c r="A659" s="1" t="s">
        <v>822</v>
      </c>
      <c r="B659" s="1">
        <v>560</v>
      </c>
      <c r="C659" s="2">
        <v>50.47</v>
      </c>
      <c r="D659" s="3">
        <v>41.77</v>
      </c>
      <c r="E659" s="4">
        <v>14.15</v>
      </c>
      <c r="F659" s="1">
        <v>13.41</v>
      </c>
      <c r="G659" s="9">
        <v>-3.0000000000000001E-3</v>
      </c>
      <c r="H659" s="9">
        <v>-2.5000000000000001E-3</v>
      </c>
      <c r="I659" s="9">
        <v>4.6000000000000001E-4</v>
      </c>
      <c r="J659" s="9">
        <v>0.15</v>
      </c>
    </row>
    <row r="660" spans="1:10">
      <c r="A660" s="1" t="s">
        <v>823</v>
      </c>
      <c r="B660" s="1">
        <f>B659*(1+J659)</f>
        <v>644</v>
      </c>
      <c r="C660" s="2">
        <f>C659</f>
        <v>50.47</v>
      </c>
      <c r="D660" s="3">
        <f>D659</f>
        <v>41.77</v>
      </c>
      <c r="E660" s="4">
        <f>E659*(1+J659)</f>
        <v>16.272500000000001</v>
      </c>
      <c r="F660" s="1">
        <f>F659*(1+J659)</f>
        <v>15.421499999999998</v>
      </c>
      <c r="G660" s="9">
        <f>G659</f>
        <v>-3.0000000000000001E-3</v>
      </c>
      <c r="H660" s="9">
        <f>H659</f>
        <v>-2.5000000000000001E-3</v>
      </c>
      <c r="I660" s="9">
        <f>I659</f>
        <v>4.6000000000000001E-4</v>
      </c>
    </row>
    <row r="661" spans="1:10">
      <c r="A661" s="1" t="s">
        <v>824</v>
      </c>
      <c r="B661" s="1">
        <v>560</v>
      </c>
      <c r="C661" s="2">
        <v>50.47</v>
      </c>
      <c r="D661" s="3">
        <v>41.77</v>
      </c>
      <c r="E661" s="4">
        <v>14.15</v>
      </c>
      <c r="F661" s="1">
        <v>41.77</v>
      </c>
      <c r="G661" s="9">
        <v>-3.0000000000000001E-3</v>
      </c>
      <c r="H661" s="9">
        <v>-2.5000000000000001E-3</v>
      </c>
      <c r="I661" s="9">
        <v>4.6000000000000001E-4</v>
      </c>
    </row>
    <row r="662" spans="1:10">
      <c r="A662" s="1" t="s">
        <v>825</v>
      </c>
      <c r="B662" s="1">
        <v>565</v>
      </c>
      <c r="C662" s="2">
        <v>50.6</v>
      </c>
      <c r="D662" s="3">
        <v>41.92</v>
      </c>
      <c r="E662" s="4">
        <v>14.23</v>
      </c>
      <c r="F662" s="1">
        <v>13.48</v>
      </c>
      <c r="G662" s="9">
        <v>-3.0000000000000001E-3</v>
      </c>
      <c r="H662" s="9">
        <v>-2.5000000000000001E-3</v>
      </c>
      <c r="I662" s="9">
        <v>4.6000000000000001E-4</v>
      </c>
    </row>
    <row r="663" spans="1:10">
      <c r="A663" s="1" t="s">
        <v>826</v>
      </c>
      <c r="B663" s="1">
        <v>565</v>
      </c>
      <c r="C663" s="2">
        <v>52.97</v>
      </c>
      <c r="D663" s="3">
        <v>43.77</v>
      </c>
      <c r="E663" s="4">
        <v>13.59</v>
      </c>
      <c r="F663" s="1">
        <v>12.91</v>
      </c>
      <c r="G663" s="9">
        <v>-3.5000000000000001E-3</v>
      </c>
      <c r="H663" s="9">
        <f>H662</f>
        <v>-2.5000000000000001E-3</v>
      </c>
      <c r="I663" s="9">
        <f>I662</f>
        <v>4.6000000000000001E-4</v>
      </c>
      <c r="J663" s="9">
        <v>0.25</v>
      </c>
    </row>
    <row r="664" spans="1:10">
      <c r="A664" s="1" t="s">
        <v>827</v>
      </c>
      <c r="B664" s="1">
        <f>B663*(1+J663)</f>
        <v>706.25</v>
      </c>
      <c r="C664" s="2">
        <v>52.97</v>
      </c>
      <c r="D664" s="3">
        <v>43.77</v>
      </c>
      <c r="E664" s="4">
        <f>E663*(1+J663)</f>
        <v>16.987500000000001</v>
      </c>
      <c r="F664" s="1">
        <f>F663*(1+J663)</f>
        <v>16.137499999999999</v>
      </c>
      <c r="G664" s="9">
        <v>-3.5000000000000001E-3</v>
      </c>
      <c r="H664" s="9">
        <f>H663</f>
        <v>-2.5000000000000001E-3</v>
      </c>
      <c r="I664" s="9">
        <f>I663</f>
        <v>4.6000000000000001E-4</v>
      </c>
    </row>
    <row r="665" spans="1:10">
      <c r="A665" s="1" t="s">
        <v>828</v>
      </c>
      <c r="B665" s="1">
        <v>565</v>
      </c>
      <c r="C665" s="2">
        <v>52.97</v>
      </c>
      <c r="D665" s="3">
        <v>43.77</v>
      </c>
      <c r="E665" s="4">
        <v>13.59</v>
      </c>
      <c r="F665" s="1">
        <v>12.91</v>
      </c>
      <c r="G665" s="9">
        <v>-3.5000000000000001E-3</v>
      </c>
      <c r="H665" s="9">
        <v>-2.8E-3</v>
      </c>
      <c r="I665" s="9">
        <v>4.8000000000000001E-4</v>
      </c>
    </row>
    <row r="666" spans="1:10">
      <c r="A666" s="1" t="s">
        <v>829</v>
      </c>
      <c r="B666" s="1">
        <v>565</v>
      </c>
      <c r="C666" s="2">
        <v>50.87</v>
      </c>
      <c r="D666" s="3">
        <v>42.14</v>
      </c>
      <c r="E666" s="4">
        <v>14.19</v>
      </c>
      <c r="F666" s="1">
        <v>13.41</v>
      </c>
      <c r="G666" s="9">
        <f>G663</f>
        <v>-3.5000000000000001E-3</v>
      </c>
      <c r="H666" s="9">
        <f>H663</f>
        <v>-2.5000000000000001E-3</v>
      </c>
      <c r="I666" s="9">
        <f>I663</f>
        <v>4.6000000000000001E-4</v>
      </c>
      <c r="J666" s="9">
        <v>0.25</v>
      </c>
    </row>
    <row r="667" spans="1:10">
      <c r="A667" s="1" t="s">
        <v>830</v>
      </c>
      <c r="B667" s="1">
        <f>B666*(1+J666)</f>
        <v>706.25</v>
      </c>
      <c r="C667" s="2">
        <f>C666</f>
        <v>50.87</v>
      </c>
      <c r="D667" s="3">
        <f>D666</f>
        <v>42.14</v>
      </c>
      <c r="E667" s="4">
        <f>E666*(1+J666)</f>
        <v>17.737500000000001</v>
      </c>
      <c r="F667" s="1">
        <f>F666*(1+J666)</f>
        <v>16.762499999999999</v>
      </c>
      <c r="G667" s="9">
        <f>G666</f>
        <v>-3.5000000000000001E-3</v>
      </c>
      <c r="H667" s="9">
        <f>H666</f>
        <v>-2.5000000000000001E-3</v>
      </c>
      <c r="I667" s="9">
        <f>I666</f>
        <v>4.6000000000000001E-4</v>
      </c>
    </row>
    <row r="668" spans="1:10">
      <c r="A668" s="1" t="s">
        <v>831</v>
      </c>
      <c r="B668" s="1">
        <v>565</v>
      </c>
      <c r="C668" s="2">
        <v>50.6</v>
      </c>
      <c r="D668" s="3">
        <v>41.92</v>
      </c>
      <c r="E668" s="4">
        <v>14.23</v>
      </c>
      <c r="F668" s="1">
        <v>13.48</v>
      </c>
      <c r="G668" s="9">
        <v>-3.0000000000000001E-3</v>
      </c>
      <c r="H668" s="9">
        <v>-2.5000000000000001E-3</v>
      </c>
      <c r="I668" s="9">
        <v>4.6000000000000001E-4</v>
      </c>
    </row>
    <row r="669" spans="1:10">
      <c r="A669" s="1" t="s">
        <v>832</v>
      </c>
      <c r="B669" s="1">
        <v>570</v>
      </c>
      <c r="C669" s="2">
        <v>53.1</v>
      </c>
      <c r="D669" s="3">
        <v>44.6</v>
      </c>
      <c r="E669" s="4">
        <v>13.6</v>
      </c>
      <c r="F669" s="1">
        <v>12.78</v>
      </c>
      <c r="G669" s="9">
        <v>-3.5000000000000001E-3</v>
      </c>
      <c r="H669" s="9">
        <v>-2.8E-3</v>
      </c>
      <c r="I669" s="9">
        <v>4.8000000000000001E-4</v>
      </c>
      <c r="J669" s="9">
        <v>0.1</v>
      </c>
    </row>
    <row r="670" spans="1:10">
      <c r="A670" s="1" t="s">
        <v>833</v>
      </c>
      <c r="B670" s="1">
        <f>B669*(1+J669)</f>
        <v>627</v>
      </c>
      <c r="C670" s="2">
        <v>53.1</v>
      </c>
      <c r="D670" s="3">
        <v>44.6</v>
      </c>
      <c r="E670" s="1">
        <f>E669*(1+J669)</f>
        <v>14.96</v>
      </c>
      <c r="F670" s="1">
        <f>F669*(1+J669)</f>
        <v>14.058</v>
      </c>
      <c r="G670" s="9">
        <v>-3.5000000000000001E-3</v>
      </c>
      <c r="H670" s="9">
        <v>-2.8E-3</v>
      </c>
      <c r="I670" s="9">
        <v>4.8000000000000001E-4</v>
      </c>
    </row>
    <row r="671" spans="1:10">
      <c r="A671" s="1" t="s">
        <v>834</v>
      </c>
      <c r="B671" s="1">
        <v>570</v>
      </c>
      <c r="C671" s="2">
        <v>53.1</v>
      </c>
      <c r="D671" s="3">
        <v>44.55</v>
      </c>
      <c r="E671" s="4">
        <v>13.66</v>
      </c>
      <c r="F671" s="1">
        <v>12.8</v>
      </c>
      <c r="G671" s="9">
        <v>-3.5000000000000001E-3</v>
      </c>
      <c r="H671" s="9">
        <v>-2.8E-3</v>
      </c>
      <c r="I671" s="9">
        <v>4.8000000000000001E-4</v>
      </c>
    </row>
    <row r="672" spans="1:10">
      <c r="A672" s="1" t="s">
        <v>835</v>
      </c>
      <c r="B672" s="1">
        <v>570</v>
      </c>
      <c r="C672" s="2">
        <v>51.07</v>
      </c>
      <c r="D672" s="3">
        <v>42.29</v>
      </c>
      <c r="E672" s="4">
        <v>14.25</v>
      </c>
      <c r="F672" s="1">
        <v>13.48</v>
      </c>
      <c r="G672" s="9">
        <v>-3.0000000000000001E-3</v>
      </c>
      <c r="H672" s="9">
        <v>-2.5000000000000001E-3</v>
      </c>
      <c r="I672" s="9">
        <v>4.6000000000000001E-4</v>
      </c>
      <c r="J672" s="9">
        <v>0.25</v>
      </c>
    </row>
    <row r="673" spans="1:11">
      <c r="A673" s="1" t="s">
        <v>836</v>
      </c>
      <c r="B673" s="1">
        <f>B672*(1+J672)</f>
        <v>712.5</v>
      </c>
      <c r="C673" s="2">
        <f>C672</f>
        <v>51.07</v>
      </c>
      <c r="D673" s="3">
        <f>D672</f>
        <v>42.29</v>
      </c>
      <c r="E673" s="4">
        <f>E672*(1+J672)</f>
        <v>17.8125</v>
      </c>
      <c r="F673" s="1">
        <f>F672*(1+J672)</f>
        <v>16.850000000000001</v>
      </c>
      <c r="G673" s="9">
        <f>G672</f>
        <v>-3.0000000000000001E-3</v>
      </c>
      <c r="H673" s="9">
        <f>H672</f>
        <v>-2.5000000000000001E-3</v>
      </c>
      <c r="I673" s="9">
        <f>I672</f>
        <v>4.6000000000000001E-4</v>
      </c>
    </row>
    <row r="674" spans="1:11">
      <c r="A674" s="1" t="s">
        <v>837</v>
      </c>
      <c r="B674" s="1">
        <v>570</v>
      </c>
      <c r="C674" s="2">
        <v>50.74</v>
      </c>
      <c r="D674" s="3">
        <v>42.07</v>
      </c>
      <c r="E674" s="4">
        <v>14.31</v>
      </c>
      <c r="F674" s="1">
        <v>13.55</v>
      </c>
      <c r="G674" s="9">
        <v>-3.0000000000000001E-3</v>
      </c>
      <c r="H674" s="9">
        <v>-2.5000000000000001E-3</v>
      </c>
      <c r="I674" s="9">
        <v>4.6000000000000001E-4</v>
      </c>
    </row>
    <row r="675" spans="1:11">
      <c r="A675" s="1" t="s">
        <v>838</v>
      </c>
      <c r="B675" s="1">
        <v>575</v>
      </c>
      <c r="C675" s="2">
        <v>53.2</v>
      </c>
      <c r="D675" s="3">
        <v>44.67</v>
      </c>
      <c r="E675" s="4">
        <v>13.74</v>
      </c>
      <c r="F675" s="1">
        <v>12.88</v>
      </c>
      <c r="G675" s="9">
        <v>-3.5000000000000001E-3</v>
      </c>
      <c r="H675" s="9">
        <v>-2.8E-3</v>
      </c>
      <c r="I675" s="9">
        <v>4.8000000000000001E-4</v>
      </c>
    </row>
    <row r="676" spans="1:11">
      <c r="A676" s="1" t="s">
        <v>839</v>
      </c>
      <c r="B676" s="1">
        <v>575</v>
      </c>
      <c r="C676" s="2">
        <v>51.27</v>
      </c>
      <c r="D676" s="3">
        <v>42.44</v>
      </c>
      <c r="E676" s="4">
        <v>14.31</v>
      </c>
      <c r="F676" s="1">
        <v>13.55</v>
      </c>
      <c r="G676" s="9">
        <v>-3.0000000000000001E-3</v>
      </c>
      <c r="H676" s="9">
        <v>-2.5000000000000001E-3</v>
      </c>
      <c r="I676" s="9">
        <v>4.6000000000000001E-4</v>
      </c>
      <c r="J676" s="9">
        <v>0.25</v>
      </c>
    </row>
    <row r="677" spans="1:11">
      <c r="A677" s="1" t="s">
        <v>840</v>
      </c>
      <c r="B677" s="1">
        <f>B676*(1+J676)</f>
        <v>718.75</v>
      </c>
      <c r="C677" s="2">
        <f>C676</f>
        <v>51.27</v>
      </c>
      <c r="D677" s="3">
        <f>D676</f>
        <v>42.44</v>
      </c>
      <c r="E677" s="4">
        <f>E676*(1+J676)</f>
        <v>17.887499999999999</v>
      </c>
      <c r="F677" s="1">
        <f>F676*(1+J676)</f>
        <v>16.9375</v>
      </c>
      <c r="G677" s="9">
        <f>G676</f>
        <v>-3.0000000000000001E-3</v>
      </c>
      <c r="H677" s="9">
        <f>H676</f>
        <v>-2.5000000000000001E-3</v>
      </c>
      <c r="I677" s="9">
        <f>I676</f>
        <v>4.6000000000000001E-4</v>
      </c>
    </row>
    <row r="678" spans="1:11">
      <c r="A678" s="1" t="s">
        <v>841</v>
      </c>
      <c r="B678" s="1">
        <v>575</v>
      </c>
      <c r="C678" s="2">
        <v>50.88</v>
      </c>
      <c r="D678" s="3">
        <v>42.22</v>
      </c>
      <c r="E678" s="4">
        <v>14.39</v>
      </c>
      <c r="F678" s="1">
        <v>13.62</v>
      </c>
      <c r="G678" s="9">
        <v>-3.0000000000000001E-3</v>
      </c>
      <c r="H678" s="9">
        <v>-2.5000000000000001E-3</v>
      </c>
      <c r="I678" s="9">
        <v>4.6000000000000001E-4</v>
      </c>
    </row>
    <row r="679" spans="1:11">
      <c r="A679" s="1" t="s">
        <v>842</v>
      </c>
      <c r="B679" s="1">
        <v>580</v>
      </c>
      <c r="C679" s="2">
        <v>53.3</v>
      </c>
      <c r="D679" s="3">
        <v>44.78</v>
      </c>
      <c r="E679" s="4">
        <v>13.82</v>
      </c>
      <c r="F679" s="1">
        <v>12.96</v>
      </c>
      <c r="G679" s="9">
        <v>-3.5000000000000001E-3</v>
      </c>
      <c r="H679" s="9">
        <v>-2.8E-3</v>
      </c>
      <c r="I679" s="9">
        <v>4.8000000000000001E-4</v>
      </c>
    </row>
    <row r="680" spans="1:11">
      <c r="A680" s="1" t="s">
        <v>843</v>
      </c>
      <c r="B680" s="1">
        <v>580</v>
      </c>
      <c r="C680" s="2">
        <v>51.47</v>
      </c>
      <c r="D680" s="3">
        <v>42.59</v>
      </c>
      <c r="E680" s="4">
        <v>14.37</v>
      </c>
      <c r="F680" s="1">
        <v>13.62</v>
      </c>
      <c r="G680" s="9">
        <v>-3.0000000000000001E-3</v>
      </c>
      <c r="H680" s="9">
        <v>-2.5000000000000001E-3</v>
      </c>
      <c r="I680" s="9">
        <v>4.6000000000000001E-4</v>
      </c>
      <c r="J680" s="9">
        <v>0.25</v>
      </c>
    </row>
    <row r="681" spans="1:11">
      <c r="A681" s="1" t="s">
        <v>844</v>
      </c>
      <c r="B681" s="1">
        <f>B680*(1+J680)</f>
        <v>725</v>
      </c>
      <c r="C681" s="2">
        <f>C680</f>
        <v>51.47</v>
      </c>
      <c r="D681" s="3">
        <f>D680</f>
        <v>42.59</v>
      </c>
      <c r="E681" s="4">
        <f>E680*(1+J680)</f>
        <v>17.962499999999999</v>
      </c>
      <c r="F681" s="1">
        <f>F680*(1+J680)</f>
        <v>17.024999999999999</v>
      </c>
      <c r="G681" s="9">
        <f>G680</f>
        <v>-3.0000000000000001E-3</v>
      </c>
      <c r="H681" s="9">
        <f>H680</f>
        <v>-2.5000000000000001E-3</v>
      </c>
      <c r="I681" s="9">
        <f>I680</f>
        <v>4.6000000000000001E-4</v>
      </c>
    </row>
    <row r="682" spans="1:11">
      <c r="A682" s="1" t="s">
        <v>845</v>
      </c>
      <c r="B682" s="1">
        <v>580</v>
      </c>
      <c r="C682" s="2">
        <v>51.02</v>
      </c>
      <c r="D682" s="3">
        <v>42.37</v>
      </c>
      <c r="E682" s="4">
        <v>14.47</v>
      </c>
      <c r="F682" s="1">
        <v>13.69</v>
      </c>
      <c r="G682" s="9">
        <v>-3.0000000000000001E-3</v>
      </c>
      <c r="H682" s="9">
        <v>-2.5000000000000001E-3</v>
      </c>
      <c r="I682" s="9">
        <v>4.6000000000000001E-4</v>
      </c>
    </row>
    <row r="683" spans="1:11">
      <c r="A683" s="1" t="s">
        <v>846</v>
      </c>
      <c r="B683" s="1">
        <v>585</v>
      </c>
      <c r="C683" s="2">
        <v>53.42</v>
      </c>
      <c r="D683" s="3">
        <v>44.22</v>
      </c>
      <c r="E683" s="4">
        <v>13.91</v>
      </c>
      <c r="F683" s="1">
        <v>13.23</v>
      </c>
      <c r="G683" s="9">
        <v>-3.5000000000000001E-3</v>
      </c>
      <c r="H683" s="9">
        <v>-2.8E-3</v>
      </c>
      <c r="I683" s="9">
        <v>4.8000000000000001E-4</v>
      </c>
      <c r="K683" s="5">
        <v>3</v>
      </c>
    </row>
    <row r="684" spans="1:11">
      <c r="A684" s="1" t="s">
        <v>847</v>
      </c>
      <c r="B684" s="1">
        <v>585</v>
      </c>
      <c r="C684" s="2">
        <v>52.7</v>
      </c>
      <c r="D684" s="3">
        <v>44.02</v>
      </c>
      <c r="E684" s="4">
        <v>14.01</v>
      </c>
      <c r="F684" s="1">
        <v>13.29</v>
      </c>
      <c r="G684" s="9">
        <v>-2.8999999999999998E-3</v>
      </c>
      <c r="H684" s="9">
        <v>-2.5000000000000001E-3</v>
      </c>
      <c r="I684" s="9">
        <v>4.4999999999999999E-4</v>
      </c>
      <c r="J684" s="9">
        <v>0.25</v>
      </c>
    </row>
    <row r="685" spans="1:11">
      <c r="A685" s="1" t="s">
        <v>848</v>
      </c>
      <c r="B685" s="1">
        <f>B684*(1+J684)</f>
        <v>731.25</v>
      </c>
      <c r="C685" s="2">
        <f>C684</f>
        <v>52.7</v>
      </c>
      <c r="D685" s="3">
        <f>D684</f>
        <v>44.02</v>
      </c>
      <c r="E685" s="4">
        <f>E684*(1+J684)</f>
        <v>17.512499999999999</v>
      </c>
      <c r="F685" s="1">
        <f>F684*(1+J684)</f>
        <v>16.612499999999997</v>
      </c>
      <c r="G685" s="9">
        <f>G684</f>
        <v>-2.8999999999999998E-3</v>
      </c>
      <c r="H685" s="9">
        <f>H684</f>
        <v>-2.5000000000000001E-3</v>
      </c>
      <c r="I685" s="9">
        <f>I684</f>
        <v>4.4999999999999999E-4</v>
      </c>
    </row>
    <row r="686" spans="1:11">
      <c r="A686" s="1" t="s">
        <v>849</v>
      </c>
      <c r="B686" s="1">
        <v>585</v>
      </c>
      <c r="C686" s="2">
        <v>51.16</v>
      </c>
      <c r="D686" s="3">
        <v>42.52</v>
      </c>
      <c r="E686" s="4">
        <v>14.55</v>
      </c>
      <c r="F686" s="1">
        <v>13.76</v>
      </c>
      <c r="G686" s="9">
        <v>-3.0000000000000001E-3</v>
      </c>
      <c r="H686" s="9">
        <v>-2.5000000000000001E-3</v>
      </c>
      <c r="I686" s="9">
        <v>4.6000000000000001E-4</v>
      </c>
    </row>
    <row r="687" spans="1:11">
      <c r="A687" s="1" t="s">
        <v>850</v>
      </c>
      <c r="B687" s="1">
        <v>590</v>
      </c>
      <c r="C687" s="2">
        <v>51.3</v>
      </c>
      <c r="D687" s="3">
        <v>42.67</v>
      </c>
      <c r="E687" s="4">
        <v>14.63</v>
      </c>
      <c r="F687" s="1">
        <v>13.83</v>
      </c>
      <c r="G687" s="9">
        <v>-3.5000000000000001E-3</v>
      </c>
      <c r="H687" s="9">
        <v>-2.8E-3</v>
      </c>
      <c r="I687" s="9">
        <v>4.8000000000000001E-4</v>
      </c>
    </row>
    <row r="688" spans="1:11">
      <c r="A688" s="1" t="s">
        <v>851</v>
      </c>
      <c r="B688" s="1">
        <v>590</v>
      </c>
      <c r="C688" s="2">
        <v>52.63</v>
      </c>
      <c r="D688" s="3">
        <v>43.71</v>
      </c>
      <c r="E688" s="4">
        <v>14.13</v>
      </c>
      <c r="F688" s="1">
        <v>13.5</v>
      </c>
      <c r="G688" s="9">
        <v>-2.8999999999999998E-3</v>
      </c>
      <c r="H688" s="9">
        <v>-2.5000000000000001E-3</v>
      </c>
      <c r="I688" s="9">
        <v>4.4999999999999999E-4</v>
      </c>
    </row>
    <row r="689" spans="1:10">
      <c r="A689" s="1" t="s">
        <v>852</v>
      </c>
      <c r="B689" s="1">
        <v>595</v>
      </c>
      <c r="C689" s="2">
        <v>52.79</v>
      </c>
      <c r="D689" s="3">
        <v>43.88</v>
      </c>
      <c r="E689" s="4">
        <v>14.19</v>
      </c>
      <c r="F689" s="1">
        <v>13.56</v>
      </c>
      <c r="G689" s="9">
        <v>-2.8999999999999998E-3</v>
      </c>
      <c r="H689" s="9">
        <v>-2.5000000000000001E-3</v>
      </c>
      <c r="I689" s="9">
        <v>4.4999999999999999E-4</v>
      </c>
    </row>
    <row r="690" spans="1:10">
      <c r="A690" s="1" t="s">
        <v>853</v>
      </c>
      <c r="B690" s="1">
        <v>595</v>
      </c>
      <c r="C690" s="2">
        <v>53.1</v>
      </c>
      <c r="D690" s="3">
        <v>44.31</v>
      </c>
      <c r="E690" s="4">
        <v>14.13</v>
      </c>
      <c r="F690" s="1">
        <v>13.43</v>
      </c>
      <c r="G690" s="9">
        <v>-2.8999999999999998E-3</v>
      </c>
      <c r="H690" s="9">
        <v>-2.5000000000000001E-3</v>
      </c>
      <c r="I690" s="9">
        <v>4.6000000000000001E-4</v>
      </c>
      <c r="J690" s="9">
        <v>0.15</v>
      </c>
    </row>
    <row r="691" spans="1:10">
      <c r="A691" s="1" t="s">
        <v>854</v>
      </c>
      <c r="B691" s="1">
        <f>B690*(1+J690)</f>
        <v>684.25</v>
      </c>
      <c r="C691" s="2">
        <f>C690</f>
        <v>53.1</v>
      </c>
      <c r="D691" s="3">
        <f>D690</f>
        <v>44.31</v>
      </c>
      <c r="E691" s="4">
        <f>E690*(1+J690)</f>
        <v>16.249500000000001</v>
      </c>
      <c r="F691" s="1">
        <f>F690*(1+J690)</f>
        <v>15.444499999999998</v>
      </c>
      <c r="G691" s="9">
        <f>G690</f>
        <v>-2.8999999999999998E-3</v>
      </c>
      <c r="H691" s="9">
        <f>H690</f>
        <v>-2.5000000000000001E-3</v>
      </c>
      <c r="I691" s="9">
        <f>I690</f>
        <v>4.6000000000000001E-4</v>
      </c>
    </row>
    <row r="692" spans="1:10">
      <c r="A692" s="1" t="s">
        <v>855</v>
      </c>
      <c r="B692" s="1">
        <v>630</v>
      </c>
      <c r="C692" s="2">
        <v>56.7</v>
      </c>
      <c r="D692" s="3">
        <v>47.3</v>
      </c>
      <c r="E692" s="4">
        <v>13.98</v>
      </c>
      <c r="F692" s="1">
        <v>13.32</v>
      </c>
      <c r="G692" s="9">
        <v>-2.8999999999999998E-3</v>
      </c>
      <c r="H692" s="9">
        <v>-2.5000000000000001E-3</v>
      </c>
      <c r="I692" s="9">
        <v>4.4999999999999999E-4</v>
      </c>
    </row>
    <row r="693" spans="1:10">
      <c r="A693" s="1" t="s">
        <v>856</v>
      </c>
      <c r="B693" s="1">
        <v>600</v>
      </c>
      <c r="C693" s="2">
        <v>53.3</v>
      </c>
      <c r="D693" s="3">
        <v>44.45</v>
      </c>
      <c r="E693" s="4">
        <v>14.19</v>
      </c>
      <c r="F693" s="1">
        <v>13.5</v>
      </c>
      <c r="G693" s="9">
        <v>-2.8999999999999998E-3</v>
      </c>
      <c r="H693" s="9">
        <v>-2.5000000000000001E-3</v>
      </c>
      <c r="I693" s="9">
        <v>4.4999999999999999E-4</v>
      </c>
    </row>
    <row r="694" spans="1:10">
      <c r="A694" s="1" t="s">
        <v>857</v>
      </c>
      <c r="B694" s="1">
        <f>B693*(1+J694)</f>
        <v>750</v>
      </c>
      <c r="C694" s="2">
        <f>C693</f>
        <v>53.3</v>
      </c>
      <c r="D694" s="3">
        <f>D693</f>
        <v>44.45</v>
      </c>
      <c r="E694" s="4">
        <f>E693*(1+J694)</f>
        <v>17.737500000000001</v>
      </c>
      <c r="F694" s="1">
        <f>F693*(1+J694)</f>
        <v>16.875</v>
      </c>
      <c r="G694" s="9">
        <f>G693</f>
        <v>-2.8999999999999998E-3</v>
      </c>
      <c r="H694" s="9">
        <f>H693</f>
        <v>-2.5000000000000001E-3</v>
      </c>
      <c r="I694" s="9">
        <f>I693</f>
        <v>4.4999999999999999E-4</v>
      </c>
      <c r="J694" s="9">
        <v>0.25</v>
      </c>
    </row>
    <row r="695" spans="1:10" ht="13.5" customHeight="1">
      <c r="A695" s="1" t="s">
        <v>858</v>
      </c>
      <c r="B695" s="1">
        <v>600</v>
      </c>
      <c r="C695" s="2">
        <v>52.9</v>
      </c>
      <c r="D695" s="3">
        <v>44.06</v>
      </c>
      <c r="E695" s="4">
        <v>14.25</v>
      </c>
      <c r="F695" s="1">
        <v>13.62</v>
      </c>
      <c r="G695" s="9">
        <v>-2.8999999999999998E-3</v>
      </c>
      <c r="H695" s="9">
        <v>-2.5000000000000001E-3</v>
      </c>
      <c r="I695" s="9">
        <v>4.4999999999999999E-4</v>
      </c>
    </row>
    <row r="696" spans="1:10">
      <c r="A696" s="1" t="s">
        <v>859</v>
      </c>
      <c r="B696" s="1">
        <v>600</v>
      </c>
      <c r="C696" s="2">
        <v>55.03</v>
      </c>
      <c r="D696" s="3">
        <v>45.25</v>
      </c>
      <c r="E696" s="4">
        <v>13.87</v>
      </c>
      <c r="F696" s="1">
        <v>13.26</v>
      </c>
      <c r="G696" s="9">
        <v>-3.0000000000000001E-3</v>
      </c>
      <c r="H696" s="9">
        <v>-2.5000000000000001E-3</v>
      </c>
      <c r="I696" s="9">
        <v>4.6000000000000001E-4</v>
      </c>
      <c r="J696" s="9">
        <v>0.15</v>
      </c>
    </row>
    <row r="697" spans="1:10">
      <c r="A697" s="1" t="s">
        <v>860</v>
      </c>
      <c r="B697" s="1">
        <f>B696*(1+J696)</f>
        <v>690</v>
      </c>
      <c r="C697" s="2">
        <f>C696</f>
        <v>55.03</v>
      </c>
      <c r="D697" s="3">
        <f>D696</f>
        <v>45.25</v>
      </c>
      <c r="E697" s="4">
        <f>E696*(1+J696)</f>
        <v>15.950499999999998</v>
      </c>
      <c r="F697" s="1">
        <f>F696*(1+J696)</f>
        <v>15.248999999999999</v>
      </c>
      <c r="G697" s="9">
        <f>G696</f>
        <v>-3.0000000000000001E-3</v>
      </c>
      <c r="H697" s="9">
        <f>H696</f>
        <v>-2.5000000000000001E-3</v>
      </c>
      <c r="I697" s="9">
        <f>I696</f>
        <v>4.6000000000000001E-4</v>
      </c>
    </row>
    <row r="698" spans="1:10">
      <c r="A698" s="1" t="s">
        <v>861</v>
      </c>
      <c r="B698" s="1">
        <v>605</v>
      </c>
      <c r="C698" s="2">
        <v>55.17</v>
      </c>
      <c r="D698" s="3">
        <v>45.42</v>
      </c>
      <c r="E698" s="4">
        <v>13.95</v>
      </c>
      <c r="F698" s="1">
        <v>13.32</v>
      </c>
      <c r="G698" s="9">
        <v>-3.0000000000000001E-3</v>
      </c>
      <c r="H698" s="9">
        <v>-2.5000000000000001E-3</v>
      </c>
      <c r="I698" s="9">
        <v>4.6000000000000001E-4</v>
      </c>
      <c r="J698" s="9">
        <v>0.1</v>
      </c>
    </row>
    <row r="699" spans="1:10">
      <c r="A699" s="1" t="s">
        <v>862</v>
      </c>
      <c r="B699" s="1">
        <f>B698*(1+J698)</f>
        <v>665.5</v>
      </c>
      <c r="C699" s="2">
        <f>C698</f>
        <v>55.17</v>
      </c>
      <c r="D699" s="3">
        <f>D698</f>
        <v>45.42</v>
      </c>
      <c r="E699" s="4">
        <f>E698*(1+J698)</f>
        <v>15.345000000000001</v>
      </c>
      <c r="F699" s="1">
        <f>F698*(1+J698)</f>
        <v>14.652000000000001</v>
      </c>
      <c r="G699" s="9">
        <f>G698</f>
        <v>-3.0000000000000001E-3</v>
      </c>
      <c r="H699" s="9">
        <f>H698</f>
        <v>-2.5000000000000001E-3</v>
      </c>
      <c r="I699" s="9">
        <f>I698</f>
        <v>4.6000000000000001E-4</v>
      </c>
    </row>
    <row r="700" spans="1:10">
      <c r="A700" s="1" t="s">
        <v>863</v>
      </c>
      <c r="B700" s="1">
        <v>605</v>
      </c>
      <c r="C700" s="2">
        <v>55.1</v>
      </c>
      <c r="D700" s="3">
        <v>45.49</v>
      </c>
      <c r="E700" s="4">
        <v>14.04</v>
      </c>
      <c r="F700" s="1">
        <v>13.3</v>
      </c>
      <c r="G700" s="9">
        <v>-3.0000000000000001E-3</v>
      </c>
      <c r="H700" s="9">
        <v>-2.5000000000000001E-3</v>
      </c>
      <c r="I700" s="9">
        <v>4.6000000000000001E-4</v>
      </c>
    </row>
    <row r="701" spans="1:10">
      <c r="A701" s="1" t="s">
        <v>864</v>
      </c>
      <c r="B701" s="1">
        <v>610</v>
      </c>
      <c r="C701" s="2">
        <v>55.31</v>
      </c>
      <c r="D701" s="3">
        <v>45.6</v>
      </c>
      <c r="E701" s="4">
        <v>14.03</v>
      </c>
      <c r="F701" s="1">
        <v>13.38</v>
      </c>
      <c r="G701" s="9">
        <v>-3.0000000000000001E-3</v>
      </c>
      <c r="H701" s="9">
        <v>-2.5000000000000001E-3</v>
      </c>
      <c r="I701" s="9">
        <v>4.6000000000000001E-4</v>
      </c>
      <c r="J701" s="9">
        <v>0.2</v>
      </c>
    </row>
    <row r="702" spans="1:10">
      <c r="A702" s="1" t="s">
        <v>865</v>
      </c>
      <c r="B702" s="1">
        <f>B701*(1+J701)</f>
        <v>732</v>
      </c>
      <c r="C702" s="2">
        <f>C701</f>
        <v>55.31</v>
      </c>
      <c r="D702" s="3">
        <f>D701</f>
        <v>45.6</v>
      </c>
      <c r="E702" s="4">
        <f>E701*(1+J701)</f>
        <v>16.835999999999999</v>
      </c>
      <c r="F702" s="1">
        <f>F701*(1+J701)</f>
        <v>16.056000000000001</v>
      </c>
      <c r="G702" s="9">
        <f>G701</f>
        <v>-3.0000000000000001E-3</v>
      </c>
      <c r="H702" s="9">
        <f>H701</f>
        <v>-2.5000000000000001E-3</v>
      </c>
      <c r="I702" s="9">
        <f>I701</f>
        <v>4.6000000000000001E-4</v>
      </c>
    </row>
    <row r="703" spans="1:10">
      <c r="A703" s="1" t="s">
        <v>866</v>
      </c>
      <c r="B703" s="1">
        <v>615</v>
      </c>
      <c r="C703" s="2">
        <v>55.44</v>
      </c>
      <c r="D703" s="3">
        <v>45.77</v>
      </c>
      <c r="E703" s="4">
        <v>14.11</v>
      </c>
      <c r="F703" s="1">
        <v>13.44</v>
      </c>
      <c r="G703" s="9">
        <v>-3.0000000000000001E-3</v>
      </c>
      <c r="H703" s="9">
        <v>-2.5000000000000001E-3</v>
      </c>
      <c r="I703" s="9">
        <v>4.6000000000000001E-4</v>
      </c>
      <c r="J703" s="9">
        <v>0.2</v>
      </c>
    </row>
    <row r="704" spans="1:10">
      <c r="A704" s="1" t="s">
        <v>867</v>
      </c>
      <c r="B704" s="1">
        <f>B703*(1+J703)</f>
        <v>738</v>
      </c>
      <c r="C704" s="2">
        <f>C703</f>
        <v>55.44</v>
      </c>
      <c r="D704" s="3">
        <f>D703</f>
        <v>45.77</v>
      </c>
      <c r="E704" s="4">
        <f>E703*(1+J703)</f>
        <v>16.931999999999999</v>
      </c>
      <c r="F704" s="1">
        <f>F703*(1+J703)</f>
        <v>16.128</v>
      </c>
      <c r="G704" s="9">
        <f>G703</f>
        <v>-3.0000000000000001E-3</v>
      </c>
      <c r="H704" s="9">
        <f>H703</f>
        <v>-2.5000000000000001E-3</v>
      </c>
      <c r="I704" s="9">
        <f>I703</f>
        <v>4.6000000000000001E-4</v>
      </c>
    </row>
    <row r="705" spans="1:10">
      <c r="A705" s="1" t="s">
        <v>868</v>
      </c>
      <c r="B705" s="1">
        <v>615</v>
      </c>
      <c r="C705" s="2">
        <v>55.4</v>
      </c>
      <c r="D705" s="3">
        <v>45.69</v>
      </c>
      <c r="E705" s="4">
        <v>14.18</v>
      </c>
      <c r="F705" s="1">
        <v>13.46</v>
      </c>
      <c r="G705" s="9">
        <v>-3.0000000000000001E-3</v>
      </c>
      <c r="H705" s="9">
        <v>-2.5000000000000001E-3</v>
      </c>
      <c r="I705" s="9">
        <v>4.6000000000000001E-4</v>
      </c>
    </row>
    <row r="706" spans="1:10">
      <c r="A706" s="1" t="s">
        <v>869</v>
      </c>
      <c r="B706" s="1">
        <v>620</v>
      </c>
      <c r="C706" s="2">
        <v>56.82</v>
      </c>
      <c r="D706" s="3">
        <v>47.37</v>
      </c>
      <c r="E706" s="4">
        <v>13.74</v>
      </c>
      <c r="F706" s="1">
        <v>13.09</v>
      </c>
      <c r="G706" s="9">
        <v>-3.0000000000000001E-3</v>
      </c>
      <c r="H706" s="9">
        <v>-2.5000000000000001E-3</v>
      </c>
      <c r="I706" s="9">
        <v>4.6000000000000001E-4</v>
      </c>
    </row>
    <row r="707" spans="1:10">
      <c r="A707" s="1" t="s">
        <v>870</v>
      </c>
      <c r="B707" s="1">
        <f>B706*(1+J707)</f>
        <v>775</v>
      </c>
      <c r="C707" s="2">
        <f>C706</f>
        <v>56.82</v>
      </c>
      <c r="D707" s="3">
        <f>D706</f>
        <v>47.37</v>
      </c>
      <c r="E707" s="4">
        <f>E706*(1+J707)</f>
        <v>17.175000000000001</v>
      </c>
      <c r="F707" s="1">
        <f>F706*(1+J707)</f>
        <v>16.362500000000001</v>
      </c>
      <c r="G707" s="9">
        <f>G706</f>
        <v>-3.0000000000000001E-3</v>
      </c>
      <c r="H707" s="9">
        <f>H706</f>
        <v>-2.5000000000000001E-3</v>
      </c>
      <c r="I707" s="9">
        <f>I706</f>
        <v>4.6000000000000001E-4</v>
      </c>
      <c r="J707" s="9">
        <v>0.25</v>
      </c>
    </row>
    <row r="708" spans="1:10">
      <c r="A708" s="1" t="s">
        <v>871</v>
      </c>
      <c r="B708" s="1">
        <v>620</v>
      </c>
      <c r="C708" s="2">
        <v>55.58</v>
      </c>
      <c r="D708" s="3">
        <v>45.93</v>
      </c>
      <c r="E708" s="4">
        <v>14.11</v>
      </c>
      <c r="F708" s="1">
        <v>13.44</v>
      </c>
      <c r="G708" s="9">
        <v>-3.0000000000000001E-3</v>
      </c>
      <c r="H708" s="9">
        <v>-2.5000000000000001E-3</v>
      </c>
      <c r="I708" s="9">
        <v>4.6000000000000001E-4</v>
      </c>
      <c r="J708" s="9">
        <v>0.2</v>
      </c>
    </row>
    <row r="709" spans="1:10">
      <c r="A709" s="1" t="s">
        <v>872</v>
      </c>
      <c r="B709" s="1">
        <f>B708*(1+J708)</f>
        <v>744</v>
      </c>
      <c r="C709" s="2">
        <f>C708</f>
        <v>55.58</v>
      </c>
      <c r="D709" s="3">
        <f>D708</f>
        <v>45.93</v>
      </c>
      <c r="E709" s="4">
        <f>E708*(1+J708)</f>
        <v>16.931999999999999</v>
      </c>
      <c r="F709" s="1">
        <f>F708*(1+J708)</f>
        <v>16.128</v>
      </c>
      <c r="G709" s="9">
        <f>G708</f>
        <v>-3.0000000000000001E-3</v>
      </c>
      <c r="H709" s="9">
        <f>H708</f>
        <v>-2.5000000000000001E-3</v>
      </c>
      <c r="I709" s="9">
        <f>I708</f>
        <v>4.6000000000000001E-4</v>
      </c>
    </row>
    <row r="710" spans="1:10">
      <c r="A710" s="1" t="s">
        <v>873</v>
      </c>
      <c r="B710" s="1">
        <v>625</v>
      </c>
      <c r="C710" s="2">
        <v>49.28</v>
      </c>
      <c r="D710" s="3">
        <v>40.880000000000003</v>
      </c>
      <c r="E710" s="4">
        <v>16.14</v>
      </c>
      <c r="F710" s="1">
        <v>15.29</v>
      </c>
      <c r="G710" s="9">
        <v>-2.8999999999999998E-3</v>
      </c>
      <c r="H710" s="9">
        <v>-2.5000000000000001E-3</v>
      </c>
      <c r="I710" s="9">
        <v>4.4999999999999999E-4</v>
      </c>
    </row>
    <row r="711" spans="1:10">
      <c r="A711" s="1" t="s">
        <v>874</v>
      </c>
      <c r="B711" s="1">
        <f>B710*(1+J711)</f>
        <v>718.75</v>
      </c>
      <c r="C711" s="2">
        <f>C710</f>
        <v>49.28</v>
      </c>
      <c r="D711" s="3">
        <f>D710</f>
        <v>40.880000000000003</v>
      </c>
      <c r="E711" s="4">
        <f>E710*(1+J711)</f>
        <v>18.561</v>
      </c>
      <c r="F711" s="1">
        <f>F710*(1+J711)</f>
        <v>17.583499999999997</v>
      </c>
      <c r="G711" s="9">
        <f>G710</f>
        <v>-2.8999999999999998E-3</v>
      </c>
      <c r="H711" s="9">
        <f>H710</f>
        <v>-2.5000000000000001E-3</v>
      </c>
      <c r="I711" s="9">
        <f>I710</f>
        <v>4.4999999999999999E-4</v>
      </c>
      <c r="J711" s="9">
        <v>0.15</v>
      </c>
    </row>
    <row r="712" spans="1:10">
      <c r="A712" s="1" t="s">
        <v>875</v>
      </c>
      <c r="B712" s="1">
        <v>630</v>
      </c>
      <c r="C712" s="2">
        <v>57.08</v>
      </c>
      <c r="D712" s="3">
        <v>47.7</v>
      </c>
      <c r="E712" s="4">
        <v>13.86</v>
      </c>
      <c r="F712" s="1">
        <v>13.21</v>
      </c>
      <c r="G712" s="9">
        <v>-2.8999999999999998E-3</v>
      </c>
      <c r="H712" s="9">
        <v>-2.5000000000000001E-3</v>
      </c>
      <c r="I712" s="9">
        <v>4.4999999999999999E-4</v>
      </c>
    </row>
    <row r="713" spans="1:10">
      <c r="A713" s="1" t="s">
        <v>876</v>
      </c>
      <c r="B713" s="1">
        <f>B712*(1+J713)</f>
        <v>661.5</v>
      </c>
      <c r="C713" s="2">
        <f>C712</f>
        <v>57.08</v>
      </c>
      <c r="D713" s="3">
        <f>D712</f>
        <v>47.7</v>
      </c>
      <c r="E713" s="4">
        <f>E712*(1+J713)</f>
        <v>14.553000000000001</v>
      </c>
      <c r="F713" s="1">
        <f>F712*(1+J713)</f>
        <v>13.870500000000002</v>
      </c>
      <c r="G713" s="9">
        <f>G712</f>
        <v>-2.8999999999999998E-3</v>
      </c>
      <c r="H713" s="9">
        <f>H712</f>
        <v>-2.5000000000000001E-3</v>
      </c>
      <c r="I713" s="9">
        <f>I712</f>
        <v>4.4999999999999999E-4</v>
      </c>
      <c r="J713" s="9">
        <v>0.05</v>
      </c>
    </row>
    <row r="714" spans="1:10">
      <c r="A714" s="1" t="s">
        <v>877</v>
      </c>
      <c r="B714" s="1">
        <v>635</v>
      </c>
      <c r="C714" s="2">
        <v>49.43</v>
      </c>
      <c r="D714" s="3">
        <v>41.39</v>
      </c>
      <c r="E714" s="4">
        <v>16.36</v>
      </c>
      <c r="F714" s="1">
        <v>15.34</v>
      </c>
      <c r="G714" s="9">
        <v>-2.8999999999999998E-3</v>
      </c>
      <c r="H714" s="9">
        <v>-2.5000000000000001E-3</v>
      </c>
      <c r="I714" s="9">
        <v>5.0000000000000001E-4</v>
      </c>
    </row>
    <row r="715" spans="1:10">
      <c r="A715" s="1" t="s">
        <v>878</v>
      </c>
      <c r="B715" s="1">
        <v>640</v>
      </c>
      <c r="C715" s="2">
        <v>49.88</v>
      </c>
      <c r="D715" s="3">
        <v>41.3</v>
      </c>
      <c r="E715" s="4">
        <v>16.32</v>
      </c>
      <c r="F715" s="1">
        <v>15.5</v>
      </c>
      <c r="G715" s="9">
        <v>-2.8999999999999998E-3</v>
      </c>
      <c r="H715" s="9">
        <v>-2.5000000000000001E-3</v>
      </c>
      <c r="I715" s="9">
        <v>4.4999999999999999E-4</v>
      </c>
    </row>
    <row r="716" spans="1:10">
      <c r="A716" s="1" t="s">
        <v>879</v>
      </c>
      <c r="B716" s="1">
        <f>B715*(1+J716)</f>
        <v>704</v>
      </c>
      <c r="C716" s="2">
        <f>C715</f>
        <v>49.88</v>
      </c>
      <c r="D716" s="3">
        <f>D715</f>
        <v>41.3</v>
      </c>
      <c r="E716" s="4">
        <f>E715*(1+J716)</f>
        <v>17.952000000000002</v>
      </c>
      <c r="F716" s="1">
        <f>F715*(1+J716)</f>
        <v>17.05</v>
      </c>
      <c r="G716" s="9">
        <f>G715</f>
        <v>-2.8999999999999998E-3</v>
      </c>
      <c r="H716" s="9">
        <f>H715</f>
        <v>-2.5000000000000001E-3</v>
      </c>
      <c r="I716" s="9">
        <f>I715</f>
        <v>4.4999999999999999E-4</v>
      </c>
      <c r="J716" s="9">
        <v>0.1</v>
      </c>
    </row>
    <row r="717" spans="1:10">
      <c r="A717" s="1" t="s">
        <v>880</v>
      </c>
      <c r="B717" s="1">
        <v>410</v>
      </c>
      <c r="C717" s="2">
        <v>37.32</v>
      </c>
      <c r="D717" s="3">
        <v>31.45</v>
      </c>
      <c r="E717" s="4">
        <v>13.95</v>
      </c>
      <c r="F717" s="1">
        <v>13.04</v>
      </c>
      <c r="G717" s="9">
        <v>-3.3E-3</v>
      </c>
      <c r="H717" s="9">
        <v>-2.7000000000000001E-3</v>
      </c>
      <c r="I717" s="9">
        <v>4.0000000000000002E-4</v>
      </c>
    </row>
    <row r="718" spans="1:10">
      <c r="A718" s="1" t="s">
        <v>881</v>
      </c>
      <c r="B718" s="1">
        <v>270</v>
      </c>
      <c r="C718" s="2">
        <v>38.17</v>
      </c>
      <c r="D718" s="3">
        <v>31.13</v>
      </c>
      <c r="E718" s="4">
        <v>9.18</v>
      </c>
      <c r="F718" s="1">
        <v>8.67</v>
      </c>
      <c r="G718" s="9">
        <v>-4.1000000000000003E-3</v>
      </c>
      <c r="H718" s="9">
        <v>-3.3E-3</v>
      </c>
    </row>
    <row r="719" spans="1:10">
      <c r="A719" s="1" t="s">
        <v>882</v>
      </c>
      <c r="B719" s="1">
        <v>150</v>
      </c>
      <c r="C719" s="2">
        <v>143</v>
      </c>
      <c r="D719" s="3">
        <v>119</v>
      </c>
      <c r="E719" s="4">
        <v>1.62</v>
      </c>
      <c r="F719" s="1">
        <v>1.266</v>
      </c>
      <c r="G719" s="9">
        <v>-3.5000000000000001E-3</v>
      </c>
      <c r="H719" s="9">
        <v>-3.8999999999999998E-3</v>
      </c>
    </row>
    <row r="720" spans="1:10">
      <c r="A720" s="1" t="s">
        <v>883</v>
      </c>
      <c r="B720" s="1">
        <v>420</v>
      </c>
      <c r="C720" s="2">
        <v>48</v>
      </c>
      <c r="D720" s="3">
        <v>40.6</v>
      </c>
      <c r="G720" s="9">
        <v>-3.7000000000000002E-3</v>
      </c>
      <c r="H720" s="9">
        <v>-2.8999999999999998E-3</v>
      </c>
    </row>
    <row r="721" spans="1:11">
      <c r="A721" s="1" t="s">
        <v>884</v>
      </c>
      <c r="B721" s="1">
        <v>320</v>
      </c>
      <c r="C721" s="2">
        <v>40.4</v>
      </c>
      <c r="D721" s="3">
        <v>33.5</v>
      </c>
      <c r="E721" s="4">
        <v>10.1</v>
      </c>
      <c r="F721" s="1">
        <v>9.56</v>
      </c>
      <c r="G721" s="9">
        <f>-1.35/320</f>
        <v>-4.2187500000000003E-3</v>
      </c>
      <c r="H721" s="9">
        <f>-0.144/C721</f>
        <v>-3.5643564356435641E-3</v>
      </c>
      <c r="I721" s="9">
        <f>0.00453/E721</f>
        <v>4.4851485148514857E-4</v>
      </c>
    </row>
    <row r="722" spans="1:11">
      <c r="A722" s="1" t="s">
        <v>885</v>
      </c>
      <c r="B722" s="1">
        <v>330</v>
      </c>
      <c r="C722" s="2">
        <v>40.799999999999997</v>
      </c>
      <c r="D722" s="3">
        <v>34.1</v>
      </c>
      <c r="E722" s="4">
        <v>10.3</v>
      </c>
      <c r="F722" s="1">
        <v>9.68</v>
      </c>
      <c r="G722" s="9">
        <v>-3.9399999999999999E-3</v>
      </c>
      <c r="H722" s="9">
        <v>-2.9199999999999999E-3</v>
      </c>
      <c r="I722" s="9">
        <v>4.4299999999999998E-4</v>
      </c>
    </row>
    <row r="723" spans="1:11">
      <c r="A723" s="1" t="s">
        <v>886</v>
      </c>
      <c r="B723" s="1">
        <v>305</v>
      </c>
      <c r="C723" s="2">
        <v>39.700000000000003</v>
      </c>
      <c r="D723" s="3">
        <v>32.700000000000003</v>
      </c>
      <c r="E723" s="4">
        <v>9.82</v>
      </c>
      <c r="F723" s="1">
        <v>9.33</v>
      </c>
      <c r="G723" s="9">
        <f>-1.42/B723</f>
        <v>-4.6557377049180329E-3</v>
      </c>
      <c r="H723" s="9">
        <f>-1.41/10/C723</f>
        <v>-3.5516372795969769E-3</v>
      </c>
      <c r="I723" s="9">
        <f>4.4/1000/E723</f>
        <v>4.4806517311608965E-4</v>
      </c>
    </row>
    <row r="724" spans="1:11">
      <c r="A724" s="1" t="s">
        <v>887</v>
      </c>
      <c r="B724" s="1">
        <v>139</v>
      </c>
      <c r="C724" s="2">
        <v>19.100000000000001</v>
      </c>
      <c r="D724" s="3">
        <v>15.5</v>
      </c>
      <c r="E724" s="4">
        <v>9.6999999999999993</v>
      </c>
      <c r="F724" s="1">
        <v>9</v>
      </c>
      <c r="G724" s="9">
        <v>-3.8999999999999998E-3</v>
      </c>
      <c r="H724" s="9">
        <v>-3.0000000000000001E-3</v>
      </c>
      <c r="I724" s="9">
        <v>5.9999999999999995E-4</v>
      </c>
    </row>
    <row r="725" spans="1:11">
      <c r="A725" s="1" t="s">
        <v>888</v>
      </c>
      <c r="B725" s="1">
        <v>167</v>
      </c>
      <c r="C725" s="2">
        <v>23</v>
      </c>
      <c r="D725" s="3">
        <v>18.600000000000001</v>
      </c>
      <c r="E725" s="4">
        <v>9.6999999999999993</v>
      </c>
      <c r="F725" s="1">
        <v>9</v>
      </c>
      <c r="G725" s="9">
        <v>-3.8999999999999998E-3</v>
      </c>
      <c r="H725" s="9">
        <v>-3.0000000000000001E-3</v>
      </c>
      <c r="I725" s="9">
        <v>5.9999999999999995E-4</v>
      </c>
    </row>
    <row r="726" spans="1:11">
      <c r="A726" s="1" t="s">
        <v>889</v>
      </c>
      <c r="B726" s="1">
        <v>137</v>
      </c>
      <c r="C726" s="2">
        <v>18.5</v>
      </c>
      <c r="D726" s="3">
        <v>14.9</v>
      </c>
      <c r="E726" s="4">
        <v>9.75</v>
      </c>
      <c r="F726" s="1">
        <v>9.25</v>
      </c>
      <c r="G726" s="9">
        <v>-5.0000000000000001E-3</v>
      </c>
      <c r="H726" s="9">
        <v>-3.5999999999999999E-3</v>
      </c>
      <c r="I726" s="9">
        <v>5.0000000000000001E-4</v>
      </c>
      <c r="K726" s="5">
        <v>19</v>
      </c>
    </row>
    <row r="727" spans="1:11">
      <c r="A727" s="1" t="s">
        <v>890</v>
      </c>
      <c r="B727" s="1">
        <v>178</v>
      </c>
      <c r="C727" s="2">
        <v>23.7</v>
      </c>
      <c r="D727" s="3">
        <v>19.3</v>
      </c>
      <c r="E727" s="4">
        <v>9.75</v>
      </c>
      <c r="F727" s="1">
        <v>9.25</v>
      </c>
      <c r="G727" s="9">
        <v>-5.0000000000000001E-3</v>
      </c>
      <c r="H727" s="9">
        <v>-3.5999999999999999E-3</v>
      </c>
      <c r="I727" s="9">
        <v>5.0000000000000001E-4</v>
      </c>
    </row>
    <row r="728" spans="1:11">
      <c r="A728" s="1" t="s">
        <v>891</v>
      </c>
      <c r="B728" s="1">
        <v>186</v>
      </c>
      <c r="C728" s="2">
        <v>29.5</v>
      </c>
      <c r="D728" s="3">
        <v>23.6</v>
      </c>
      <c r="E728" s="4">
        <v>8.6300000000000008</v>
      </c>
      <c r="F728" s="1">
        <v>7.89</v>
      </c>
      <c r="G728" s="9">
        <v>-5.0000000000000001E-3</v>
      </c>
      <c r="H728" s="9">
        <v>-3.5999999999999999E-3</v>
      </c>
      <c r="K728" s="5">
        <v>36</v>
      </c>
    </row>
    <row r="729" spans="1:11">
      <c r="A729" s="1" t="s">
        <v>892</v>
      </c>
      <c r="B729" s="1">
        <v>190</v>
      </c>
      <c r="C729" s="2">
        <v>29.5</v>
      </c>
      <c r="D729" s="3">
        <v>23.6</v>
      </c>
      <c r="E729" s="4">
        <v>8.82</v>
      </c>
      <c r="F729" s="1">
        <v>8.06</v>
      </c>
      <c r="G729" s="9">
        <v>-5.0000000000000001E-3</v>
      </c>
      <c r="H729" s="9">
        <v>-3.5999999999999999E-3</v>
      </c>
    </row>
    <row r="730" spans="1:11">
      <c r="A730" s="1" t="s">
        <v>893</v>
      </c>
      <c r="B730" s="1">
        <v>200</v>
      </c>
      <c r="C730" s="2">
        <v>29.5</v>
      </c>
      <c r="D730" s="3">
        <v>23.6</v>
      </c>
      <c r="E730" s="4">
        <v>9.2799999999999994</v>
      </c>
      <c r="F730" s="1">
        <v>8.48</v>
      </c>
      <c r="G730" s="9">
        <v>-5.0000000000000001E-3</v>
      </c>
      <c r="H730" s="9">
        <v>-3.5999999999999999E-3</v>
      </c>
      <c r="I730" s="9">
        <v>5.0000000000000001E-4</v>
      </c>
    </row>
    <row r="731" spans="1:11">
      <c r="A731" s="1" t="s">
        <v>894</v>
      </c>
      <c r="B731" s="1">
        <v>200</v>
      </c>
      <c r="C731" s="2">
        <v>29.5</v>
      </c>
      <c r="D731" s="3">
        <v>23.6</v>
      </c>
      <c r="E731" s="4">
        <v>9.2799999999999994</v>
      </c>
      <c r="F731" s="1">
        <v>8.48</v>
      </c>
      <c r="G731" s="9">
        <v>-5.0000000000000001E-3</v>
      </c>
      <c r="H731" s="9">
        <v>-3.5999999999999999E-3</v>
      </c>
    </row>
    <row r="732" spans="1:11">
      <c r="A732" s="1" t="s">
        <v>895</v>
      </c>
      <c r="B732" s="1">
        <f>B731*K732</f>
        <v>0</v>
      </c>
      <c r="C732" s="2">
        <f>C731</f>
        <v>29.5</v>
      </c>
      <c r="D732" s="3">
        <f>D731</f>
        <v>23.6</v>
      </c>
      <c r="E732" s="4">
        <f>E731*K732</f>
        <v>0</v>
      </c>
      <c r="F732" s="1">
        <f>F731*K732</f>
        <v>0</v>
      </c>
      <c r="G732" s="9">
        <f>G731</f>
        <v>-5.0000000000000001E-3</v>
      </c>
      <c r="H732" s="9">
        <f>H731</f>
        <v>-3.5999999999999999E-3</v>
      </c>
      <c r="I732" s="9">
        <f>I731</f>
        <v>0</v>
      </c>
    </row>
    <row r="733" spans="1:11">
      <c r="A733" s="1" t="s">
        <v>896</v>
      </c>
      <c r="B733" s="1">
        <v>200</v>
      </c>
      <c r="C733" s="2">
        <v>29.5</v>
      </c>
      <c r="D733" s="3">
        <v>23.6</v>
      </c>
      <c r="E733" s="4">
        <v>9.2799999999999994</v>
      </c>
      <c r="F733" s="1">
        <v>8.48</v>
      </c>
      <c r="G733" s="9">
        <v>-5.0000000000000001E-3</v>
      </c>
      <c r="H733" s="9">
        <v>-3.5999999999999999E-3</v>
      </c>
    </row>
    <row r="734" spans="1:11">
      <c r="A734" s="1" t="s">
        <v>897</v>
      </c>
      <c r="B734" s="1">
        <v>210</v>
      </c>
      <c r="C734" s="2">
        <v>27.7</v>
      </c>
      <c r="D734" s="3">
        <v>22.8</v>
      </c>
      <c r="E734" s="4">
        <v>9.75</v>
      </c>
      <c r="F734" s="1">
        <v>9.25</v>
      </c>
      <c r="G734" s="9">
        <v>-5.0000000000000001E-3</v>
      </c>
      <c r="H734" s="9">
        <v>-3.5999999999999999E-3</v>
      </c>
      <c r="I734" s="9">
        <v>5.0000000000000001E-4</v>
      </c>
    </row>
    <row r="735" spans="1:11">
      <c r="A735" s="1" t="s">
        <v>898</v>
      </c>
      <c r="B735" s="1">
        <v>249</v>
      </c>
      <c r="C735" s="2">
        <v>34.700000000000003</v>
      </c>
      <c r="D735" s="3">
        <v>27.9</v>
      </c>
      <c r="E735" s="4">
        <v>9.4499999999999993</v>
      </c>
      <c r="F735" s="1">
        <v>8.94</v>
      </c>
      <c r="G735" s="9">
        <v>-5.0000000000000001E-3</v>
      </c>
      <c r="H735" s="9">
        <v>-3.5999999999999999E-3</v>
      </c>
      <c r="I735" s="9">
        <v>5.0000000000000001E-4</v>
      </c>
    </row>
    <row r="736" spans="1:11">
      <c r="A736" s="1" t="s">
        <v>899</v>
      </c>
      <c r="B736" s="1">
        <v>270</v>
      </c>
      <c r="C736" s="2">
        <v>35.6</v>
      </c>
      <c r="D736" s="3">
        <v>29.2</v>
      </c>
      <c r="E736" s="4">
        <v>9.75</v>
      </c>
      <c r="F736" s="1">
        <v>9.25</v>
      </c>
      <c r="G736" s="9">
        <v>-5.0000000000000001E-3</v>
      </c>
      <c r="H736" s="9">
        <v>-3.5999999999999999E-3</v>
      </c>
      <c r="I736" s="9">
        <v>5.0000000000000001E-4</v>
      </c>
    </row>
    <row r="737" spans="1:9">
      <c r="A737" s="1" t="s">
        <v>900</v>
      </c>
      <c r="B737" s="1">
        <v>39</v>
      </c>
      <c r="C737" s="2">
        <v>12.9</v>
      </c>
      <c r="D737" s="3">
        <v>10.5</v>
      </c>
      <c r="E737" s="4">
        <v>3.95</v>
      </c>
      <c r="F737" s="1">
        <v>3.72</v>
      </c>
      <c r="G737" s="9">
        <v>-4.0000000000000001E-3</v>
      </c>
      <c r="H737" s="9">
        <v>-3.0000000000000001E-3</v>
      </c>
      <c r="I737" s="9">
        <v>5.0000000000000001E-4</v>
      </c>
    </row>
    <row r="738" spans="1:9">
      <c r="A738" s="1" t="s">
        <v>901</v>
      </c>
      <c r="B738" s="1">
        <v>46</v>
      </c>
      <c r="C738" s="2">
        <v>7.3</v>
      </c>
      <c r="D738" s="3">
        <v>5.9</v>
      </c>
      <c r="E738" s="4">
        <v>8.59</v>
      </c>
      <c r="F738" s="1">
        <v>7.9</v>
      </c>
      <c r="G738" s="9">
        <v>-4.0000000000000001E-3</v>
      </c>
      <c r="H738" s="9">
        <v>-3.0000000000000001E-3</v>
      </c>
      <c r="I738" s="9">
        <v>5.0000000000000001E-4</v>
      </c>
    </row>
    <row r="739" spans="1:9">
      <c r="A739" s="1" t="s">
        <v>902</v>
      </c>
      <c r="B739" s="1">
        <v>48</v>
      </c>
      <c r="C739" s="2">
        <v>7.4</v>
      </c>
      <c r="D739" s="3">
        <v>6</v>
      </c>
      <c r="E739" s="4">
        <v>8.86</v>
      </c>
      <c r="F739" s="1">
        <v>8</v>
      </c>
      <c r="G739" s="9">
        <v>-4.0000000000000001E-3</v>
      </c>
      <c r="H739" s="9">
        <v>-3.0000000000000001E-3</v>
      </c>
      <c r="I739" s="9">
        <v>5.0000000000000001E-4</v>
      </c>
    </row>
    <row r="740" spans="1:9">
      <c r="A740" s="1" t="s">
        <v>903</v>
      </c>
      <c r="B740" s="1">
        <v>50</v>
      </c>
      <c r="C740" s="2">
        <v>16.600000000000001</v>
      </c>
      <c r="D740" s="3">
        <v>13.5</v>
      </c>
      <c r="E740" s="4">
        <v>3.95</v>
      </c>
      <c r="F740" s="1">
        <v>3.72</v>
      </c>
      <c r="G740" s="9">
        <v>-4.0000000000000001E-3</v>
      </c>
      <c r="H740" s="9">
        <v>-3.0000000000000001E-3</v>
      </c>
      <c r="I740" s="9">
        <v>5.0000000000000001E-4</v>
      </c>
    </row>
    <row r="741" spans="1:9">
      <c r="A741" s="1" t="s">
        <v>904</v>
      </c>
      <c r="B741" s="1">
        <v>61</v>
      </c>
      <c r="C741" s="2">
        <v>20.3</v>
      </c>
      <c r="D741" s="3">
        <v>16.5</v>
      </c>
      <c r="E741" s="4">
        <v>3.95</v>
      </c>
      <c r="F741" s="1">
        <v>3.72</v>
      </c>
      <c r="G741" s="9">
        <v>-4.0000000000000001E-3</v>
      </c>
      <c r="H741" s="9">
        <v>-3.0000000000000001E-3</v>
      </c>
      <c r="I741" s="9">
        <v>5.0000000000000001E-4</v>
      </c>
    </row>
    <row r="742" spans="1:9">
      <c r="A742" s="1" t="s">
        <v>905</v>
      </c>
      <c r="B742" s="1">
        <v>62</v>
      </c>
      <c r="C742" s="2">
        <v>9.8000000000000007</v>
      </c>
      <c r="D742" s="3">
        <v>7.9</v>
      </c>
      <c r="E742" s="4">
        <v>8.59</v>
      </c>
      <c r="F742" s="1">
        <v>7.9</v>
      </c>
      <c r="G742" s="9">
        <v>-4.0000000000000001E-3</v>
      </c>
      <c r="H742" s="9">
        <v>-3.0000000000000001E-3</v>
      </c>
      <c r="I742" s="9">
        <v>5.0000000000000001E-4</v>
      </c>
    </row>
    <row r="743" spans="1:9">
      <c r="A743" s="1" t="s">
        <v>906</v>
      </c>
      <c r="B743" s="1">
        <v>64</v>
      </c>
      <c r="C743" s="2">
        <v>9.9</v>
      </c>
      <c r="D743" s="3">
        <v>8</v>
      </c>
      <c r="E743" s="4">
        <v>8.7899999999999991</v>
      </c>
      <c r="F743" s="1">
        <v>8</v>
      </c>
      <c r="G743" s="9">
        <v>-4.0000000000000001E-3</v>
      </c>
      <c r="H743" s="9">
        <v>-3.0000000000000001E-3</v>
      </c>
      <c r="I743" s="9">
        <v>5.0000000000000001E-4</v>
      </c>
    </row>
    <row r="744" spans="1:9">
      <c r="A744" s="1" t="s">
        <v>907</v>
      </c>
      <c r="B744" s="1">
        <v>77.5</v>
      </c>
      <c r="C744" s="2">
        <v>12.2</v>
      </c>
      <c r="D744" s="3">
        <v>9.8000000000000007</v>
      </c>
      <c r="E744" s="4">
        <v>8.6300000000000008</v>
      </c>
      <c r="F744" s="1">
        <v>7.91</v>
      </c>
      <c r="G744" s="9">
        <v>-4.0000000000000001E-3</v>
      </c>
      <c r="H744" s="9">
        <v>-3.0000000000000001E-3</v>
      </c>
      <c r="I744" s="9">
        <v>5.0000000000000001E-4</v>
      </c>
    </row>
    <row r="745" spans="1:9">
      <c r="A745" s="1" t="s">
        <v>908</v>
      </c>
      <c r="B745" s="1">
        <v>77.5</v>
      </c>
      <c r="C745" s="2">
        <v>12.2</v>
      </c>
      <c r="D745" s="3">
        <v>9.8000000000000007</v>
      </c>
      <c r="E745" s="4">
        <v>8.6300000000000008</v>
      </c>
      <c r="F745" s="1">
        <v>7.91</v>
      </c>
      <c r="G745" s="9">
        <f>G744</f>
        <v>-4.0000000000000001E-3</v>
      </c>
      <c r="H745" s="9">
        <f>H744</f>
        <v>-3.0000000000000001E-3</v>
      </c>
      <c r="I745" s="9">
        <f>I744</f>
        <v>5.0000000000000001E-4</v>
      </c>
    </row>
    <row r="746" spans="1:9">
      <c r="A746" s="1" t="s">
        <v>909</v>
      </c>
      <c r="B746" s="1">
        <v>80</v>
      </c>
      <c r="C746" s="2">
        <v>12.3</v>
      </c>
      <c r="D746" s="3">
        <v>9.9</v>
      </c>
      <c r="E746" s="4">
        <v>8.85</v>
      </c>
      <c r="F746" s="1">
        <v>8.09</v>
      </c>
      <c r="G746" s="9">
        <v>-4.0000000000000001E-3</v>
      </c>
      <c r="H746" s="9">
        <v>-3.0000000000000001E-3</v>
      </c>
      <c r="I746" s="9">
        <v>5.0000000000000001E-4</v>
      </c>
    </row>
    <row r="747" spans="1:9">
      <c r="A747" s="1" t="s">
        <v>910</v>
      </c>
      <c r="B747" s="1">
        <v>87</v>
      </c>
      <c r="C747" s="2">
        <v>11.9</v>
      </c>
      <c r="D747" s="3">
        <v>9.5</v>
      </c>
      <c r="E747" s="4">
        <v>9.75</v>
      </c>
      <c r="F747" s="1">
        <v>9.25</v>
      </c>
      <c r="G747" s="9">
        <v>-5.0000000000000001E-3</v>
      </c>
      <c r="H747" s="9">
        <v>-3.5999999999999999E-3</v>
      </c>
      <c r="I747" s="9">
        <v>5.0000000000000001E-4</v>
      </c>
    </row>
    <row r="748" spans="1:9">
      <c r="A748" s="1" t="s">
        <v>911</v>
      </c>
      <c r="B748" s="1">
        <v>97</v>
      </c>
      <c r="C748" s="2">
        <v>13.2</v>
      </c>
      <c r="D748" s="3">
        <v>10.5</v>
      </c>
      <c r="E748" s="4">
        <v>9.75</v>
      </c>
      <c r="F748" s="1">
        <v>9.25</v>
      </c>
      <c r="G748" s="9">
        <v>-5.0000000000000001E-3</v>
      </c>
      <c r="H748" s="9">
        <v>-3.5999999999999999E-3</v>
      </c>
      <c r="I748" s="9">
        <v>5.0000000000000001E-4</v>
      </c>
    </row>
    <row r="749" spans="1:9">
      <c r="A749" s="1" t="s">
        <v>912</v>
      </c>
      <c r="B749" s="1">
        <v>325</v>
      </c>
      <c r="C749" s="2">
        <v>37.6</v>
      </c>
      <c r="D749" s="3">
        <v>30.81</v>
      </c>
      <c r="G749" s="9">
        <v>-3.7000000000000002E-3</v>
      </c>
      <c r="H749" s="9">
        <v>-3.0000000000000001E-3</v>
      </c>
    </row>
    <row r="750" spans="1:9">
      <c r="A750" s="1" t="s">
        <v>913</v>
      </c>
      <c r="B750" s="1">
        <v>338</v>
      </c>
      <c r="C750" s="2">
        <v>37.6</v>
      </c>
      <c r="D750" s="3">
        <v>30.81</v>
      </c>
      <c r="G750" s="9">
        <v>-3.7000000000000002E-3</v>
      </c>
      <c r="H750" s="9">
        <v>-3.0000000000000001E-3</v>
      </c>
    </row>
    <row r="751" spans="1:9">
      <c r="A751" s="1" t="s">
        <v>914</v>
      </c>
      <c r="B751" s="1">
        <v>250</v>
      </c>
      <c r="C751" s="2">
        <v>34.6</v>
      </c>
      <c r="D751" s="3">
        <v>28.2</v>
      </c>
      <c r="E751" s="4">
        <v>9.4700000000000006</v>
      </c>
      <c r="F751" s="1">
        <v>8.8699999999999992</v>
      </c>
      <c r="G751" s="9">
        <f>-1.14/B751</f>
        <v>-4.5599999999999998E-3</v>
      </c>
      <c r="H751" s="9">
        <f>-0.123/C751</f>
        <v>-3.5549132947976878E-3</v>
      </c>
      <c r="I751" s="9">
        <f>0.00555/E751</f>
        <v>5.8606124604012667E-4</v>
      </c>
    </row>
    <row r="752" spans="1:9">
      <c r="A752" s="1" t="s">
        <v>915</v>
      </c>
      <c r="B752" s="1">
        <v>260</v>
      </c>
      <c r="C752" s="2">
        <v>38.299999999999997</v>
      </c>
      <c r="D752" s="3">
        <v>31</v>
      </c>
      <c r="E752" s="4">
        <v>9.09</v>
      </c>
      <c r="F752" s="1">
        <v>8.39</v>
      </c>
      <c r="G752" s="9">
        <f>-1.23/270</f>
        <v>-4.5555555555555557E-3</v>
      </c>
      <c r="H752" s="9">
        <f>-0.136/C752</f>
        <v>-3.5509138381201052E-3</v>
      </c>
    </row>
    <row r="753" spans="1:11">
      <c r="A753" s="1" t="s">
        <v>916</v>
      </c>
      <c r="B753" s="1">
        <v>265</v>
      </c>
      <c r="C753" s="2">
        <v>38.299999999999997</v>
      </c>
      <c r="D753" s="3">
        <v>31</v>
      </c>
      <c r="E753" s="4">
        <v>9.26</v>
      </c>
      <c r="F753" s="1">
        <v>8.5500000000000007</v>
      </c>
      <c r="G753" s="9">
        <f>-1.23/270</f>
        <v>-4.5555555555555557E-3</v>
      </c>
      <c r="H753" s="9">
        <f>-0.136/C753</f>
        <v>-3.5509138381201052E-3</v>
      </c>
      <c r="I753" s="9">
        <f>0.00555/E753</f>
        <v>5.9935205183585315E-4</v>
      </c>
    </row>
    <row r="754" spans="1:11">
      <c r="A754" s="1" t="s">
        <v>917</v>
      </c>
      <c r="B754" s="1">
        <f>B753*K754</f>
        <v>3180</v>
      </c>
      <c r="C754" s="2">
        <f>C753</f>
        <v>38.299999999999997</v>
      </c>
      <c r="D754" s="3">
        <f>D753</f>
        <v>31</v>
      </c>
      <c r="E754" s="4">
        <f>E753*K754</f>
        <v>111.12</v>
      </c>
      <c r="F754" s="1">
        <f>F753*K754</f>
        <v>102.60000000000001</v>
      </c>
      <c r="G754" s="9">
        <f>G753</f>
        <v>-4.5555555555555557E-3</v>
      </c>
      <c r="H754" s="9">
        <f>H753</f>
        <v>-3.5509138381201052E-3</v>
      </c>
      <c r="I754" s="9">
        <f>I753</f>
        <v>5.9935205183585315E-4</v>
      </c>
      <c r="K754" s="5">
        <v>12</v>
      </c>
    </row>
    <row r="755" spans="1:11">
      <c r="A755" s="1" t="s">
        <v>918</v>
      </c>
      <c r="B755" s="1">
        <v>270</v>
      </c>
      <c r="C755" s="2">
        <v>38.299999999999997</v>
      </c>
      <c r="D755" s="3">
        <v>31</v>
      </c>
      <c r="G755" s="9">
        <f>-1.23/270</f>
        <v>-4.5555555555555557E-3</v>
      </c>
      <c r="H755" s="9">
        <f>-0.136/C755</f>
        <v>-3.5509138381201052E-3</v>
      </c>
    </row>
    <row r="756" spans="1:11">
      <c r="A756" s="1" t="s">
        <v>919</v>
      </c>
      <c r="B756" s="1">
        <v>275</v>
      </c>
      <c r="C756" s="2">
        <v>38.6</v>
      </c>
      <c r="D756" s="3">
        <v>31.3</v>
      </c>
      <c r="G756" s="9">
        <f>-1.25/275</f>
        <v>-4.5454545454545452E-3</v>
      </c>
      <c r="H756" s="9">
        <f>-0.137/C756</f>
        <v>-3.5492227979274614E-3</v>
      </c>
    </row>
    <row r="757" spans="1:11" ht="12.4" customHeight="1">
      <c r="A757" s="1" t="s">
        <v>920</v>
      </c>
      <c r="B757" s="1">
        <v>275</v>
      </c>
      <c r="C757" s="2">
        <v>38.6</v>
      </c>
      <c r="D757" s="3">
        <v>31.3</v>
      </c>
      <c r="E757" s="4">
        <v>9.48</v>
      </c>
      <c r="F757" s="1">
        <v>8.7899999999999991</v>
      </c>
      <c r="G757" s="9">
        <f>-1.25/275</f>
        <v>-4.5454545454545452E-3</v>
      </c>
      <c r="H757" s="9">
        <f>-0.137/C757</f>
        <v>-3.5492227979274614E-3</v>
      </c>
    </row>
    <row r="758" spans="1:11">
      <c r="A758" s="1" t="s">
        <v>921</v>
      </c>
      <c r="B758" s="1">
        <v>280</v>
      </c>
      <c r="C758" s="2">
        <v>38.9</v>
      </c>
      <c r="D758" s="3">
        <v>31.5</v>
      </c>
      <c r="E758" s="4">
        <v>9.5299999999999994</v>
      </c>
      <c r="F758" s="1">
        <v>8.89</v>
      </c>
      <c r="G758" s="9">
        <v>-4.5599999999999998E-3</v>
      </c>
      <c r="H758" s="9">
        <f>-0.138/C758</f>
        <v>-3.5475578406169669E-3</v>
      </c>
      <c r="I758" s="9">
        <f>5.59/1000/E758</f>
        <v>5.8656873032528851E-4</v>
      </c>
    </row>
    <row r="759" spans="1:11">
      <c r="A759" s="1" t="s">
        <v>922</v>
      </c>
      <c r="B759" s="1">
        <v>280</v>
      </c>
      <c r="C759" s="2">
        <v>38.9</v>
      </c>
      <c r="D759" s="3">
        <v>31.5</v>
      </c>
      <c r="E759" s="4">
        <v>9.5299999999999994</v>
      </c>
      <c r="F759" s="1">
        <v>8.89</v>
      </c>
      <c r="G759" s="9">
        <f>-1.28/B759</f>
        <v>-4.5714285714285718E-3</v>
      </c>
      <c r="H759" s="9">
        <f>-0.0036</f>
        <v>-3.5999999999999999E-3</v>
      </c>
    </row>
    <row r="760" spans="1:11">
      <c r="A760" s="1" t="s">
        <v>923</v>
      </c>
      <c r="B760" s="1">
        <v>285</v>
      </c>
      <c r="C760" s="2">
        <v>39.1</v>
      </c>
      <c r="D760" s="3">
        <v>31.5</v>
      </c>
      <c r="E760" s="4">
        <v>9.58</v>
      </c>
      <c r="F760" s="1">
        <v>9.0500000000000007</v>
      </c>
      <c r="G760" s="9">
        <v>-4.5999999999999999E-3</v>
      </c>
      <c r="H760" s="9">
        <v>-3.5999999999999999E-3</v>
      </c>
    </row>
    <row r="761" spans="1:11">
      <c r="A761" s="1" t="s">
        <v>924</v>
      </c>
      <c r="B761" s="1">
        <v>350</v>
      </c>
      <c r="C761" s="2">
        <v>37.6</v>
      </c>
      <c r="D761" s="3">
        <v>30.81</v>
      </c>
      <c r="G761" s="9">
        <v>-3.7000000000000002E-3</v>
      </c>
      <c r="H761" s="9">
        <v>-3.0000000000000001E-3</v>
      </c>
    </row>
    <row r="762" spans="1:11">
      <c r="A762" s="1" t="s">
        <v>925</v>
      </c>
      <c r="B762" s="1">
        <v>305</v>
      </c>
      <c r="C762" s="2">
        <v>39.700000000000003</v>
      </c>
      <c r="D762" s="3">
        <v>32.700000000000003</v>
      </c>
      <c r="E762" s="4">
        <v>9.82</v>
      </c>
      <c r="F762" s="1">
        <v>9.33</v>
      </c>
      <c r="G762" s="9">
        <f>-1.42/B762</f>
        <v>-4.6557377049180329E-3</v>
      </c>
      <c r="H762" s="9">
        <f>-0.141/C762</f>
        <v>-3.5516372795969769E-3</v>
      </c>
    </row>
    <row r="763" spans="1:11">
      <c r="A763" s="1" t="s">
        <v>926</v>
      </c>
      <c r="B763" s="1">
        <v>365</v>
      </c>
      <c r="C763" s="2">
        <v>41.57</v>
      </c>
      <c r="D763" s="3">
        <v>33.82</v>
      </c>
      <c r="E763" s="4">
        <v>11.22</v>
      </c>
      <c r="F763" s="1">
        <v>10.8</v>
      </c>
      <c r="G763" s="9">
        <v>-3.2799999999999999E-3</v>
      </c>
      <c r="H763" s="9">
        <v>-2.7000000000000001E-3</v>
      </c>
      <c r="I763" s="9">
        <v>4.8999999999999998E-4</v>
      </c>
    </row>
    <row r="764" spans="1:11">
      <c r="A764" s="1" t="s">
        <v>927</v>
      </c>
      <c r="B764" s="1">
        <v>315</v>
      </c>
      <c r="C764" s="2">
        <v>40.200000000000003</v>
      </c>
      <c r="D764" s="3">
        <v>33.200000000000003</v>
      </c>
      <c r="E764" s="4">
        <v>10</v>
      </c>
      <c r="F764" s="1">
        <v>9.49</v>
      </c>
      <c r="G764" s="9">
        <v>-3.9399999999999999E-3</v>
      </c>
      <c r="H764" s="9">
        <v>-2.9199999999999999E-3</v>
      </c>
      <c r="I764" s="9">
        <v>4.4000000000000002E-4</v>
      </c>
    </row>
    <row r="765" spans="1:11">
      <c r="A765" s="1" t="s">
        <v>928</v>
      </c>
      <c r="B765" s="1">
        <v>315</v>
      </c>
      <c r="C765" s="2">
        <v>40.1</v>
      </c>
      <c r="D765" s="3">
        <v>33.200000000000003</v>
      </c>
      <c r="E765" s="4">
        <v>9.9600000000000009</v>
      </c>
      <c r="F765" s="1">
        <v>9.49</v>
      </c>
      <c r="G765" s="9">
        <f>-1.45/B765</f>
        <v>-4.603174603174603E-3</v>
      </c>
      <c r="H765" s="9">
        <f>-0.143/C765</f>
        <v>-3.5660847880299249E-3</v>
      </c>
      <c r="I765" s="9">
        <f>0.00447/E765</f>
        <v>4.4879518072289156E-4</v>
      </c>
    </row>
    <row r="766" spans="1:11">
      <c r="A766" s="1" t="s">
        <v>929</v>
      </c>
      <c r="B766" s="1">
        <v>320</v>
      </c>
      <c r="C766" s="2">
        <v>40.4</v>
      </c>
      <c r="D766" s="3">
        <v>33.5</v>
      </c>
      <c r="E766" s="4">
        <v>10.1</v>
      </c>
      <c r="F766" s="1">
        <v>9.56</v>
      </c>
      <c r="G766" s="9">
        <v>-3.9399999999999999E-3</v>
      </c>
      <c r="H766" s="9">
        <v>-2.9199999999999999E-3</v>
      </c>
      <c r="I766" s="9">
        <v>4.4000000000000002E-4</v>
      </c>
    </row>
    <row r="767" spans="1:11">
      <c r="A767" s="1" t="s">
        <v>930</v>
      </c>
      <c r="B767" s="1">
        <v>330</v>
      </c>
      <c r="C767" s="2">
        <v>40.799999999999997</v>
      </c>
      <c r="D767" s="3">
        <v>34.1</v>
      </c>
      <c r="E767" s="4">
        <v>10.3</v>
      </c>
      <c r="F767" s="1">
        <v>9.68</v>
      </c>
      <c r="G767" s="9">
        <v>-3.9399999999999999E-3</v>
      </c>
      <c r="H767" s="9">
        <v>-2.9199999999999999E-3</v>
      </c>
      <c r="I767" s="9">
        <v>4.4299999999999998E-4</v>
      </c>
    </row>
    <row r="768" spans="1:11">
      <c r="A768" s="1" t="s">
        <v>931</v>
      </c>
      <c r="B768" s="1">
        <v>365</v>
      </c>
      <c r="C768" s="2">
        <v>41.57</v>
      </c>
      <c r="D768" s="3">
        <v>33.82</v>
      </c>
      <c r="E768" s="4">
        <v>11.22</v>
      </c>
      <c r="F768" s="1">
        <v>10.8</v>
      </c>
      <c r="G768" s="9">
        <v>-3.2799999999999999E-3</v>
      </c>
      <c r="H768" s="9">
        <v>-2.5600000000000002E-3</v>
      </c>
      <c r="I768" s="9">
        <v>4.8700000000000002E-4</v>
      </c>
    </row>
    <row r="769" spans="1:11">
      <c r="A769" s="1" t="s">
        <v>932</v>
      </c>
      <c r="B769" s="1">
        <v>192.4</v>
      </c>
      <c r="C769" s="2">
        <v>29.5</v>
      </c>
      <c r="D769" s="3">
        <v>23.6</v>
      </c>
      <c r="E769" s="4">
        <v>8.93</v>
      </c>
      <c r="F769" s="1">
        <v>8.16</v>
      </c>
      <c r="G769" s="9">
        <v>-4.4999999999999997E-3</v>
      </c>
      <c r="H769" s="9">
        <v>-3.3999999999999998E-3</v>
      </c>
      <c r="I769" s="9">
        <v>5.0000000000000001E-4</v>
      </c>
    </row>
    <row r="770" spans="1:11">
      <c r="A770" s="1" t="s">
        <v>933</v>
      </c>
      <c r="B770" s="1">
        <v>208.4</v>
      </c>
      <c r="C770" s="2">
        <v>33.200000000000003</v>
      </c>
      <c r="D770" s="3">
        <v>26.6</v>
      </c>
      <c r="E770" s="4">
        <v>8.5</v>
      </c>
      <c r="F770" s="1">
        <v>7.84</v>
      </c>
      <c r="G770" s="9">
        <v>-4.5999999999999999E-3</v>
      </c>
      <c r="H770" s="9">
        <v>-3.5999999999999999E-3</v>
      </c>
    </row>
    <row r="771" spans="1:11">
      <c r="A771" s="1" t="s">
        <v>934</v>
      </c>
      <c r="B771" s="1">
        <f>B770*K771</f>
        <v>3126</v>
      </c>
      <c r="C771" s="2">
        <f>C770</f>
        <v>33.200000000000003</v>
      </c>
      <c r="D771" s="3">
        <f>D770</f>
        <v>26.6</v>
      </c>
      <c r="E771" s="4">
        <f>E770*K771</f>
        <v>127.5</v>
      </c>
      <c r="F771" s="1">
        <f>F770*K771</f>
        <v>117.6</v>
      </c>
      <c r="G771" s="9">
        <f>G770</f>
        <v>-4.5999999999999999E-3</v>
      </c>
      <c r="H771" s="9">
        <f>H770</f>
        <v>-3.5999999999999999E-3</v>
      </c>
      <c r="I771" s="9">
        <f>I770</f>
        <v>0</v>
      </c>
      <c r="J771" s="9" t="s">
        <v>935</v>
      </c>
      <c r="K771" s="5">
        <v>15</v>
      </c>
    </row>
    <row r="772" spans="1:11">
      <c r="A772" s="1" t="s">
        <v>936</v>
      </c>
      <c r="B772" s="1">
        <v>215</v>
      </c>
      <c r="C772" s="2">
        <v>33.200000000000003</v>
      </c>
      <c r="D772" s="3">
        <v>26.6</v>
      </c>
      <c r="E772" s="4">
        <v>8.7799999999999994</v>
      </c>
      <c r="F772" s="1">
        <v>8.09</v>
      </c>
      <c r="G772" s="9">
        <v>-4.4000000000000003E-3</v>
      </c>
      <c r="H772" s="9">
        <v>-3.29E-3</v>
      </c>
      <c r="I772" s="9">
        <v>3.8000000000000002E-4</v>
      </c>
    </row>
    <row r="773" spans="1:11">
      <c r="A773" s="1" t="s">
        <v>937</v>
      </c>
      <c r="B773" s="1">
        <v>242</v>
      </c>
      <c r="C773" s="2">
        <v>36.9</v>
      </c>
      <c r="D773" s="3">
        <v>29.8</v>
      </c>
      <c r="E773" s="4">
        <v>8.8000000000000007</v>
      </c>
      <c r="F773" s="1">
        <v>8.1300000000000008</v>
      </c>
      <c r="G773" s="9">
        <v>-4.5999999999999999E-3</v>
      </c>
      <c r="H773" s="9">
        <v>-3.5999999999999999E-3</v>
      </c>
    </row>
    <row r="774" spans="1:11">
      <c r="A774" s="1" t="s">
        <v>938</v>
      </c>
      <c r="B774" s="1">
        <f>B773*K774</f>
        <v>3630</v>
      </c>
      <c r="C774" s="2">
        <f>C773</f>
        <v>36.9</v>
      </c>
      <c r="D774" s="3">
        <f>D773</f>
        <v>29.8</v>
      </c>
      <c r="E774" s="4">
        <f>E773*K774</f>
        <v>132</v>
      </c>
      <c r="F774" s="1">
        <f>F773*K774</f>
        <v>121.95000000000002</v>
      </c>
      <c r="G774" s="9">
        <f>G773</f>
        <v>-4.5999999999999999E-3</v>
      </c>
      <c r="H774" s="9">
        <f>H773</f>
        <v>-3.5999999999999999E-3</v>
      </c>
      <c r="I774" s="9">
        <f>I773</f>
        <v>0</v>
      </c>
      <c r="K774" s="5">
        <v>15</v>
      </c>
    </row>
    <row r="775" spans="1:11">
      <c r="A775" s="1" t="s">
        <v>939</v>
      </c>
      <c r="B775" s="1">
        <v>322</v>
      </c>
      <c r="C775" s="2">
        <v>49.6</v>
      </c>
      <c r="D775" s="3">
        <v>40.1</v>
      </c>
      <c r="E775" s="4">
        <v>8.64</v>
      </c>
      <c r="F775" s="1">
        <v>8.0299999999999994</v>
      </c>
      <c r="G775" s="9">
        <v>-4.5999999999999999E-3</v>
      </c>
      <c r="H775" s="9">
        <v>-3.5999999999999999E-3</v>
      </c>
    </row>
    <row r="776" spans="1:11">
      <c r="A776" s="1" t="s">
        <v>940</v>
      </c>
      <c r="B776" s="1">
        <f>B775*K776</f>
        <v>0</v>
      </c>
      <c r="C776" s="2">
        <f>C775</f>
        <v>49.6</v>
      </c>
      <c r="D776" s="3">
        <f>D775</f>
        <v>40.1</v>
      </c>
      <c r="E776" s="4">
        <f>E775*K776</f>
        <v>0</v>
      </c>
      <c r="F776" s="1">
        <f>F775*K776</f>
        <v>0</v>
      </c>
      <c r="G776" s="9">
        <f>G775</f>
        <v>-4.5999999999999999E-3</v>
      </c>
      <c r="H776" s="9">
        <f>H775</f>
        <v>-3.5999999999999999E-3</v>
      </c>
      <c r="I776" s="9">
        <f>I775</f>
        <v>0</v>
      </c>
    </row>
    <row r="777" spans="1:11" ht="13.5" customHeight="1">
      <c r="A777" s="1" t="s">
        <v>941</v>
      </c>
      <c r="B777" s="1">
        <v>325</v>
      </c>
      <c r="C777" s="2">
        <v>40.6</v>
      </c>
      <c r="D777" s="3">
        <v>33.799999999999997</v>
      </c>
      <c r="E777" s="4">
        <v>10.199999999999999</v>
      </c>
      <c r="F777" s="1">
        <v>9.6199999999999992</v>
      </c>
      <c r="G777" s="9">
        <v>-3.9399999999999999E-3</v>
      </c>
      <c r="H777" s="9">
        <v>-2.9199999999999999E-3</v>
      </c>
      <c r="I777" s="9">
        <v>4.4299999999999998E-4</v>
      </c>
    </row>
    <row r="778" spans="1:11">
      <c r="A778" s="1" t="s">
        <v>942</v>
      </c>
      <c r="B778" s="1">
        <v>365</v>
      </c>
      <c r="C778" s="2">
        <v>41.6</v>
      </c>
      <c r="D778" s="3">
        <v>33.799999999999997</v>
      </c>
      <c r="E778" s="4">
        <v>11.22</v>
      </c>
      <c r="F778" s="1">
        <v>10.8</v>
      </c>
      <c r="G778" s="9">
        <v>-3.65E-3</v>
      </c>
      <c r="H778" s="9">
        <v>-2.7000000000000001E-3</v>
      </c>
      <c r="I778" s="9">
        <v>3.8000000000000002E-4</v>
      </c>
    </row>
    <row r="779" spans="1:11">
      <c r="A779" s="1" t="s">
        <v>943</v>
      </c>
      <c r="B779" s="1">
        <v>455</v>
      </c>
      <c r="C779" s="2">
        <v>49.8</v>
      </c>
      <c r="D779" s="3">
        <v>41.6</v>
      </c>
      <c r="E779" s="4">
        <v>11.65</v>
      </c>
      <c r="F779" s="1">
        <v>10.93</v>
      </c>
      <c r="G779" s="9">
        <v>-3.5000000000000001E-3</v>
      </c>
      <c r="H779" s="9">
        <v>-2.8400000000000001E-3</v>
      </c>
      <c r="I779" s="9">
        <v>5.0000000000000001E-4</v>
      </c>
    </row>
    <row r="780" spans="1:11">
      <c r="A780" s="1" t="s">
        <v>944</v>
      </c>
      <c r="B780" s="1">
        <v>285</v>
      </c>
      <c r="C780" s="2">
        <v>39.1</v>
      </c>
      <c r="D780" s="3">
        <v>31.5</v>
      </c>
      <c r="E780" s="4">
        <v>9.58</v>
      </c>
      <c r="F780" s="1">
        <v>9.0500000000000007</v>
      </c>
      <c r="G780" s="9">
        <v>-4.1999999999999997E-3</v>
      </c>
      <c r="H780" s="9">
        <v>-3.3E-3</v>
      </c>
    </row>
    <row r="781" spans="1:11">
      <c r="A781" s="1" t="s">
        <v>945</v>
      </c>
      <c r="B781" s="1">
        <v>365</v>
      </c>
      <c r="C781" s="2">
        <v>41.57</v>
      </c>
      <c r="D781" s="3">
        <v>33.82</v>
      </c>
      <c r="E781" s="4">
        <v>11.22</v>
      </c>
      <c r="F781" s="1">
        <v>10.8</v>
      </c>
      <c r="G781" s="9">
        <v>-3.65E-3</v>
      </c>
      <c r="H781" s="9">
        <v>-2.7000000000000001E-3</v>
      </c>
      <c r="I781" s="9">
        <v>3.8000000000000002E-4</v>
      </c>
    </row>
    <row r="782" spans="1:11">
      <c r="A782" s="1" t="s">
        <v>946</v>
      </c>
      <c r="B782" s="1">
        <v>370</v>
      </c>
      <c r="C782" s="2">
        <v>41.72</v>
      </c>
      <c r="D782" s="3">
        <v>33.950000000000003</v>
      </c>
      <c r="E782" s="4">
        <v>11.32</v>
      </c>
      <c r="F782" s="1">
        <v>10.91</v>
      </c>
      <c r="G782" s="9">
        <v>-3.2799999999999999E-3</v>
      </c>
      <c r="H782" s="9">
        <v>-2.5600000000000002E-3</v>
      </c>
      <c r="I782" s="9">
        <v>4.8999999999999998E-4</v>
      </c>
      <c r="J782" s="9">
        <v>0.1</v>
      </c>
    </row>
    <row r="783" spans="1:11">
      <c r="A783" s="1" t="s">
        <v>947</v>
      </c>
      <c r="B783" s="1">
        <f>B782*(1+J782)</f>
        <v>407.00000000000006</v>
      </c>
      <c r="C783" s="2">
        <f>C782</f>
        <v>41.72</v>
      </c>
      <c r="D783" s="3">
        <f>D782</f>
        <v>33.950000000000003</v>
      </c>
      <c r="E783" s="4">
        <f>E782*(1+J782)</f>
        <v>12.452000000000002</v>
      </c>
      <c r="F783" s="1">
        <f>F782*(1+J782)</f>
        <v>12.001000000000001</v>
      </c>
      <c r="G783" s="9">
        <f>G782</f>
        <v>-3.2799999999999999E-3</v>
      </c>
      <c r="H783" s="9">
        <f>H782</f>
        <v>-2.5600000000000002E-3</v>
      </c>
      <c r="I783" s="9">
        <f>I782</f>
        <v>4.8999999999999998E-4</v>
      </c>
    </row>
    <row r="784" spans="1:11">
      <c r="A784" s="1" t="s">
        <v>948</v>
      </c>
      <c r="B784" s="1">
        <v>375</v>
      </c>
      <c r="C784" s="2">
        <v>41.89</v>
      </c>
      <c r="D784" s="3">
        <v>34.1</v>
      </c>
      <c r="E784" s="4">
        <v>11.43</v>
      </c>
      <c r="F784" s="1">
        <v>11.01</v>
      </c>
      <c r="G784" s="9">
        <v>-3.2799999999999999E-3</v>
      </c>
      <c r="H784" s="9">
        <v>-2.5600000000000002E-3</v>
      </c>
      <c r="I784" s="9">
        <v>4.8700000000000002E-4</v>
      </c>
      <c r="J784" s="9">
        <v>0.2</v>
      </c>
    </row>
    <row r="785" spans="1:10">
      <c r="A785" s="1" t="str">
        <f>A784&amp;-2</f>
        <v>KT375-120HL4-2</v>
      </c>
      <c r="B785" s="1">
        <f>B784*(1+J784)</f>
        <v>450</v>
      </c>
      <c r="C785" s="2">
        <f>C784</f>
        <v>41.89</v>
      </c>
      <c r="D785" s="3">
        <f>D784</f>
        <v>34.1</v>
      </c>
      <c r="E785" s="4">
        <f>E784*(1+J784)</f>
        <v>13.715999999999999</v>
      </c>
      <c r="F785" s="1">
        <f>F784*(1+J784)</f>
        <v>13.212</v>
      </c>
      <c r="G785" s="9">
        <f>G784</f>
        <v>-3.2799999999999999E-3</v>
      </c>
      <c r="H785" s="9">
        <f>H784</f>
        <v>-2.5600000000000002E-3</v>
      </c>
      <c r="I785" s="9">
        <f>I784</f>
        <v>4.8700000000000002E-4</v>
      </c>
    </row>
    <row r="786" spans="1:10">
      <c r="A786" s="1" t="s">
        <v>949</v>
      </c>
      <c r="B786" s="1">
        <v>390</v>
      </c>
      <c r="C786" s="2">
        <v>36.97</v>
      </c>
      <c r="D786" s="3">
        <v>30.01</v>
      </c>
      <c r="E786" s="4">
        <v>13.41</v>
      </c>
      <c r="F786" s="1">
        <v>13.01</v>
      </c>
      <c r="G786" s="9">
        <v>-3.3E-3</v>
      </c>
      <c r="H786" s="9">
        <v>-2.4599999999999999E-3</v>
      </c>
      <c r="I786" s="9">
        <v>4.4799999999999999E-4</v>
      </c>
      <c r="J786" s="9">
        <v>0.1</v>
      </c>
    </row>
    <row r="787" spans="1:10">
      <c r="A787" s="1" t="s">
        <v>950</v>
      </c>
      <c r="B787" s="1">
        <f>B786*(1+J786)</f>
        <v>429.00000000000006</v>
      </c>
      <c r="C787" s="2">
        <f>C786</f>
        <v>36.97</v>
      </c>
      <c r="D787" s="3">
        <f>D786</f>
        <v>30.01</v>
      </c>
      <c r="E787" s="4">
        <f>E786*(1+J786)</f>
        <v>14.751000000000001</v>
      </c>
      <c r="F787" s="1">
        <f>F786*(1+J786)</f>
        <v>14.311000000000002</v>
      </c>
      <c r="G787" s="9">
        <f>G786</f>
        <v>-3.3E-3</v>
      </c>
      <c r="H787" s="9">
        <f>H786</f>
        <v>-2.4599999999999999E-3</v>
      </c>
      <c r="I787" s="9">
        <f>I786</f>
        <v>4.4799999999999999E-4</v>
      </c>
    </row>
    <row r="788" spans="1:10">
      <c r="A788" s="1" t="s">
        <v>951</v>
      </c>
      <c r="B788" s="1">
        <v>395</v>
      </c>
      <c r="C788" s="2">
        <v>36.97</v>
      </c>
      <c r="D788" s="3">
        <v>30.55</v>
      </c>
      <c r="E788" s="4">
        <v>13.82</v>
      </c>
      <c r="F788" s="1">
        <v>12.94</v>
      </c>
      <c r="G788" s="9">
        <v>-3.3E-3</v>
      </c>
      <c r="H788" s="9">
        <v>-2.4599999999999999E-3</v>
      </c>
      <c r="I788" s="9">
        <v>4.4799999999999999E-4</v>
      </c>
      <c r="J788" s="9">
        <v>0.1</v>
      </c>
    </row>
    <row r="789" spans="1:10">
      <c r="A789" s="1" t="s">
        <v>952</v>
      </c>
      <c r="B789" s="1">
        <f>B788*(1+J788)</f>
        <v>434.50000000000006</v>
      </c>
      <c r="C789" s="2">
        <f>C788</f>
        <v>36.97</v>
      </c>
      <c r="D789" s="3">
        <f>D788</f>
        <v>30.55</v>
      </c>
      <c r="E789" s="4">
        <f>E788*(1+J788)</f>
        <v>15.202000000000002</v>
      </c>
      <c r="F789" s="1">
        <f>F788*(1+J788)</f>
        <v>14.234</v>
      </c>
      <c r="G789" s="9">
        <f>G788</f>
        <v>-3.3E-3</v>
      </c>
      <c r="H789" s="9">
        <f>H788</f>
        <v>-2.4599999999999999E-3</v>
      </c>
      <c r="I789" s="9">
        <f>I788</f>
        <v>4.4799999999999999E-4</v>
      </c>
    </row>
    <row r="790" spans="1:10">
      <c r="A790" s="1" t="s">
        <v>953</v>
      </c>
      <c r="B790" s="1">
        <v>405</v>
      </c>
      <c r="C790" s="2">
        <v>37.33</v>
      </c>
      <c r="D790" s="3">
        <v>30.52</v>
      </c>
      <c r="E790" s="4">
        <v>13.68</v>
      </c>
      <c r="F790" s="1">
        <v>13.28</v>
      </c>
      <c r="G790" s="9">
        <v>-3.3E-3</v>
      </c>
      <c r="H790" s="9">
        <v>-2.4599999999999999E-3</v>
      </c>
      <c r="I790" s="9">
        <v>4.4799999999999999E-4</v>
      </c>
      <c r="J790" s="9">
        <v>0.1</v>
      </c>
    </row>
    <row r="791" spans="1:10" ht="13.9" customHeight="1">
      <c r="A791" s="1" t="s">
        <v>954</v>
      </c>
      <c r="B791" s="1">
        <f>B790*(1+J790)</f>
        <v>445.50000000000006</v>
      </c>
      <c r="C791" s="2">
        <f>C790</f>
        <v>37.33</v>
      </c>
      <c r="D791" s="3">
        <f>D790</f>
        <v>30.52</v>
      </c>
      <c r="E791" s="4">
        <f>E790*(1+J790)</f>
        <v>15.048</v>
      </c>
      <c r="F791" s="1">
        <f>F790*(1+J790)</f>
        <v>14.608000000000001</v>
      </c>
      <c r="G791" s="9">
        <v>-3.3E-3</v>
      </c>
      <c r="H791" s="9">
        <v>-2.4599999999999999E-3</v>
      </c>
      <c r="I791" s="9">
        <f>I790</f>
        <v>4.4799999999999999E-4</v>
      </c>
    </row>
    <row r="792" spans="1:10">
      <c r="A792" s="1" t="s">
        <v>955</v>
      </c>
      <c r="B792" s="1">
        <v>410</v>
      </c>
      <c r="C792" s="2">
        <v>37.450000000000003</v>
      </c>
      <c r="D792" s="3">
        <v>30.69</v>
      </c>
      <c r="E792" s="4">
        <v>13.77</v>
      </c>
      <c r="F792" s="1">
        <v>13.37</v>
      </c>
      <c r="G792" s="9">
        <v>-3.3E-3</v>
      </c>
      <c r="H792" s="9">
        <v>-2.4599999999999999E-3</v>
      </c>
      <c r="I792" s="9">
        <v>4.4799999999999999E-4</v>
      </c>
      <c r="J792" s="9">
        <v>0.1</v>
      </c>
    </row>
    <row r="793" spans="1:10">
      <c r="A793" s="1" t="s">
        <v>956</v>
      </c>
      <c r="B793" s="1">
        <f>B792*(1+J792)</f>
        <v>451.00000000000006</v>
      </c>
      <c r="C793" s="2">
        <f>C792</f>
        <v>37.450000000000003</v>
      </c>
      <c r="D793" s="3">
        <f>D792</f>
        <v>30.69</v>
      </c>
      <c r="E793" s="4">
        <f>E792*(1+J792)</f>
        <v>15.147</v>
      </c>
      <c r="F793" s="1">
        <f>F792*(1+J792)</f>
        <v>14.707000000000001</v>
      </c>
      <c r="G793" s="9">
        <f>G792</f>
        <v>-3.3E-3</v>
      </c>
      <c r="H793" s="9">
        <f>H792</f>
        <v>-2.4599999999999999E-3</v>
      </c>
      <c r="I793" s="9">
        <f>I792</f>
        <v>4.4799999999999999E-4</v>
      </c>
    </row>
    <row r="794" spans="1:10">
      <c r="A794" s="1" t="s">
        <v>957</v>
      </c>
      <c r="B794" s="1">
        <v>415</v>
      </c>
      <c r="C794" s="2">
        <f>C792*1.012</f>
        <v>37.8994</v>
      </c>
      <c r="D794" s="2">
        <f>D792*1.012</f>
        <v>31.05828</v>
      </c>
      <c r="E794" s="2">
        <f>E792*1.012</f>
        <v>13.93524</v>
      </c>
      <c r="F794" s="2">
        <f>F792*1.012</f>
        <v>13.530439999999999</v>
      </c>
      <c r="G794" s="9">
        <v>-3.3E-3</v>
      </c>
      <c r="H794" s="9">
        <v>-2.4599999999999999E-3</v>
      </c>
      <c r="I794" s="9">
        <v>4.4799999999999999E-4</v>
      </c>
      <c r="J794" s="9">
        <v>0.1</v>
      </c>
    </row>
    <row r="795" spans="1:10">
      <c r="A795" s="1" t="s">
        <v>958</v>
      </c>
      <c r="B795" s="1">
        <f>B794*(1+J794)</f>
        <v>456.50000000000006</v>
      </c>
      <c r="C795" s="2">
        <f>C794</f>
        <v>37.8994</v>
      </c>
      <c r="D795" s="3">
        <f>D794</f>
        <v>31.05828</v>
      </c>
      <c r="E795" s="4">
        <f>E794*(1+J794)</f>
        <v>15.328764000000001</v>
      </c>
      <c r="F795" s="1">
        <f>F794*(1+J794)</f>
        <v>14.883483999999999</v>
      </c>
      <c r="G795" s="9">
        <f>G794</f>
        <v>-3.3E-3</v>
      </c>
      <c r="H795" s="9">
        <f>H794</f>
        <v>-2.4599999999999999E-3</v>
      </c>
      <c r="I795" s="9">
        <f>I794</f>
        <v>4.4799999999999999E-4</v>
      </c>
    </row>
    <row r="796" spans="1:10">
      <c r="A796" s="1" t="s">
        <v>959</v>
      </c>
      <c r="B796" s="1">
        <v>435</v>
      </c>
      <c r="C796" s="2">
        <v>49.81</v>
      </c>
      <c r="D796" s="3">
        <v>40.43</v>
      </c>
      <c r="E796" s="4">
        <v>11.17</v>
      </c>
      <c r="F796" s="1">
        <v>10.76</v>
      </c>
      <c r="G796" s="9">
        <v>-3.2799999999999999E-3</v>
      </c>
      <c r="H796" s="9">
        <v>-2.5600000000000002E-3</v>
      </c>
      <c r="I796" s="9">
        <v>4.8700000000000002E-4</v>
      </c>
      <c r="J796" s="9">
        <v>0.1</v>
      </c>
    </row>
    <row r="797" spans="1:10">
      <c r="A797" s="1" t="str">
        <f>A796&amp;-2</f>
        <v>KT435-144HL4-2</v>
      </c>
      <c r="B797" s="1">
        <f>B796*(1+J796)</f>
        <v>478.50000000000006</v>
      </c>
      <c r="C797" s="2">
        <f>C796</f>
        <v>49.81</v>
      </c>
      <c r="D797" s="3">
        <f>D796</f>
        <v>40.43</v>
      </c>
      <c r="E797" s="4">
        <f>E796*(1+J796)</f>
        <v>12.287000000000001</v>
      </c>
      <c r="F797" s="1">
        <f>F796*(1+J796)</f>
        <v>11.836</v>
      </c>
      <c r="G797" s="9">
        <f>G796</f>
        <v>-3.2799999999999999E-3</v>
      </c>
      <c r="H797" s="9">
        <f>H796</f>
        <v>-2.5600000000000002E-3</v>
      </c>
      <c r="I797" s="9">
        <f>I796</f>
        <v>4.8700000000000002E-4</v>
      </c>
    </row>
    <row r="798" spans="1:10">
      <c r="A798" s="1" t="s">
        <v>960</v>
      </c>
      <c r="B798" s="1">
        <v>440</v>
      </c>
      <c r="C798" s="2">
        <v>49.97</v>
      </c>
      <c r="D798" s="3">
        <v>40.6</v>
      </c>
      <c r="E798" s="4">
        <v>11.26</v>
      </c>
      <c r="F798" s="1">
        <v>10.84</v>
      </c>
      <c r="G798" s="9">
        <v>-3.2799999999999999E-3</v>
      </c>
      <c r="H798" s="9">
        <v>-2.5600000000000002E-3</v>
      </c>
      <c r="I798" s="9">
        <v>4.8700000000000002E-4</v>
      </c>
      <c r="J798" s="9">
        <v>0.1</v>
      </c>
    </row>
    <row r="799" spans="1:10">
      <c r="A799" s="1" t="str">
        <f>A798&amp;-2</f>
        <v>KT440-144HL4-2</v>
      </c>
      <c r="B799" s="1">
        <f>B798*(1+J798)</f>
        <v>484.00000000000006</v>
      </c>
      <c r="C799" s="2">
        <f>C798</f>
        <v>49.97</v>
      </c>
      <c r="D799" s="3">
        <f>D798</f>
        <v>40.6</v>
      </c>
      <c r="E799" s="4">
        <f>E798*(1+J798)</f>
        <v>12.386000000000001</v>
      </c>
      <c r="F799" s="1">
        <f>F798*(1+J798)</f>
        <v>11.924000000000001</v>
      </c>
      <c r="G799" s="9">
        <f>G798</f>
        <v>-3.2799999999999999E-3</v>
      </c>
      <c r="H799" s="9">
        <f>H798</f>
        <v>-2.5600000000000002E-3</v>
      </c>
      <c r="I799" s="9">
        <f>I798</f>
        <v>4.8700000000000002E-4</v>
      </c>
    </row>
    <row r="800" spans="1:10">
      <c r="A800" s="1" t="s">
        <v>961</v>
      </c>
      <c r="B800" s="1">
        <v>445</v>
      </c>
      <c r="C800" s="2">
        <v>50.12</v>
      </c>
      <c r="D800" s="3">
        <v>40.770000000000003</v>
      </c>
      <c r="E800" s="4">
        <v>11.35</v>
      </c>
      <c r="F800" s="1">
        <v>10.92</v>
      </c>
      <c r="G800" s="9">
        <v>-3.2799999999999999E-3</v>
      </c>
      <c r="H800" s="9">
        <v>-2.5600000000000002E-3</v>
      </c>
      <c r="I800" s="9">
        <v>4.8700000000000002E-4</v>
      </c>
      <c r="J800" s="9">
        <v>0.1</v>
      </c>
    </row>
    <row r="801" spans="1:10">
      <c r="A801" s="1" t="str">
        <f>A800&amp;-2</f>
        <v>KT445-144HL4-2</v>
      </c>
      <c r="B801" s="1">
        <f>B800*(1+J800)</f>
        <v>489.50000000000006</v>
      </c>
      <c r="C801" s="2">
        <f>C800</f>
        <v>50.12</v>
      </c>
      <c r="D801" s="3">
        <f>D800</f>
        <v>40.770000000000003</v>
      </c>
      <c r="E801" s="4">
        <f>E800*(1+J800)</f>
        <v>12.485000000000001</v>
      </c>
      <c r="F801" s="1">
        <f>F800*(1+J800)</f>
        <v>12.012</v>
      </c>
      <c r="G801" s="9">
        <f>G800</f>
        <v>-3.2799999999999999E-3</v>
      </c>
      <c r="H801" s="9">
        <f>H800</f>
        <v>-2.5600000000000002E-3</v>
      </c>
      <c r="I801" s="9">
        <f>I800</f>
        <v>4.8700000000000002E-4</v>
      </c>
    </row>
    <row r="802" spans="1:10">
      <c r="A802" s="1" t="s">
        <v>962</v>
      </c>
      <c r="B802" s="1">
        <v>450</v>
      </c>
      <c r="C802" s="2">
        <v>50.27</v>
      </c>
      <c r="D802" s="3">
        <v>40.909999999999997</v>
      </c>
      <c r="E802" s="4">
        <v>11.43</v>
      </c>
      <c r="F802" s="1">
        <v>11.01</v>
      </c>
      <c r="G802" s="9">
        <v>-3.2799999999999999E-3</v>
      </c>
      <c r="H802" s="9">
        <v>-2.5600000000000002E-3</v>
      </c>
      <c r="I802" s="9">
        <v>4.8700000000000002E-4</v>
      </c>
      <c r="J802" s="9">
        <v>0.1</v>
      </c>
    </row>
    <row r="803" spans="1:10">
      <c r="A803" s="1" t="str">
        <f>A802&amp;-2</f>
        <v>KT450-144HL4-2</v>
      </c>
      <c r="B803" s="1">
        <f>B802*(1+J802)</f>
        <v>495.00000000000006</v>
      </c>
      <c r="C803" s="2">
        <f>C802</f>
        <v>50.27</v>
      </c>
      <c r="D803" s="3">
        <f>D802</f>
        <v>40.909999999999997</v>
      </c>
      <c r="E803" s="4">
        <f>E802*(1+J802)</f>
        <v>12.573</v>
      </c>
      <c r="F803" s="1">
        <f>F802*(1+J802)</f>
        <v>12.111000000000001</v>
      </c>
      <c r="G803" s="9">
        <f>G802</f>
        <v>-3.2799999999999999E-3</v>
      </c>
      <c r="H803" s="9">
        <f>H802</f>
        <v>-2.5600000000000002E-3</v>
      </c>
      <c r="I803" s="9">
        <f>I802</f>
        <v>4.8700000000000002E-4</v>
      </c>
    </row>
    <row r="804" spans="1:10">
      <c r="A804" s="1" t="s">
        <v>963</v>
      </c>
      <c r="B804" s="1">
        <v>520</v>
      </c>
      <c r="C804" s="2">
        <v>49.29</v>
      </c>
      <c r="D804" s="3">
        <v>40.04</v>
      </c>
      <c r="E804" s="4">
        <v>13.4</v>
      </c>
      <c r="F804" s="1">
        <v>13</v>
      </c>
      <c r="G804" s="9">
        <v>-3.3E-3</v>
      </c>
      <c r="H804" s="9">
        <v>-2.4599999999999999E-3</v>
      </c>
      <c r="I804" s="9">
        <v>4.4799999999999999E-4</v>
      </c>
      <c r="J804" s="9">
        <v>0.1</v>
      </c>
    </row>
    <row r="805" spans="1:10">
      <c r="A805" s="1" t="s">
        <v>964</v>
      </c>
      <c r="B805" s="1">
        <f>B804*(1+J804)</f>
        <v>572</v>
      </c>
      <c r="C805" s="2">
        <f>C804</f>
        <v>49.29</v>
      </c>
      <c r="D805" s="3">
        <f>D804</f>
        <v>40.04</v>
      </c>
      <c r="E805" s="4">
        <f>E804*(1+J804)</f>
        <v>14.740000000000002</v>
      </c>
      <c r="F805" s="1">
        <f>F804*(1+J804)</f>
        <v>14.3</v>
      </c>
      <c r="G805" s="9">
        <f>G804</f>
        <v>-3.3E-3</v>
      </c>
      <c r="H805" s="9">
        <f>H804</f>
        <v>-2.4599999999999999E-3</v>
      </c>
      <c r="I805" s="9">
        <f>I804</f>
        <v>4.4799999999999999E-4</v>
      </c>
    </row>
    <row r="806" spans="1:10">
      <c r="A806" s="1" t="s">
        <v>965</v>
      </c>
      <c r="B806" s="1">
        <v>525</v>
      </c>
      <c r="C806" s="2">
        <v>49.41</v>
      </c>
      <c r="D806" s="3">
        <v>40.21</v>
      </c>
      <c r="E806" s="4">
        <v>13.47</v>
      </c>
      <c r="F806" s="1">
        <v>13.07</v>
      </c>
      <c r="G806" s="9">
        <v>-3.3E-3</v>
      </c>
      <c r="H806" s="9">
        <v>-2.4599999999999999E-3</v>
      </c>
      <c r="I806" s="9">
        <v>4.4799999999999999E-4</v>
      </c>
      <c r="J806" s="9">
        <v>0.1</v>
      </c>
    </row>
    <row r="807" spans="1:10">
      <c r="A807" s="1" t="s">
        <v>966</v>
      </c>
      <c r="B807" s="1">
        <f>B806*(1+J806)</f>
        <v>577.5</v>
      </c>
      <c r="C807" s="2">
        <f>C806</f>
        <v>49.41</v>
      </c>
      <c r="D807" s="3">
        <f>D806</f>
        <v>40.21</v>
      </c>
      <c r="E807" s="4">
        <f>E806*(1+J806)</f>
        <v>14.817000000000002</v>
      </c>
      <c r="F807" s="1">
        <f>F806*(1+J806)</f>
        <v>14.377000000000001</v>
      </c>
      <c r="G807" s="9">
        <f>G806</f>
        <v>-3.3E-3</v>
      </c>
      <c r="H807" s="9">
        <f>H806</f>
        <v>-2.4599999999999999E-3</v>
      </c>
      <c r="I807" s="9">
        <f>I806</f>
        <v>4.4799999999999999E-4</v>
      </c>
    </row>
    <row r="808" spans="1:10">
      <c r="A808" s="1" t="s">
        <v>967</v>
      </c>
      <c r="B808" s="1">
        <v>530</v>
      </c>
      <c r="C808" s="2">
        <v>49.53</v>
      </c>
      <c r="D808" s="3">
        <v>40.369999999999997</v>
      </c>
      <c r="E808" s="4">
        <v>13.54</v>
      </c>
      <c r="F808" s="1">
        <v>13.14</v>
      </c>
      <c r="G808" s="9">
        <v>-3.3E-3</v>
      </c>
      <c r="H808" s="9">
        <v>-2.4599999999999999E-3</v>
      </c>
      <c r="I808" s="9">
        <v>4.4799999999999999E-4</v>
      </c>
      <c r="J808" s="9">
        <v>0.1</v>
      </c>
    </row>
    <row r="809" spans="1:10">
      <c r="A809" s="1" t="s">
        <v>968</v>
      </c>
      <c r="B809" s="1">
        <f>B808*(1+J808)</f>
        <v>583</v>
      </c>
      <c r="C809" s="2">
        <f>C808</f>
        <v>49.53</v>
      </c>
      <c r="D809" s="3">
        <f>D808</f>
        <v>40.369999999999997</v>
      </c>
      <c r="E809" s="4">
        <f>E808*(1+J808)</f>
        <v>14.894</v>
      </c>
      <c r="F809" s="1">
        <f>F808*(1+J808)</f>
        <v>14.454000000000002</v>
      </c>
      <c r="G809" s="9">
        <f>G808</f>
        <v>-3.3E-3</v>
      </c>
      <c r="H809" s="9">
        <f>H808</f>
        <v>-2.4599999999999999E-3</v>
      </c>
      <c r="I809" s="9">
        <f>I808</f>
        <v>4.4799999999999999E-4</v>
      </c>
    </row>
    <row r="810" spans="1:10">
      <c r="A810" s="1" t="s">
        <v>969</v>
      </c>
      <c r="B810" s="1">
        <v>535</v>
      </c>
      <c r="C810" s="2">
        <v>49.65</v>
      </c>
      <c r="D810" s="3">
        <v>40.53</v>
      </c>
      <c r="E810" s="4">
        <v>13.6</v>
      </c>
      <c r="F810" s="1">
        <v>13.21</v>
      </c>
      <c r="G810" s="9">
        <v>-3.65E-3</v>
      </c>
      <c r="H810" s="9">
        <v>-2.7000000000000001E-3</v>
      </c>
      <c r="I810" s="9">
        <v>3.8000000000000002E-4</v>
      </c>
      <c r="J810" s="9">
        <v>0.1</v>
      </c>
    </row>
    <row r="811" spans="1:10">
      <c r="A811" s="1" t="str">
        <f>A810&amp;-2</f>
        <v>KT535W-144HL4-2</v>
      </c>
      <c r="B811" s="1">
        <f>B810*(1+J810)</f>
        <v>588.5</v>
      </c>
      <c r="C811" s="2">
        <f>C810</f>
        <v>49.65</v>
      </c>
      <c r="D811" s="3">
        <f>D810</f>
        <v>40.53</v>
      </c>
      <c r="E811" s="4">
        <f>E810*(1+J810)</f>
        <v>14.96</v>
      </c>
      <c r="F811" s="1">
        <f>F810*(1+J810)</f>
        <v>14.531000000000002</v>
      </c>
      <c r="G811" s="9">
        <f>G810</f>
        <v>-3.65E-3</v>
      </c>
      <c r="H811" s="9">
        <f>H810</f>
        <v>-2.7000000000000001E-3</v>
      </c>
      <c r="I811" s="9">
        <f>I810</f>
        <v>3.8000000000000002E-4</v>
      </c>
    </row>
    <row r="812" spans="1:10">
      <c r="A812" s="1" t="s">
        <v>970</v>
      </c>
      <c r="B812" s="1">
        <v>540</v>
      </c>
      <c r="C812" s="2">
        <v>49.77</v>
      </c>
      <c r="D812" s="3">
        <v>40.69</v>
      </c>
      <c r="E812" s="4">
        <v>13.68</v>
      </c>
      <c r="F812" s="1">
        <v>13.28</v>
      </c>
      <c r="G812" s="9">
        <v>-3.3E-3</v>
      </c>
      <c r="H812" s="9">
        <v>-2.4599999999999999E-3</v>
      </c>
      <c r="I812" s="9">
        <v>4.4799999999999999E-4</v>
      </c>
      <c r="J812" s="9">
        <v>0.1</v>
      </c>
    </row>
    <row r="813" spans="1:10">
      <c r="A813" s="1" t="s">
        <v>971</v>
      </c>
      <c r="B813" s="1">
        <f>B812*(1+J812)</f>
        <v>594</v>
      </c>
      <c r="C813" s="2">
        <f>C812</f>
        <v>49.77</v>
      </c>
      <c r="D813" s="3">
        <f>D812</f>
        <v>40.69</v>
      </c>
      <c r="E813" s="4">
        <f>E812*(1+J812)</f>
        <v>15.048</v>
      </c>
      <c r="F813" s="1">
        <f>F812*(1+J812)</f>
        <v>14.608000000000001</v>
      </c>
      <c r="G813" s="9">
        <v>-3.3E-3</v>
      </c>
      <c r="H813" s="9">
        <v>-2.4599999999999999E-3</v>
      </c>
      <c r="I813" s="9">
        <f>I812</f>
        <v>4.4799999999999999E-4</v>
      </c>
    </row>
    <row r="814" spans="1:10">
      <c r="A814" s="1" t="s">
        <v>972</v>
      </c>
      <c r="B814" s="1">
        <v>545</v>
      </c>
      <c r="C814" s="2">
        <v>49.74</v>
      </c>
      <c r="D814" s="3">
        <v>41.32</v>
      </c>
      <c r="E814" s="4">
        <v>14.04</v>
      </c>
      <c r="F814" s="1">
        <v>13.19</v>
      </c>
      <c r="G814" s="9">
        <v>-3.3E-3</v>
      </c>
      <c r="H814" s="9">
        <v>-2.7000000000000001E-3</v>
      </c>
      <c r="I814" s="9">
        <v>4.0000000000000002E-4</v>
      </c>
    </row>
    <row r="815" spans="1:10">
      <c r="A815" s="1" t="s">
        <v>973</v>
      </c>
      <c r="B815" s="1">
        <v>545</v>
      </c>
      <c r="C815" s="2">
        <v>49.89</v>
      </c>
      <c r="D815" s="3">
        <v>40.85</v>
      </c>
      <c r="E815" s="4">
        <v>13.75</v>
      </c>
      <c r="F815" s="1">
        <v>13.35</v>
      </c>
      <c r="G815" s="9">
        <v>-3.3E-3</v>
      </c>
      <c r="H815" s="9">
        <v>-2.4599999999999999E-3</v>
      </c>
      <c r="I815" s="9">
        <v>4.4799999999999999E-4</v>
      </c>
      <c r="J815" s="9">
        <v>0.1</v>
      </c>
    </row>
    <row r="816" spans="1:10">
      <c r="A816" s="1" t="s">
        <v>974</v>
      </c>
      <c r="B816" s="1">
        <f>B815*(1+J815)</f>
        <v>599.5</v>
      </c>
      <c r="C816" s="2">
        <f>C815</f>
        <v>49.89</v>
      </c>
      <c r="D816" s="3">
        <f>D815</f>
        <v>40.85</v>
      </c>
      <c r="E816" s="4">
        <f>E815*(1+J815)</f>
        <v>15.125000000000002</v>
      </c>
      <c r="F816" s="1">
        <f>F815*(1+J815)</f>
        <v>14.685</v>
      </c>
      <c r="G816" s="9">
        <f>G815</f>
        <v>-3.3E-3</v>
      </c>
      <c r="H816" s="9">
        <f>H815</f>
        <v>-2.4599999999999999E-3</v>
      </c>
      <c r="I816" s="9">
        <f>I815</f>
        <v>4.4799999999999999E-4</v>
      </c>
    </row>
    <row r="817" spans="1:11">
      <c r="A817" s="1" t="s">
        <v>975</v>
      </c>
      <c r="B817" s="1">
        <v>550</v>
      </c>
      <c r="C817" s="2">
        <v>50.01</v>
      </c>
      <c r="D817" s="3">
        <v>41.01</v>
      </c>
      <c r="E817" s="4">
        <v>13.82</v>
      </c>
      <c r="F817" s="1">
        <v>13.42</v>
      </c>
      <c r="G817" s="9">
        <v>-3.3E-3</v>
      </c>
      <c r="H817" s="9">
        <v>-2.4599999999999999E-3</v>
      </c>
      <c r="I817" s="9">
        <v>4.4799999999999999E-4</v>
      </c>
      <c r="J817" s="9">
        <v>0.1</v>
      </c>
    </row>
    <row r="818" spans="1:11" ht="12.75" customHeight="1">
      <c r="A818" s="1" t="s">
        <v>976</v>
      </c>
      <c r="B818" s="1">
        <f>B817*(1+J817)</f>
        <v>605</v>
      </c>
      <c r="C818" s="2">
        <f>C817</f>
        <v>50.01</v>
      </c>
      <c r="D818" s="3">
        <f>D817</f>
        <v>41.01</v>
      </c>
      <c r="E818" s="4">
        <f>E817*(1+J817)</f>
        <v>15.202000000000002</v>
      </c>
      <c r="F818" s="1">
        <f>F817*(1+J817)</f>
        <v>14.762</v>
      </c>
      <c r="G818" s="9">
        <f>G817</f>
        <v>-3.3E-3</v>
      </c>
      <c r="H818" s="9">
        <f>H817</f>
        <v>-2.4599999999999999E-3</v>
      </c>
      <c r="I818" s="9">
        <f>I817</f>
        <v>4.4799999999999999E-4</v>
      </c>
    </row>
    <row r="819" spans="1:11" ht="12.75" customHeight="1">
      <c r="A819" s="1" t="s">
        <v>977</v>
      </c>
      <c r="B819" s="1">
        <v>340</v>
      </c>
      <c r="C819" s="2">
        <v>46.4</v>
      </c>
      <c r="D819" s="3">
        <v>37.700000000000003</v>
      </c>
      <c r="G819" s="9">
        <v>-4.1999999999999997E-3</v>
      </c>
      <c r="H819" s="9">
        <v>-3.0000000000000001E-3</v>
      </c>
    </row>
    <row r="820" spans="1:11">
      <c r="A820" s="1" t="s">
        <v>978</v>
      </c>
      <c r="B820" s="1">
        <v>340</v>
      </c>
      <c r="C820" s="2">
        <v>41.1</v>
      </c>
      <c r="D820" s="3">
        <v>34.5</v>
      </c>
      <c r="E820" s="4">
        <v>10.53</v>
      </c>
      <c r="F820" s="1">
        <v>9.86</v>
      </c>
      <c r="G820" s="9">
        <v>-3.7000000000000002E-3</v>
      </c>
      <c r="H820" s="9">
        <v>-2.7000000000000001E-3</v>
      </c>
      <c r="I820" s="9">
        <v>2.9999999999999997E-4</v>
      </c>
    </row>
    <row r="821" spans="1:11" ht="12.75" customHeight="1">
      <c r="A821" s="1" t="s">
        <v>979</v>
      </c>
      <c r="B821" s="1">
        <v>350.2</v>
      </c>
      <c r="C821" s="2">
        <v>43.2</v>
      </c>
      <c r="D821" s="3">
        <v>36.200000000000003</v>
      </c>
      <c r="E821" s="4">
        <v>11.06</v>
      </c>
      <c r="F821" s="1">
        <v>10.35</v>
      </c>
      <c r="G821" s="9">
        <v>-3.7000000000000002E-3</v>
      </c>
      <c r="H821" s="9">
        <v>-2.7000000000000001E-3</v>
      </c>
      <c r="I821" s="9">
        <v>2.9999999999999997E-4</v>
      </c>
    </row>
    <row r="822" spans="1:11">
      <c r="A822" s="1" t="s">
        <v>980</v>
      </c>
      <c r="B822" s="1">
        <v>400</v>
      </c>
      <c r="C822" s="2">
        <v>49.3</v>
      </c>
      <c r="D822" s="3">
        <v>40.6</v>
      </c>
      <c r="E822" s="4">
        <v>10.47</v>
      </c>
      <c r="F822" s="1">
        <v>9.86</v>
      </c>
      <c r="G822" s="9">
        <v>-3.5999999999999999E-3</v>
      </c>
      <c r="H822" s="9">
        <v>-2.5999999999999999E-3</v>
      </c>
      <c r="I822" s="9">
        <v>2.0000000000000001E-4</v>
      </c>
    </row>
    <row r="823" spans="1:11">
      <c r="A823" s="1" t="s">
        <v>981</v>
      </c>
      <c r="B823" s="1">
        <v>255</v>
      </c>
      <c r="C823" s="2">
        <v>37.200000000000003</v>
      </c>
      <c r="D823" s="3">
        <v>30</v>
      </c>
      <c r="E823" s="4">
        <v>8.85</v>
      </c>
      <c r="F823" s="1">
        <v>8.5</v>
      </c>
      <c r="G823" s="9">
        <v>-4.1999999999999997E-3</v>
      </c>
      <c r="H823" s="9">
        <v>-3.0599999999999998E-3</v>
      </c>
      <c r="I823" s="9">
        <v>4.2000000000000002E-4</v>
      </c>
    </row>
    <row r="824" spans="1:11">
      <c r="A824" s="1" t="s">
        <v>982</v>
      </c>
      <c r="B824" s="1">
        <f>B823*K824</f>
        <v>8160</v>
      </c>
      <c r="C824" s="2">
        <f>C823</f>
        <v>37.200000000000003</v>
      </c>
      <c r="D824" s="3">
        <f>D823</f>
        <v>30</v>
      </c>
      <c r="E824" s="4">
        <f>E823*K824</f>
        <v>283.2</v>
      </c>
      <c r="F824" s="1">
        <f>F823*K824</f>
        <v>272</v>
      </c>
      <c r="G824" s="9">
        <f>G823</f>
        <v>-4.1999999999999997E-3</v>
      </c>
      <c r="H824" s="9">
        <f>H823</f>
        <v>-3.0599999999999998E-3</v>
      </c>
      <c r="I824" s="9">
        <f>I823</f>
        <v>4.2000000000000002E-4</v>
      </c>
      <c r="K824" s="5">
        <v>32</v>
      </c>
    </row>
    <row r="825" spans="1:11" ht="13.5" customHeight="1">
      <c r="A825" s="1" t="s">
        <v>983</v>
      </c>
      <c r="B825" s="1">
        <v>260</v>
      </c>
      <c r="C825" s="2">
        <v>38.56</v>
      </c>
      <c r="D825" s="3">
        <v>31.17</v>
      </c>
      <c r="E825" s="4">
        <v>8.82</v>
      </c>
      <c r="F825" s="1">
        <v>8.35</v>
      </c>
      <c r="G825" s="9">
        <v>-3.8E-3</v>
      </c>
      <c r="H825" s="9">
        <v>-2.8E-3</v>
      </c>
      <c r="I825" s="9">
        <v>2.9999999999999997E-4</v>
      </c>
    </row>
    <row r="826" spans="1:11">
      <c r="A826" s="1" t="s">
        <v>984</v>
      </c>
      <c r="B826" s="1">
        <f>B825*K826</f>
        <v>3640</v>
      </c>
      <c r="C826" s="2">
        <f>C825</f>
        <v>38.56</v>
      </c>
      <c r="D826" s="3">
        <f>D825</f>
        <v>31.17</v>
      </c>
      <c r="E826" s="4">
        <f>E825*K826</f>
        <v>123.48</v>
      </c>
      <c r="F826" s="1">
        <f>F825*K826</f>
        <v>116.89999999999999</v>
      </c>
      <c r="G826" s="9">
        <f>G825</f>
        <v>-3.8E-3</v>
      </c>
      <c r="H826" s="9">
        <f>H825</f>
        <v>-2.8E-3</v>
      </c>
      <c r="I826" s="9">
        <f>I825</f>
        <v>2.9999999999999997E-4</v>
      </c>
      <c r="K826" s="5">
        <v>14</v>
      </c>
    </row>
    <row r="827" spans="1:11">
      <c r="A827" s="1" t="s">
        <v>985</v>
      </c>
      <c r="B827" s="1">
        <v>280</v>
      </c>
      <c r="C827" s="2">
        <v>38.799999999999997</v>
      </c>
      <c r="D827" s="3">
        <v>31.9</v>
      </c>
      <c r="E827" s="4">
        <v>9.33</v>
      </c>
      <c r="F827" s="1">
        <v>8.7799999999999994</v>
      </c>
      <c r="G827" s="9">
        <v>-4.3E-3</v>
      </c>
      <c r="H827" s="9">
        <v>-3.0999999999999999E-3</v>
      </c>
      <c r="I827" s="9">
        <v>4.0000000000000002E-4</v>
      </c>
    </row>
    <row r="828" spans="1:11">
      <c r="A828" s="1" t="s">
        <v>986</v>
      </c>
      <c r="B828" s="1">
        <f>B827*K828</f>
        <v>4480</v>
      </c>
      <c r="C828" s="2">
        <f>C827</f>
        <v>38.799999999999997</v>
      </c>
      <c r="D828" s="3">
        <f>D827</f>
        <v>31.9</v>
      </c>
      <c r="E828" s="4">
        <f>E827*K828</f>
        <v>149.28</v>
      </c>
      <c r="F828" s="1">
        <f>F827*K828</f>
        <v>140.47999999999999</v>
      </c>
      <c r="G828" s="9">
        <f>G827</f>
        <v>-4.3E-3</v>
      </c>
      <c r="H828" s="9">
        <f>H827</f>
        <v>-3.0999999999999999E-3</v>
      </c>
      <c r="I828" s="9">
        <f>I827</f>
        <v>4.0000000000000002E-4</v>
      </c>
      <c r="K828" s="5">
        <v>16</v>
      </c>
    </row>
    <row r="829" spans="1:11">
      <c r="A829" s="1" t="s">
        <v>987</v>
      </c>
      <c r="B829" s="1">
        <v>280</v>
      </c>
      <c r="C829" s="2">
        <v>38.700000000000003</v>
      </c>
      <c r="D829" s="3">
        <v>31.2</v>
      </c>
      <c r="E829" s="4">
        <v>9.51</v>
      </c>
      <c r="F829" s="1">
        <v>8.98</v>
      </c>
      <c r="G829" s="9">
        <v>-3.8E-3</v>
      </c>
      <c r="H829" s="9">
        <v>-2.8E-3</v>
      </c>
      <c r="I829" s="9">
        <v>2.9999999999999997E-4</v>
      </c>
    </row>
    <row r="830" spans="1:11">
      <c r="A830" s="1" t="s">
        <v>988</v>
      </c>
      <c r="B830" s="1">
        <v>300</v>
      </c>
      <c r="C830" s="2">
        <v>39.799999999999997</v>
      </c>
      <c r="D830" s="3">
        <v>32</v>
      </c>
      <c r="E830" s="4">
        <v>9.98</v>
      </c>
      <c r="F830" s="1">
        <v>9.4</v>
      </c>
      <c r="G830" s="9">
        <v>-4.1000000000000003E-3</v>
      </c>
      <c r="H830" s="9">
        <v>-2.8999999999999998E-3</v>
      </c>
      <c r="I830" s="9">
        <v>4.0000000000000002E-4</v>
      </c>
    </row>
    <row r="831" spans="1:11">
      <c r="A831" s="1" t="s">
        <v>989</v>
      </c>
      <c r="B831" s="1">
        <v>335</v>
      </c>
      <c r="C831" s="2">
        <v>41</v>
      </c>
      <c r="D831" s="3">
        <v>34.1</v>
      </c>
      <c r="E831" s="4">
        <v>10.49</v>
      </c>
      <c r="F831" s="1">
        <v>9.83</v>
      </c>
      <c r="G831" s="9">
        <v>-3.7000000000000002E-3</v>
      </c>
      <c r="H831" s="9">
        <v>-2.7000000000000001E-3</v>
      </c>
      <c r="I831" s="9">
        <v>2.9999999999999997E-4</v>
      </c>
    </row>
    <row r="832" spans="1:11">
      <c r="A832" s="1" t="s">
        <v>990</v>
      </c>
      <c r="B832" s="1">
        <v>370</v>
      </c>
      <c r="C832" s="2">
        <v>41.72</v>
      </c>
      <c r="D832" s="3">
        <v>33.950000000000003</v>
      </c>
      <c r="E832" s="4">
        <v>11.32</v>
      </c>
      <c r="F832" s="1">
        <v>10.91</v>
      </c>
      <c r="G832" s="9">
        <v>-3.65E-3</v>
      </c>
      <c r="H832" s="9">
        <v>-2.7000000000000001E-3</v>
      </c>
      <c r="I832" s="9">
        <v>3.8000000000000002E-4</v>
      </c>
    </row>
    <row r="833" spans="1:9">
      <c r="A833" s="1" t="s">
        <v>991</v>
      </c>
      <c r="B833" s="1">
        <v>450</v>
      </c>
      <c r="C833" s="2">
        <v>50.27</v>
      </c>
      <c r="D833" s="3">
        <v>40.909999999999997</v>
      </c>
      <c r="E833" s="4">
        <v>11.43</v>
      </c>
      <c r="F833" s="1">
        <v>11.01</v>
      </c>
      <c r="G833" s="9">
        <v>-3.65E-3</v>
      </c>
      <c r="H833" s="9">
        <v>-2.7000000000000001E-3</v>
      </c>
      <c r="I833" s="9">
        <v>3.8000000000000002E-4</v>
      </c>
    </row>
    <row r="834" spans="1:9">
      <c r="A834" s="1" t="s">
        <v>992</v>
      </c>
      <c r="B834" s="1">
        <v>320</v>
      </c>
      <c r="C834" s="2">
        <v>40.9</v>
      </c>
      <c r="D834" s="3">
        <v>33.6</v>
      </c>
      <c r="E834" s="4">
        <v>10.050000000000001</v>
      </c>
      <c r="F834" s="1">
        <v>9.5299999999999994</v>
      </c>
      <c r="G834" s="9">
        <v>-3.8E-3</v>
      </c>
      <c r="H834" s="9">
        <v>-2.8E-3</v>
      </c>
      <c r="I834" s="9">
        <v>2.9999999999999997E-4</v>
      </c>
    </row>
    <row r="835" spans="1:9">
      <c r="A835" s="1" t="s">
        <v>993</v>
      </c>
      <c r="B835" s="1">
        <v>205</v>
      </c>
      <c r="C835" s="2">
        <v>31.35</v>
      </c>
      <c r="D835" s="3">
        <v>24.32</v>
      </c>
      <c r="E835" s="4">
        <v>8.84</v>
      </c>
      <c r="F835" s="1">
        <v>8.43</v>
      </c>
      <c r="G835" s="9">
        <v>-4.4000000000000003E-3</v>
      </c>
      <c r="H835" s="9">
        <v>-3.3E-3</v>
      </c>
      <c r="I835" s="9">
        <v>5.0000000000000001E-4</v>
      </c>
    </row>
    <row r="836" spans="1:9">
      <c r="A836" s="1" t="s">
        <v>994</v>
      </c>
      <c r="B836" s="1">
        <v>310</v>
      </c>
      <c r="C836" s="2">
        <v>40.299999999999997</v>
      </c>
      <c r="D836" s="3">
        <v>33.200000000000003</v>
      </c>
      <c r="E836" s="4">
        <v>9.98</v>
      </c>
      <c r="F836" s="1">
        <v>9.35</v>
      </c>
      <c r="G836" s="9">
        <v>-3.8E-3</v>
      </c>
      <c r="H836" s="9">
        <v>-2.8600000000000001E-3</v>
      </c>
      <c r="I836" s="9">
        <v>5.6999999999999998E-4</v>
      </c>
    </row>
    <row r="837" spans="1:9">
      <c r="A837" s="1" t="s">
        <v>995</v>
      </c>
      <c r="B837" s="1">
        <v>310</v>
      </c>
      <c r="C837" s="2">
        <v>40.299999999999997</v>
      </c>
      <c r="D837" s="3">
        <v>33.200000000000003</v>
      </c>
      <c r="E837" s="4">
        <v>9.98</v>
      </c>
      <c r="F837" s="1">
        <v>9.35</v>
      </c>
      <c r="G837" s="9">
        <v>-3.8E-3</v>
      </c>
      <c r="H837" s="9">
        <v>-2.8600000000000001E-3</v>
      </c>
      <c r="I837" s="9">
        <v>5.0000000000000001E-4</v>
      </c>
    </row>
    <row r="838" spans="1:9">
      <c r="A838" s="1" t="s">
        <v>996</v>
      </c>
      <c r="B838" s="1">
        <v>310</v>
      </c>
      <c r="C838" s="2">
        <v>40</v>
      </c>
      <c r="D838" s="3">
        <v>33.200000000000003</v>
      </c>
      <c r="E838" s="4">
        <v>9.8000000000000007</v>
      </c>
      <c r="F838" s="1">
        <v>9.33</v>
      </c>
      <c r="G838" s="9">
        <v>-3.8E-3</v>
      </c>
      <c r="H838" s="9">
        <v>-3.0000000000000001E-3</v>
      </c>
      <c r="I838" s="9">
        <v>5.9999999999999995E-4</v>
      </c>
    </row>
    <row r="839" spans="1:9">
      <c r="A839" s="1" t="s">
        <v>997</v>
      </c>
      <c r="B839" s="1">
        <v>233</v>
      </c>
      <c r="C839" s="2">
        <v>39.700000000000003</v>
      </c>
      <c r="D839" s="3">
        <v>34</v>
      </c>
      <c r="E839" s="4">
        <v>7.5</v>
      </c>
      <c r="F839" s="1">
        <v>6.85</v>
      </c>
      <c r="G839" s="9">
        <v>-3.8E-3</v>
      </c>
      <c r="H839" s="9">
        <v>-3.0000000000000001E-3</v>
      </c>
      <c r="I839" s="9">
        <v>5.9999999999999995E-4</v>
      </c>
    </row>
    <row r="840" spans="1:9">
      <c r="A840" s="1" t="s">
        <v>998</v>
      </c>
      <c r="B840" s="1">
        <f>B838*1.2</f>
        <v>372</v>
      </c>
      <c r="C840" s="2">
        <v>40</v>
      </c>
      <c r="D840" s="3">
        <v>33.200000000000003</v>
      </c>
      <c r="E840" s="1">
        <f>E838+E839</f>
        <v>17.3</v>
      </c>
      <c r="F840" s="1">
        <f>F838+F839</f>
        <v>16.18</v>
      </c>
      <c r="G840" s="9">
        <v>-3.8E-3</v>
      </c>
      <c r="H840" s="9">
        <v>-3.0000000000000001E-3</v>
      </c>
      <c r="I840" s="9">
        <v>5.9999999999999995E-4</v>
      </c>
    </row>
    <row r="841" spans="1:9">
      <c r="A841" s="1" t="s">
        <v>999</v>
      </c>
      <c r="B841" s="1">
        <v>320</v>
      </c>
      <c r="C841" s="2">
        <v>40.9</v>
      </c>
      <c r="D841" s="3">
        <v>33.6</v>
      </c>
      <c r="E841" s="4">
        <v>10.050000000000001</v>
      </c>
      <c r="F841" s="1">
        <v>9.5299999999999994</v>
      </c>
      <c r="G841" s="9">
        <v>-3.8E-3</v>
      </c>
      <c r="H841" s="9">
        <v>-2.8E-3</v>
      </c>
    </row>
    <row r="842" spans="1:9">
      <c r="A842" s="1" t="s">
        <v>1000</v>
      </c>
      <c r="B842" s="1">
        <v>270</v>
      </c>
      <c r="C842" s="2">
        <v>38</v>
      </c>
      <c r="D842" s="3">
        <v>32.1</v>
      </c>
      <c r="E842" s="4">
        <v>9.11</v>
      </c>
      <c r="F842" s="1">
        <v>8.42</v>
      </c>
      <c r="G842" s="9">
        <v>-4.1000000000000003E-3</v>
      </c>
      <c r="H842" s="9">
        <v>-3.3999999999999998E-3</v>
      </c>
    </row>
    <row r="843" spans="1:9">
      <c r="A843" s="1" t="s">
        <v>1001</v>
      </c>
      <c r="B843" s="1">
        <v>310</v>
      </c>
      <c r="C843" s="2">
        <v>40.25</v>
      </c>
      <c r="D843" s="3">
        <v>32.74</v>
      </c>
      <c r="E843" s="4">
        <v>9.94</v>
      </c>
      <c r="F843" s="1">
        <v>9.4700000000000006</v>
      </c>
      <c r="G843" s="9">
        <v>-4.0000000000000001E-3</v>
      </c>
      <c r="H843" s="9">
        <v>-3.0000000000000001E-3</v>
      </c>
      <c r="I843" s="9">
        <v>5.9999999999999995E-4</v>
      </c>
    </row>
    <row r="844" spans="1:9">
      <c r="A844" s="1" t="s">
        <v>1002</v>
      </c>
      <c r="B844" s="1">
        <v>410</v>
      </c>
      <c r="C844" s="2">
        <v>37.340000000000003</v>
      </c>
      <c r="D844" s="3">
        <v>31.32</v>
      </c>
      <c r="E844" s="4">
        <v>13.7</v>
      </c>
      <c r="F844" s="1">
        <v>13.06</v>
      </c>
      <c r="G844" s="9">
        <v>-3.5999999999999999E-3</v>
      </c>
      <c r="H844" s="9">
        <v>-2.8E-3</v>
      </c>
      <c r="I844" s="9">
        <v>5.0000000000000001E-4</v>
      </c>
    </row>
    <row r="845" spans="1:9">
      <c r="A845" s="1" t="s">
        <v>1003</v>
      </c>
      <c r="B845" s="1">
        <v>450</v>
      </c>
      <c r="C845" s="2">
        <v>41.4</v>
      </c>
      <c r="D845" s="3">
        <v>34.700000000000003</v>
      </c>
      <c r="E845" s="4">
        <v>13.68</v>
      </c>
      <c r="F845" s="1">
        <v>12.96</v>
      </c>
      <c r="G845" s="9">
        <v>-3.5999999999999999E-3</v>
      </c>
      <c r="H845" s="9">
        <v>-2.8E-3</v>
      </c>
      <c r="I845" s="9">
        <v>5.0000000000000001E-4</v>
      </c>
    </row>
    <row r="846" spans="1:9">
      <c r="A846" s="1" t="s">
        <v>1004</v>
      </c>
      <c r="B846" s="1">
        <v>460</v>
      </c>
      <c r="C846" s="2">
        <v>41.8</v>
      </c>
      <c r="D846" s="3">
        <v>35</v>
      </c>
      <c r="E846" s="4">
        <v>13.78</v>
      </c>
      <c r="F846" s="1">
        <v>13.08</v>
      </c>
      <c r="G846" s="9">
        <v>-3.5999999999999999E-3</v>
      </c>
      <c r="H846" s="9">
        <v>-2.8E-3</v>
      </c>
      <c r="I846" s="9">
        <v>5.0000000000000001E-4</v>
      </c>
    </row>
    <row r="847" spans="1:9">
      <c r="A847" s="1" t="s">
        <v>1005</v>
      </c>
      <c r="B847" s="1">
        <v>280</v>
      </c>
      <c r="C847" s="2">
        <v>38.4</v>
      </c>
      <c r="D847" s="3">
        <v>32.9</v>
      </c>
      <c r="E847" s="4">
        <v>9.25</v>
      </c>
      <c r="F847" s="1">
        <v>8.52</v>
      </c>
      <c r="G847" s="9">
        <v>-4.1000000000000003E-3</v>
      </c>
      <c r="H847" s="9">
        <v>-3.2000000000000002E-3</v>
      </c>
      <c r="I847" s="9">
        <v>5.0000000000000001E-4</v>
      </c>
    </row>
    <row r="848" spans="1:9">
      <c r="A848" s="1" t="s">
        <v>1006</v>
      </c>
      <c r="B848" s="1">
        <v>300</v>
      </c>
      <c r="C848" s="2">
        <v>44.82</v>
      </c>
      <c r="D848" s="3">
        <v>36.299999999999997</v>
      </c>
      <c r="E848" s="4">
        <v>8.75</v>
      </c>
      <c r="F848" s="1">
        <v>8.27</v>
      </c>
      <c r="G848" s="9">
        <v>-4.1999999999999997E-3</v>
      </c>
      <c r="H848" s="9">
        <v>-3.3E-3</v>
      </c>
    </row>
    <row r="849" spans="1:10">
      <c r="A849" s="1" t="s">
        <v>1007</v>
      </c>
      <c r="B849" s="1">
        <v>320</v>
      </c>
      <c r="C849" s="2">
        <v>40.6</v>
      </c>
      <c r="D849" s="3">
        <v>33.6</v>
      </c>
      <c r="E849" s="4">
        <v>10.36</v>
      </c>
      <c r="F849" s="1">
        <v>9.5399999999999991</v>
      </c>
      <c r="G849" s="9">
        <v>-3.8999999999999998E-3</v>
      </c>
      <c r="H849" s="9">
        <v>-2.8999999999999998E-3</v>
      </c>
      <c r="I849" s="9">
        <v>4.8999999999999998E-4</v>
      </c>
    </row>
    <row r="850" spans="1:10">
      <c r="A850" s="1" t="s">
        <v>1008</v>
      </c>
      <c r="B850" s="1">
        <v>440</v>
      </c>
      <c r="C850" s="2">
        <v>49.2</v>
      </c>
      <c r="D850" s="3">
        <v>41</v>
      </c>
      <c r="E850" s="4">
        <v>11.45</v>
      </c>
      <c r="F850" s="1">
        <v>10.73</v>
      </c>
      <c r="G850" s="9">
        <v>-3.5000000000000001E-3</v>
      </c>
      <c r="H850" s="9">
        <v>-2.8400000000000001E-3</v>
      </c>
      <c r="I850" s="9">
        <v>5.0000000000000001E-4</v>
      </c>
      <c r="J850" s="9">
        <v>0.25</v>
      </c>
    </row>
    <row r="851" spans="1:10">
      <c r="A851" s="1" t="s">
        <v>1009</v>
      </c>
      <c r="B851" s="1">
        <f>B850*(1+J850)</f>
        <v>550</v>
      </c>
      <c r="C851" s="2">
        <f>C850</f>
        <v>49.2</v>
      </c>
      <c r="D851" s="3">
        <f>D850</f>
        <v>41</v>
      </c>
      <c r="E851" s="4">
        <f>E850*(1+J850)</f>
        <v>14.3125</v>
      </c>
      <c r="F851" s="1">
        <f>F850*(1+J850)</f>
        <v>13.412500000000001</v>
      </c>
      <c r="G851" s="9">
        <f>G850</f>
        <v>-3.5000000000000001E-3</v>
      </c>
      <c r="H851" s="9">
        <f>H850</f>
        <v>-2.8400000000000001E-3</v>
      </c>
      <c r="I851" s="9">
        <f>I850</f>
        <v>5.0000000000000001E-4</v>
      </c>
    </row>
    <row r="852" spans="1:10">
      <c r="A852" s="1" t="s">
        <v>1010</v>
      </c>
      <c r="B852" s="1">
        <v>380</v>
      </c>
      <c r="C852" s="2">
        <v>41.3</v>
      </c>
      <c r="D852" s="3">
        <v>34.799999999999997</v>
      </c>
      <c r="E852" s="4">
        <v>11.69</v>
      </c>
      <c r="F852" s="1">
        <v>10.92</v>
      </c>
      <c r="G852" s="9">
        <v>-3.5000000000000001E-3</v>
      </c>
      <c r="H852" s="9">
        <v>-2.7000000000000001E-3</v>
      </c>
      <c r="I852" s="9">
        <v>4.8000000000000001E-4</v>
      </c>
    </row>
    <row r="853" spans="1:10">
      <c r="A853" s="1" t="s">
        <v>1011</v>
      </c>
      <c r="B853" s="1">
        <v>455</v>
      </c>
      <c r="C853" s="2">
        <v>49.5</v>
      </c>
      <c r="D853" s="3">
        <v>41.7</v>
      </c>
      <c r="E853" s="4">
        <v>11.66</v>
      </c>
      <c r="F853" s="1">
        <v>10.66</v>
      </c>
      <c r="G853" s="9">
        <v>-3.5000000000000001E-3</v>
      </c>
      <c r="H853" s="9">
        <v>-2.7000000000000001E-3</v>
      </c>
      <c r="I853" s="9">
        <v>4.8000000000000001E-4</v>
      </c>
    </row>
    <row r="854" spans="1:10">
      <c r="A854" s="1" t="s">
        <v>1012</v>
      </c>
      <c r="B854" s="1">
        <v>550</v>
      </c>
      <c r="C854" s="2">
        <v>49.8</v>
      </c>
      <c r="D854" s="3">
        <v>41.95</v>
      </c>
      <c r="E854" s="4">
        <v>14</v>
      </c>
      <c r="F854" s="1">
        <v>13.12</v>
      </c>
      <c r="G854" s="9">
        <v>-3.3E-3</v>
      </c>
      <c r="H854" s="9">
        <v>-2.5999999999999999E-3</v>
      </c>
      <c r="I854" s="9">
        <v>4.6000000000000001E-4</v>
      </c>
    </row>
    <row r="855" spans="1:10">
      <c r="A855" s="1" t="s">
        <v>1013</v>
      </c>
      <c r="B855" s="1">
        <f>B853*(1+J855)</f>
        <v>568.75</v>
      </c>
      <c r="C855" s="2">
        <f>C853</f>
        <v>49.5</v>
      </c>
      <c r="D855" s="3">
        <f>D853</f>
        <v>41.7</v>
      </c>
      <c r="E855" s="4">
        <f>E853*(1+J855)</f>
        <v>14.574999999999999</v>
      </c>
      <c r="F855" s="1">
        <f>F853*(1+J855)</f>
        <v>13.324999999999999</v>
      </c>
      <c r="G855" s="9">
        <v>-3.3E-3</v>
      </c>
      <c r="H855" s="9">
        <v>-2.5999999999999999E-3</v>
      </c>
      <c r="I855" s="9">
        <v>4.6000000000000001E-4</v>
      </c>
      <c r="J855" s="9">
        <v>0.25</v>
      </c>
    </row>
    <row r="856" spans="1:10">
      <c r="A856" s="1" t="s">
        <v>1014</v>
      </c>
      <c r="B856" s="1">
        <v>550</v>
      </c>
      <c r="C856" s="2">
        <v>49.8</v>
      </c>
      <c r="D856" s="3">
        <v>41.95</v>
      </c>
      <c r="E856" s="4">
        <v>14</v>
      </c>
      <c r="F856" s="1">
        <v>13.12</v>
      </c>
      <c r="G856" s="9">
        <v>-3.8999999999999998E-3</v>
      </c>
      <c r="H856" s="9">
        <v>-2.8999999999999998E-3</v>
      </c>
      <c r="I856" s="9">
        <v>4.8999999999999998E-4</v>
      </c>
    </row>
    <row r="857" spans="1:10">
      <c r="A857" s="1" t="s">
        <v>1015</v>
      </c>
      <c r="B857" s="1">
        <v>575</v>
      </c>
      <c r="C857" s="2">
        <v>51.1</v>
      </c>
      <c r="D857" s="3">
        <v>42.9</v>
      </c>
      <c r="E857" s="4">
        <v>14.31</v>
      </c>
      <c r="F857" s="1">
        <v>13.41</v>
      </c>
      <c r="G857" s="9">
        <v>-3.0999999999999999E-3</v>
      </c>
      <c r="H857" s="9">
        <v>-2.5000000000000001E-3</v>
      </c>
      <c r="I857" s="9">
        <v>4.6000000000000001E-4</v>
      </c>
    </row>
    <row r="858" spans="1:10">
      <c r="A858" s="1" t="s">
        <v>1016</v>
      </c>
      <c r="B858" s="1">
        <v>355</v>
      </c>
      <c r="C858" s="2">
        <v>41.1</v>
      </c>
      <c r="D858" s="3">
        <v>34.1</v>
      </c>
      <c r="E858" s="4">
        <v>11.04</v>
      </c>
      <c r="F858" s="1">
        <v>10.42</v>
      </c>
      <c r="G858" s="9">
        <v>-3.7000000000000002E-3</v>
      </c>
      <c r="H858" s="9">
        <v>-3.0000000000000001E-3</v>
      </c>
      <c r="I858" s="9">
        <v>5.9999999999999995E-4</v>
      </c>
    </row>
    <row r="859" spans="1:10">
      <c r="A859" s="1" t="s">
        <v>1017</v>
      </c>
      <c r="B859" s="1">
        <f>355*1.25</f>
        <v>443.75</v>
      </c>
      <c r="C859" s="2">
        <v>41.1</v>
      </c>
      <c r="D859" s="3">
        <v>34.1</v>
      </c>
      <c r="E859" s="4">
        <f>11.04*1.25</f>
        <v>13.799999999999999</v>
      </c>
      <c r="F859" s="1">
        <f>10.42*1.25</f>
        <v>13.025</v>
      </c>
      <c r="G859" s="9">
        <v>-3.7000000000000002E-3</v>
      </c>
      <c r="H859" s="9">
        <v>-3.0000000000000001E-3</v>
      </c>
      <c r="I859" s="9">
        <v>5.9999999999999995E-4</v>
      </c>
    </row>
    <row r="860" spans="1:10">
      <c r="A860" s="1" t="s">
        <v>1018</v>
      </c>
      <c r="B860" s="1">
        <v>360</v>
      </c>
      <c r="C860" s="2">
        <v>41.3</v>
      </c>
      <c r="D860" s="3">
        <v>34.299999999999997</v>
      </c>
      <c r="E860" s="4">
        <v>11.11</v>
      </c>
      <c r="F860" s="1">
        <v>10.5</v>
      </c>
      <c r="G860" s="9">
        <v>-3.7000000000000002E-3</v>
      </c>
      <c r="H860" s="9">
        <v>-3.0000000000000001E-3</v>
      </c>
      <c r="I860" s="9">
        <v>5.9999999999999995E-4</v>
      </c>
    </row>
    <row r="861" spans="1:10">
      <c r="A861" s="1" t="s">
        <v>1019</v>
      </c>
      <c r="B861" s="1">
        <v>444</v>
      </c>
      <c r="C861" s="2">
        <v>41.2</v>
      </c>
      <c r="D861" s="3">
        <v>34.200000000000003</v>
      </c>
      <c r="E861" s="4">
        <v>13.8</v>
      </c>
      <c r="F861" s="1">
        <v>13.03</v>
      </c>
      <c r="G861" s="9">
        <v>-3.7000000000000002E-3</v>
      </c>
      <c r="H861" s="9">
        <v>-3.0000000000000001E-3</v>
      </c>
      <c r="I861" s="9">
        <v>5.9999999999999995E-4</v>
      </c>
    </row>
    <row r="862" spans="1:10">
      <c r="A862" s="1" t="s">
        <v>1020</v>
      </c>
      <c r="B862" s="1">
        <v>365</v>
      </c>
      <c r="C862" s="2">
        <v>40.700000000000003</v>
      </c>
      <c r="D862" s="3">
        <v>34.1</v>
      </c>
      <c r="E862" s="4">
        <v>11.41</v>
      </c>
      <c r="F862" s="1">
        <v>10.71</v>
      </c>
      <c r="G862" s="9">
        <v>-3.5000000000000001E-3</v>
      </c>
      <c r="H862" s="9">
        <v>-2.8400000000000001E-3</v>
      </c>
      <c r="I862" s="9">
        <v>5.0000000000000001E-4</v>
      </c>
      <c r="J862" s="9">
        <v>0.25</v>
      </c>
    </row>
    <row r="863" spans="1:10">
      <c r="A863" s="1" t="s">
        <v>1021</v>
      </c>
      <c r="B863" s="1">
        <f>B862*(1+J862)</f>
        <v>456.25</v>
      </c>
      <c r="C863" s="2">
        <v>40.799999999999997</v>
      </c>
      <c r="D863" s="3">
        <v>34.200000000000003</v>
      </c>
      <c r="E863" s="4">
        <f>E862*(1+J862)</f>
        <v>14.262499999999999</v>
      </c>
      <c r="F863" s="1">
        <f>F862*(1+J862)</f>
        <v>13.387500000000001</v>
      </c>
      <c r="G863" s="9">
        <v>-3.5000000000000001E-3</v>
      </c>
      <c r="H863" s="9">
        <f>H862</f>
        <v>-2.8400000000000001E-3</v>
      </c>
      <c r="I863" s="9">
        <f>I862</f>
        <v>5.0000000000000001E-4</v>
      </c>
    </row>
    <row r="864" spans="1:10">
      <c r="A864" s="1" t="s">
        <v>1022</v>
      </c>
      <c r="B864" s="1">
        <v>360</v>
      </c>
      <c r="C864" s="2">
        <v>40.5</v>
      </c>
      <c r="D864" s="3">
        <v>34</v>
      </c>
      <c r="E864" s="4">
        <v>11.35</v>
      </c>
      <c r="F864" s="1">
        <v>10.59</v>
      </c>
      <c r="G864" s="9">
        <v>-3.5000000000000001E-3</v>
      </c>
      <c r="H864" s="9">
        <v>-2.7000000000000001E-3</v>
      </c>
      <c r="I864" s="9">
        <v>4.8000000000000001E-4</v>
      </c>
    </row>
    <row r="865" spans="1:10">
      <c r="A865" s="1" t="s">
        <v>1023</v>
      </c>
      <c r="B865" s="1">
        <v>365</v>
      </c>
      <c r="C865" s="2">
        <v>41.1</v>
      </c>
      <c r="D865" s="3">
        <v>33.9</v>
      </c>
      <c r="E865" s="4">
        <v>11.28</v>
      </c>
      <c r="F865" s="1">
        <v>10.77</v>
      </c>
      <c r="G865" s="9">
        <v>-3.7000000000000002E-3</v>
      </c>
      <c r="H865" s="9">
        <v>-2.8600000000000001E-3</v>
      </c>
      <c r="I865" s="9">
        <v>5.6999999999999998E-4</v>
      </c>
    </row>
    <row r="866" spans="1:10">
      <c r="A866" s="1" t="s">
        <v>1024</v>
      </c>
      <c r="B866" s="1">
        <v>375</v>
      </c>
      <c r="C866" s="2">
        <v>41.1</v>
      </c>
      <c r="D866" s="3">
        <v>34.6</v>
      </c>
      <c r="E866" s="4">
        <v>11.6</v>
      </c>
      <c r="F866" s="1">
        <v>10.84</v>
      </c>
      <c r="G866" s="9">
        <v>-3.3999999999999998E-3</v>
      </c>
      <c r="H866" s="9">
        <v>-2.65E-3</v>
      </c>
      <c r="I866" s="9">
        <v>5.0000000000000001E-4</v>
      </c>
    </row>
    <row r="867" spans="1:10" ht="12.75" customHeight="1">
      <c r="A867" s="1" t="s">
        <v>1025</v>
      </c>
      <c r="B867" s="1">
        <v>380</v>
      </c>
      <c r="C867" s="2">
        <v>41.3</v>
      </c>
      <c r="D867" s="3">
        <v>34.799999999999997</v>
      </c>
      <c r="E867" s="4">
        <v>11.69</v>
      </c>
      <c r="F867" s="1">
        <v>10.92</v>
      </c>
      <c r="G867" s="9">
        <v>-3.3999999999999998E-3</v>
      </c>
      <c r="H867" s="9">
        <v>-2.65E-3</v>
      </c>
      <c r="I867" s="9">
        <v>5.0000000000000001E-4</v>
      </c>
    </row>
    <row r="868" spans="1:10">
      <c r="A868" s="1" t="s">
        <v>1026</v>
      </c>
      <c r="B868" s="1">
        <v>405</v>
      </c>
      <c r="C868" s="2">
        <v>48.6</v>
      </c>
      <c r="D868" s="3">
        <v>40.200000000000003</v>
      </c>
      <c r="E868" s="4">
        <v>10.76</v>
      </c>
      <c r="F868" s="1">
        <v>10.08</v>
      </c>
      <c r="G868" s="9">
        <v>-3.7000000000000002E-3</v>
      </c>
      <c r="H868" s="9">
        <v>-3.0000000000000001E-3</v>
      </c>
      <c r="I868" s="9">
        <v>5.9999999999999995E-4</v>
      </c>
      <c r="J868" s="9">
        <v>0.25</v>
      </c>
    </row>
    <row r="869" spans="1:10">
      <c r="A869" s="1" t="s">
        <v>1027</v>
      </c>
      <c r="B869" s="1">
        <f>B868*(1+J868)</f>
        <v>506.25</v>
      </c>
      <c r="C869" s="2">
        <f>C868</f>
        <v>48.6</v>
      </c>
      <c r="D869" s="3">
        <f>D868</f>
        <v>40.200000000000003</v>
      </c>
      <c r="E869" s="4">
        <f>E868*(1+J868)</f>
        <v>13.45</v>
      </c>
      <c r="F869" s="1">
        <f>F868*(1+J868)</f>
        <v>12.6</v>
      </c>
      <c r="G869" s="9">
        <f>G868</f>
        <v>-3.7000000000000002E-3</v>
      </c>
      <c r="H869" s="9">
        <f>H868</f>
        <v>-3.0000000000000001E-3</v>
      </c>
      <c r="I869" s="9">
        <f>I868</f>
        <v>5.9999999999999995E-4</v>
      </c>
    </row>
    <row r="870" spans="1:10">
      <c r="A870" s="1" t="s">
        <v>1028</v>
      </c>
      <c r="B870" s="1">
        <v>440</v>
      </c>
      <c r="C870" s="2">
        <v>49.2</v>
      </c>
      <c r="D870" s="3">
        <v>41</v>
      </c>
      <c r="E870" s="4">
        <v>11.45</v>
      </c>
      <c r="F870" s="1">
        <v>10.73</v>
      </c>
      <c r="G870" s="9">
        <v>-3.5000000000000001E-3</v>
      </c>
      <c r="H870" s="9">
        <v>-2.8400000000000001E-3</v>
      </c>
      <c r="I870" s="9">
        <v>5.0000000000000001E-4</v>
      </c>
    </row>
    <row r="871" spans="1:10">
      <c r="A871" s="1" t="s">
        <v>1029</v>
      </c>
      <c r="B871" s="1">
        <v>556</v>
      </c>
      <c r="C871" s="2">
        <v>49.5</v>
      </c>
      <c r="D871" s="3">
        <v>41.3</v>
      </c>
      <c r="E871" s="4">
        <v>14.4</v>
      </c>
      <c r="F871" s="1">
        <v>13.5</v>
      </c>
      <c r="G871" s="9">
        <v>-3.7000000000000002E-3</v>
      </c>
      <c r="H871" s="9">
        <v>-3.0000000000000001E-3</v>
      </c>
      <c r="I871" s="9">
        <v>5.9999999999999995E-4</v>
      </c>
      <c r="J871" s="9">
        <v>0.25</v>
      </c>
    </row>
    <row r="872" spans="1:10">
      <c r="A872" s="1" t="s">
        <v>1030</v>
      </c>
      <c r="B872" s="1">
        <f>B871*(1+J871)</f>
        <v>695</v>
      </c>
      <c r="C872" s="2">
        <v>49.5</v>
      </c>
      <c r="D872" s="3">
        <v>41.3</v>
      </c>
      <c r="E872" s="4">
        <f>E871*(1+J871)</f>
        <v>18</v>
      </c>
      <c r="F872" s="1">
        <f>F871*(1+J871)</f>
        <v>16.875</v>
      </c>
      <c r="G872" s="9">
        <v>-3.5000000000000001E-3</v>
      </c>
      <c r="H872" s="9">
        <f>H871</f>
        <v>-3.0000000000000001E-3</v>
      </c>
      <c r="I872" s="9">
        <f>I871</f>
        <v>5.9999999999999995E-4</v>
      </c>
    </row>
    <row r="873" spans="1:10">
      <c r="A873" s="1" t="s">
        <v>1031</v>
      </c>
      <c r="B873" s="1">
        <v>445</v>
      </c>
      <c r="C873" s="2">
        <v>49.4</v>
      </c>
      <c r="D873" s="3">
        <v>41.2</v>
      </c>
      <c r="E873" s="4">
        <v>11.52</v>
      </c>
      <c r="F873" s="1">
        <v>10.8</v>
      </c>
      <c r="G873" s="9">
        <v>-3.5000000000000001E-3</v>
      </c>
      <c r="H873" s="9">
        <v>-2.8400000000000001E-3</v>
      </c>
      <c r="I873" s="9">
        <v>5.0000000000000001E-4</v>
      </c>
      <c r="J873" s="9">
        <v>0.25</v>
      </c>
    </row>
    <row r="874" spans="1:10" ht="12" customHeight="1">
      <c r="A874" s="1" t="s">
        <v>1032</v>
      </c>
      <c r="B874" s="1">
        <f>B873*(1+J873)</f>
        <v>556.25</v>
      </c>
      <c r="C874" s="2">
        <v>49.5</v>
      </c>
      <c r="D874" s="3">
        <v>41.3</v>
      </c>
      <c r="E874" s="4">
        <f>E873*(1+J873)</f>
        <v>14.399999999999999</v>
      </c>
      <c r="F874" s="1">
        <f>F873*(1+J873)</f>
        <v>13.5</v>
      </c>
      <c r="G874" s="9">
        <v>-3.5000000000000001E-3</v>
      </c>
      <c r="H874" s="9">
        <f>H873</f>
        <v>-2.8400000000000001E-3</v>
      </c>
      <c r="I874" s="9">
        <f>I873</f>
        <v>5.0000000000000001E-4</v>
      </c>
    </row>
    <row r="875" spans="1:10" ht="12" customHeight="1">
      <c r="A875" s="1" t="s">
        <v>1033</v>
      </c>
      <c r="B875" s="1">
        <v>450</v>
      </c>
      <c r="C875" s="2">
        <v>49.6</v>
      </c>
      <c r="D875" s="3">
        <v>41.4</v>
      </c>
      <c r="E875" s="4">
        <v>11.58</v>
      </c>
      <c r="F875" s="1">
        <v>10.87</v>
      </c>
      <c r="G875" s="9">
        <v>-3.5000000000000001E-3</v>
      </c>
      <c r="H875" s="9">
        <v>-2.8400000000000001E-3</v>
      </c>
      <c r="I875" s="9">
        <v>5.0000000000000001E-4</v>
      </c>
      <c r="J875" s="9">
        <v>0.15</v>
      </c>
    </row>
    <row r="876" spans="1:10">
      <c r="A876" s="1" t="s">
        <v>1034</v>
      </c>
      <c r="B876" s="1">
        <f>B875*(1+J875)</f>
        <v>517.5</v>
      </c>
      <c r="C876" s="2">
        <f>C875</f>
        <v>49.6</v>
      </c>
      <c r="D876" s="3">
        <f>D875</f>
        <v>41.4</v>
      </c>
      <c r="E876" s="4">
        <f>E875*(1+J875)</f>
        <v>13.316999999999998</v>
      </c>
      <c r="F876" s="1">
        <f>F875*(1+J875)</f>
        <v>12.500499999999999</v>
      </c>
      <c r="G876" s="9">
        <f>G875</f>
        <v>-3.5000000000000001E-3</v>
      </c>
      <c r="H876" s="9">
        <f>H875</f>
        <v>-2.8400000000000001E-3</v>
      </c>
      <c r="I876" s="9">
        <f>I875</f>
        <v>5.0000000000000001E-4</v>
      </c>
    </row>
    <row r="877" spans="1:10">
      <c r="A877" s="1" t="s">
        <v>1035</v>
      </c>
      <c r="B877" s="1">
        <v>455</v>
      </c>
      <c r="C877" s="2">
        <v>49.8</v>
      </c>
      <c r="D877" s="3">
        <v>41.6</v>
      </c>
      <c r="E877" s="4">
        <v>11.65</v>
      </c>
      <c r="F877" s="1">
        <v>10.93</v>
      </c>
      <c r="G877" s="9">
        <v>-3.7000000000000002E-3</v>
      </c>
      <c r="H877" s="9">
        <v>-3.0000000000000001E-3</v>
      </c>
      <c r="I877" s="9">
        <v>5.9999999999999995E-4</v>
      </c>
    </row>
    <row r="878" spans="1:10">
      <c r="A878" s="1" t="s">
        <v>1036</v>
      </c>
      <c r="B878" s="1">
        <v>455</v>
      </c>
      <c r="C878" s="2">
        <v>49.8</v>
      </c>
      <c r="D878" s="3">
        <v>41.6</v>
      </c>
      <c r="E878" s="4">
        <v>11.65</v>
      </c>
      <c r="F878" s="1">
        <v>10.93</v>
      </c>
      <c r="G878" s="9">
        <v>-3.7000000000000002E-3</v>
      </c>
      <c r="H878" s="9">
        <v>-3.0000000000000001E-3</v>
      </c>
      <c r="I878" s="9">
        <v>5.9999999999999995E-4</v>
      </c>
    </row>
    <row r="879" spans="1:10">
      <c r="A879" s="1" t="s">
        <v>1037</v>
      </c>
      <c r="B879" s="1">
        <v>556</v>
      </c>
      <c r="C879" s="2">
        <v>49.5</v>
      </c>
      <c r="D879" s="3">
        <v>41.3</v>
      </c>
      <c r="E879" s="4">
        <v>14.4</v>
      </c>
      <c r="F879" s="1">
        <v>13.5</v>
      </c>
      <c r="G879" s="9">
        <v>-3.7000000000000002E-3</v>
      </c>
      <c r="H879" s="9">
        <v>-3.0000000000000001E-3</v>
      </c>
      <c r="I879" s="9">
        <v>5.9999999999999995E-4</v>
      </c>
    </row>
    <row r="880" spans="1:10">
      <c r="A880" s="1" t="s">
        <v>1038</v>
      </c>
      <c r="B880" s="1">
        <v>420</v>
      </c>
      <c r="C880" s="2">
        <v>48.8</v>
      </c>
      <c r="D880" s="3">
        <v>40.200000000000003</v>
      </c>
      <c r="E880" s="4">
        <v>11.04</v>
      </c>
      <c r="F880" s="1">
        <v>10.45</v>
      </c>
      <c r="G880" s="9">
        <v>-3.7000000000000002E-3</v>
      </c>
      <c r="H880" s="9">
        <v>-2.8600000000000001E-3</v>
      </c>
      <c r="I880" s="9">
        <v>5.6999999999999998E-4</v>
      </c>
    </row>
    <row r="881" spans="1:10">
      <c r="A881" s="1" t="s">
        <v>1039</v>
      </c>
      <c r="B881" s="1">
        <v>435</v>
      </c>
      <c r="C881" s="2">
        <v>49.4</v>
      </c>
      <c r="D881" s="3">
        <v>40.799999999999997</v>
      </c>
      <c r="E881" s="4">
        <v>11.26</v>
      </c>
      <c r="F881" s="1">
        <v>10.67</v>
      </c>
      <c r="G881" s="9">
        <v>-3.7000000000000002E-3</v>
      </c>
      <c r="H881" s="9">
        <v>-2.8600000000000001E-3</v>
      </c>
      <c r="I881" s="9">
        <v>5.6999999999999998E-4</v>
      </c>
    </row>
    <row r="882" spans="1:10">
      <c r="A882" s="1" t="s">
        <v>1040</v>
      </c>
      <c r="B882" s="1">
        <v>440</v>
      </c>
      <c r="C882" s="2">
        <v>48.9</v>
      </c>
      <c r="D882" s="3">
        <v>41.1</v>
      </c>
      <c r="E882" s="4">
        <v>11.46</v>
      </c>
      <c r="F882" s="1">
        <v>10.71</v>
      </c>
      <c r="G882" s="9">
        <v>-3.5000000000000001E-3</v>
      </c>
      <c r="H882" s="9">
        <v>-2.7000000000000001E-3</v>
      </c>
      <c r="I882" s="9">
        <v>4.8000000000000001E-4</v>
      </c>
    </row>
    <row r="883" spans="1:10">
      <c r="A883" s="1" t="s">
        <v>1041</v>
      </c>
      <c r="B883" s="1">
        <v>445</v>
      </c>
      <c r="C883" s="2">
        <v>49.1</v>
      </c>
      <c r="D883" s="3">
        <v>41.3</v>
      </c>
      <c r="E883" s="4">
        <v>11.53</v>
      </c>
      <c r="F883" s="1">
        <v>10.78</v>
      </c>
      <c r="G883" s="9">
        <v>-3.5000000000000001E-3</v>
      </c>
      <c r="H883" s="9">
        <v>-2.7000000000000001E-3</v>
      </c>
      <c r="I883" s="9">
        <v>4.8000000000000001E-4</v>
      </c>
    </row>
    <row r="884" spans="1:10">
      <c r="A884" s="1" t="s">
        <v>1042</v>
      </c>
      <c r="B884" s="1">
        <v>450</v>
      </c>
      <c r="C884" s="2">
        <v>49.3</v>
      </c>
      <c r="D884" s="3">
        <v>41.5</v>
      </c>
      <c r="E884" s="4">
        <v>11.6</v>
      </c>
      <c r="F884" s="1">
        <v>10.85</v>
      </c>
      <c r="G884" s="9">
        <v>-3.5000000000000001E-3</v>
      </c>
      <c r="H884" s="9">
        <v>-2.7000000000000001E-3</v>
      </c>
      <c r="I884" s="9">
        <v>4.8000000000000001E-4</v>
      </c>
    </row>
    <row r="885" spans="1:10">
      <c r="A885" s="1" t="s">
        <v>1043</v>
      </c>
      <c r="B885" s="1">
        <v>455</v>
      </c>
      <c r="C885" s="2">
        <v>49.5</v>
      </c>
      <c r="D885" s="3">
        <v>41.7</v>
      </c>
      <c r="E885" s="4">
        <v>11.66</v>
      </c>
      <c r="F885" s="1">
        <v>10.92</v>
      </c>
      <c r="G885" s="9">
        <v>-3.5000000000000001E-3</v>
      </c>
      <c r="H885" s="9">
        <v>-2.7000000000000001E-3</v>
      </c>
      <c r="I885" s="9">
        <v>4.8000000000000001E-4</v>
      </c>
    </row>
    <row r="886" spans="1:10">
      <c r="A886" s="1" t="s">
        <v>1044</v>
      </c>
      <c r="B886" s="1">
        <v>460</v>
      </c>
      <c r="C886" s="2">
        <v>49.7</v>
      </c>
      <c r="D886" s="3">
        <v>41.9</v>
      </c>
      <c r="E886" s="4">
        <v>11.73</v>
      </c>
      <c r="F886" s="1">
        <v>10.98</v>
      </c>
      <c r="G886" s="9">
        <v>-3.5000000000000001E-3</v>
      </c>
      <c r="H886" s="9">
        <v>-2.7000000000000001E-3</v>
      </c>
      <c r="I886" s="9">
        <v>4.8000000000000001E-4</v>
      </c>
    </row>
    <row r="887" spans="1:10">
      <c r="A887" s="1" t="s">
        <v>1045</v>
      </c>
      <c r="B887" s="1">
        <v>455</v>
      </c>
      <c r="C887" s="2">
        <v>49.5</v>
      </c>
      <c r="D887" s="3">
        <v>41.7</v>
      </c>
      <c r="E887" s="4">
        <v>11.66</v>
      </c>
      <c r="F887" s="1">
        <v>10.92</v>
      </c>
      <c r="G887" s="9">
        <v>-3.5000000000000001E-3</v>
      </c>
      <c r="H887" s="9">
        <v>-2.7000000000000001E-3</v>
      </c>
      <c r="I887" s="9">
        <v>4.8000000000000001E-4</v>
      </c>
    </row>
    <row r="888" spans="1:10">
      <c r="A888" s="1" t="s">
        <v>1046</v>
      </c>
      <c r="B888" s="1">
        <v>410</v>
      </c>
      <c r="C888" s="2">
        <v>36.71</v>
      </c>
      <c r="D888" s="3">
        <v>31.27</v>
      </c>
      <c r="E888" s="4">
        <v>13.95</v>
      </c>
      <c r="F888" s="1">
        <v>13.12</v>
      </c>
      <c r="G888" s="9">
        <v>-3.3999999999999998E-3</v>
      </c>
      <c r="H888" s="9">
        <v>-2.65E-3</v>
      </c>
      <c r="I888" s="9">
        <v>5.0000000000000001E-4</v>
      </c>
    </row>
    <row r="889" spans="1:10">
      <c r="A889" s="1" t="s">
        <v>1047</v>
      </c>
      <c r="B889" s="1">
        <v>415</v>
      </c>
      <c r="C889" s="2">
        <v>37.5</v>
      </c>
      <c r="D889" s="3">
        <v>31.49</v>
      </c>
      <c r="E889" s="4">
        <v>13.94</v>
      </c>
      <c r="F889" s="1">
        <v>13.18</v>
      </c>
      <c r="G889" s="9">
        <v>-3.3999999999999998E-3</v>
      </c>
      <c r="H889" s="9">
        <v>-2.65E-3</v>
      </c>
      <c r="I889" s="9">
        <v>5.0000000000000001E-4</v>
      </c>
    </row>
    <row r="890" spans="1:10">
      <c r="A890" s="1" t="s">
        <v>1048</v>
      </c>
      <c r="B890" s="1">
        <v>420</v>
      </c>
      <c r="C890" s="2">
        <v>37.75</v>
      </c>
      <c r="D890" s="3">
        <v>31.73</v>
      </c>
      <c r="E890" s="4">
        <v>14.01</v>
      </c>
      <c r="F890" s="1">
        <v>13.24</v>
      </c>
      <c r="G890" s="9">
        <v>-3.3999999999999998E-3</v>
      </c>
      <c r="H890" s="9">
        <v>-2.65E-3</v>
      </c>
      <c r="I890" s="9">
        <v>5.0000000000000001E-4</v>
      </c>
    </row>
    <row r="891" spans="1:10">
      <c r="A891" s="1" t="s">
        <v>1049</v>
      </c>
      <c r="B891" s="1">
        <v>425</v>
      </c>
      <c r="C891" s="2">
        <v>37.96</v>
      </c>
      <c r="D891" s="3">
        <v>31.94</v>
      </c>
      <c r="E891" s="4">
        <v>14.08</v>
      </c>
      <c r="F891" s="1">
        <v>13.31</v>
      </c>
      <c r="G891" s="9">
        <v>-3.3999999999999998E-3</v>
      </c>
      <c r="H891" s="9">
        <v>-2.65E-3</v>
      </c>
      <c r="I891" s="9">
        <v>5.0000000000000001E-4</v>
      </c>
    </row>
    <row r="892" spans="1:10">
      <c r="A892" s="1" t="s">
        <v>1050</v>
      </c>
      <c r="B892" s="1">
        <v>495</v>
      </c>
      <c r="C892" s="2">
        <v>45.4</v>
      </c>
      <c r="D892" s="3">
        <v>38.229999999999997</v>
      </c>
      <c r="E892" s="4">
        <v>13.83</v>
      </c>
      <c r="F892" s="1">
        <v>12.95</v>
      </c>
      <c r="G892" s="9">
        <v>-3.5000000000000001E-3</v>
      </c>
      <c r="H892" s="9">
        <v>-2.7000000000000001E-3</v>
      </c>
      <c r="I892" s="9">
        <v>4.8000000000000001E-4</v>
      </c>
    </row>
    <row r="893" spans="1:10">
      <c r="A893" s="1" t="s">
        <v>1051</v>
      </c>
      <c r="B893" s="1">
        <v>535</v>
      </c>
      <c r="C893" s="2">
        <v>49.35</v>
      </c>
      <c r="D893" s="3">
        <v>41.5</v>
      </c>
      <c r="E893" s="4">
        <v>13.78</v>
      </c>
      <c r="F893" s="1">
        <v>12.9</v>
      </c>
      <c r="G893" s="9">
        <v>-3.5000000000000001E-3</v>
      </c>
      <c r="H893" s="9">
        <v>-2.8400000000000001E-3</v>
      </c>
      <c r="I893" s="9">
        <v>5.0000000000000001E-4</v>
      </c>
      <c r="J893" s="9">
        <v>0.25</v>
      </c>
    </row>
    <row r="894" spans="1:10">
      <c r="A894" s="1" t="s">
        <v>1052</v>
      </c>
      <c r="B894" s="1">
        <f>B893*(1+J893)</f>
        <v>668.75</v>
      </c>
      <c r="C894" s="2">
        <f>C893</f>
        <v>49.35</v>
      </c>
      <c r="D894" s="3">
        <f>D893</f>
        <v>41.5</v>
      </c>
      <c r="E894" s="4">
        <f>E893*(1+J893)</f>
        <v>17.224999999999998</v>
      </c>
      <c r="F894" s="1">
        <f>F893*(1+J893)</f>
        <v>16.125</v>
      </c>
      <c r="G894" s="9">
        <f>G893</f>
        <v>-3.5000000000000001E-3</v>
      </c>
      <c r="H894" s="9">
        <f>H893</f>
        <v>-2.8400000000000001E-3</v>
      </c>
      <c r="I894" s="9">
        <f>I893</f>
        <v>5.0000000000000001E-4</v>
      </c>
    </row>
    <row r="895" spans="1:10">
      <c r="A895" s="1" t="s">
        <v>1053</v>
      </c>
      <c r="B895" s="1">
        <v>540</v>
      </c>
      <c r="C895" s="2">
        <v>49.5</v>
      </c>
      <c r="D895" s="3">
        <v>41.65</v>
      </c>
      <c r="E895" s="4">
        <v>13.85</v>
      </c>
      <c r="F895" s="1">
        <v>12.97</v>
      </c>
      <c r="G895" s="9">
        <v>-3.5000000000000001E-3</v>
      </c>
      <c r="H895" s="9">
        <v>-2.8400000000000001E-3</v>
      </c>
      <c r="I895" s="9">
        <v>5.0000000000000001E-4</v>
      </c>
      <c r="J895" s="9">
        <v>0.15</v>
      </c>
    </row>
    <row r="896" spans="1:10">
      <c r="A896" s="1" t="s">
        <v>1054</v>
      </c>
      <c r="B896" s="1">
        <f>B895*(1+J895)</f>
        <v>621</v>
      </c>
      <c r="C896" s="2">
        <f>C895</f>
        <v>49.5</v>
      </c>
      <c r="D896" s="3">
        <f>D895</f>
        <v>41.65</v>
      </c>
      <c r="E896" s="4">
        <f>E895*(1+J895)</f>
        <v>15.927499999999998</v>
      </c>
      <c r="F896" s="1">
        <f>F895*(1+J895)</f>
        <v>14.9155</v>
      </c>
      <c r="G896" s="9">
        <f>G895</f>
        <v>-3.5000000000000001E-3</v>
      </c>
      <c r="H896" s="9">
        <f>H895</f>
        <v>-2.8400000000000001E-3</v>
      </c>
      <c r="I896" s="9">
        <f>I895</f>
        <v>5.0000000000000001E-4</v>
      </c>
    </row>
    <row r="897" spans="1:10">
      <c r="A897" s="1" t="s">
        <v>1055</v>
      </c>
      <c r="B897" s="1">
        <v>550</v>
      </c>
      <c r="C897" s="2">
        <v>49.8</v>
      </c>
      <c r="D897" s="3">
        <v>41.95</v>
      </c>
      <c r="E897" s="4">
        <v>13.99</v>
      </c>
      <c r="F897" s="1">
        <v>13.12</v>
      </c>
      <c r="G897" s="9">
        <v>-3.3999999999999998E-3</v>
      </c>
      <c r="H897" s="9">
        <v>-2.65E-3</v>
      </c>
      <c r="I897" s="9">
        <v>3.4000000000000002E-4</v>
      </c>
      <c r="J897" s="9">
        <v>0.2</v>
      </c>
    </row>
    <row r="898" spans="1:10">
      <c r="A898" s="1" t="s">
        <v>1056</v>
      </c>
      <c r="B898" s="1">
        <f>B897*(1+J897)</f>
        <v>660</v>
      </c>
      <c r="C898" s="2">
        <f>C897</f>
        <v>49.8</v>
      </c>
      <c r="D898" s="3">
        <f>D897</f>
        <v>41.95</v>
      </c>
      <c r="E898" s="4">
        <f>E897*(1+J897)</f>
        <v>16.788</v>
      </c>
      <c r="F898" s="1">
        <f>F897*(1+J897)</f>
        <v>15.743999999999998</v>
      </c>
      <c r="G898" s="9">
        <f>G897</f>
        <v>-3.3999999999999998E-3</v>
      </c>
      <c r="H898" s="9">
        <f>H897</f>
        <v>-2.65E-3</v>
      </c>
      <c r="I898" s="9">
        <f>I897</f>
        <v>3.4000000000000002E-4</v>
      </c>
    </row>
    <row r="899" spans="1:10">
      <c r="A899" s="1" t="s">
        <v>1057</v>
      </c>
      <c r="B899" s="1">
        <v>555</v>
      </c>
      <c r="C899" s="2">
        <v>49.95</v>
      </c>
      <c r="D899" s="3">
        <v>42.1</v>
      </c>
      <c r="E899" s="4">
        <v>14.05</v>
      </c>
      <c r="F899" s="1">
        <v>13.19</v>
      </c>
      <c r="G899" s="9">
        <v>-3.3999999999999998E-3</v>
      </c>
      <c r="H899" s="9">
        <v>-2.65E-3</v>
      </c>
      <c r="I899" s="9">
        <v>3.4000000000000002E-4</v>
      </c>
      <c r="J899" s="9">
        <v>0.2</v>
      </c>
    </row>
    <row r="900" spans="1:10">
      <c r="A900" s="1" t="s">
        <v>1058</v>
      </c>
      <c r="B900" s="1">
        <f>B899*(1+J899)</f>
        <v>666</v>
      </c>
      <c r="C900" s="2">
        <f>C899</f>
        <v>49.95</v>
      </c>
      <c r="D900" s="3">
        <f>D899</f>
        <v>42.1</v>
      </c>
      <c r="E900" s="4">
        <f>E899*(1+J899)</f>
        <v>16.86</v>
      </c>
      <c r="F900" s="1">
        <f>F899*(1+J899)</f>
        <v>15.827999999999999</v>
      </c>
      <c r="G900" s="9">
        <f>G899</f>
        <v>-3.3999999999999998E-3</v>
      </c>
      <c r="H900" s="9">
        <f>H899</f>
        <v>-2.65E-3</v>
      </c>
      <c r="I900" s="9">
        <f>I899</f>
        <v>3.4000000000000002E-4</v>
      </c>
    </row>
    <row r="901" spans="1:10">
      <c r="A901" s="1" t="s">
        <v>1059</v>
      </c>
      <c r="B901" s="1">
        <v>535</v>
      </c>
      <c r="C901" s="2">
        <v>49.35</v>
      </c>
      <c r="D901" s="3">
        <v>41.5</v>
      </c>
      <c r="E901" s="4">
        <v>13.78</v>
      </c>
      <c r="F901" s="1">
        <v>12.9</v>
      </c>
      <c r="G901" s="9">
        <v>-3.3999999999999998E-3</v>
      </c>
      <c r="H901" s="9">
        <v>-2.65E-3</v>
      </c>
      <c r="I901" s="9">
        <v>4.8000000000000001E-4</v>
      </c>
    </row>
    <row r="902" spans="1:10">
      <c r="A902" s="1" t="s">
        <v>1060</v>
      </c>
      <c r="B902" s="1">
        <v>540</v>
      </c>
      <c r="C902" s="2">
        <v>49.5</v>
      </c>
      <c r="D902" s="3">
        <v>41.65</v>
      </c>
      <c r="E902" s="4">
        <v>13.85</v>
      </c>
      <c r="F902" s="1">
        <v>12.97</v>
      </c>
      <c r="G902" s="9">
        <v>-3.3999999999999998E-3</v>
      </c>
      <c r="H902" s="9">
        <v>-2.65E-3</v>
      </c>
      <c r="I902" s="9">
        <v>4.8000000000000001E-4</v>
      </c>
    </row>
    <row r="903" spans="1:10">
      <c r="A903" s="1" t="s">
        <v>1061</v>
      </c>
      <c r="B903" s="1">
        <v>545</v>
      </c>
      <c r="C903" s="2">
        <v>49.65</v>
      </c>
      <c r="D903" s="3">
        <v>41.8</v>
      </c>
      <c r="E903" s="4">
        <v>13.92</v>
      </c>
      <c r="F903" s="1">
        <v>13.04</v>
      </c>
      <c r="G903" s="9">
        <v>-3.3999999999999998E-3</v>
      </c>
      <c r="H903" s="9">
        <v>-2.65E-3</v>
      </c>
      <c r="I903" s="9">
        <v>4.8000000000000001E-4</v>
      </c>
    </row>
    <row r="904" spans="1:10">
      <c r="A904" s="1" t="s">
        <v>1062</v>
      </c>
      <c r="B904" s="1">
        <v>550</v>
      </c>
      <c r="C904" s="2">
        <v>49.8</v>
      </c>
      <c r="D904" s="3">
        <v>41.95</v>
      </c>
      <c r="E904" s="4">
        <v>13.98</v>
      </c>
      <c r="F904" s="1">
        <v>13.12</v>
      </c>
      <c r="G904" s="9">
        <v>-3.3999999999999998E-3</v>
      </c>
      <c r="H904" s="9">
        <v>-2.65E-3</v>
      </c>
      <c r="I904" s="9">
        <v>4.8000000000000001E-4</v>
      </c>
    </row>
    <row r="905" spans="1:10">
      <c r="A905" s="1" t="s">
        <v>1063</v>
      </c>
      <c r="B905" s="1">
        <v>555</v>
      </c>
      <c r="C905" s="2">
        <v>49.95</v>
      </c>
      <c r="D905" s="3">
        <v>42.1</v>
      </c>
      <c r="E905" s="4">
        <v>14.04</v>
      </c>
      <c r="F905" s="1">
        <v>13.19</v>
      </c>
      <c r="G905" s="9">
        <v>-3.3999999999999998E-3</v>
      </c>
      <c r="H905" s="9">
        <v>-2.65E-3</v>
      </c>
      <c r="I905" s="9">
        <v>4.8000000000000001E-4</v>
      </c>
    </row>
    <row r="906" spans="1:10">
      <c r="A906" s="1" t="s">
        <v>1064</v>
      </c>
      <c r="B906" s="1">
        <v>575</v>
      </c>
      <c r="C906" s="2">
        <v>52.06</v>
      </c>
      <c r="D906" s="3">
        <v>43.91</v>
      </c>
      <c r="E906" s="4">
        <v>14.14</v>
      </c>
      <c r="F906" s="1">
        <v>13.1</v>
      </c>
      <c r="G906" s="9">
        <v>-2.8999999999999998E-3</v>
      </c>
      <c r="H906" s="9">
        <v>-2.3E-3</v>
      </c>
      <c r="I906" s="9">
        <v>5.0000000000000001E-4</v>
      </c>
    </row>
    <row r="907" spans="1:10">
      <c r="A907" s="1" t="s">
        <v>1065</v>
      </c>
      <c r="B907" s="1">
        <v>580</v>
      </c>
      <c r="C907" s="2">
        <v>52.21</v>
      </c>
      <c r="D907" s="3">
        <v>44.06</v>
      </c>
      <c r="E907" s="4">
        <v>14.2</v>
      </c>
      <c r="F907" s="1">
        <v>13.17</v>
      </c>
      <c r="G907" s="9">
        <v>-2.8999999999999998E-3</v>
      </c>
      <c r="H907" s="9">
        <v>-2.3E-3</v>
      </c>
      <c r="I907" s="9">
        <v>5.0000000000000001E-4</v>
      </c>
    </row>
    <row r="908" spans="1:10">
      <c r="A908" s="1" t="s">
        <v>1066</v>
      </c>
      <c r="B908" s="1">
        <v>385</v>
      </c>
      <c r="C908" s="2">
        <v>49.2</v>
      </c>
      <c r="D908" s="3">
        <v>40.799999999999997</v>
      </c>
      <c r="E908" s="4">
        <v>10.029999999999999</v>
      </c>
      <c r="F908" s="1">
        <v>9.43</v>
      </c>
      <c r="G908" s="9">
        <v>-3.7000000000000002E-3</v>
      </c>
      <c r="H908" s="9">
        <v>-2.8600000000000001E-3</v>
      </c>
      <c r="I908" s="9">
        <v>5.6999999999999998E-4</v>
      </c>
    </row>
    <row r="909" spans="1:10">
      <c r="A909" s="1" t="s">
        <v>1067</v>
      </c>
      <c r="B909" s="1">
        <v>310</v>
      </c>
      <c r="C909" s="2">
        <v>40.299999999999997</v>
      </c>
      <c r="D909" s="3">
        <v>33.200000000000003</v>
      </c>
      <c r="E909" s="4">
        <v>9.98</v>
      </c>
      <c r="F909" s="1">
        <v>9.35</v>
      </c>
      <c r="G909" s="9">
        <v>-3.8E-3</v>
      </c>
      <c r="H909" s="9">
        <v>-2.8600000000000001E-3</v>
      </c>
      <c r="I909" s="9">
        <v>5.6999999999999998E-4</v>
      </c>
    </row>
    <row r="910" spans="1:10">
      <c r="A910" s="1" t="s">
        <v>1068</v>
      </c>
      <c r="B910" s="1">
        <v>320</v>
      </c>
      <c r="C910" s="2">
        <v>40.799999999999997</v>
      </c>
      <c r="D910" s="3">
        <v>33.6</v>
      </c>
      <c r="E910" s="4">
        <v>10.19</v>
      </c>
      <c r="F910" s="1">
        <v>9.52</v>
      </c>
      <c r="G910" s="9">
        <v>-3.8E-3</v>
      </c>
      <c r="H910" s="9">
        <v>-2.8600000000000001E-3</v>
      </c>
      <c r="I910" s="9">
        <v>5.6999999999999998E-4</v>
      </c>
    </row>
    <row r="911" spans="1:10">
      <c r="A911" s="1" t="s">
        <v>1069</v>
      </c>
      <c r="B911" s="1">
        <v>320</v>
      </c>
      <c r="C911" s="2">
        <v>41.2</v>
      </c>
      <c r="D911" s="3">
        <v>33.700000000000003</v>
      </c>
      <c r="E911" s="4">
        <v>9.98</v>
      </c>
      <c r="F911" s="1">
        <v>9.51</v>
      </c>
      <c r="G911" s="9">
        <v>-3.7000000000000002E-3</v>
      </c>
      <c r="H911" s="9">
        <v>-2.8600000000000001E-3</v>
      </c>
      <c r="I911" s="9">
        <v>5.6999999999999998E-4</v>
      </c>
    </row>
    <row r="912" spans="1:10">
      <c r="A912" s="1" t="s">
        <v>1070</v>
      </c>
      <c r="B912" s="1">
        <v>315</v>
      </c>
      <c r="C912" s="2">
        <v>40.9</v>
      </c>
      <c r="D912" s="3">
        <v>33.799999999999997</v>
      </c>
      <c r="E912" s="4">
        <v>9.75</v>
      </c>
      <c r="F912" s="1">
        <v>9.31</v>
      </c>
      <c r="G912" s="9">
        <v>-3.7000000000000002E-3</v>
      </c>
      <c r="H912" s="9">
        <v>-3.0000000000000001E-3</v>
      </c>
      <c r="I912" s="9">
        <v>5.9999999999999995E-4</v>
      </c>
      <c r="J912" s="9">
        <v>0.2</v>
      </c>
    </row>
    <row r="913" spans="1:11">
      <c r="A913" s="1" t="s">
        <v>1071</v>
      </c>
      <c r="B913" s="1">
        <f>B912*(1+J912)</f>
        <v>378</v>
      </c>
      <c r="C913" s="2">
        <v>40.9</v>
      </c>
      <c r="D913" s="3">
        <v>33.799999999999997</v>
      </c>
      <c r="E913" s="4">
        <f>E912*(1+J912)</f>
        <v>11.7</v>
      </c>
      <c r="F913" s="1">
        <f>F912*(1+J912)</f>
        <v>11.172000000000001</v>
      </c>
      <c r="G913" s="9">
        <v>-3.5000000000000001E-3</v>
      </c>
      <c r="H913" s="9">
        <f>H912</f>
        <v>-3.0000000000000001E-3</v>
      </c>
      <c r="I913" s="9">
        <f>I912</f>
        <v>5.9999999999999995E-4</v>
      </c>
    </row>
    <row r="914" spans="1:11">
      <c r="A914" s="1" t="s">
        <v>1072</v>
      </c>
      <c r="B914" s="1">
        <v>310</v>
      </c>
      <c r="C914" s="2">
        <v>40.299999999999997</v>
      </c>
      <c r="D914" s="3">
        <v>33.200000000000003</v>
      </c>
      <c r="E914" s="4">
        <v>9.98</v>
      </c>
      <c r="F914" s="1">
        <v>9.35</v>
      </c>
      <c r="G914" s="9">
        <v>-3.8E-3</v>
      </c>
      <c r="H914" s="9">
        <v>-2.8600000000000001E-3</v>
      </c>
    </row>
    <row r="915" spans="1:11">
      <c r="A915" s="1" t="s">
        <v>1073</v>
      </c>
      <c r="B915" s="1">
        <v>310</v>
      </c>
      <c r="C915" s="2">
        <v>40.700000000000003</v>
      </c>
      <c r="D915" s="3">
        <v>33.6</v>
      </c>
      <c r="E915" s="4">
        <v>9.66</v>
      </c>
      <c r="F915" s="1">
        <v>9.23</v>
      </c>
      <c r="G915" s="9">
        <v>-3.7000000000000002E-3</v>
      </c>
      <c r="H915" s="9">
        <v>-3.0000000000000001E-3</v>
      </c>
      <c r="I915" s="9">
        <v>6.8999999999999997E-4</v>
      </c>
    </row>
    <row r="916" spans="1:11">
      <c r="A916" s="1" t="s">
        <v>1074</v>
      </c>
      <c r="B916" s="1">
        <f>310*1.25</f>
        <v>387.5</v>
      </c>
      <c r="C916" s="2">
        <v>40.700000000000003</v>
      </c>
      <c r="D916" s="3">
        <v>33.6</v>
      </c>
      <c r="E916" s="4">
        <f>9.66*1.25</f>
        <v>12.074999999999999</v>
      </c>
      <c r="F916" s="1">
        <f>9.23*1.25</f>
        <v>11.537500000000001</v>
      </c>
      <c r="G916" s="9">
        <v>-3.7000000000000002E-3</v>
      </c>
      <c r="H916" s="9">
        <v>-3.0000000000000001E-3</v>
      </c>
      <c r="I916" s="9">
        <v>6.8999999999999997E-4</v>
      </c>
      <c r="K916" s="5">
        <v>12</v>
      </c>
    </row>
    <row r="917" spans="1:11">
      <c r="A917" s="1" t="s">
        <v>1075</v>
      </c>
      <c r="B917" s="1">
        <v>320</v>
      </c>
      <c r="C917" s="2">
        <v>40.9</v>
      </c>
      <c r="D917" s="3">
        <v>33.9</v>
      </c>
      <c r="E917" s="4">
        <v>10.02</v>
      </c>
      <c r="F917" s="1">
        <v>9.43</v>
      </c>
      <c r="G917" s="9">
        <v>-3.7000000000000002E-3</v>
      </c>
      <c r="H917" s="9">
        <v>-2.8600000000000001E-3</v>
      </c>
      <c r="I917" s="9">
        <v>5.6999999999999998E-4</v>
      </c>
    </row>
    <row r="918" spans="1:11">
      <c r="A918" s="1" t="s">
        <v>1076</v>
      </c>
      <c r="B918" s="1">
        <v>300</v>
      </c>
      <c r="C918" s="2">
        <v>40.1</v>
      </c>
      <c r="D918" s="3">
        <v>32.799999999999997</v>
      </c>
      <c r="E918" s="4">
        <v>9.81</v>
      </c>
      <c r="F918" s="1">
        <v>9.15</v>
      </c>
      <c r="G918" s="9">
        <v>-3.8E-3</v>
      </c>
      <c r="H918" s="9">
        <v>-2.8600000000000001E-3</v>
      </c>
      <c r="I918" s="9">
        <v>5.6999999999999998E-4</v>
      </c>
    </row>
    <row r="919" spans="1:11">
      <c r="A919" s="1" t="s">
        <v>1077</v>
      </c>
      <c r="B919" s="1">
        <v>310</v>
      </c>
      <c r="C919" s="2">
        <v>40.299999999999997</v>
      </c>
      <c r="D919" s="3">
        <v>33.200000000000003</v>
      </c>
      <c r="E919" s="4">
        <v>9.98</v>
      </c>
      <c r="F919" s="1">
        <v>9.35</v>
      </c>
      <c r="G919" s="9">
        <v>-3.8E-3</v>
      </c>
      <c r="H919" s="9">
        <v>-2.8600000000000001E-3</v>
      </c>
      <c r="I919" s="9">
        <v>5.6999999999999998E-4</v>
      </c>
      <c r="K919" s="5">
        <v>30</v>
      </c>
    </row>
    <row r="920" spans="1:11">
      <c r="A920" s="1" t="s">
        <v>1078</v>
      </c>
      <c r="B920" s="1">
        <v>315</v>
      </c>
      <c r="C920" s="2">
        <v>40.5</v>
      </c>
      <c r="D920" s="3">
        <v>33.4</v>
      </c>
      <c r="E920" s="4">
        <v>10.1</v>
      </c>
      <c r="F920" s="1">
        <v>9.43</v>
      </c>
      <c r="G920" s="9">
        <v>-3.7000000000000002E-3</v>
      </c>
      <c r="H920" s="9">
        <v>-2.8600000000000001E-3</v>
      </c>
      <c r="I920" s="9">
        <v>5.6999999999999998E-4</v>
      </c>
    </row>
    <row r="921" spans="1:11">
      <c r="A921" s="1" t="s">
        <v>1079</v>
      </c>
      <c r="B921" s="1">
        <v>400</v>
      </c>
      <c r="C921" s="2">
        <v>44</v>
      </c>
      <c r="D921" s="3">
        <v>36.200000000000003</v>
      </c>
      <c r="E921" s="4">
        <v>11.8</v>
      </c>
      <c r="F921" s="1">
        <v>11.05</v>
      </c>
      <c r="G921" s="9">
        <v>-3.7000000000000002E-3</v>
      </c>
      <c r="H921" s="9">
        <v>-2.8600000000000001E-3</v>
      </c>
      <c r="I921" s="9">
        <v>5.6999999999999998E-4</v>
      </c>
    </row>
    <row r="922" spans="1:11">
      <c r="A922" s="1" t="s">
        <v>1080</v>
      </c>
      <c r="B922" s="1">
        <v>275</v>
      </c>
      <c r="C922" s="2">
        <v>48.4</v>
      </c>
      <c r="D922" s="3">
        <v>39.6</v>
      </c>
      <c r="E922" s="4">
        <v>9.9499999999999993</v>
      </c>
      <c r="F922" s="1">
        <v>9.35</v>
      </c>
      <c r="G922" s="9">
        <v>-3.7000000000000002E-3</v>
      </c>
      <c r="H922" s="9">
        <v>-3.0000000000000001E-3</v>
      </c>
      <c r="K922" s="5">
        <v>10</v>
      </c>
    </row>
    <row r="923" spans="1:11">
      <c r="A923" s="1" t="s">
        <v>1081</v>
      </c>
      <c r="B923" s="1">
        <v>278</v>
      </c>
      <c r="C923" s="2">
        <v>48.1</v>
      </c>
      <c r="D923" s="3">
        <v>40.1</v>
      </c>
      <c r="E923" s="4">
        <v>7.52</v>
      </c>
      <c r="F923" s="1">
        <v>6.94</v>
      </c>
      <c r="G923" s="9">
        <v>-3.7000000000000002E-3</v>
      </c>
      <c r="H923" s="9">
        <v>-3.0000000000000001E-3</v>
      </c>
    </row>
    <row r="924" spans="1:11">
      <c r="A924" s="1" t="s">
        <v>1082</v>
      </c>
      <c r="B924" s="1">
        <f>B922+B923</f>
        <v>553</v>
      </c>
      <c r="C924" s="2">
        <v>48.4</v>
      </c>
      <c r="D924" s="3">
        <v>39.6</v>
      </c>
      <c r="E924" s="4">
        <f>E922+E923</f>
        <v>17.47</v>
      </c>
      <c r="F924" s="4">
        <f>F922+F923</f>
        <v>16.29</v>
      </c>
      <c r="G924" s="9">
        <v>-3.7000000000000002E-3</v>
      </c>
      <c r="H924" s="9">
        <v>-3.0000000000000001E-3</v>
      </c>
    </row>
    <row r="925" spans="1:11">
      <c r="A925" s="1" t="s">
        <v>1083</v>
      </c>
      <c r="B925" s="1">
        <v>400</v>
      </c>
      <c r="C925" s="2">
        <v>44</v>
      </c>
      <c r="D925" s="3">
        <v>36.200000000000003</v>
      </c>
      <c r="E925" s="4">
        <v>11.8</v>
      </c>
      <c r="F925" s="1">
        <v>11.05</v>
      </c>
      <c r="G925" s="9">
        <v>-3.7000000000000002E-3</v>
      </c>
      <c r="H925" s="9">
        <v>-2.8600000000000001E-3</v>
      </c>
      <c r="I925" s="9">
        <v>5.6999999999999998E-4</v>
      </c>
    </row>
    <row r="926" spans="1:11">
      <c r="A926" s="1" t="s">
        <v>1084</v>
      </c>
      <c r="B926" s="1">
        <v>465</v>
      </c>
      <c r="C926" s="2">
        <v>39.549999999999997</v>
      </c>
      <c r="D926" s="3">
        <v>33.39</v>
      </c>
      <c r="E926" s="4">
        <v>14.93</v>
      </c>
      <c r="F926" s="1">
        <v>13.93</v>
      </c>
      <c r="G926" s="9">
        <v>-2.8E-3</v>
      </c>
      <c r="H926" s="9">
        <v>-2.3E-3</v>
      </c>
      <c r="I926" s="9">
        <v>5.0000000000000001E-4</v>
      </c>
    </row>
    <row r="927" spans="1:11">
      <c r="A927" s="1" t="s">
        <v>1085</v>
      </c>
      <c r="B927" s="1">
        <v>480</v>
      </c>
      <c r="C927" s="2">
        <v>40.29</v>
      </c>
      <c r="D927" s="3">
        <v>33.28</v>
      </c>
      <c r="E927" s="4">
        <v>15.13</v>
      </c>
      <c r="F927" s="1">
        <v>14.43</v>
      </c>
      <c r="G927" s="9">
        <v>-2.5999999999999999E-3</v>
      </c>
      <c r="H927" s="9">
        <v>-2E-3</v>
      </c>
      <c r="I927" s="9">
        <v>5.0000000000000001E-4</v>
      </c>
    </row>
    <row r="928" spans="1:11">
      <c r="A928" s="1" t="s">
        <v>1086</v>
      </c>
      <c r="B928" s="1">
        <v>600</v>
      </c>
      <c r="C928" s="2">
        <v>52.34</v>
      </c>
      <c r="D928" s="3">
        <v>43.9</v>
      </c>
      <c r="E928" s="4">
        <v>14.53</v>
      </c>
      <c r="F928" s="1">
        <v>13.67</v>
      </c>
      <c r="G928" s="9">
        <v>-2.8E-3</v>
      </c>
      <c r="H928" s="9">
        <v>-2.3E-3</v>
      </c>
      <c r="I928" s="9">
        <v>4.4999999999999999E-4</v>
      </c>
    </row>
    <row r="929" spans="1:10">
      <c r="A929" s="1" t="s">
        <v>1087</v>
      </c>
      <c r="B929" s="1">
        <f>B928*(1+J929)</f>
        <v>750</v>
      </c>
      <c r="C929" s="2">
        <f>C928</f>
        <v>52.34</v>
      </c>
      <c r="D929" s="3">
        <f>D928</f>
        <v>43.9</v>
      </c>
      <c r="E929" s="4">
        <f>E928*(1+J929)</f>
        <v>18.162499999999998</v>
      </c>
      <c r="F929" s="1">
        <f>F928*(1+J929)</f>
        <v>17.087499999999999</v>
      </c>
      <c r="G929" s="9">
        <f>G928</f>
        <v>-2.8E-3</v>
      </c>
      <c r="H929" s="9">
        <f>H928</f>
        <v>-2.3E-3</v>
      </c>
      <c r="I929" s="9">
        <f>I928</f>
        <v>4.4999999999999999E-4</v>
      </c>
      <c r="J929" s="9">
        <v>0.25</v>
      </c>
    </row>
    <row r="930" spans="1:10">
      <c r="A930" s="1" t="s">
        <v>1088</v>
      </c>
      <c r="B930" s="1">
        <v>650</v>
      </c>
      <c r="C930" s="2">
        <v>53.9</v>
      </c>
      <c r="D930" s="3">
        <v>44.56</v>
      </c>
      <c r="E930" s="4">
        <v>15.29</v>
      </c>
      <c r="F930" s="1">
        <v>14.59</v>
      </c>
      <c r="G930" s="9">
        <v>-2.5999999999999999E-3</v>
      </c>
      <c r="H930" s="9">
        <v>-2E-3</v>
      </c>
      <c r="I930" s="9">
        <v>4.4999999999999999E-4</v>
      </c>
    </row>
    <row r="931" spans="1:10">
      <c r="A931" s="1" t="s">
        <v>1089</v>
      </c>
      <c r="B931" s="1">
        <v>650</v>
      </c>
      <c r="C931" s="2">
        <v>53.8</v>
      </c>
      <c r="D931" s="3">
        <v>44.65</v>
      </c>
      <c r="E931" s="4">
        <v>15.25</v>
      </c>
      <c r="F931" s="1">
        <v>14.56</v>
      </c>
      <c r="G931" s="9">
        <v>-2.5999999999999999E-3</v>
      </c>
      <c r="H931" s="9">
        <v>-2E-3</v>
      </c>
      <c r="I931" s="9">
        <v>4.4999999999999999E-4</v>
      </c>
    </row>
    <row r="932" spans="1:10">
      <c r="A932" s="1" t="s">
        <v>1090</v>
      </c>
      <c r="B932" s="1">
        <f>B931*(1+J932)</f>
        <v>812.5</v>
      </c>
      <c r="C932" s="2">
        <f>C931</f>
        <v>53.8</v>
      </c>
      <c r="D932" s="3">
        <f>D931</f>
        <v>44.65</v>
      </c>
      <c r="E932" s="4">
        <f>E931*(1+J932)</f>
        <v>19.0625</v>
      </c>
      <c r="F932" s="1">
        <f>F931*(1+J932)</f>
        <v>18.2</v>
      </c>
      <c r="G932" s="9">
        <f>G931</f>
        <v>-2.5999999999999999E-3</v>
      </c>
      <c r="H932" s="9">
        <f>H931</f>
        <v>-2E-3</v>
      </c>
      <c r="I932" s="9">
        <f>I931</f>
        <v>4.4999999999999999E-4</v>
      </c>
      <c r="J932" s="9">
        <v>0.25</v>
      </c>
    </row>
    <row r="933" spans="1:10">
      <c r="A933" s="1" t="s">
        <v>1091</v>
      </c>
      <c r="B933" s="1">
        <v>675</v>
      </c>
      <c r="C933" s="2">
        <v>50.22</v>
      </c>
      <c r="D933" s="3">
        <v>41.48</v>
      </c>
      <c r="E933" s="4">
        <v>16.95</v>
      </c>
      <c r="F933" s="4">
        <v>16.27</v>
      </c>
      <c r="G933" s="9">
        <v>-2.5999999999999999E-3</v>
      </c>
      <c r="H933" s="9">
        <v>-2E-3</v>
      </c>
      <c r="I933" s="9">
        <v>5.0000000000000001E-4</v>
      </c>
    </row>
    <row r="934" spans="1:10">
      <c r="A934" s="1" t="s">
        <v>1092</v>
      </c>
      <c r="B934" s="1">
        <f>B933*(1+J934)</f>
        <v>776.24999999999989</v>
      </c>
      <c r="C934" s="2">
        <f>C933</f>
        <v>50.22</v>
      </c>
      <c r="D934" s="3">
        <f>D933</f>
        <v>41.48</v>
      </c>
      <c r="E934" s="4">
        <f>E933*(1+J934)</f>
        <v>19.492499999999996</v>
      </c>
      <c r="F934" s="1">
        <f>F933*(1+J934)</f>
        <v>18.7105</v>
      </c>
      <c r="G934" s="9">
        <f>G933</f>
        <v>-2.5999999999999999E-3</v>
      </c>
      <c r="H934" s="9">
        <f>H933</f>
        <v>-2E-3</v>
      </c>
      <c r="I934" s="9">
        <f>I933</f>
        <v>5.0000000000000001E-4</v>
      </c>
      <c r="J934" s="9">
        <v>0.15</v>
      </c>
    </row>
    <row r="935" spans="1:10">
      <c r="A935" s="1" t="s">
        <v>1093</v>
      </c>
      <c r="B935" s="1">
        <v>300</v>
      </c>
      <c r="C935" s="2">
        <v>39.28</v>
      </c>
      <c r="D935" s="3">
        <v>32.58</v>
      </c>
      <c r="E935" s="4">
        <v>9.75</v>
      </c>
      <c r="F935" s="1">
        <v>9.2100000000000009</v>
      </c>
      <c r="G935" s="9">
        <v>-4.1539999999999997E-3</v>
      </c>
      <c r="H935" s="9">
        <v>-3.1080000000000001E-3</v>
      </c>
      <c r="I935" s="9">
        <v>3.59E-4</v>
      </c>
    </row>
    <row r="936" spans="1:10">
      <c r="A936" s="1" t="s">
        <v>1094</v>
      </c>
      <c r="B936" s="1">
        <v>255</v>
      </c>
      <c r="C936" s="2">
        <v>37.950000000000003</v>
      </c>
      <c r="D936" s="3">
        <v>30.25</v>
      </c>
      <c r="E936" s="4">
        <v>8.61</v>
      </c>
      <c r="F936" s="1">
        <v>9.06</v>
      </c>
      <c r="G936" s="9">
        <v>-4.1999999999999997E-3</v>
      </c>
      <c r="H936" s="9">
        <v>-3.2100000000000002E-3</v>
      </c>
      <c r="I936" s="9">
        <v>6.5399999999999996E-4</v>
      </c>
    </row>
    <row r="937" spans="1:10">
      <c r="A937" s="1" t="s">
        <v>1095</v>
      </c>
      <c r="B937" s="1">
        <v>410</v>
      </c>
      <c r="C937" s="2">
        <v>50.3</v>
      </c>
      <c r="D937" s="3">
        <v>42.4</v>
      </c>
      <c r="E937" s="4">
        <v>10.16</v>
      </c>
      <c r="F937" s="1">
        <v>9.67</v>
      </c>
      <c r="G937" s="9">
        <v>-3.5000000000000001E-3</v>
      </c>
      <c r="H937" s="9">
        <v>-3.0000000000000001E-3</v>
      </c>
      <c r="I937" s="9">
        <v>4.0000000000000002E-4</v>
      </c>
      <c r="J937" s="9">
        <v>0.2</v>
      </c>
    </row>
    <row r="938" spans="1:10">
      <c r="A938" s="1" t="s">
        <v>1096</v>
      </c>
      <c r="B938" s="1">
        <f>B937*(1+J937)</f>
        <v>492</v>
      </c>
      <c r="C938" s="2">
        <f>C937</f>
        <v>50.3</v>
      </c>
      <c r="D938" s="3">
        <f>D937</f>
        <v>42.4</v>
      </c>
      <c r="E938" s="4">
        <f>E937*(1+J937)</f>
        <v>12.192</v>
      </c>
      <c r="F938" s="1">
        <f>F937*(1+J937)</f>
        <v>11.603999999999999</v>
      </c>
      <c r="G938" s="9">
        <f>G937</f>
        <v>-3.5000000000000001E-3</v>
      </c>
      <c r="H938" s="9">
        <f>H937</f>
        <v>-3.0000000000000001E-3</v>
      </c>
      <c r="I938" s="9">
        <f>I937</f>
        <v>4.0000000000000002E-4</v>
      </c>
    </row>
    <row r="939" spans="1:10">
      <c r="A939" s="1" t="s">
        <v>1097</v>
      </c>
      <c r="B939" s="1">
        <v>540</v>
      </c>
      <c r="C939" s="2">
        <v>49.28</v>
      </c>
      <c r="D939" s="3">
        <v>41.1</v>
      </c>
      <c r="E939" s="4">
        <v>13.89</v>
      </c>
      <c r="F939" s="1">
        <v>13.15</v>
      </c>
      <c r="G939" s="9">
        <v>-3.5999999999999999E-3</v>
      </c>
      <c r="H939" s="9">
        <v>-2.8500000000000001E-3</v>
      </c>
      <c r="I939" s="9">
        <v>4.8999999999999998E-4</v>
      </c>
      <c r="J939" s="9">
        <v>0.1</v>
      </c>
    </row>
    <row r="940" spans="1:10">
      <c r="A940" s="1" t="s">
        <v>1098</v>
      </c>
      <c r="B940" s="1">
        <f>B939*(1+J939)</f>
        <v>594</v>
      </c>
      <c r="C940" s="2">
        <f>C939</f>
        <v>49.28</v>
      </c>
      <c r="D940" s="3">
        <f>D939</f>
        <v>41.1</v>
      </c>
      <c r="E940" s="4">
        <f>E939*(1+J939)</f>
        <v>15.279000000000002</v>
      </c>
      <c r="F940" s="1">
        <f>F939*(1+J939)</f>
        <v>14.465000000000002</v>
      </c>
      <c r="G940" s="9">
        <f>G939</f>
        <v>-3.5999999999999999E-3</v>
      </c>
      <c r="H940" s="9">
        <f>H939</f>
        <v>-2.8500000000000001E-3</v>
      </c>
      <c r="I940" s="9">
        <f>I939</f>
        <v>4.8999999999999998E-4</v>
      </c>
    </row>
    <row r="941" spans="1:10">
      <c r="A941" s="1" t="s">
        <v>1099</v>
      </c>
      <c r="B941" s="1">
        <v>285</v>
      </c>
      <c r="C941" s="2">
        <v>39.200000000000003</v>
      </c>
      <c r="D941" s="3">
        <v>31.7</v>
      </c>
      <c r="E941" s="4">
        <v>9.58</v>
      </c>
      <c r="F941" s="1">
        <v>8.99</v>
      </c>
      <c r="G941" s="9">
        <v>-4.5999999999999999E-3</v>
      </c>
      <c r="H941" s="9">
        <v>-3.5999999999999999E-3</v>
      </c>
      <c r="I941" s="9">
        <v>5.9999999999999995E-4</v>
      </c>
    </row>
    <row r="942" spans="1:10">
      <c r="A942" s="1" t="s">
        <v>1100</v>
      </c>
      <c r="B942" s="1">
        <v>335</v>
      </c>
      <c r="C942" s="2">
        <v>41.5</v>
      </c>
      <c r="D942" s="3">
        <v>34</v>
      </c>
      <c r="G942" s="9">
        <v>-3.7000000000000002E-3</v>
      </c>
      <c r="H942" s="9">
        <v>-2.8999999999999998E-3</v>
      </c>
    </row>
    <row r="943" spans="1:10">
      <c r="A943" s="1" t="s">
        <v>1101</v>
      </c>
      <c r="B943" s="1">
        <v>310</v>
      </c>
      <c r="C943" s="2">
        <v>40.18</v>
      </c>
      <c r="D943" s="3">
        <v>32.950000000000003</v>
      </c>
      <c r="E943" s="4">
        <v>10.08</v>
      </c>
      <c r="F943" s="1">
        <v>9.41</v>
      </c>
      <c r="G943" s="9">
        <v>-4.1999999999999997E-3</v>
      </c>
      <c r="H943" s="9">
        <v>-3.2000000000000002E-3</v>
      </c>
      <c r="I943" s="9">
        <v>5.0000000000000001E-4</v>
      </c>
    </row>
    <row r="944" spans="1:10">
      <c r="A944" s="1" t="s">
        <v>1102</v>
      </c>
      <c r="B944" s="1">
        <v>240</v>
      </c>
      <c r="C944" s="2">
        <v>37.299999999999997</v>
      </c>
      <c r="D944" s="3">
        <v>29.8</v>
      </c>
      <c r="E944" s="4">
        <v>8.6</v>
      </c>
      <c r="F944" s="1">
        <v>8.1</v>
      </c>
      <c r="G944" s="9">
        <v>-4.5999999999999999E-3</v>
      </c>
      <c r="H944" s="9">
        <v>-3.29E-3</v>
      </c>
      <c r="I944" s="9">
        <v>3.8000000000000002E-4</v>
      </c>
    </row>
    <row r="945" spans="1:9">
      <c r="A945" s="1" t="s">
        <v>1103</v>
      </c>
      <c r="B945" s="1">
        <f>B944*K945</f>
        <v>0</v>
      </c>
      <c r="C945" s="2">
        <f>C944</f>
        <v>37.299999999999997</v>
      </c>
      <c r="D945" s="3">
        <f>D944</f>
        <v>29.8</v>
      </c>
      <c r="E945" s="4">
        <f>E944*K945</f>
        <v>0</v>
      </c>
      <c r="F945" s="1">
        <f>F944*K945</f>
        <v>0</v>
      </c>
      <c r="G945" s="9">
        <f>G944</f>
        <v>-4.5999999999999999E-3</v>
      </c>
      <c r="H945" s="9">
        <f>H944</f>
        <v>-3.29E-3</v>
      </c>
      <c r="I945" s="9">
        <f>I944</f>
        <v>3.8000000000000002E-4</v>
      </c>
    </row>
    <row r="946" spans="1:9">
      <c r="A946" s="1" t="s">
        <v>1104</v>
      </c>
      <c r="B946" s="1">
        <v>135</v>
      </c>
      <c r="C946" s="2">
        <v>249</v>
      </c>
      <c r="D946" s="3">
        <v>188</v>
      </c>
      <c r="E946" s="4">
        <v>0.87</v>
      </c>
      <c r="F946" s="1">
        <v>0.72</v>
      </c>
      <c r="G946" s="9">
        <v>-4.4000000000000003E-3</v>
      </c>
      <c r="H946" s="9">
        <v>-3.29E-3</v>
      </c>
      <c r="I946" s="9">
        <v>3.8000000000000002E-4</v>
      </c>
    </row>
    <row r="947" spans="1:9">
      <c r="A947" s="1" t="s">
        <v>1105</v>
      </c>
      <c r="B947" s="1">
        <v>245</v>
      </c>
      <c r="C947" s="2">
        <v>48.8</v>
      </c>
      <c r="D947" s="3">
        <v>40.5</v>
      </c>
      <c r="E947" s="4">
        <v>6.43</v>
      </c>
      <c r="F947" s="1">
        <v>6.05</v>
      </c>
      <c r="G947" s="9">
        <v>-4.4999999999999997E-3</v>
      </c>
      <c r="H947" s="9">
        <v>-3.5000000000000001E-3</v>
      </c>
      <c r="I947" s="9">
        <v>5.9999999999999995E-4</v>
      </c>
    </row>
    <row r="948" spans="1:9">
      <c r="A948" s="1" t="s">
        <v>1106</v>
      </c>
      <c r="B948" s="1">
        <v>550</v>
      </c>
      <c r="C948" s="2">
        <v>50.63</v>
      </c>
      <c r="D948" s="3">
        <v>42.44</v>
      </c>
      <c r="E948" s="4">
        <v>13.83</v>
      </c>
      <c r="F948" s="1">
        <v>12.96</v>
      </c>
      <c r="G948" s="9">
        <v>-3.5000000000000001E-3</v>
      </c>
      <c r="H948" s="9">
        <v>-2.7000000000000001E-3</v>
      </c>
      <c r="I948" s="9">
        <v>5.0000000000000001E-4</v>
      </c>
    </row>
    <row r="949" spans="1:9">
      <c r="A949" s="1" t="s">
        <v>1107</v>
      </c>
      <c r="B949" s="1">
        <v>60.5</v>
      </c>
      <c r="C949" s="2">
        <v>9.8000000000000007</v>
      </c>
      <c r="D949" s="3">
        <v>8.0500000000000007</v>
      </c>
      <c r="E949" s="4">
        <v>8.42</v>
      </c>
      <c r="F949" s="1">
        <v>7.52</v>
      </c>
      <c r="G949" s="9">
        <v>-4.4000000000000003E-3</v>
      </c>
      <c r="H949" s="9">
        <v>-3.29E-3</v>
      </c>
      <c r="I949" s="9">
        <v>3.8000000000000002E-4</v>
      </c>
    </row>
    <row r="950" spans="1:9">
      <c r="A950" s="1" t="s">
        <v>1108</v>
      </c>
      <c r="B950" s="1">
        <v>73</v>
      </c>
      <c r="C950" s="2">
        <v>12.69</v>
      </c>
      <c r="D950" s="3">
        <v>10.210000000000001</v>
      </c>
      <c r="E950" s="4">
        <v>7.89</v>
      </c>
      <c r="F950" s="1">
        <v>7.15</v>
      </c>
      <c r="G950" s="9">
        <v>-4.4000000000000003E-3</v>
      </c>
      <c r="H950" s="9">
        <v>-3.29E-3</v>
      </c>
      <c r="I950" s="9">
        <v>3.8000000000000002E-4</v>
      </c>
    </row>
    <row r="951" spans="1:9">
      <c r="A951" s="1" t="s">
        <v>1109</v>
      </c>
      <c r="B951" s="1">
        <v>114</v>
      </c>
      <c r="C951" s="2">
        <v>18.3</v>
      </c>
      <c r="D951" s="3">
        <v>15.16</v>
      </c>
      <c r="E951" s="4">
        <v>8.42</v>
      </c>
      <c r="F951" s="1">
        <v>7.52</v>
      </c>
      <c r="G951" s="9">
        <v>-4.4999999999999997E-3</v>
      </c>
      <c r="H951" s="9">
        <v>-3.5000000000000001E-3</v>
      </c>
      <c r="I951" s="9">
        <v>5.9999999999999995E-4</v>
      </c>
    </row>
    <row r="952" spans="1:9">
      <c r="A952" s="1" t="s">
        <v>1110</v>
      </c>
      <c r="B952" s="1">
        <v>114</v>
      </c>
      <c r="C952" s="2">
        <v>18.3</v>
      </c>
      <c r="D952" s="3">
        <v>15.16</v>
      </c>
      <c r="E952" s="4">
        <v>8.42</v>
      </c>
      <c r="F952" s="1">
        <v>7.52</v>
      </c>
      <c r="G952" s="9">
        <v>-4.4000000000000003E-3</v>
      </c>
      <c r="H952" s="9">
        <v>-3.29E-3</v>
      </c>
      <c r="I952" s="9">
        <v>3.8000000000000002E-4</v>
      </c>
    </row>
    <row r="953" spans="1:9">
      <c r="A953" s="1" t="s">
        <v>1111</v>
      </c>
      <c r="B953" s="1">
        <v>119</v>
      </c>
      <c r="C953" s="2">
        <v>18.78</v>
      </c>
      <c r="D953" s="3">
        <v>15.03</v>
      </c>
      <c r="E953" s="4">
        <v>8.5500000000000007</v>
      </c>
      <c r="F953" s="1">
        <v>7.92</v>
      </c>
      <c r="G953" s="9">
        <v>-4.4000000000000003E-3</v>
      </c>
      <c r="H953" s="9">
        <v>-3.29E-3</v>
      </c>
      <c r="I953" s="9">
        <v>3.8000000000000002E-4</v>
      </c>
    </row>
    <row r="954" spans="1:9">
      <c r="A954" s="1" t="s">
        <v>1112</v>
      </c>
      <c r="B954" s="1">
        <v>142</v>
      </c>
      <c r="C954" s="2">
        <f>+D954/0.7</f>
        <v>28.457142857142863</v>
      </c>
      <c r="D954" s="3">
        <v>19.920000000000002</v>
      </c>
      <c r="E954" s="4">
        <f>+F954/0.7</f>
        <v>10.185714285714287</v>
      </c>
      <c r="F954" s="1">
        <v>7.13</v>
      </c>
      <c r="G954" s="9">
        <v>-4.4000000000000003E-3</v>
      </c>
      <c r="H954" s="9">
        <v>-3.29E-3</v>
      </c>
      <c r="I954" s="9">
        <v>3.8000000000000002E-4</v>
      </c>
    </row>
    <row r="955" spans="1:9">
      <c r="A955" s="1" t="s">
        <v>1113</v>
      </c>
      <c r="B955" s="1">
        <v>146</v>
      </c>
      <c r="C955" s="2">
        <v>25.38</v>
      </c>
      <c r="D955" s="3">
        <v>20.420000000000002</v>
      </c>
      <c r="E955" s="4">
        <v>7.89</v>
      </c>
      <c r="F955" s="1">
        <v>7.15</v>
      </c>
      <c r="G955" s="9">
        <v>-4.4000000000000003E-3</v>
      </c>
      <c r="H955" s="9">
        <v>-3.29E-3</v>
      </c>
      <c r="I955" s="9">
        <v>3.8000000000000002E-4</v>
      </c>
    </row>
    <row r="956" spans="1:9">
      <c r="A956" s="1" t="s">
        <v>1114</v>
      </c>
      <c r="B956" s="1">
        <v>146</v>
      </c>
      <c r="C956" s="2">
        <v>25.38</v>
      </c>
      <c r="D956" s="3">
        <v>20.23</v>
      </c>
      <c r="E956" s="4">
        <v>8.15</v>
      </c>
      <c r="F956" s="1">
        <v>7.23</v>
      </c>
      <c r="G956" s="9">
        <v>-4.4000000000000003E-3</v>
      </c>
      <c r="H956" s="9">
        <v>-3.29E-3</v>
      </c>
      <c r="I956" s="9">
        <v>3.8000000000000002E-4</v>
      </c>
    </row>
    <row r="957" spans="1:9">
      <c r="A957" s="1" t="s">
        <v>1115</v>
      </c>
      <c r="B957" s="1">
        <v>153</v>
      </c>
      <c r="C957" s="2">
        <v>37.049999999999997</v>
      </c>
      <c r="D957" s="3">
        <v>29.42</v>
      </c>
      <c r="E957" s="4">
        <v>8.61</v>
      </c>
      <c r="F957" s="1">
        <v>8.16</v>
      </c>
      <c r="G957" s="9">
        <v>-4.4000000000000003E-3</v>
      </c>
      <c r="H957" s="9">
        <v>-3.29E-3</v>
      </c>
      <c r="I957" s="9">
        <v>3.8000000000000002E-4</v>
      </c>
    </row>
    <row r="958" spans="1:9" ht="11.25" customHeight="1">
      <c r="A958" s="1" t="s">
        <v>1116</v>
      </c>
      <c r="B958" s="1">
        <v>157</v>
      </c>
      <c r="C958" s="2">
        <v>25.4</v>
      </c>
      <c r="D958" s="3">
        <v>20.27</v>
      </c>
      <c r="E958" s="4">
        <v>8.44</v>
      </c>
      <c r="F958" s="1">
        <v>7.75</v>
      </c>
      <c r="G958" s="9">
        <v>-4.4000000000000003E-3</v>
      </c>
      <c r="H958" s="9">
        <v>-3.29E-3</v>
      </c>
      <c r="I958" s="9">
        <v>3.8000000000000002E-4</v>
      </c>
    </row>
    <row r="959" spans="1:9" ht="11.25" customHeight="1">
      <c r="A959" s="1" t="s">
        <v>1117</v>
      </c>
      <c r="B959" s="1">
        <v>160</v>
      </c>
      <c r="C959" s="2">
        <v>25.6</v>
      </c>
      <c r="D959" s="3">
        <v>21.28</v>
      </c>
      <c r="E959" s="4">
        <v>8.42</v>
      </c>
      <c r="F959" s="1">
        <v>7.52</v>
      </c>
      <c r="G959" s="9">
        <v>-4.4000000000000003E-3</v>
      </c>
      <c r="H959" s="9">
        <v>-3.29E-3</v>
      </c>
      <c r="I959" s="9">
        <v>3.8000000000000002E-4</v>
      </c>
    </row>
    <row r="960" spans="1:9">
      <c r="A960" s="1" t="s">
        <v>1118</v>
      </c>
      <c r="B960" s="1">
        <v>160</v>
      </c>
      <c r="C960" s="2">
        <v>25.6</v>
      </c>
      <c r="D960" s="3">
        <v>21.28</v>
      </c>
      <c r="E960" s="4">
        <v>8.42</v>
      </c>
      <c r="F960" s="1">
        <v>7.52</v>
      </c>
      <c r="G960" s="9">
        <v>-4.4000000000000003E-3</v>
      </c>
      <c r="H960" s="9">
        <v>-3.29E-3</v>
      </c>
      <c r="I960" s="9">
        <v>3.8000000000000002E-4</v>
      </c>
    </row>
    <row r="961" spans="1:11">
      <c r="A961" s="1" t="s">
        <v>1119</v>
      </c>
      <c r="B961" s="1">
        <v>163</v>
      </c>
      <c r="C961" s="2">
        <v>25.63</v>
      </c>
      <c r="D961" s="3">
        <v>21.31</v>
      </c>
      <c r="E961" s="4">
        <v>8.4600000000000009</v>
      </c>
      <c r="F961" s="1">
        <v>7.65</v>
      </c>
      <c r="G961" s="9">
        <v>-4.4999999999999997E-3</v>
      </c>
      <c r="H961" s="9">
        <v>-3.5999999999999999E-3</v>
      </c>
      <c r="I961" s="9">
        <v>5.9999999999999995E-4</v>
      </c>
    </row>
    <row r="962" spans="1:11">
      <c r="A962" s="1" t="s">
        <v>1120</v>
      </c>
      <c r="B962" s="1">
        <v>165</v>
      </c>
      <c r="C962" s="2">
        <v>25.65</v>
      </c>
      <c r="D962" s="3">
        <v>21.33</v>
      </c>
      <c r="E962" s="4">
        <v>8.48</v>
      </c>
      <c r="F962" s="1">
        <v>7.74</v>
      </c>
      <c r="G962" s="9">
        <v>-4.4000000000000003E-3</v>
      </c>
      <c r="H962" s="9">
        <v>-3.29E-3</v>
      </c>
      <c r="I962" s="9">
        <v>3.8000000000000002E-4</v>
      </c>
    </row>
    <row r="963" spans="1:11">
      <c r="A963" s="1" t="s">
        <v>1121</v>
      </c>
      <c r="B963" s="1">
        <v>170</v>
      </c>
      <c r="C963" s="2">
        <v>26.02</v>
      </c>
      <c r="D963" s="3">
        <v>21.36</v>
      </c>
      <c r="E963" s="4">
        <v>8.6</v>
      </c>
      <c r="F963" s="1">
        <v>7.92</v>
      </c>
      <c r="G963" s="9">
        <v>-4.4000000000000003E-3</v>
      </c>
      <c r="H963" s="9">
        <v>-3.29E-3</v>
      </c>
      <c r="I963" s="9">
        <v>3.8000000000000002E-4</v>
      </c>
    </row>
    <row r="964" spans="1:11">
      <c r="A964" s="1" t="s">
        <v>1122</v>
      </c>
      <c r="B964" s="1">
        <v>240</v>
      </c>
      <c r="C964" s="2">
        <v>37.159999999999997</v>
      </c>
      <c r="D964" s="3">
        <v>30.38</v>
      </c>
      <c r="E964" s="4">
        <v>8.57</v>
      </c>
      <c r="F964" s="1">
        <v>7.9</v>
      </c>
      <c r="G964" s="9">
        <v>-4.8500000000000001E-3</v>
      </c>
      <c r="H964" s="9">
        <f>-0.13/C964</f>
        <v>-3.498385360602799E-3</v>
      </c>
    </row>
    <row r="965" spans="1:11">
      <c r="A965" s="1" t="s">
        <v>1123</v>
      </c>
      <c r="B965" s="1">
        <v>240</v>
      </c>
      <c r="C965" s="2">
        <v>37.049999999999997</v>
      </c>
      <c r="D965" s="3">
        <v>29.42</v>
      </c>
      <c r="E965" s="4">
        <v>8.61</v>
      </c>
      <c r="F965" s="1">
        <v>8.16</v>
      </c>
      <c r="G965" s="9">
        <v>-4.4000000000000003E-3</v>
      </c>
      <c r="H965" s="9">
        <v>-3.29E-3</v>
      </c>
      <c r="I965" s="9">
        <v>3.8000000000000002E-4</v>
      </c>
    </row>
    <row r="966" spans="1:11">
      <c r="A966" s="1" t="s">
        <v>1124</v>
      </c>
      <c r="B966" s="1">
        <v>240</v>
      </c>
      <c r="C966" s="2">
        <v>37.049999999999997</v>
      </c>
      <c r="D966" s="3">
        <v>29.42</v>
      </c>
      <c r="E966" s="4">
        <v>8.61</v>
      </c>
      <c r="F966" s="1">
        <v>8.16</v>
      </c>
      <c r="G966" s="9">
        <v>-4.3E-3</v>
      </c>
      <c r="H966" s="9">
        <v>-3.3999999999999998E-3</v>
      </c>
    </row>
    <row r="967" spans="1:11">
      <c r="A967" s="1" t="s">
        <v>1125</v>
      </c>
      <c r="B967" s="1">
        <v>245</v>
      </c>
      <c r="C967" s="2">
        <v>37.200000000000003</v>
      </c>
      <c r="D967" s="3">
        <v>29.7</v>
      </c>
      <c r="E967" s="4">
        <v>8.66</v>
      </c>
      <c r="F967" s="1">
        <v>8.25</v>
      </c>
      <c r="G967" s="9">
        <v>-4.4000000000000003E-3</v>
      </c>
      <c r="H967" s="9">
        <v>-3.29E-3</v>
      </c>
      <c r="I967" s="9">
        <v>3.8000000000000002E-4</v>
      </c>
    </row>
    <row r="968" spans="1:11">
      <c r="A968" s="1" t="s">
        <v>1126</v>
      </c>
      <c r="B968" s="1">
        <f>B967*K968</f>
        <v>4410</v>
      </c>
      <c r="C968" s="2">
        <f>C967</f>
        <v>37.200000000000003</v>
      </c>
      <c r="D968" s="3">
        <f>D967</f>
        <v>29.7</v>
      </c>
      <c r="E968" s="4">
        <f>E967*K968</f>
        <v>155.88</v>
      </c>
      <c r="F968" s="1">
        <f>F967*K968</f>
        <v>148.5</v>
      </c>
      <c r="G968" s="9">
        <f>G967</f>
        <v>-4.4000000000000003E-3</v>
      </c>
      <c r="H968" s="9">
        <f>H967</f>
        <v>-3.29E-3</v>
      </c>
      <c r="I968" s="9">
        <f>I967</f>
        <v>3.8000000000000002E-4</v>
      </c>
      <c r="K968" s="5">
        <v>18</v>
      </c>
    </row>
    <row r="969" spans="1:11">
      <c r="A969" s="1" t="s">
        <v>1127</v>
      </c>
      <c r="B969" s="1">
        <v>250</v>
      </c>
      <c r="C969" s="2">
        <v>37.39</v>
      </c>
      <c r="D969" s="3">
        <v>30.68</v>
      </c>
      <c r="E969" s="4">
        <v>8.81</v>
      </c>
      <c r="F969" s="1">
        <v>8.15</v>
      </c>
      <c r="G969" s="9">
        <v>-4.4000000000000003E-3</v>
      </c>
      <c r="H969" s="9">
        <v>-3.29E-3</v>
      </c>
      <c r="I969" s="9">
        <v>3.8000000000000002E-4</v>
      </c>
    </row>
    <row r="970" spans="1:11">
      <c r="A970" s="1" t="s">
        <v>1128</v>
      </c>
      <c r="B970" s="1">
        <f>B969*K970</f>
        <v>3250</v>
      </c>
      <c r="C970" s="2">
        <f>C969</f>
        <v>37.39</v>
      </c>
      <c r="D970" s="3">
        <f>D969</f>
        <v>30.68</v>
      </c>
      <c r="E970" s="4">
        <f>E969*K970</f>
        <v>114.53</v>
      </c>
      <c r="F970" s="1">
        <f>F969*K970</f>
        <v>105.95</v>
      </c>
      <c r="G970" s="9">
        <f>G969</f>
        <v>-4.4000000000000003E-3</v>
      </c>
      <c r="H970" s="9">
        <f>H969</f>
        <v>-3.29E-3</v>
      </c>
      <c r="I970" s="9">
        <f>I969</f>
        <v>3.8000000000000002E-4</v>
      </c>
      <c r="K970" s="5">
        <v>13</v>
      </c>
    </row>
    <row r="971" spans="1:11">
      <c r="A971" s="1" t="s">
        <v>1129</v>
      </c>
      <c r="B971" s="1">
        <v>260</v>
      </c>
      <c r="C971" s="2">
        <v>37.799999999999997</v>
      </c>
      <c r="D971" s="3">
        <v>31.36</v>
      </c>
      <c r="E971" s="4">
        <v>8.58</v>
      </c>
      <c r="F971" s="1">
        <v>8.3000000000000007</v>
      </c>
      <c r="G971" s="9">
        <v>-4.4000000000000003E-3</v>
      </c>
      <c r="H971" s="9">
        <v>-3.29E-3</v>
      </c>
      <c r="I971" s="9">
        <v>3.8000000000000002E-4</v>
      </c>
    </row>
    <row r="972" spans="1:11">
      <c r="A972" s="1" t="s">
        <v>1130</v>
      </c>
      <c r="B972" s="1">
        <v>265</v>
      </c>
      <c r="C972" s="2">
        <v>41.91</v>
      </c>
      <c r="D972" s="3">
        <v>38.1</v>
      </c>
      <c r="E972" s="4">
        <v>9.1999999999999993</v>
      </c>
      <c r="F972" s="1">
        <v>8.5500000000000007</v>
      </c>
      <c r="G972" s="9">
        <v>-4.3600000000000002E-3</v>
      </c>
      <c r="H972" s="9">
        <v>-3.3E-3</v>
      </c>
      <c r="I972" s="9">
        <v>5.1999999999999998E-3</v>
      </c>
    </row>
    <row r="973" spans="1:11">
      <c r="A973" s="1" t="s">
        <v>1131</v>
      </c>
      <c r="B973" s="1">
        <f>B972*K973</f>
        <v>8480</v>
      </c>
      <c r="C973" s="2">
        <f>C972</f>
        <v>41.91</v>
      </c>
      <c r="D973" s="3">
        <f>D972</f>
        <v>38.1</v>
      </c>
      <c r="E973" s="4">
        <f>E972*K973</f>
        <v>294.39999999999998</v>
      </c>
      <c r="F973" s="1">
        <f>F972*K973</f>
        <v>273.60000000000002</v>
      </c>
      <c r="G973" s="9">
        <f>G972</f>
        <v>-4.3600000000000002E-3</v>
      </c>
      <c r="H973" s="9">
        <f>H972</f>
        <v>-3.3E-3</v>
      </c>
      <c r="I973" s="9">
        <f>I972</f>
        <v>5.1999999999999998E-3</v>
      </c>
      <c r="K973" s="5">
        <v>32</v>
      </c>
    </row>
    <row r="974" spans="1:11">
      <c r="A974" s="1" t="s">
        <v>1132</v>
      </c>
      <c r="B974" s="1">
        <v>171</v>
      </c>
      <c r="C974" s="2">
        <v>29.02</v>
      </c>
      <c r="D974" s="3">
        <v>23.53</v>
      </c>
      <c r="E974" s="4">
        <v>8.24</v>
      </c>
      <c r="F974" s="1">
        <v>7.27</v>
      </c>
      <c r="G974" s="9">
        <v>-4.4000000000000003E-3</v>
      </c>
      <c r="H974" s="9">
        <v>-3.29E-3</v>
      </c>
      <c r="I974" s="9">
        <v>8.8999999999999995E-4</v>
      </c>
    </row>
    <row r="975" spans="1:11">
      <c r="A975" s="1" t="s">
        <v>1133</v>
      </c>
      <c r="B975" s="1">
        <v>130</v>
      </c>
      <c r="C975" s="2">
        <v>33</v>
      </c>
      <c r="D975" s="3">
        <v>26.7</v>
      </c>
      <c r="E975" s="4">
        <v>5.51</v>
      </c>
      <c r="F975" s="1">
        <v>4.8600000000000003</v>
      </c>
      <c r="G975" s="9">
        <v>-4.4000000000000003E-3</v>
      </c>
      <c r="H975" s="9">
        <v>-3.29E-3</v>
      </c>
      <c r="I975" s="9">
        <v>3.8000000000000002E-4</v>
      </c>
    </row>
    <row r="976" spans="1:11">
      <c r="A976" s="1" t="s">
        <v>1134</v>
      </c>
      <c r="B976" s="1">
        <v>132</v>
      </c>
      <c r="C976" s="2">
        <v>33.17</v>
      </c>
      <c r="D976" s="3">
        <v>26.78</v>
      </c>
      <c r="E976" s="4">
        <v>5.4</v>
      </c>
      <c r="F976" s="1">
        <v>4.93</v>
      </c>
      <c r="G976" s="9">
        <v>-3.5000000000000001E-3</v>
      </c>
      <c r="H976" s="9">
        <v>-3.0000000000000001E-3</v>
      </c>
      <c r="I976" s="9">
        <v>5.0000000000000001E-4</v>
      </c>
    </row>
    <row r="977" spans="1:10">
      <c r="A977" s="1" t="s">
        <v>1135</v>
      </c>
      <c r="B977" s="1">
        <v>52.5</v>
      </c>
      <c r="C977" s="2">
        <v>13.3</v>
      </c>
      <c r="D977" s="3">
        <v>10.7</v>
      </c>
      <c r="E977" s="4">
        <v>5.4</v>
      </c>
      <c r="F977" s="1">
        <v>4.91</v>
      </c>
      <c r="G977" s="9">
        <v>-4.4000000000000003E-3</v>
      </c>
      <c r="H977" s="9">
        <v>-3.3E-3</v>
      </c>
      <c r="I977" s="9">
        <v>5.0000000000000001E-4</v>
      </c>
    </row>
    <row r="978" spans="1:10">
      <c r="A978" s="1" t="s">
        <v>1136</v>
      </c>
      <c r="B978" s="1">
        <v>52.5</v>
      </c>
      <c r="C978" s="2">
        <v>13.3</v>
      </c>
      <c r="D978" s="3">
        <v>10.7</v>
      </c>
      <c r="E978" s="4">
        <v>5.4</v>
      </c>
      <c r="F978" s="1">
        <v>4.91</v>
      </c>
      <c r="G978" s="9">
        <v>-4.0000000000000001E-3</v>
      </c>
      <c r="H978" s="9">
        <v>-3.0000000000000001E-3</v>
      </c>
      <c r="I978" s="9">
        <v>5.0000000000000001E-4</v>
      </c>
    </row>
    <row r="979" spans="1:10">
      <c r="A979" s="1" t="s">
        <v>1137</v>
      </c>
      <c r="B979" s="1">
        <v>70</v>
      </c>
      <c r="C979" s="2">
        <v>18.3</v>
      </c>
      <c r="D979" s="3">
        <v>14.5</v>
      </c>
      <c r="E979" s="4">
        <v>5.45</v>
      </c>
      <c r="F979" s="1">
        <v>4.8499999999999996</v>
      </c>
      <c r="G979" s="9">
        <v>-4.4000000000000003E-3</v>
      </c>
      <c r="H979" s="9">
        <v>-3.3E-3</v>
      </c>
      <c r="I979" s="9">
        <v>5.0000000000000001E-4</v>
      </c>
    </row>
    <row r="980" spans="1:10">
      <c r="A980" s="1" t="s">
        <v>1138</v>
      </c>
      <c r="B980" s="1">
        <v>410</v>
      </c>
      <c r="C980" s="2">
        <v>37.32</v>
      </c>
      <c r="D980" s="3">
        <v>31.45</v>
      </c>
      <c r="E980" s="4">
        <v>13.95</v>
      </c>
      <c r="F980" s="1">
        <v>13.04</v>
      </c>
      <c r="G980" s="9">
        <v>-3.5000000000000001E-3</v>
      </c>
      <c r="H980" s="9">
        <v>-2.8E-3</v>
      </c>
      <c r="I980" s="9">
        <v>5.0000000000000001E-4</v>
      </c>
    </row>
    <row r="981" spans="1:10">
      <c r="A981" s="183" t="s">
        <v>1139</v>
      </c>
      <c r="B981" s="183">
        <v>415</v>
      </c>
      <c r="C981" s="189">
        <v>37.450000000000003</v>
      </c>
      <c r="D981" s="190">
        <v>31.61</v>
      </c>
      <c r="E981" s="191">
        <v>14.02</v>
      </c>
      <c r="F981" s="183">
        <v>13.13</v>
      </c>
      <c r="G981" s="188">
        <v>-3.5000000000000001E-3</v>
      </c>
      <c r="H981" s="188">
        <v>-2.7499999999999998E-3</v>
      </c>
      <c r="I981" s="188">
        <v>4.4999999999999999E-4</v>
      </c>
    </row>
    <row r="982" spans="1:10">
      <c r="A982" s="183" t="s">
        <v>1140</v>
      </c>
      <c r="B982" s="183">
        <v>430</v>
      </c>
      <c r="C982" s="189">
        <v>39.11</v>
      </c>
      <c r="D982" s="190">
        <v>32.869999999999997</v>
      </c>
      <c r="E982" s="191">
        <v>13.85</v>
      </c>
      <c r="F982" s="183">
        <v>13.08</v>
      </c>
      <c r="G982" s="188">
        <v>-2.8999999999999998E-3</v>
      </c>
      <c r="H982" s="188">
        <v>-2.5000000000000001E-3</v>
      </c>
      <c r="I982" s="188">
        <v>4.2999999999999999E-4</v>
      </c>
    </row>
    <row r="983" spans="1:10">
      <c r="A983" s="1" t="s">
        <v>1141</v>
      </c>
      <c r="B983" s="1">
        <v>340</v>
      </c>
      <c r="C983" s="2">
        <v>41.65</v>
      </c>
      <c r="D983" s="3">
        <v>35.35</v>
      </c>
      <c r="E983" s="4">
        <v>10.25</v>
      </c>
      <c r="F983" s="1">
        <v>9.6199999999999992</v>
      </c>
      <c r="G983" s="9">
        <v>-3.5400000000000002E-3</v>
      </c>
      <c r="H983" s="9">
        <v>-2.7200000000000002E-3</v>
      </c>
      <c r="I983" s="9">
        <v>4.4000000000000002E-4</v>
      </c>
      <c r="J983" s="9">
        <v>0.25</v>
      </c>
    </row>
    <row r="984" spans="1:10">
      <c r="A984" s="1" t="s">
        <v>1142</v>
      </c>
      <c r="B984" s="1">
        <f>B983*(1+J983)</f>
        <v>425</v>
      </c>
      <c r="C984" s="2">
        <f>C983</f>
        <v>41.65</v>
      </c>
      <c r="D984" s="3">
        <f>D983</f>
        <v>35.35</v>
      </c>
      <c r="E984" s="4">
        <f>E983*(1+J983)</f>
        <v>12.8125</v>
      </c>
      <c r="F984" s="1">
        <f>F983*(1+J983)</f>
        <v>12.024999999999999</v>
      </c>
      <c r="G984" s="9">
        <f>G983</f>
        <v>-3.5400000000000002E-3</v>
      </c>
      <c r="H984" s="9">
        <f>H983</f>
        <v>-2.7200000000000002E-3</v>
      </c>
      <c r="I984" s="9">
        <f>I983</f>
        <v>4.4000000000000002E-4</v>
      </c>
    </row>
    <row r="985" spans="1:10">
      <c r="A985" s="183" t="s">
        <v>1143</v>
      </c>
      <c r="B985" s="183">
        <v>345</v>
      </c>
      <c r="C985" s="189">
        <v>41.76</v>
      </c>
      <c r="D985" s="190">
        <v>34.99</v>
      </c>
      <c r="E985" s="191">
        <v>10.54</v>
      </c>
      <c r="F985" s="183">
        <v>9.86</v>
      </c>
      <c r="G985" s="188">
        <v>-3.5000000000000001E-3</v>
      </c>
      <c r="H985" s="188">
        <v>-2.7200000000000002E-3</v>
      </c>
      <c r="I985" s="188">
        <v>4.4000000000000002E-4</v>
      </c>
    </row>
    <row r="986" spans="1:10">
      <c r="A986" s="183" t="s">
        <v>1144</v>
      </c>
      <c r="B986" s="183">
        <v>375</v>
      </c>
      <c r="C986" s="189">
        <v>41.05</v>
      </c>
      <c r="D986" s="190">
        <v>34.28</v>
      </c>
      <c r="E986" s="191">
        <v>11.42</v>
      </c>
      <c r="F986" s="183">
        <v>10.94</v>
      </c>
      <c r="G986" s="188">
        <v>-3.3999999999999998E-3</v>
      </c>
      <c r="H986" s="188">
        <v>-2.7000000000000001E-3</v>
      </c>
      <c r="I986" s="188">
        <v>4.0000000000000002E-4</v>
      </c>
    </row>
    <row r="987" spans="1:10">
      <c r="A987" s="1" t="s">
        <v>1145</v>
      </c>
      <c r="B987" s="1">
        <v>375</v>
      </c>
      <c r="C987" s="2">
        <v>41.5</v>
      </c>
      <c r="D987" s="3">
        <v>34.28</v>
      </c>
      <c r="E987" s="4">
        <v>11.46</v>
      </c>
      <c r="F987" s="1">
        <v>10.95</v>
      </c>
      <c r="G987" s="9">
        <v>-3.7000000000000002E-3</v>
      </c>
      <c r="H987" s="9">
        <v>-2.8999999999999998E-3</v>
      </c>
      <c r="I987" s="9">
        <v>4.0000000000000002E-4</v>
      </c>
    </row>
    <row r="988" spans="1:10" ht="13.5">
      <c r="A988" s="183" t="s">
        <v>1146</v>
      </c>
      <c r="B988" s="183">
        <v>375</v>
      </c>
      <c r="C988" s="184">
        <v>41.5</v>
      </c>
      <c r="D988" s="185">
        <v>34.28</v>
      </c>
      <c r="E988" s="186">
        <v>11.46</v>
      </c>
      <c r="F988" s="187">
        <v>10.95</v>
      </c>
      <c r="G988" s="188">
        <v>-3.7000000000000002E-3</v>
      </c>
      <c r="H988" s="188">
        <v>-2.8999999999999998E-3</v>
      </c>
      <c r="I988" s="188">
        <v>4.0000000000000002E-4</v>
      </c>
    </row>
    <row r="989" spans="1:10">
      <c r="A989" s="1" t="s">
        <v>1147</v>
      </c>
      <c r="B989" s="1">
        <v>445</v>
      </c>
      <c r="C989" s="2">
        <v>49.44</v>
      </c>
      <c r="D989" s="3">
        <v>41.36</v>
      </c>
      <c r="E989" s="4">
        <v>11.25</v>
      </c>
      <c r="F989" s="1">
        <v>10.76</v>
      </c>
      <c r="G989" s="9">
        <v>-3.5000000000000001E-3</v>
      </c>
      <c r="H989" s="9">
        <v>-2.8E-3</v>
      </c>
      <c r="I989" s="9">
        <v>4.0000000000000002E-4</v>
      </c>
      <c r="J989" s="9">
        <v>0.25</v>
      </c>
    </row>
    <row r="990" spans="1:10">
      <c r="A990" s="1" t="s">
        <v>1148</v>
      </c>
      <c r="B990" s="1">
        <f>B989*(1+J989)</f>
        <v>556.25</v>
      </c>
      <c r="C990" s="2">
        <f>C989</f>
        <v>49.44</v>
      </c>
      <c r="D990" s="3">
        <f>D989</f>
        <v>41.36</v>
      </c>
      <c r="E990" s="4">
        <f>E989*(1+J989)</f>
        <v>14.0625</v>
      </c>
      <c r="F990" s="1">
        <f>F989*(1+J989)</f>
        <v>13.45</v>
      </c>
      <c r="G990" s="9">
        <f>G989</f>
        <v>-3.5000000000000001E-3</v>
      </c>
      <c r="H990" s="9">
        <f>H989</f>
        <v>-2.8E-3</v>
      </c>
      <c r="I990" s="9">
        <f>I989</f>
        <v>4.0000000000000002E-4</v>
      </c>
    </row>
    <row r="991" spans="1:10" ht="12" customHeight="1">
      <c r="A991" s="1" t="s">
        <v>1149</v>
      </c>
      <c r="B991" s="1">
        <v>450</v>
      </c>
      <c r="C991" s="2">
        <v>49.05</v>
      </c>
      <c r="D991" s="3">
        <v>41.32</v>
      </c>
      <c r="E991" s="4">
        <v>11.37</v>
      </c>
      <c r="F991" s="1">
        <v>10.89</v>
      </c>
      <c r="G991" s="9">
        <v>-3.5000000000000001E-3</v>
      </c>
      <c r="H991" s="9">
        <v>-2.8E-3</v>
      </c>
      <c r="I991" s="9">
        <v>4.0000000000000002E-4</v>
      </c>
    </row>
    <row r="992" spans="1:10">
      <c r="A992" s="1" t="s">
        <v>1150</v>
      </c>
      <c r="B992" s="1">
        <v>450</v>
      </c>
      <c r="C992" s="2">
        <v>49.6</v>
      </c>
      <c r="D992" s="3">
        <v>41.4</v>
      </c>
      <c r="E992" s="4">
        <v>11.58</v>
      </c>
      <c r="F992" s="1">
        <v>10.87</v>
      </c>
      <c r="G992" s="9">
        <v>-3.5000000000000001E-3</v>
      </c>
      <c r="H992" s="9">
        <v>-2.8400000000000001E-3</v>
      </c>
      <c r="I992" s="9">
        <v>5.0000000000000001E-4</v>
      </c>
      <c r="J992" s="9">
        <v>0.25</v>
      </c>
    </row>
    <row r="993" spans="1:10" ht="12" customHeight="1">
      <c r="A993" s="1" t="s">
        <v>1151</v>
      </c>
      <c r="B993" s="1">
        <f>B992*(1+J992)</f>
        <v>562.5</v>
      </c>
      <c r="C993" s="2">
        <f>C992</f>
        <v>49.6</v>
      </c>
      <c r="D993" s="3">
        <f>D992</f>
        <v>41.4</v>
      </c>
      <c r="E993" s="4">
        <f>E992*(1+J992)</f>
        <v>14.475</v>
      </c>
      <c r="F993" s="1">
        <f>F992*(1+J992)</f>
        <v>13.587499999999999</v>
      </c>
      <c r="G993" s="9">
        <f>G992</f>
        <v>-3.5000000000000001E-3</v>
      </c>
      <c r="H993" s="9">
        <f>H992</f>
        <v>-2.8400000000000001E-3</v>
      </c>
      <c r="I993" s="9">
        <f>I992</f>
        <v>5.0000000000000001E-4</v>
      </c>
    </row>
    <row r="994" spans="1:10">
      <c r="A994" s="183" t="s">
        <v>1152</v>
      </c>
      <c r="B994" s="183">
        <v>540</v>
      </c>
      <c r="C994" s="189">
        <v>49.6</v>
      </c>
      <c r="D994" s="190">
        <v>41.64</v>
      </c>
      <c r="E994" s="191">
        <v>13.86</v>
      </c>
      <c r="F994" s="183">
        <v>12.97</v>
      </c>
      <c r="G994" s="188">
        <v>-3.5000000000000001E-3</v>
      </c>
      <c r="H994" s="188">
        <v>-2.7499999999999998E-3</v>
      </c>
      <c r="I994" s="188">
        <v>4.4999999999999999E-4</v>
      </c>
    </row>
    <row r="995" spans="1:10" ht="12" customHeight="1">
      <c r="A995" s="183" t="s">
        <v>1153</v>
      </c>
      <c r="B995" s="183">
        <v>621</v>
      </c>
      <c r="C995" s="189">
        <v>49.6</v>
      </c>
      <c r="D995" s="190">
        <v>41.63</v>
      </c>
      <c r="E995" s="191">
        <v>15.94</v>
      </c>
      <c r="F995" s="183">
        <v>14.92</v>
      </c>
      <c r="G995" s="188">
        <v>-3.5000000000000001E-3</v>
      </c>
      <c r="H995" s="188">
        <v>-2.7499999999999998E-3</v>
      </c>
      <c r="I995" s="188">
        <v>4.4999999999999999E-4</v>
      </c>
    </row>
    <row r="996" spans="1:10">
      <c r="A996" s="183" t="s">
        <v>1154</v>
      </c>
      <c r="B996" s="183">
        <v>675</v>
      </c>
      <c r="C996" s="189">
        <v>49.6</v>
      </c>
      <c r="D996" s="190">
        <v>41.63</v>
      </c>
      <c r="E996" s="191">
        <v>17.329999999999998</v>
      </c>
      <c r="F996" s="183">
        <v>16.21</v>
      </c>
      <c r="G996" s="188">
        <v>-3.5000000000000001E-3</v>
      </c>
      <c r="H996" s="188">
        <v>-2.7499999999999998E-3</v>
      </c>
      <c r="I996" s="188">
        <v>4.4999999999999999E-4</v>
      </c>
    </row>
    <row r="997" spans="1:10">
      <c r="A997" s="183" t="s">
        <v>1155</v>
      </c>
      <c r="B997" s="183">
        <v>545</v>
      </c>
      <c r="C997" s="189">
        <v>49.65</v>
      </c>
      <c r="D997" s="190">
        <v>41.8</v>
      </c>
      <c r="E997" s="191">
        <v>13.92</v>
      </c>
      <c r="F997" s="183">
        <v>13.04</v>
      </c>
      <c r="G997" s="188">
        <v>-3.5000000000000001E-3</v>
      </c>
      <c r="H997" s="188">
        <v>-2.7499999999999998E-3</v>
      </c>
      <c r="I997" s="188">
        <v>4.4999999999999999E-4</v>
      </c>
    </row>
    <row r="998" spans="1:10">
      <c r="A998" s="183" t="s">
        <v>1156</v>
      </c>
      <c r="B998" s="183">
        <v>627</v>
      </c>
      <c r="C998" s="189">
        <v>49.75</v>
      </c>
      <c r="D998" s="190">
        <v>41.9</v>
      </c>
      <c r="E998" s="191">
        <v>16</v>
      </c>
      <c r="F998" s="183">
        <v>14.99</v>
      </c>
      <c r="G998" s="188">
        <v>-3.3999999999999998E-3</v>
      </c>
      <c r="H998" s="188">
        <v>-2.65E-3</v>
      </c>
      <c r="I998" s="188">
        <v>5.0000000000000001E-4</v>
      </c>
    </row>
    <row r="999" spans="1:10">
      <c r="A999" s="183" t="s">
        <v>1157</v>
      </c>
      <c r="B999" s="1">
        <f>B998*(1+J999)</f>
        <v>783.75</v>
      </c>
      <c r="C999" s="2">
        <f>C998</f>
        <v>49.75</v>
      </c>
      <c r="D999" s="3">
        <f>D998</f>
        <v>41.9</v>
      </c>
      <c r="E999" s="4">
        <f>E998*(1+J999)</f>
        <v>20</v>
      </c>
      <c r="F999" s="1">
        <f>F998*(1+J999)</f>
        <v>18.737500000000001</v>
      </c>
      <c r="G999" s="9">
        <f>G998</f>
        <v>-3.3999999999999998E-3</v>
      </c>
      <c r="H999" s="9">
        <f>H998</f>
        <v>-2.65E-3</v>
      </c>
      <c r="I999" s="9">
        <f>I998</f>
        <v>5.0000000000000001E-4</v>
      </c>
      <c r="J999" s="9">
        <v>0.25</v>
      </c>
    </row>
    <row r="1000" spans="1:10">
      <c r="A1000" s="183" t="s">
        <v>1158</v>
      </c>
      <c r="B1000" s="183">
        <v>545</v>
      </c>
      <c r="C1000" s="189">
        <v>49.75</v>
      </c>
      <c r="D1000" s="190">
        <v>41.8</v>
      </c>
      <c r="E1000" s="191">
        <v>13.93</v>
      </c>
      <c r="F1000" s="183">
        <v>13.04</v>
      </c>
      <c r="G1000" s="188">
        <v>-3.5000000000000001E-3</v>
      </c>
      <c r="H1000" s="188">
        <v>-2.7499999999999998E-3</v>
      </c>
      <c r="I1000" s="188">
        <v>4.4999999999999999E-4</v>
      </c>
    </row>
    <row r="1001" spans="1:10">
      <c r="A1001" s="183" t="s">
        <v>1159</v>
      </c>
      <c r="B1001" s="183">
        <v>545</v>
      </c>
      <c r="C1001" s="189">
        <v>49.75</v>
      </c>
      <c r="D1001" s="190">
        <v>41.8</v>
      </c>
      <c r="E1001" s="191">
        <v>13.93</v>
      </c>
      <c r="F1001" s="183">
        <v>13.04</v>
      </c>
      <c r="G1001" s="188">
        <v>-3.5000000000000001E-3</v>
      </c>
      <c r="H1001" s="188">
        <v>-2.7499999999999998E-3</v>
      </c>
      <c r="I1001" s="188">
        <v>4.4999999999999999E-4</v>
      </c>
    </row>
    <row r="1002" spans="1:10">
      <c r="A1002" s="183" t="s">
        <v>1160</v>
      </c>
      <c r="B1002" s="183">
        <v>626.79999999999995</v>
      </c>
      <c r="C1002" s="189">
        <v>49.75</v>
      </c>
      <c r="D1002" s="190">
        <v>41.79</v>
      </c>
      <c r="E1002" s="191">
        <v>16.02</v>
      </c>
      <c r="F1002" s="183">
        <v>15</v>
      </c>
      <c r="G1002" s="188">
        <v>-3.5000000000000001E-3</v>
      </c>
      <c r="H1002" s="188">
        <v>-2.7499999999999998E-3</v>
      </c>
      <c r="I1002" s="188">
        <v>4.4999999999999999E-4</v>
      </c>
      <c r="J1002" s="9">
        <v>0.25</v>
      </c>
    </row>
    <row r="1003" spans="1:10">
      <c r="A1003" s="1" t="s">
        <v>1161</v>
      </c>
      <c r="B1003" s="1">
        <f>B1002*(1+J1002)</f>
        <v>783.5</v>
      </c>
      <c r="C1003" s="2">
        <f>C1002</f>
        <v>49.75</v>
      </c>
      <c r="D1003" s="3">
        <f>D1002</f>
        <v>41.79</v>
      </c>
      <c r="E1003" s="4">
        <f>E1002*(1+J1002)</f>
        <v>20.024999999999999</v>
      </c>
      <c r="F1003" s="1">
        <f>F1002*(1+J1002)</f>
        <v>18.75</v>
      </c>
      <c r="G1003" s="9">
        <f>G1002</f>
        <v>-3.5000000000000001E-3</v>
      </c>
      <c r="H1003" s="9">
        <f>H1002</f>
        <v>-2.7499999999999998E-3</v>
      </c>
      <c r="I1003" s="9">
        <f>I1002</f>
        <v>4.4999999999999999E-4</v>
      </c>
    </row>
    <row r="1004" spans="1:10">
      <c r="A1004" s="1" t="s">
        <v>1162</v>
      </c>
      <c r="B1004" s="1">
        <v>545</v>
      </c>
      <c r="C1004" s="2">
        <v>49.75</v>
      </c>
      <c r="D1004" s="3">
        <v>41.8</v>
      </c>
      <c r="E1004" s="4">
        <v>13.93</v>
      </c>
      <c r="F1004" s="1">
        <v>13.04</v>
      </c>
      <c r="G1004" s="9">
        <v>-3.5000000000000001E-3</v>
      </c>
      <c r="H1004" s="9">
        <v>-2.7499999999999998E-3</v>
      </c>
      <c r="I1004" s="9">
        <v>4.4999999999999999E-4</v>
      </c>
    </row>
    <row r="1005" spans="1:10">
      <c r="A1005" s="183" t="s">
        <v>1163</v>
      </c>
      <c r="B1005" s="183">
        <v>550</v>
      </c>
      <c r="C1005" s="189">
        <v>49.8</v>
      </c>
      <c r="D1005" s="190">
        <v>41.95</v>
      </c>
      <c r="E1005" s="191">
        <v>13.99</v>
      </c>
      <c r="F1005" s="183">
        <v>13.12</v>
      </c>
      <c r="G1005" s="188">
        <v>-3.3999999999999998E-3</v>
      </c>
      <c r="H1005" s="188">
        <v>-2.65E-3</v>
      </c>
      <c r="I1005" s="188">
        <v>5.0000000000000001E-4</v>
      </c>
    </row>
    <row r="1006" spans="1:10">
      <c r="A1006" s="183" t="s">
        <v>1164</v>
      </c>
      <c r="B1006" s="183">
        <v>633</v>
      </c>
      <c r="C1006" s="189">
        <v>49.9</v>
      </c>
      <c r="D1006" s="190">
        <v>41.9</v>
      </c>
      <c r="E1006" s="191">
        <v>16.09</v>
      </c>
      <c r="F1006" s="183">
        <v>15.09</v>
      </c>
      <c r="G1006" s="188">
        <v>-3.3999999999999998E-3</v>
      </c>
      <c r="H1006" s="188">
        <v>-2.65E-3</v>
      </c>
      <c r="I1006" s="188">
        <v>5.0000000000000001E-4</v>
      </c>
    </row>
    <row r="1007" spans="1:10">
      <c r="A1007" s="183" t="s">
        <v>1165</v>
      </c>
      <c r="B1007" s="183">
        <v>550</v>
      </c>
      <c r="C1007" s="189">
        <v>49.9</v>
      </c>
      <c r="D1007" s="190">
        <v>41.96</v>
      </c>
      <c r="E1007" s="191">
        <v>14</v>
      </c>
      <c r="F1007" s="183">
        <v>13.11</v>
      </c>
      <c r="G1007" s="188">
        <v>-3.5000000000000001E-3</v>
      </c>
      <c r="H1007" s="188">
        <v>-2.7499999999999998E-3</v>
      </c>
      <c r="I1007" s="188">
        <v>4.4999999999999999E-4</v>
      </c>
    </row>
    <row r="1008" spans="1:10">
      <c r="A1008" s="183" t="s">
        <v>1166</v>
      </c>
      <c r="B1008" s="183">
        <v>575</v>
      </c>
      <c r="C1008" s="189">
        <v>51.1</v>
      </c>
      <c r="D1008" s="190">
        <v>42.94</v>
      </c>
      <c r="E1008" s="191">
        <v>14.19</v>
      </c>
      <c r="F1008" s="183">
        <v>13.39</v>
      </c>
      <c r="G1008" s="188">
        <v>-3.5000000000000001E-3</v>
      </c>
      <c r="H1008" s="188">
        <v>-2.7499999999999998E-3</v>
      </c>
      <c r="I1008" s="188">
        <v>4.4999999999999999E-4</v>
      </c>
    </row>
    <row r="1009" spans="1:10">
      <c r="A1009" s="183" t="s">
        <v>1167</v>
      </c>
      <c r="B1009" s="1">
        <f>B1008*(1+J1009)</f>
        <v>718.75</v>
      </c>
      <c r="C1009" s="2">
        <f>C1008</f>
        <v>51.1</v>
      </c>
      <c r="D1009" s="3">
        <f>D1008</f>
        <v>42.94</v>
      </c>
      <c r="E1009" s="4">
        <f>E1008*(1+J1009)</f>
        <v>17.737500000000001</v>
      </c>
      <c r="F1009" s="1">
        <f>F1008*(1+J1009)</f>
        <v>16.737500000000001</v>
      </c>
      <c r="G1009" s="9">
        <f>G1008</f>
        <v>-3.5000000000000001E-3</v>
      </c>
      <c r="H1009" s="9">
        <f>H1008</f>
        <v>-2.7499999999999998E-3</v>
      </c>
      <c r="I1009" s="9">
        <f>I1008</f>
        <v>4.4999999999999999E-4</v>
      </c>
      <c r="J1009" s="9">
        <v>0.25</v>
      </c>
    </row>
    <row r="1010" spans="1:10">
      <c r="A1010" s="1" t="s">
        <v>1168</v>
      </c>
      <c r="B1010" s="1">
        <v>455</v>
      </c>
      <c r="C1010" s="2">
        <v>49.5</v>
      </c>
      <c r="D1010" s="3">
        <v>41.7</v>
      </c>
      <c r="E1010" s="4">
        <v>11.66</v>
      </c>
      <c r="F1010" s="1">
        <v>10.92</v>
      </c>
      <c r="G1010" s="9">
        <v>-3.5000000000000001E-3</v>
      </c>
      <c r="H1010" s="9">
        <v>-2.7000000000000001E-3</v>
      </c>
      <c r="I1010" s="9">
        <v>4.8000000000000001E-4</v>
      </c>
    </row>
    <row r="1011" spans="1:10">
      <c r="A1011" s="183" t="s">
        <v>1169</v>
      </c>
      <c r="B1011" s="183">
        <v>585</v>
      </c>
      <c r="C1011" s="189">
        <v>53.2</v>
      </c>
      <c r="D1011" s="190">
        <v>44.56</v>
      </c>
      <c r="E1011" s="191">
        <v>13.88</v>
      </c>
      <c r="F1011" s="183">
        <v>13.13</v>
      </c>
      <c r="G1011" s="188">
        <v>-3.5000000000000001E-3</v>
      </c>
      <c r="H1011" s="188">
        <v>-2.7499999999999998E-3</v>
      </c>
      <c r="I1011" s="188">
        <v>4.4999999999999999E-4</v>
      </c>
    </row>
    <row r="1012" spans="1:10">
      <c r="A1012" s="183" t="s">
        <v>1170</v>
      </c>
      <c r="B1012" s="183">
        <v>673</v>
      </c>
      <c r="C1012" s="189">
        <v>53.2</v>
      </c>
      <c r="D1012" s="190">
        <v>44.55</v>
      </c>
      <c r="E1012" s="191">
        <v>15.96</v>
      </c>
      <c r="F1012" s="183">
        <v>15.1</v>
      </c>
      <c r="G1012" s="188">
        <v>-3.5000000000000001E-3</v>
      </c>
      <c r="H1012" s="188">
        <v>-2.7499999999999998E-3</v>
      </c>
      <c r="I1012" s="188">
        <v>4.4999999999999999E-4</v>
      </c>
    </row>
    <row r="1013" spans="1:10">
      <c r="A1013" s="183" t="s">
        <v>1171</v>
      </c>
      <c r="B1013" s="183">
        <v>590</v>
      </c>
      <c r="C1013" s="189">
        <v>53.3</v>
      </c>
      <c r="D1013" s="190">
        <v>44.8</v>
      </c>
      <c r="E1013" s="191">
        <v>13.93</v>
      </c>
      <c r="F1013" s="183">
        <v>13.17</v>
      </c>
      <c r="G1013" s="188">
        <v>-3.5000000000000001E-3</v>
      </c>
      <c r="H1013" s="188">
        <v>-2.7499999999999998E-3</v>
      </c>
      <c r="I1013" s="188">
        <v>4.4999999999999999E-4</v>
      </c>
    </row>
    <row r="1014" spans="1:10">
      <c r="A1014" s="183" t="s">
        <v>1172</v>
      </c>
      <c r="B1014" s="183">
        <v>679</v>
      </c>
      <c r="C1014" s="189">
        <v>53.3</v>
      </c>
      <c r="D1014" s="190">
        <v>44.8</v>
      </c>
      <c r="E1014" s="191">
        <v>16.02</v>
      </c>
      <c r="F1014" s="183">
        <v>15.15</v>
      </c>
      <c r="G1014" s="188">
        <v>-3.5000000000000001E-3</v>
      </c>
      <c r="H1014" s="188">
        <v>-2.7499999999999998E-3</v>
      </c>
      <c r="I1014" s="188">
        <v>4.4999999999999999E-4</v>
      </c>
    </row>
    <row r="1015" spans="1:10">
      <c r="A1015" s="183" t="s">
        <v>1173</v>
      </c>
      <c r="B1015" s="183">
        <v>738</v>
      </c>
      <c r="C1015" s="189">
        <v>53.3</v>
      </c>
      <c r="D1015" s="190">
        <v>44.8</v>
      </c>
      <c r="E1015" s="191">
        <v>17.41</v>
      </c>
      <c r="F1015" s="183">
        <v>16.46</v>
      </c>
      <c r="G1015" s="188">
        <v>-3.5000000000000001E-3</v>
      </c>
      <c r="H1015" s="188">
        <v>-2.7499999999999998E-3</v>
      </c>
      <c r="I1015" s="188">
        <v>4.4999999999999999E-4</v>
      </c>
    </row>
    <row r="1016" spans="1:10">
      <c r="A1016" s="1" t="s">
        <v>1174</v>
      </c>
      <c r="B1016" s="1">
        <v>310</v>
      </c>
      <c r="C1016" s="2">
        <v>40.5</v>
      </c>
      <c r="D1016" s="3">
        <v>33.1</v>
      </c>
      <c r="E1016" s="4">
        <v>10.02</v>
      </c>
      <c r="F1016" s="1">
        <v>9.36</v>
      </c>
      <c r="G1016" s="9">
        <v>-3.8999999999999998E-3</v>
      </c>
      <c r="H1016" s="9">
        <v>-3.0000000000000001E-3</v>
      </c>
    </row>
    <row r="1017" spans="1:10">
      <c r="A1017" s="1" t="s">
        <v>1175</v>
      </c>
      <c r="B1017" s="1">
        <v>270</v>
      </c>
      <c r="C1017" s="2">
        <v>38.6</v>
      </c>
      <c r="D1017" s="3">
        <v>31.8</v>
      </c>
      <c r="E1017" s="4">
        <v>9.1199999999999992</v>
      </c>
      <c r="F1017" s="1">
        <v>8.5</v>
      </c>
      <c r="G1017" s="9">
        <v>-4.4999999999999997E-3</v>
      </c>
      <c r="H1017" s="9">
        <v>-3.5000000000000001E-3</v>
      </c>
      <c r="I1017" s="9">
        <v>4.0000000000000002E-4</v>
      </c>
    </row>
    <row r="1018" spans="1:10">
      <c r="A1018" s="1" t="s">
        <v>1176</v>
      </c>
      <c r="B1018" s="1">
        <v>103</v>
      </c>
      <c r="C1018" s="2">
        <v>13.56</v>
      </c>
      <c r="D1018" s="3">
        <v>11.08</v>
      </c>
      <c r="E1018" s="4">
        <v>9.9499999999999993</v>
      </c>
      <c r="F1018" s="1">
        <v>9.3000000000000007</v>
      </c>
      <c r="G1018" s="9">
        <v>-3.5999999999999999E-3</v>
      </c>
      <c r="H1018" s="9">
        <v>-2.8E-3</v>
      </c>
      <c r="I1018" s="9">
        <v>4.8000000000000001E-4</v>
      </c>
    </row>
    <row r="1019" spans="1:10">
      <c r="A1019" s="1" t="s">
        <v>1177</v>
      </c>
      <c r="B1019" s="1">
        <v>159</v>
      </c>
      <c r="C1019" s="2">
        <v>20.34</v>
      </c>
      <c r="D1019" s="3">
        <v>17.100000000000001</v>
      </c>
      <c r="E1019" s="4">
        <v>9.9499999999999993</v>
      </c>
      <c r="F1019" s="1">
        <v>9.3000000000000007</v>
      </c>
      <c r="G1019" s="9">
        <v>-3.5999999999999999E-3</v>
      </c>
      <c r="H1019" s="9">
        <v>-2.8E-3</v>
      </c>
      <c r="I1019" s="9">
        <v>4.8000000000000001E-4</v>
      </c>
    </row>
    <row r="1020" spans="1:10">
      <c r="A1020" s="1" t="s">
        <v>1178</v>
      </c>
      <c r="B1020" s="1">
        <v>180</v>
      </c>
      <c r="C1020" s="2">
        <v>20.93</v>
      </c>
      <c r="D1020" s="3">
        <v>17.079999999999998</v>
      </c>
      <c r="E1020" s="4">
        <v>11.05</v>
      </c>
      <c r="F1020" s="1">
        <v>10.54</v>
      </c>
      <c r="G1020" s="9">
        <v>-3.5000000000000001E-3</v>
      </c>
      <c r="H1020" s="9">
        <v>-2.5000000000000001E-3</v>
      </c>
      <c r="I1020" s="9">
        <v>4.0000000000000002E-4</v>
      </c>
    </row>
    <row r="1021" spans="1:10">
      <c r="A1021" s="1" t="s">
        <v>1179</v>
      </c>
      <c r="B1021" s="1">
        <v>190</v>
      </c>
      <c r="C1021" s="2">
        <v>27.16</v>
      </c>
      <c r="D1021" s="3">
        <v>21.91</v>
      </c>
      <c r="E1021" s="4">
        <v>9.3000000000000007</v>
      </c>
      <c r="F1021" s="1">
        <v>8.68</v>
      </c>
      <c r="G1021" s="9">
        <v>-3.5999999999999999E-3</v>
      </c>
      <c r="H1021" s="9">
        <v>-2.8E-3</v>
      </c>
      <c r="I1021" s="9">
        <v>4.8000000000000001E-4</v>
      </c>
    </row>
    <row r="1022" spans="1:10">
      <c r="A1022" s="1" t="s">
        <v>1180</v>
      </c>
      <c r="B1022" s="1">
        <v>210</v>
      </c>
      <c r="C1022" s="2">
        <v>28.48</v>
      </c>
      <c r="D1022" s="3">
        <v>24.2</v>
      </c>
      <c r="E1022" s="4">
        <v>9.9499999999999993</v>
      </c>
      <c r="F1022" s="1">
        <v>9.3000000000000007</v>
      </c>
      <c r="G1022" s="9">
        <v>-3.5999999999999999E-3</v>
      </c>
      <c r="H1022" s="9">
        <v>-2.8E-3</v>
      </c>
      <c r="I1022" s="9">
        <v>4.8000000000000001E-4</v>
      </c>
    </row>
    <row r="1023" spans="1:10">
      <c r="A1023" s="1" t="s">
        <v>1181</v>
      </c>
      <c r="B1023" s="1">
        <v>220</v>
      </c>
      <c r="C1023" s="2">
        <v>28.38</v>
      </c>
      <c r="D1023" s="3">
        <v>23.66</v>
      </c>
      <c r="E1023" s="4">
        <v>9.9499999999999993</v>
      </c>
      <c r="F1023" s="1">
        <v>9.3000000000000007</v>
      </c>
      <c r="G1023" s="9">
        <v>-3.5999999999999999E-3</v>
      </c>
      <c r="H1023" s="9">
        <v>-2.8E-3</v>
      </c>
      <c r="I1023" s="9">
        <v>4.8000000000000001E-4</v>
      </c>
    </row>
    <row r="1024" spans="1:10">
      <c r="A1024" s="1" t="s">
        <v>1182</v>
      </c>
      <c r="B1024" s="1">
        <v>225</v>
      </c>
      <c r="C1024" s="2">
        <v>28.48</v>
      </c>
      <c r="D1024" s="3">
        <v>24.2</v>
      </c>
      <c r="E1024" s="4">
        <v>9.9499999999999993</v>
      </c>
      <c r="F1024" s="1">
        <v>9.3000000000000007</v>
      </c>
      <c r="G1024" s="9">
        <v>-3.5999999999999999E-3</v>
      </c>
      <c r="H1024" s="9">
        <v>-2.8E-3</v>
      </c>
      <c r="I1024" s="9">
        <v>4.8000000000000001E-4</v>
      </c>
    </row>
    <row r="1025" spans="1:11">
      <c r="A1025" s="1" t="s">
        <v>1183</v>
      </c>
      <c r="B1025" s="1">
        <v>625</v>
      </c>
      <c r="C1025" s="2">
        <v>49.9</v>
      </c>
      <c r="D1025" s="3">
        <v>41.7</v>
      </c>
      <c r="E1025" s="4">
        <v>15.92</v>
      </c>
      <c r="F1025" s="1">
        <v>15</v>
      </c>
      <c r="G1025" s="9">
        <v>-2.8999999999999998E-3</v>
      </c>
      <c r="H1025" s="9">
        <v>-2.5000000000000001E-3</v>
      </c>
      <c r="I1025" s="9">
        <v>4.0000000000000002E-4</v>
      </c>
    </row>
    <row r="1026" spans="1:11">
      <c r="A1026" s="1" t="s">
        <v>1184</v>
      </c>
      <c r="B1026" s="1">
        <v>150</v>
      </c>
      <c r="C1026" s="2">
        <v>85.5</v>
      </c>
      <c r="D1026" s="3">
        <v>64.7</v>
      </c>
      <c r="E1026" s="4">
        <v>2.54</v>
      </c>
      <c r="F1026" s="1">
        <v>2.3199999999999998</v>
      </c>
      <c r="G1026" s="9">
        <v>-2.8E-3</v>
      </c>
      <c r="H1026" s="9">
        <v>-3.2000000000000002E-3</v>
      </c>
      <c r="I1026" s="9">
        <v>6.9999999999999999E-4</v>
      </c>
    </row>
    <row r="1027" spans="1:11">
      <c r="A1027" s="1" t="s">
        <v>1185</v>
      </c>
      <c r="B1027" s="1">
        <v>119</v>
      </c>
      <c r="C1027" s="2">
        <f>D1027/0.77</f>
        <v>19.519480519480517</v>
      </c>
      <c r="D1027" s="3">
        <v>15.03</v>
      </c>
      <c r="E1027" s="4">
        <f>F1027/0.77</f>
        <v>10.285714285714285</v>
      </c>
      <c r="F1027" s="1">
        <v>7.92</v>
      </c>
      <c r="G1027" s="9">
        <v>-4.4000000000000003E-3</v>
      </c>
      <c r="H1027" s="9">
        <v>-3.3E-3</v>
      </c>
      <c r="I1027" s="9">
        <v>5.0000000000000001E-4</v>
      </c>
    </row>
    <row r="1028" spans="1:11">
      <c r="A1028" s="1" t="s">
        <v>1186</v>
      </c>
      <c r="B1028" s="1">
        <v>122</v>
      </c>
      <c r="C1028" s="2">
        <v>18.77</v>
      </c>
      <c r="D1028" s="3">
        <v>14.96</v>
      </c>
      <c r="E1028" s="4">
        <v>8.67</v>
      </c>
      <c r="F1028" s="1">
        <v>8.16</v>
      </c>
      <c r="G1028" s="9">
        <v>-4.4000000000000003E-3</v>
      </c>
      <c r="H1028" s="9">
        <v>-3.3E-3</v>
      </c>
      <c r="I1028" s="9">
        <v>5.0000000000000001E-4</v>
      </c>
    </row>
    <row r="1029" spans="1:11">
      <c r="A1029" s="1" t="s">
        <v>1187</v>
      </c>
      <c r="B1029" s="1">
        <v>172</v>
      </c>
      <c r="C1029" s="2">
        <v>26.28</v>
      </c>
      <c r="D1029" s="3">
        <v>21.08</v>
      </c>
      <c r="E1029" s="4">
        <v>8.67</v>
      </c>
      <c r="F1029" s="1">
        <v>8.16</v>
      </c>
      <c r="G1029" s="9">
        <v>-3.5000000000000001E-3</v>
      </c>
      <c r="H1029" s="9">
        <v>-3.5000000000000001E-3</v>
      </c>
      <c r="I1029" s="9">
        <v>4.0000000000000002E-4</v>
      </c>
    </row>
    <row r="1030" spans="1:11">
      <c r="A1030" s="1" t="s">
        <v>1188</v>
      </c>
      <c r="B1030" s="1">
        <v>228</v>
      </c>
      <c r="C1030" s="2">
        <v>20.84</v>
      </c>
      <c r="D1030" s="3">
        <v>17.3</v>
      </c>
      <c r="E1030" s="4">
        <v>14.03</v>
      </c>
      <c r="F1030" s="1">
        <v>13.18</v>
      </c>
      <c r="G1030" s="9">
        <v>-3.5000000000000001E-3</v>
      </c>
      <c r="H1030" s="9">
        <v>-2.5000000000000001E-3</v>
      </c>
      <c r="I1030" s="9">
        <v>4.0000000000000002E-4</v>
      </c>
    </row>
    <row r="1031" spans="1:11">
      <c r="A1031" s="1" t="s">
        <v>1189</v>
      </c>
      <c r="B1031" s="1">
        <v>250</v>
      </c>
      <c r="C1031" s="2">
        <v>32.53</v>
      </c>
      <c r="D1031" s="3">
        <v>26.52</v>
      </c>
      <c r="E1031" s="4">
        <v>9.9499999999999993</v>
      </c>
      <c r="F1031" s="1">
        <v>9.43</v>
      </c>
      <c r="G1031" s="9">
        <v>-3.5000000000000001E-3</v>
      </c>
      <c r="H1031" s="9">
        <v>-3.5000000000000001E-3</v>
      </c>
      <c r="I1031" s="9">
        <v>4.0000000000000002E-4</v>
      </c>
    </row>
    <row r="1032" spans="1:11">
      <c r="A1032" s="1" t="s">
        <v>1190</v>
      </c>
      <c r="B1032" s="1">
        <v>259</v>
      </c>
      <c r="C1032" s="2">
        <v>29.03</v>
      </c>
      <c r="D1032" s="3">
        <v>23.74</v>
      </c>
      <c r="E1032" s="4">
        <v>11.48</v>
      </c>
      <c r="F1032" s="1">
        <v>10.91</v>
      </c>
      <c r="G1032" s="9">
        <v>-3.5000000000000001E-3</v>
      </c>
      <c r="H1032" s="9">
        <v>-3.5000000000000001E-3</v>
      </c>
      <c r="I1032" s="9">
        <v>4.0000000000000002E-4</v>
      </c>
    </row>
    <row r="1033" spans="1:11">
      <c r="A1033" s="1" t="s">
        <v>1191</v>
      </c>
      <c r="B1033" s="1">
        <v>310</v>
      </c>
      <c r="C1033" s="2">
        <v>40.82</v>
      </c>
      <c r="D1033" s="3">
        <v>33.18</v>
      </c>
      <c r="E1033" s="4">
        <v>9.89</v>
      </c>
      <c r="F1033" s="1">
        <v>9.35</v>
      </c>
      <c r="G1033" s="9">
        <v>-4.1999999999999997E-3</v>
      </c>
      <c r="H1033" s="9">
        <v>-3.2000000000000002E-3</v>
      </c>
      <c r="I1033" s="9">
        <v>4.0000000000000002E-4</v>
      </c>
    </row>
    <row r="1034" spans="1:11">
      <c r="A1034" s="1" t="s">
        <v>1192</v>
      </c>
      <c r="B1034" s="1">
        <v>330</v>
      </c>
      <c r="C1034" s="2">
        <v>41.32</v>
      </c>
      <c r="D1034" s="3">
        <v>34.200000000000003</v>
      </c>
      <c r="E1034" s="4">
        <v>10.35</v>
      </c>
      <c r="F1034" s="1">
        <v>9.6300000000000008</v>
      </c>
      <c r="G1034" s="9">
        <v>0</v>
      </c>
      <c r="H1034" s="9">
        <v>-3.3E-3</v>
      </c>
    </row>
    <row r="1035" spans="1:11">
      <c r="A1035" s="1" t="s">
        <v>1193</v>
      </c>
      <c r="B1035" s="1">
        <v>375</v>
      </c>
      <c r="C1035" s="2">
        <v>41.08</v>
      </c>
      <c r="D1035" s="3">
        <v>34.630000000000003</v>
      </c>
      <c r="E1035" s="4">
        <v>11.62</v>
      </c>
      <c r="F1035" s="1">
        <v>10.83</v>
      </c>
      <c r="G1035" s="9">
        <v>-3.47E-3</v>
      </c>
      <c r="H1035" s="9">
        <v>-2.63E-3</v>
      </c>
      <c r="I1035" s="9">
        <v>5.6999999999999998E-4</v>
      </c>
      <c r="K1035" s="5">
        <v>4</v>
      </c>
    </row>
    <row r="1036" spans="1:11">
      <c r="A1036" s="1" t="s">
        <v>1194</v>
      </c>
      <c r="B1036" s="1">
        <v>440</v>
      </c>
      <c r="C1036" s="2">
        <v>49.77</v>
      </c>
      <c r="D1036" s="3">
        <v>41.2</v>
      </c>
      <c r="E1036" s="4">
        <v>11.46</v>
      </c>
      <c r="F1036" s="1">
        <v>10.68</v>
      </c>
      <c r="G1036" s="9">
        <v>-3.47E-3</v>
      </c>
      <c r="H1036" s="9">
        <v>-2.63E-3</v>
      </c>
      <c r="I1036" s="9">
        <v>5.6999999999999998E-4</v>
      </c>
    </row>
    <row r="1037" spans="1:11">
      <c r="A1037" s="1" t="s">
        <v>1195</v>
      </c>
      <c r="B1037" s="1">
        <v>440</v>
      </c>
      <c r="C1037" s="2">
        <v>49.77</v>
      </c>
      <c r="D1037" s="3">
        <v>41.2</v>
      </c>
      <c r="E1037" s="4">
        <v>11.49</v>
      </c>
      <c r="F1037" s="1">
        <v>10.68</v>
      </c>
      <c r="G1037" s="9">
        <v>-3.47E-3</v>
      </c>
      <c r="H1037" s="9">
        <v>-2.63E-3</v>
      </c>
      <c r="I1037" s="9">
        <v>5.6999999999999998E-4</v>
      </c>
    </row>
    <row r="1038" spans="1:11">
      <c r="A1038" s="1" t="s">
        <v>1196</v>
      </c>
      <c r="B1038" s="1">
        <v>445</v>
      </c>
      <c r="C1038" s="2">
        <v>49.04</v>
      </c>
      <c r="D1038" s="3">
        <v>41.32</v>
      </c>
      <c r="E1038" s="4">
        <v>11.55</v>
      </c>
      <c r="F1038" s="1">
        <v>10.77</v>
      </c>
      <c r="G1038" s="9">
        <v>-3.47E-3</v>
      </c>
      <c r="H1038" s="9">
        <v>-2.63E-3</v>
      </c>
      <c r="I1038" s="9">
        <v>5.6999999999999998E-4</v>
      </c>
    </row>
    <row r="1039" spans="1:11">
      <c r="A1039" s="1" t="s">
        <v>1197</v>
      </c>
      <c r="B1039" s="1">
        <v>172</v>
      </c>
      <c r="C1039" s="2">
        <v>26.28</v>
      </c>
      <c r="D1039" s="3">
        <v>21.08</v>
      </c>
      <c r="E1039" s="4">
        <v>8.67</v>
      </c>
      <c r="F1039" s="1">
        <v>8.16</v>
      </c>
      <c r="G1039" s="9">
        <v>-3.5000000000000001E-3</v>
      </c>
      <c r="H1039" s="9">
        <v>-3.5000000000000001E-3</v>
      </c>
      <c r="I1039" s="9">
        <v>4.0000000000000002E-4</v>
      </c>
    </row>
    <row r="1040" spans="1:11">
      <c r="A1040" s="1" t="s">
        <v>1198</v>
      </c>
      <c r="B1040" s="1">
        <v>215</v>
      </c>
      <c r="C1040" s="2">
        <v>31.14</v>
      </c>
      <c r="D1040" s="3">
        <v>24.92</v>
      </c>
      <c r="E1040" s="4">
        <v>9.1999999999999993</v>
      </c>
      <c r="F1040" s="1">
        <v>8.6300000000000008</v>
      </c>
      <c r="G1040" s="9">
        <v>-4.4000000000000003E-3</v>
      </c>
      <c r="H1040" s="9">
        <v>-3.29E-3</v>
      </c>
      <c r="I1040" s="9">
        <v>3.8000000000000002E-4</v>
      </c>
    </row>
    <row r="1041" spans="1:9">
      <c r="A1041" s="1" t="s">
        <v>1199</v>
      </c>
      <c r="B1041" s="1">
        <v>240</v>
      </c>
      <c r="C1041" s="2">
        <v>52.7</v>
      </c>
      <c r="D1041" s="3">
        <v>43</v>
      </c>
      <c r="E1041" s="4">
        <v>6</v>
      </c>
      <c r="F1041" s="1">
        <v>5.59</v>
      </c>
      <c r="G1041" s="9">
        <v>-2.5799999999999998E-3</v>
      </c>
      <c r="H1041" s="9">
        <v>-2.3500000000000001E-3</v>
      </c>
    </row>
    <row r="1042" spans="1:9">
      <c r="A1042" s="1" t="s">
        <v>1200</v>
      </c>
      <c r="B1042" s="1">
        <v>59</v>
      </c>
      <c r="C1042" s="2">
        <v>15.97</v>
      </c>
      <c r="D1042" s="3">
        <v>12.99</v>
      </c>
      <c r="E1042" s="4">
        <v>4.9000000000000004</v>
      </c>
      <c r="F1042" s="1">
        <v>4.54</v>
      </c>
      <c r="G1042" s="9">
        <v>-4.0099999999999997E-3</v>
      </c>
      <c r="H1042" s="9">
        <v>-2.96E-3</v>
      </c>
      <c r="I1042" s="9">
        <v>4.8999999999999998E-4</v>
      </c>
    </row>
    <row r="1043" spans="1:9">
      <c r="A1043" s="1" t="s">
        <v>1201</v>
      </c>
      <c r="B1043" s="1">
        <v>300</v>
      </c>
      <c r="C1043" s="2">
        <v>39.9</v>
      </c>
      <c r="D1043" s="3">
        <v>32.700000000000003</v>
      </c>
      <c r="E1043" s="4">
        <v>9.8000000000000007</v>
      </c>
      <c r="F1043" s="1">
        <v>9.18</v>
      </c>
      <c r="G1043" s="9">
        <v>-4.1999999999999997E-3</v>
      </c>
      <c r="H1043" s="9">
        <v>-3.0000000000000001E-3</v>
      </c>
      <c r="I1043" s="9">
        <v>5.0000000000000001E-4</v>
      </c>
    </row>
    <row r="1044" spans="1:9">
      <c r="A1044" s="1" t="s">
        <v>1202</v>
      </c>
      <c r="B1044" s="1">
        <v>280</v>
      </c>
      <c r="C1044" s="2">
        <v>38.200000000000003</v>
      </c>
      <c r="D1044" s="3">
        <v>31.6</v>
      </c>
      <c r="E1044" s="4">
        <v>9.48</v>
      </c>
      <c r="F1044" s="1">
        <v>8.8699999999999992</v>
      </c>
      <c r="G1044" s="9">
        <v>-3.5999999999999999E-3</v>
      </c>
      <c r="H1044" s="9">
        <v>-2.8E-3</v>
      </c>
    </row>
    <row r="1045" spans="1:9">
      <c r="A1045" s="1" t="s">
        <v>1203</v>
      </c>
      <c r="B1045" s="1">
        <v>250</v>
      </c>
      <c r="C1045" s="2">
        <v>38</v>
      </c>
      <c r="D1045" s="3">
        <v>30.3</v>
      </c>
      <c r="G1045" s="9">
        <v>-4.3E-3</v>
      </c>
      <c r="H1045" s="9">
        <v>-3.2000000000000002E-3</v>
      </c>
    </row>
    <row r="1046" spans="1:9">
      <c r="A1046" s="1" t="s">
        <v>1204</v>
      </c>
      <c r="B1046" s="1">
        <v>250</v>
      </c>
      <c r="C1046" s="2">
        <v>37.049999999999997</v>
      </c>
      <c r="D1046" s="3">
        <v>30.14</v>
      </c>
      <c r="E1046" s="4">
        <v>8.89</v>
      </c>
      <c r="F1046" s="1">
        <v>8.3000000000000007</v>
      </c>
      <c r="G1046" s="9">
        <v>-5.3E-3</v>
      </c>
      <c r="H1046" s="9">
        <v>-3.7000000000000002E-3</v>
      </c>
      <c r="I1046" s="9">
        <v>5.0000000000000001E-4</v>
      </c>
    </row>
    <row r="1047" spans="1:9">
      <c r="A1047" s="1" t="s">
        <v>1205</v>
      </c>
      <c r="B1047" s="1">
        <v>140</v>
      </c>
      <c r="C1047" s="2">
        <v>157</v>
      </c>
      <c r="D1047" s="3">
        <v>124</v>
      </c>
      <c r="E1047" s="4">
        <v>1.33</v>
      </c>
      <c r="F1047" s="1">
        <v>1.1299999999999999</v>
      </c>
      <c r="G1047" s="9">
        <v>-4.0000000000000001E-3</v>
      </c>
      <c r="H1047" s="9">
        <v>-3.0000000000000001E-3</v>
      </c>
      <c r="I1047" s="9">
        <v>5.0000000000000001E-4</v>
      </c>
    </row>
    <row r="1048" spans="1:9">
      <c r="A1048" s="1" t="s">
        <v>1206</v>
      </c>
      <c r="B1048" s="1">
        <v>200</v>
      </c>
      <c r="C1048" s="2">
        <v>45.3</v>
      </c>
      <c r="D1048" s="3">
        <v>37.1</v>
      </c>
      <c r="E1048" s="4">
        <v>5.7</v>
      </c>
      <c r="F1048" s="1">
        <v>5.41</v>
      </c>
      <c r="G1048" s="9">
        <v>-4.4000000000000003E-3</v>
      </c>
      <c r="H1048" s="9">
        <v>-3.29E-3</v>
      </c>
      <c r="I1048" s="9">
        <v>3.8000000000000002E-4</v>
      </c>
    </row>
    <row r="1049" spans="1:9">
      <c r="A1049" s="1" t="s">
        <v>1207</v>
      </c>
      <c r="B1049" s="1">
        <v>100</v>
      </c>
      <c r="C1049" s="2">
        <v>15.14</v>
      </c>
      <c r="D1049" s="3">
        <v>12.4</v>
      </c>
      <c r="E1049" s="4">
        <v>8.6</v>
      </c>
      <c r="F1049" s="1">
        <v>8.07</v>
      </c>
      <c r="G1049" s="9">
        <v>-4.8500000000000001E-3</v>
      </c>
      <c r="H1049" s="9">
        <f>-0.13/C1049</f>
        <v>-8.5865257595772789E-3</v>
      </c>
    </row>
    <row r="1050" spans="1:9">
      <c r="A1050" s="1" t="s">
        <v>1208</v>
      </c>
      <c r="B1050" s="1">
        <v>105</v>
      </c>
      <c r="C1050" s="2">
        <v>15.6</v>
      </c>
      <c r="D1050" s="3">
        <v>12.6</v>
      </c>
      <c r="E1050" s="4">
        <v>8.9</v>
      </c>
      <c r="F1050" s="1">
        <v>8.36</v>
      </c>
      <c r="G1050" s="9">
        <v>-4.8500000000000001E-3</v>
      </c>
      <c r="H1050" s="9">
        <v>-4.1533546325878594E-3</v>
      </c>
    </row>
    <row r="1051" spans="1:9">
      <c r="A1051" s="1" t="s">
        <v>1209</v>
      </c>
      <c r="B1051" s="1">
        <v>108</v>
      </c>
      <c r="C1051" s="2">
        <v>15.7</v>
      </c>
      <c r="D1051" s="3">
        <v>12.6</v>
      </c>
      <c r="E1051" s="4">
        <v>9.09</v>
      </c>
      <c r="F1051" s="1">
        <v>8.56</v>
      </c>
      <c r="G1051" s="9">
        <v>-4.8500000000000001E-3</v>
      </c>
      <c r="H1051" s="9">
        <f>-0.13/C1051</f>
        <v>-8.2802547770700636E-3</v>
      </c>
    </row>
    <row r="1052" spans="1:9">
      <c r="A1052" s="1" t="s">
        <v>1210</v>
      </c>
      <c r="B1052" s="1">
        <v>122</v>
      </c>
      <c r="C1052" s="2">
        <v>16.7</v>
      </c>
      <c r="D1052" s="3">
        <v>13.2</v>
      </c>
      <c r="E1052" s="4">
        <v>9.94</v>
      </c>
      <c r="F1052" s="1">
        <v>9.25</v>
      </c>
      <c r="G1052" s="9">
        <v>-4.8500000000000001E-3</v>
      </c>
      <c r="H1052" s="9">
        <f>-0.13/C1052</f>
        <v>-7.7844311377245519E-3</v>
      </c>
    </row>
    <row r="1053" spans="1:9">
      <c r="A1053" s="1" t="s">
        <v>1211</v>
      </c>
      <c r="B1053" s="1">
        <v>168</v>
      </c>
      <c r="C1053" s="2">
        <v>25</v>
      </c>
      <c r="D1053" s="3">
        <v>20.100000000000001</v>
      </c>
      <c r="E1053" s="4">
        <v>8.9</v>
      </c>
      <c r="F1053" s="1">
        <v>8.36</v>
      </c>
      <c r="G1053" s="9">
        <v>-4.8500000000000001E-3</v>
      </c>
      <c r="H1053" s="9">
        <v>-4.1533546325878594E-3</v>
      </c>
    </row>
    <row r="1054" spans="1:9">
      <c r="A1054" s="1" t="s">
        <v>1212</v>
      </c>
      <c r="B1054" s="1">
        <v>174</v>
      </c>
      <c r="C1054" s="2">
        <v>25.2</v>
      </c>
      <c r="D1054" s="3">
        <v>20.3</v>
      </c>
      <c r="E1054" s="4">
        <v>9.09</v>
      </c>
      <c r="F1054" s="1">
        <v>8.56</v>
      </c>
      <c r="G1054" s="9">
        <v>-4.8500000000000001E-3</v>
      </c>
      <c r="H1054" s="9">
        <f t="shared" ref="H1054:H1064" si="2">-0.13/C1054</f>
        <v>-5.1587301587301595E-3</v>
      </c>
    </row>
    <row r="1055" spans="1:9">
      <c r="A1055" s="1" t="s">
        <v>1213</v>
      </c>
      <c r="B1055" s="1">
        <v>197</v>
      </c>
      <c r="C1055" s="2">
        <v>26.7</v>
      </c>
      <c r="D1055" s="3">
        <v>21.4</v>
      </c>
      <c r="E1055" s="4">
        <v>9.94</v>
      </c>
      <c r="F1055" s="1">
        <v>9.25</v>
      </c>
      <c r="G1055" s="9">
        <v>-4.8500000000000001E-3</v>
      </c>
      <c r="H1055" s="9">
        <f t="shared" si="2"/>
        <v>-4.8689138576779025E-3</v>
      </c>
    </row>
    <row r="1056" spans="1:9">
      <c r="A1056" s="1" t="s">
        <v>1214</v>
      </c>
      <c r="B1056" s="1">
        <v>200</v>
      </c>
      <c r="C1056" s="2">
        <v>30.8</v>
      </c>
      <c r="D1056" s="3">
        <v>24.8</v>
      </c>
      <c r="E1056" s="4">
        <v>8.6</v>
      </c>
      <c r="F1056" s="1">
        <v>8.07</v>
      </c>
      <c r="G1056" s="9">
        <v>-4.8500000000000001E-3</v>
      </c>
      <c r="H1056" s="9">
        <f t="shared" si="2"/>
        <v>-4.2207792207792205E-3</v>
      </c>
    </row>
    <row r="1057" spans="1:11">
      <c r="A1057" s="1" t="s">
        <v>1215</v>
      </c>
      <c r="B1057" s="1">
        <v>207</v>
      </c>
      <c r="C1057" s="2">
        <v>31.1</v>
      </c>
      <c r="D1057" s="3">
        <v>25.1</v>
      </c>
      <c r="E1057" s="4">
        <v>8.77</v>
      </c>
      <c r="F1057" s="1">
        <v>8.25</v>
      </c>
      <c r="G1057" s="9">
        <v>-4.8500000000000001E-3</v>
      </c>
      <c r="H1057" s="9">
        <f t="shared" si="2"/>
        <v>-4.1800643086816721E-3</v>
      </c>
    </row>
    <row r="1058" spans="1:11">
      <c r="A1058" s="1" t="s">
        <v>1216</v>
      </c>
      <c r="B1058" s="1">
        <v>210</v>
      </c>
      <c r="C1058" s="2">
        <v>31.2</v>
      </c>
      <c r="D1058" s="3">
        <v>25.3</v>
      </c>
      <c r="E1058" s="4">
        <v>8.85</v>
      </c>
      <c r="F1058" s="1">
        <v>8.32</v>
      </c>
      <c r="G1058" s="9">
        <v>-4.8500000000000001E-3</v>
      </c>
      <c r="H1058" s="9">
        <f t="shared" si="2"/>
        <v>-4.1666666666666666E-3</v>
      </c>
    </row>
    <row r="1059" spans="1:11">
      <c r="A1059" s="1" t="s">
        <v>1217</v>
      </c>
      <c r="B1059" s="1">
        <v>212</v>
      </c>
      <c r="C1059" s="2">
        <v>31.3</v>
      </c>
      <c r="D1059" s="3">
        <v>25.4</v>
      </c>
      <c r="E1059" s="4">
        <v>8.9</v>
      </c>
      <c r="F1059" s="1">
        <v>5.36</v>
      </c>
      <c r="G1059" s="9">
        <v>-4.8500000000000001E-3</v>
      </c>
      <c r="H1059" s="9">
        <f t="shared" si="2"/>
        <v>-4.1533546325878594E-3</v>
      </c>
    </row>
    <row r="1060" spans="1:11">
      <c r="A1060" s="1" t="s">
        <v>1218</v>
      </c>
      <c r="B1060" s="1">
        <v>220</v>
      </c>
      <c r="C1060" s="2">
        <v>31.7</v>
      </c>
      <c r="D1060" s="3">
        <v>25.7</v>
      </c>
      <c r="E1060" s="4">
        <v>9.09</v>
      </c>
      <c r="F1060" s="1">
        <v>8.56</v>
      </c>
      <c r="G1060" s="9">
        <v>-4.8500000000000001E-3</v>
      </c>
      <c r="H1060" s="9">
        <f t="shared" si="2"/>
        <v>-4.100946372239748E-3</v>
      </c>
    </row>
    <row r="1061" spans="1:11">
      <c r="A1061" s="1" t="s">
        <v>1219</v>
      </c>
      <c r="B1061" s="1">
        <v>230</v>
      </c>
      <c r="C1061" s="2">
        <v>31.9</v>
      </c>
      <c r="D1061" s="3">
        <v>26</v>
      </c>
      <c r="E1061" s="4">
        <v>9.3699999999999992</v>
      </c>
      <c r="F1061" s="1">
        <v>8.83</v>
      </c>
      <c r="G1061" s="9">
        <v>-4.8500000000000001E-3</v>
      </c>
      <c r="H1061" s="9">
        <f t="shared" si="2"/>
        <v>-4.0752351097178684E-3</v>
      </c>
    </row>
    <row r="1062" spans="1:11">
      <c r="A1062" s="1" t="s">
        <v>1220</v>
      </c>
      <c r="B1062" s="1">
        <v>245</v>
      </c>
      <c r="C1062" s="2">
        <v>32.700000000000003</v>
      </c>
      <c r="D1062" s="3">
        <v>26.6</v>
      </c>
      <c r="E1062" s="4">
        <v>9.7899999999999991</v>
      </c>
      <c r="F1062" s="1">
        <v>9.2200000000000006</v>
      </c>
      <c r="G1062" s="9">
        <v>-4.8500000000000001E-3</v>
      </c>
      <c r="H1062" s="9">
        <f t="shared" si="2"/>
        <v>-3.9755351681957183E-3</v>
      </c>
    </row>
    <row r="1063" spans="1:11">
      <c r="A1063" s="1" t="s">
        <v>1221</v>
      </c>
      <c r="B1063" s="1">
        <v>250</v>
      </c>
      <c r="C1063" s="2">
        <v>33.299999999999997</v>
      </c>
      <c r="D1063" s="3">
        <v>27.1</v>
      </c>
      <c r="E1063" s="4">
        <v>9.94</v>
      </c>
      <c r="F1063" s="1">
        <v>9.25</v>
      </c>
      <c r="G1063" s="9">
        <v>-4.8500000000000001E-3</v>
      </c>
      <c r="H1063" s="9">
        <f t="shared" si="2"/>
        <v>-3.9039039039039042E-3</v>
      </c>
    </row>
    <row r="1064" spans="1:11">
      <c r="A1064" s="1" t="s">
        <v>1222</v>
      </c>
      <c r="B1064" s="1">
        <v>253</v>
      </c>
      <c r="C1064" s="2">
        <v>33.4</v>
      </c>
      <c r="D1064" s="3">
        <v>27.2</v>
      </c>
      <c r="E1064" s="4">
        <v>9.9499999999999993</v>
      </c>
      <c r="F1064" s="1">
        <v>9.31</v>
      </c>
      <c r="G1064" s="9">
        <v>-4.8500000000000001E-3</v>
      </c>
      <c r="H1064" s="9">
        <f t="shared" si="2"/>
        <v>-3.8922155688622759E-3</v>
      </c>
    </row>
    <row r="1065" spans="1:11">
      <c r="A1065" s="1" t="s">
        <v>1223</v>
      </c>
      <c r="B1065" s="1">
        <v>250</v>
      </c>
      <c r="C1065" s="2">
        <v>37.4</v>
      </c>
      <c r="D1065" s="3">
        <v>30.2</v>
      </c>
      <c r="E1065" s="4">
        <v>8.8000000000000007</v>
      </c>
      <c r="F1065" s="1">
        <v>8.2799999999999994</v>
      </c>
      <c r="G1065" s="9">
        <v>-4.7800000000000004E-3</v>
      </c>
      <c r="H1065" s="9">
        <v>-3.666E-3</v>
      </c>
      <c r="I1065" s="9">
        <v>4.5800000000000002E-4</v>
      </c>
    </row>
    <row r="1066" spans="1:11">
      <c r="A1066" s="1" t="s">
        <v>1224</v>
      </c>
      <c r="B1066" s="1">
        <f>B1065*K1066</f>
        <v>500</v>
      </c>
      <c r="C1066" s="2">
        <f>C1065</f>
        <v>37.4</v>
      </c>
      <c r="D1066" s="3">
        <f>D1065</f>
        <v>30.2</v>
      </c>
      <c r="E1066" s="4">
        <f>E1065*K1066</f>
        <v>17.600000000000001</v>
      </c>
      <c r="F1066" s="1">
        <f>F1065*K1066</f>
        <v>16.559999999999999</v>
      </c>
      <c r="G1066" s="9">
        <f>G1065</f>
        <v>-4.7800000000000004E-3</v>
      </c>
      <c r="H1066" s="9">
        <f>H1065</f>
        <v>-3.666E-3</v>
      </c>
      <c r="I1066" s="9">
        <f>I1065</f>
        <v>4.5800000000000002E-4</v>
      </c>
      <c r="K1066" s="5">
        <v>2</v>
      </c>
    </row>
    <row r="1067" spans="1:11">
      <c r="A1067" s="1" t="s">
        <v>1225</v>
      </c>
      <c r="B1067" s="1">
        <v>134</v>
      </c>
      <c r="C1067" s="2">
        <v>24.3</v>
      </c>
      <c r="D1067" s="3">
        <v>19.399999999999999</v>
      </c>
      <c r="E1067" s="4">
        <v>7.43</v>
      </c>
      <c r="F1067" s="1">
        <v>6.91</v>
      </c>
      <c r="G1067" s="9">
        <v>-4.8500000000000001E-3</v>
      </c>
      <c r="H1067" s="9">
        <f>-0.13/C1067</f>
        <v>-5.3497942386831277E-3</v>
      </c>
      <c r="K1067" s="5">
        <v>33</v>
      </c>
    </row>
    <row r="1068" spans="1:11">
      <c r="A1068" s="1" t="s">
        <v>1226</v>
      </c>
      <c r="B1068" s="1">
        <v>175</v>
      </c>
      <c r="C1068" s="2">
        <v>44.6</v>
      </c>
      <c r="D1068" s="3">
        <v>35.840000000000003</v>
      </c>
      <c r="E1068" s="4">
        <v>5.28</v>
      </c>
      <c r="F1068" s="1">
        <v>4.8899999999999997</v>
      </c>
      <c r="G1068" s="9">
        <v>-5.3E-3</v>
      </c>
      <c r="H1068" s="9">
        <v>-3.7000000000000002E-3</v>
      </c>
      <c r="I1068" s="9">
        <v>5.0000000000000001E-4</v>
      </c>
    </row>
    <row r="1069" spans="1:11">
      <c r="A1069" s="1" t="s">
        <v>1227</v>
      </c>
      <c r="B1069" s="1">
        <v>92.5</v>
      </c>
      <c r="C1069" s="2">
        <v>15.2</v>
      </c>
      <c r="D1069" s="3">
        <v>12.3</v>
      </c>
      <c r="E1069" s="4">
        <v>8.34</v>
      </c>
      <c r="F1069" s="1">
        <v>7.52</v>
      </c>
      <c r="G1069" s="9">
        <v>-4.8500000000000001E-3</v>
      </c>
      <c r="H1069" s="9">
        <f>-0.13/C1069</f>
        <v>-8.552631578947369E-3</v>
      </c>
    </row>
    <row r="1070" spans="1:11">
      <c r="A1070" s="1" t="s">
        <v>1228</v>
      </c>
      <c r="B1070" s="1">
        <v>95</v>
      </c>
      <c r="C1070" s="2">
        <v>15.3</v>
      </c>
      <c r="D1070" s="3">
        <v>12.4</v>
      </c>
      <c r="E1070" s="4">
        <v>8.44</v>
      </c>
      <c r="F1070" s="1">
        <v>7.66</v>
      </c>
      <c r="G1070" s="9">
        <v>-4.8500000000000001E-3</v>
      </c>
      <c r="H1070" s="9">
        <f>-0.13/C1070</f>
        <v>-8.4967320261437902E-3</v>
      </c>
    </row>
    <row r="1071" spans="1:11">
      <c r="A1071" s="1" t="s">
        <v>1229</v>
      </c>
      <c r="B1071" s="1">
        <v>185</v>
      </c>
      <c r="C1071" s="2">
        <v>30.4</v>
      </c>
      <c r="D1071" s="3">
        <v>24.6</v>
      </c>
      <c r="E1071" s="4">
        <v>8.34</v>
      </c>
      <c r="F1071" s="1">
        <v>7.52</v>
      </c>
      <c r="G1071" s="9">
        <v>-4.8500000000000001E-3</v>
      </c>
      <c r="H1071" s="9">
        <f>-0.13/C1071</f>
        <v>-4.2763157894736845E-3</v>
      </c>
    </row>
    <row r="1072" spans="1:11">
      <c r="A1072" s="1" t="s">
        <v>1230</v>
      </c>
      <c r="B1072" s="1">
        <v>190</v>
      </c>
      <c r="C1072" s="2">
        <v>30.6</v>
      </c>
      <c r="D1072" s="3">
        <v>24.8</v>
      </c>
      <c r="E1072" s="4">
        <v>8.44</v>
      </c>
      <c r="F1072" s="1">
        <v>7.66</v>
      </c>
      <c r="G1072" s="9">
        <v>-4.8500000000000001E-3</v>
      </c>
      <c r="H1072" s="9">
        <f>-0.13/C1072</f>
        <v>-4.2483660130718951E-3</v>
      </c>
    </row>
    <row r="1073" spans="1:11">
      <c r="A1073" s="1" t="s">
        <v>1231</v>
      </c>
      <c r="B1073" s="1">
        <v>37.5</v>
      </c>
      <c r="C1073" s="2">
        <v>130</v>
      </c>
      <c r="D1073" s="3">
        <v>100</v>
      </c>
      <c r="E1073" s="4">
        <v>0.434</v>
      </c>
      <c r="F1073" s="1">
        <v>0.375</v>
      </c>
      <c r="G1073" s="9">
        <v>-4.4999999999999997E-3</v>
      </c>
      <c r="H1073" s="9">
        <v>-3.5999999999999999E-3</v>
      </c>
      <c r="I1073" s="9">
        <v>5.9999999999999995E-4</v>
      </c>
    </row>
    <row r="1074" spans="1:11">
      <c r="A1074" s="1" t="s">
        <v>1232</v>
      </c>
      <c r="B1074" s="1">
        <v>375</v>
      </c>
      <c r="C1074" s="2">
        <v>130</v>
      </c>
      <c r="D1074" s="3">
        <v>100</v>
      </c>
      <c r="E1074" s="4">
        <f>10*0.434</f>
        <v>4.34</v>
      </c>
      <c r="F1074" s="1">
        <f>10*0.375</f>
        <v>3.75</v>
      </c>
      <c r="G1074" s="9">
        <v>-4.4999999999999997E-3</v>
      </c>
      <c r="H1074" s="9">
        <v>-3.5999999999999999E-3</v>
      </c>
      <c r="I1074" s="9">
        <v>5.9999999999999995E-4</v>
      </c>
    </row>
    <row r="1075" spans="1:11">
      <c r="A1075" s="1" t="s">
        <v>1233</v>
      </c>
      <c r="B1075" s="1">
        <v>270</v>
      </c>
      <c r="C1075" s="2">
        <v>38.56</v>
      </c>
      <c r="D1075" s="3">
        <v>30.8</v>
      </c>
      <c r="E1075" s="4">
        <v>9.35</v>
      </c>
      <c r="F1075" s="1">
        <v>8.77</v>
      </c>
      <c r="G1075" s="9">
        <v>-3.5000000000000001E-3</v>
      </c>
      <c r="H1075" s="9">
        <v>-2.8E-3</v>
      </c>
      <c r="I1075" s="9">
        <v>4.8000000000000001E-4</v>
      </c>
    </row>
    <row r="1076" spans="1:11">
      <c r="A1076" s="1" t="s">
        <v>1234</v>
      </c>
      <c r="B1076" s="1">
        <f>B1075*K1076</f>
        <v>4860</v>
      </c>
      <c r="C1076" s="2">
        <f>C1075</f>
        <v>38.56</v>
      </c>
      <c r="D1076" s="3">
        <f>D1075</f>
        <v>30.8</v>
      </c>
      <c r="E1076" s="4">
        <f>E1075*K1076</f>
        <v>168.29999999999998</v>
      </c>
      <c r="F1076" s="1">
        <f>F1075*K1076</f>
        <v>157.85999999999999</v>
      </c>
      <c r="G1076" s="9">
        <f>G1075</f>
        <v>-3.5000000000000001E-3</v>
      </c>
      <c r="H1076" s="9">
        <f>H1075</f>
        <v>-2.8E-3</v>
      </c>
      <c r="I1076" s="9">
        <f>I1075</f>
        <v>4.8000000000000001E-4</v>
      </c>
      <c r="K1076" s="5">
        <v>18</v>
      </c>
    </row>
    <row r="1077" spans="1:11">
      <c r="A1077" s="1" t="s">
        <v>1235</v>
      </c>
      <c r="B1077" s="1">
        <v>265</v>
      </c>
      <c r="C1077" s="2">
        <v>38.01</v>
      </c>
      <c r="D1077" s="3">
        <v>30.75</v>
      </c>
      <c r="E1077" s="4">
        <v>9.23</v>
      </c>
      <c r="F1077" s="1">
        <v>8.6199999999999992</v>
      </c>
      <c r="G1077" s="9">
        <v>-4.1000000000000003E-3</v>
      </c>
      <c r="H1077" s="9">
        <v>-3.0000000000000001E-3</v>
      </c>
      <c r="I1077" s="9">
        <v>4.0000000000000002E-4</v>
      </c>
    </row>
    <row r="1078" spans="1:11">
      <c r="A1078" s="1" t="s">
        <v>1236</v>
      </c>
      <c r="B1078" s="1">
        <v>425</v>
      </c>
      <c r="C1078" s="2">
        <v>49.13</v>
      </c>
      <c r="D1078" s="3">
        <v>41.2</v>
      </c>
      <c r="E1078" s="4">
        <v>10.83</v>
      </c>
      <c r="F1078" s="1">
        <v>10.32</v>
      </c>
      <c r="G1078" s="9">
        <v>-3.5999999999999999E-3</v>
      </c>
      <c r="H1078" s="9">
        <v>-2.7000000000000001E-3</v>
      </c>
      <c r="I1078" s="9">
        <v>4.0000000000000002E-4</v>
      </c>
    </row>
    <row r="1079" spans="1:11">
      <c r="A1079" s="1" t="s">
        <v>1237</v>
      </c>
      <c r="B1079" s="1">
        <v>400</v>
      </c>
      <c r="C1079" s="2">
        <v>37.159999999999997</v>
      </c>
      <c r="D1079" s="3">
        <v>31</v>
      </c>
      <c r="E1079" s="4">
        <v>13.54</v>
      </c>
      <c r="F1079" s="1">
        <v>12.9</v>
      </c>
      <c r="G1079" s="9">
        <v>-3.3999999999999998E-3</v>
      </c>
      <c r="H1079" s="9">
        <v>-2.7000000000000001E-3</v>
      </c>
      <c r="I1079" s="9">
        <v>4.0000000000000002E-4</v>
      </c>
    </row>
    <row r="1080" spans="1:11">
      <c r="A1080" s="1" t="s">
        <v>1238</v>
      </c>
      <c r="B1080" s="1">
        <v>405</v>
      </c>
      <c r="C1080" s="2">
        <v>37.090000000000003</v>
      </c>
      <c r="D1080" s="3">
        <v>30.62</v>
      </c>
      <c r="E1080" s="4">
        <v>13.91</v>
      </c>
      <c r="F1080" s="1">
        <v>13.23</v>
      </c>
      <c r="G1080" s="9">
        <v>-3.3999999999999998E-3</v>
      </c>
      <c r="H1080" s="9">
        <v>-2.7000000000000001E-3</v>
      </c>
      <c r="I1080" s="9">
        <v>4.0000000000000002E-4</v>
      </c>
    </row>
    <row r="1081" spans="1:11">
      <c r="A1081" s="1" t="s">
        <v>1239</v>
      </c>
      <c r="B1081" s="1">
        <v>385</v>
      </c>
      <c r="C1081" s="2">
        <v>45.03</v>
      </c>
      <c r="D1081" s="3">
        <v>37.74</v>
      </c>
      <c r="E1081" s="4">
        <v>10.68</v>
      </c>
      <c r="F1081" s="1">
        <v>10.199999999999999</v>
      </c>
      <c r="G1081" s="9">
        <v>-3.5000000000000001E-3</v>
      </c>
      <c r="H1081" s="9">
        <v>-2.7000000000000001E-3</v>
      </c>
      <c r="I1081" s="9">
        <v>4.0000000000000002E-4</v>
      </c>
    </row>
    <row r="1082" spans="1:11">
      <c r="A1082" s="1" t="s">
        <v>1240</v>
      </c>
      <c r="B1082" s="1">
        <v>390</v>
      </c>
      <c r="C1082" s="2">
        <v>45.06</v>
      </c>
      <c r="D1082" s="3">
        <v>38.01</v>
      </c>
      <c r="E1082" s="4">
        <v>10.71</v>
      </c>
      <c r="F1082" s="1">
        <v>10.26</v>
      </c>
      <c r="G1082" s="9">
        <v>-3.5000000000000001E-3</v>
      </c>
      <c r="H1082" s="9">
        <v>-2.7000000000000001E-3</v>
      </c>
      <c r="I1082" s="9">
        <v>4.0000000000000002E-4</v>
      </c>
    </row>
    <row r="1083" spans="1:11">
      <c r="A1083" s="1" t="s">
        <v>1241</v>
      </c>
      <c r="B1083" s="1">
        <v>390</v>
      </c>
      <c r="C1083" s="2">
        <v>45.06</v>
      </c>
      <c r="D1083" s="3">
        <v>38.01</v>
      </c>
      <c r="E1083" s="4">
        <v>10.71</v>
      </c>
      <c r="F1083" s="1">
        <v>10.26</v>
      </c>
      <c r="G1083" s="9">
        <v>-3.5000000000000001E-3</v>
      </c>
      <c r="H1083" s="9">
        <v>-2.7000000000000001E-3</v>
      </c>
      <c r="I1083" s="9">
        <v>4.0000000000000002E-4</v>
      </c>
    </row>
    <row r="1084" spans="1:11">
      <c r="A1084" s="192" t="s">
        <v>1242</v>
      </c>
      <c r="B1084" s="1">
        <v>235</v>
      </c>
      <c r="C1084" s="2">
        <v>27.3</v>
      </c>
      <c r="D1084" s="3">
        <v>22.96</v>
      </c>
      <c r="E1084" s="4">
        <v>10.69</v>
      </c>
      <c r="F1084" s="1">
        <v>10.23</v>
      </c>
      <c r="G1084" s="9">
        <v>-3.5000000000000001E-3</v>
      </c>
      <c r="H1084" s="9">
        <v>-2.7000000000000001E-3</v>
      </c>
      <c r="I1084" s="9">
        <v>4.0000000000000002E-4</v>
      </c>
    </row>
    <row r="1085" spans="1:11">
      <c r="A1085" s="1" t="s">
        <v>1243</v>
      </c>
      <c r="B1085" s="1">
        <v>265</v>
      </c>
      <c r="C1085" s="2">
        <v>24.78</v>
      </c>
      <c r="D1085" s="3">
        <v>20.57</v>
      </c>
      <c r="E1085" s="4">
        <v>13.53</v>
      </c>
      <c r="F1085" s="1">
        <v>12.88</v>
      </c>
      <c r="G1085" s="9">
        <v>-3.3999999999999998E-3</v>
      </c>
      <c r="H1085" s="9">
        <v>-2.7000000000000001E-3</v>
      </c>
      <c r="I1085" s="9">
        <v>4.0000000000000002E-4</v>
      </c>
    </row>
    <row r="1086" spans="1:11">
      <c r="A1086" s="1" t="s">
        <v>1244</v>
      </c>
      <c r="B1086" s="1">
        <v>280</v>
      </c>
      <c r="C1086" s="2">
        <v>32.590000000000003</v>
      </c>
      <c r="D1086" s="3">
        <v>27.26</v>
      </c>
      <c r="E1086" s="4">
        <v>10.79</v>
      </c>
      <c r="F1086" s="1">
        <v>10.27</v>
      </c>
      <c r="G1086" s="9">
        <v>-3.5999999999999999E-3</v>
      </c>
      <c r="H1086" s="9">
        <v>-2.7000000000000001E-3</v>
      </c>
      <c r="I1086" s="9">
        <v>4.0000000000000002E-4</v>
      </c>
    </row>
    <row r="1087" spans="1:11">
      <c r="A1087" s="1" t="s">
        <v>1245</v>
      </c>
      <c r="B1087" s="1">
        <v>580</v>
      </c>
      <c r="C1087" s="2">
        <v>53.64</v>
      </c>
      <c r="D1087" s="3">
        <v>44.9</v>
      </c>
      <c r="E1087" s="4">
        <v>13.54</v>
      </c>
      <c r="F1087" s="1">
        <v>12.92</v>
      </c>
      <c r="G1087" s="9">
        <v>-3.3999999999999998E-3</v>
      </c>
      <c r="H1087" s="9">
        <v>-2.7000000000000001E-3</v>
      </c>
      <c r="I1087" s="9">
        <v>4.0000000000000002E-4</v>
      </c>
    </row>
    <row r="1088" spans="1:11">
      <c r="A1088" s="1" t="s">
        <v>1246</v>
      </c>
      <c r="B1088" s="1">
        <v>585</v>
      </c>
      <c r="C1088" s="2">
        <v>53.67</v>
      </c>
      <c r="D1088" s="3">
        <v>45.12</v>
      </c>
      <c r="E1088" s="4">
        <v>13.57</v>
      </c>
      <c r="F1088" s="1">
        <v>12.97</v>
      </c>
      <c r="G1088" s="9">
        <v>-3.3999999999999998E-3</v>
      </c>
      <c r="H1088" s="9">
        <v>-2.7000000000000001E-3</v>
      </c>
      <c r="I1088" s="9">
        <v>4.0000000000000002E-4</v>
      </c>
    </row>
    <row r="1089" spans="1:9">
      <c r="A1089" s="1" t="s">
        <v>1247</v>
      </c>
      <c r="B1089" s="1">
        <v>460</v>
      </c>
      <c r="C1089" s="2">
        <v>53.25</v>
      </c>
      <c r="D1089" s="3">
        <v>44.89</v>
      </c>
      <c r="E1089" s="4">
        <v>10.7</v>
      </c>
      <c r="F1089" s="1">
        <v>10.25</v>
      </c>
      <c r="G1089" s="9">
        <v>-3.5000000000000001E-3</v>
      </c>
      <c r="H1089" s="9">
        <v>-2.7000000000000001E-3</v>
      </c>
      <c r="I1089" s="9">
        <v>4.0000000000000002E-4</v>
      </c>
    </row>
    <row r="1090" spans="1:9">
      <c r="A1090" s="1" t="s">
        <v>1248</v>
      </c>
      <c r="B1090" s="1">
        <v>460</v>
      </c>
      <c r="C1090" s="2">
        <v>53.25</v>
      </c>
      <c r="D1090" s="3">
        <v>44.89</v>
      </c>
      <c r="E1090" s="4">
        <v>10.7</v>
      </c>
      <c r="F1090" s="1">
        <v>10.25</v>
      </c>
      <c r="G1090" s="9">
        <v>-3.5000000000000001E-3</v>
      </c>
      <c r="H1090" s="9">
        <v>-2.7000000000000001E-3</v>
      </c>
      <c r="I1090" s="9">
        <v>4.0000000000000002E-4</v>
      </c>
    </row>
    <row r="1091" spans="1:9">
      <c r="A1091" s="1" t="s">
        <v>1249</v>
      </c>
      <c r="B1091" s="1">
        <v>185</v>
      </c>
      <c r="C1091" s="2">
        <v>21.64</v>
      </c>
      <c r="D1091" s="3">
        <v>18.07</v>
      </c>
      <c r="E1091" s="4">
        <v>10.75</v>
      </c>
      <c r="F1091" s="1">
        <v>10.24</v>
      </c>
      <c r="G1091" s="9">
        <v>-3.5999999999999999E-3</v>
      </c>
      <c r="H1091" s="9">
        <v>-2.7000000000000001E-3</v>
      </c>
      <c r="I1091" s="9">
        <v>4.0000000000000002E-4</v>
      </c>
    </row>
    <row r="1092" spans="1:9">
      <c r="A1092" s="1" t="s">
        <v>1250</v>
      </c>
      <c r="B1092" s="1">
        <v>355</v>
      </c>
      <c r="C1092" s="2">
        <v>40.98</v>
      </c>
      <c r="D1092" s="3">
        <v>34.380000000000003</v>
      </c>
      <c r="E1092" s="4">
        <v>10.84</v>
      </c>
      <c r="F1092" s="1">
        <v>10.33</v>
      </c>
      <c r="G1092" s="9">
        <v>-3.5999999999999999E-3</v>
      </c>
      <c r="H1092" s="9">
        <v>-2.7000000000000001E-3</v>
      </c>
      <c r="I1092" s="9">
        <v>4.0000000000000002E-4</v>
      </c>
    </row>
    <row r="1093" spans="1:9">
      <c r="A1093" s="1" t="s">
        <v>1251</v>
      </c>
      <c r="B1093" s="1">
        <v>335</v>
      </c>
      <c r="C1093" s="2">
        <v>40.89</v>
      </c>
      <c r="D1093" s="3">
        <v>34.47</v>
      </c>
      <c r="E1093" s="4">
        <v>10.210000000000001</v>
      </c>
      <c r="F1093" s="1">
        <v>9.7200000000000006</v>
      </c>
      <c r="G1093" s="9">
        <v>-3.5999999999999999E-3</v>
      </c>
      <c r="H1093" s="9">
        <v>-2.7000000000000001E-3</v>
      </c>
      <c r="I1093" s="9">
        <v>4.0000000000000002E-4</v>
      </c>
    </row>
    <row r="1094" spans="1:9">
      <c r="A1094" s="1" t="s">
        <v>1252</v>
      </c>
      <c r="B1094" s="1">
        <v>355</v>
      </c>
      <c r="C1094" s="2">
        <v>40.97</v>
      </c>
      <c r="D1094" s="3">
        <v>34.58</v>
      </c>
      <c r="E1094" s="4">
        <v>10.71</v>
      </c>
      <c r="F1094" s="1">
        <v>10.26</v>
      </c>
      <c r="G1094" s="9">
        <v>-3.5000000000000001E-3</v>
      </c>
      <c r="H1094" s="9">
        <v>-2.7000000000000001E-3</v>
      </c>
      <c r="I1094" s="9">
        <v>4.0000000000000002E-4</v>
      </c>
    </row>
    <row r="1095" spans="1:9">
      <c r="A1095" s="1" t="s">
        <v>1253</v>
      </c>
      <c r="B1095" s="1">
        <v>375</v>
      </c>
      <c r="C1095" s="2">
        <v>48.44</v>
      </c>
      <c r="D1095" s="3">
        <v>39.43</v>
      </c>
      <c r="E1095" s="4">
        <v>10</v>
      </c>
      <c r="F1095" s="1">
        <v>9.51</v>
      </c>
      <c r="G1095" s="9">
        <v>-3.8999999999999998E-3</v>
      </c>
      <c r="H1095" s="9">
        <v>-2.8E-3</v>
      </c>
      <c r="I1095" s="9">
        <v>4.0000000000000002E-4</v>
      </c>
    </row>
    <row r="1096" spans="1:9" ht="12" customHeight="1">
      <c r="A1096" s="1" t="s">
        <v>1254</v>
      </c>
      <c r="B1096" s="1">
        <v>375</v>
      </c>
      <c r="C1096" s="2">
        <v>48.44</v>
      </c>
      <c r="D1096" s="3">
        <v>39.43</v>
      </c>
      <c r="E1096" s="4">
        <v>10</v>
      </c>
      <c r="F1096" s="1">
        <v>9.51</v>
      </c>
      <c r="G1096" s="9">
        <v>-3.8999999999999998E-3</v>
      </c>
      <c r="H1096" s="9">
        <v>-2.8E-3</v>
      </c>
      <c r="I1096" s="9">
        <v>4.0000000000000002E-4</v>
      </c>
    </row>
    <row r="1097" spans="1:9">
      <c r="A1097" s="1" t="s">
        <v>1255</v>
      </c>
      <c r="B1097" s="1">
        <v>365</v>
      </c>
      <c r="C1097" s="2">
        <v>48.02</v>
      </c>
      <c r="D1097" s="3">
        <v>39.200000000000003</v>
      </c>
      <c r="E1097" s="4">
        <v>9.8000000000000007</v>
      </c>
      <c r="F1097" s="1">
        <v>9.31</v>
      </c>
      <c r="G1097" s="9">
        <v>-3.8999999999999998E-3</v>
      </c>
      <c r="H1097" s="9">
        <v>-2.8E-3</v>
      </c>
      <c r="I1097" s="9">
        <v>4.0000000000000002E-4</v>
      </c>
    </row>
    <row r="1098" spans="1:9" ht="12" customHeight="1">
      <c r="A1098" s="1" t="s">
        <v>1256</v>
      </c>
      <c r="B1098" s="1">
        <v>160</v>
      </c>
      <c r="C1098" s="2">
        <v>21.21</v>
      </c>
      <c r="D1098" s="3">
        <v>17.28</v>
      </c>
      <c r="E1098" s="4">
        <v>9.77</v>
      </c>
      <c r="F1098" s="1">
        <v>9.26</v>
      </c>
      <c r="G1098" s="9">
        <v>-3.8999999999999998E-3</v>
      </c>
      <c r="H1098" s="9">
        <v>-2.8E-3</v>
      </c>
      <c r="I1098" s="9">
        <v>4.0000000000000002E-4</v>
      </c>
    </row>
    <row r="1099" spans="1:9">
      <c r="A1099" s="1" t="s">
        <v>1257</v>
      </c>
      <c r="B1099" s="1">
        <v>305</v>
      </c>
      <c r="C1099" s="2">
        <v>40.049999999999997</v>
      </c>
      <c r="D1099" s="3">
        <v>32.619999999999997</v>
      </c>
      <c r="E1099" s="4">
        <v>9.84</v>
      </c>
      <c r="F1099" s="1">
        <v>9.35</v>
      </c>
      <c r="G1099" s="9">
        <v>-3.8999999999999998E-3</v>
      </c>
      <c r="H1099" s="9">
        <v>-2.8E-3</v>
      </c>
    </row>
    <row r="1100" spans="1:9">
      <c r="A1100" s="1" t="s">
        <v>1258</v>
      </c>
      <c r="B1100" s="1">
        <v>300</v>
      </c>
      <c r="C1100" s="2">
        <v>39.76</v>
      </c>
      <c r="D1100" s="3">
        <v>32.409999999999997</v>
      </c>
      <c r="E1100" s="4">
        <v>9.77</v>
      </c>
      <c r="F1100" s="1">
        <v>9.26</v>
      </c>
      <c r="G1100" s="9">
        <v>-3.8999999999999998E-3</v>
      </c>
      <c r="H1100" s="9">
        <v>-2.8E-3</v>
      </c>
      <c r="I1100" s="9">
        <v>4.0000000000000002E-4</v>
      </c>
    </row>
    <row r="1101" spans="1:9">
      <c r="A1101" s="1" t="s">
        <v>1259</v>
      </c>
      <c r="B1101" s="1">
        <v>245</v>
      </c>
      <c r="C1101" s="2">
        <v>32.119999999999997</v>
      </c>
      <c r="D1101" s="3">
        <v>26.19</v>
      </c>
      <c r="E1101" s="4">
        <v>9.84</v>
      </c>
      <c r="F1101" s="1">
        <v>9.36</v>
      </c>
      <c r="G1101" s="9">
        <v>-3.8999999999999998E-3</v>
      </c>
      <c r="H1101" s="9">
        <v>-2.8E-3</v>
      </c>
      <c r="I1101" s="9">
        <v>4.0000000000000002E-4</v>
      </c>
    </row>
    <row r="1102" spans="1:9">
      <c r="A1102" s="1" t="s">
        <v>1260</v>
      </c>
      <c r="B1102" s="1">
        <v>310</v>
      </c>
      <c r="C1102" s="2">
        <v>40.369999999999997</v>
      </c>
      <c r="D1102" s="3">
        <v>32.89</v>
      </c>
      <c r="E1102" s="4">
        <v>9.89</v>
      </c>
      <c r="F1102" s="1">
        <v>9.42</v>
      </c>
      <c r="G1102" s="9">
        <v>-3.8999999999999998E-3</v>
      </c>
      <c r="H1102" s="9">
        <v>-2.8E-3</v>
      </c>
      <c r="I1102" s="9">
        <v>4.0000000000000002E-4</v>
      </c>
    </row>
    <row r="1103" spans="1:9">
      <c r="A1103" s="1" t="s">
        <v>1261</v>
      </c>
      <c r="B1103" s="1">
        <v>315</v>
      </c>
      <c r="C1103" s="2">
        <v>40.65</v>
      </c>
      <c r="D1103" s="3">
        <v>33.1</v>
      </c>
      <c r="E1103" s="4">
        <v>9.9600000000000009</v>
      </c>
      <c r="F1103" s="1">
        <v>9.52</v>
      </c>
      <c r="G1103" s="9">
        <v>-3.8999999999999998E-3</v>
      </c>
      <c r="H1103" s="9">
        <v>-2.8E-3</v>
      </c>
      <c r="I1103" s="9">
        <v>4.0000000000000002E-4</v>
      </c>
    </row>
    <row r="1104" spans="1:9">
      <c r="A1104" s="1" t="s">
        <v>1262</v>
      </c>
      <c r="B1104" s="1">
        <v>370</v>
      </c>
      <c r="C1104" s="2">
        <v>48.3</v>
      </c>
      <c r="D1104" s="3">
        <v>39.409999999999997</v>
      </c>
      <c r="E1104" s="4">
        <v>9.86</v>
      </c>
      <c r="F1104" s="1">
        <v>9.39</v>
      </c>
      <c r="G1104" s="9">
        <v>-3.8999999999999998E-3</v>
      </c>
      <c r="H1104" s="9">
        <v>-2.8E-3</v>
      </c>
      <c r="I1104" s="9">
        <v>4.0000000000000002E-4</v>
      </c>
    </row>
    <row r="1105" spans="1:11">
      <c r="A1105" s="1" t="s">
        <v>1263</v>
      </c>
      <c r="B1105" s="1">
        <v>375</v>
      </c>
      <c r="C1105" s="2">
        <v>48.59</v>
      </c>
      <c r="D1105" s="3">
        <v>39.619999999999997</v>
      </c>
      <c r="E1105" s="4">
        <v>9.92</v>
      </c>
      <c r="F1105" s="1">
        <v>9.4700000000000006</v>
      </c>
      <c r="G1105" s="9">
        <v>-3.8999999999999998E-3</v>
      </c>
      <c r="H1105" s="9">
        <v>-2.8E-3</v>
      </c>
      <c r="I1105" s="9">
        <v>4.0000000000000002E-4</v>
      </c>
    </row>
    <row r="1106" spans="1:11">
      <c r="A1106" s="1" t="s">
        <v>1264</v>
      </c>
      <c r="B1106" s="1">
        <v>395</v>
      </c>
      <c r="C1106" s="2">
        <v>48.7</v>
      </c>
      <c r="D1106" s="3">
        <v>40.9</v>
      </c>
      <c r="E1106" s="4">
        <v>10.013999999999999</v>
      </c>
      <c r="F1106" s="1">
        <v>9.66</v>
      </c>
      <c r="G1106" s="9">
        <v>-3.5999999999999999E-3</v>
      </c>
      <c r="H1106" s="9">
        <v>-2.7000000000000001E-3</v>
      </c>
      <c r="I1106" s="9">
        <v>4.0000000000000002E-4</v>
      </c>
    </row>
    <row r="1107" spans="1:11">
      <c r="A1107" s="1" t="s">
        <v>1265</v>
      </c>
      <c r="B1107" s="1">
        <v>285</v>
      </c>
      <c r="C1107" s="2">
        <v>39.22</v>
      </c>
      <c r="D1107" s="3">
        <v>31.99</v>
      </c>
      <c r="E1107" s="4">
        <v>9.4600000000000009</v>
      </c>
      <c r="F1107" s="1">
        <v>8.91</v>
      </c>
      <c r="G1107" s="9">
        <v>-4.0000000000000001E-3</v>
      </c>
      <c r="H1107" s="9">
        <v>-2.8999999999999998E-3</v>
      </c>
      <c r="I1107" s="9">
        <v>4.0000000000000002E-4</v>
      </c>
    </row>
    <row r="1108" spans="1:11">
      <c r="A1108" s="1" t="s">
        <v>1266</v>
      </c>
      <c r="B1108" s="1">
        <f>B1107*K1108</f>
        <v>570</v>
      </c>
      <c r="C1108" s="2">
        <f>C1107</f>
        <v>39.22</v>
      </c>
      <c r="D1108" s="3">
        <f>D1107</f>
        <v>31.99</v>
      </c>
      <c r="E1108" s="4">
        <f>E1107*K1108</f>
        <v>18.920000000000002</v>
      </c>
      <c r="F1108" s="1">
        <f>F1107*K1108</f>
        <v>17.82</v>
      </c>
      <c r="G1108" s="9">
        <f>G1107</f>
        <v>-4.0000000000000001E-3</v>
      </c>
      <c r="H1108" s="9">
        <f>H1107</f>
        <v>-2.8999999999999998E-3</v>
      </c>
      <c r="I1108" s="9">
        <f>I1107</f>
        <v>4.0000000000000002E-4</v>
      </c>
      <c r="K1108" s="5">
        <v>2</v>
      </c>
    </row>
    <row r="1109" spans="1:11">
      <c r="A1109" s="1" t="s">
        <v>1267</v>
      </c>
      <c r="B1109" s="1">
        <v>345</v>
      </c>
      <c r="C1109" s="2">
        <v>47.46</v>
      </c>
      <c r="D1109" s="3">
        <v>37.93</v>
      </c>
      <c r="E1109" s="4">
        <v>9.64</v>
      </c>
      <c r="F1109" s="1">
        <v>9.09</v>
      </c>
      <c r="G1109" s="9">
        <v>-4.0000000000000001E-3</v>
      </c>
      <c r="H1109" s="9">
        <v>-2.8999999999999998E-3</v>
      </c>
      <c r="I1109" s="9">
        <v>4.0000000000000002E-4</v>
      </c>
    </row>
    <row r="1110" spans="1:11">
      <c r="A1110" s="1" t="s">
        <v>1268</v>
      </c>
      <c r="B1110" s="1">
        <v>270</v>
      </c>
      <c r="C1110" s="2">
        <v>38.24</v>
      </c>
      <c r="D1110" s="3">
        <v>31.02</v>
      </c>
      <c r="E1110" s="4">
        <v>9.31</v>
      </c>
      <c r="F1110" s="1">
        <v>8.6999999999999993</v>
      </c>
      <c r="G1110" s="9">
        <v>-4.1000000000000003E-3</v>
      </c>
      <c r="H1110" s="9">
        <v>-3.0000000000000001E-3</v>
      </c>
      <c r="I1110" s="9">
        <v>4.0000000000000002E-4</v>
      </c>
    </row>
    <row r="1111" spans="1:11">
      <c r="A1111" s="1" t="s">
        <v>1269</v>
      </c>
      <c r="B1111" s="1">
        <v>275</v>
      </c>
      <c r="C1111" s="2">
        <v>38.82</v>
      </c>
      <c r="D1111" s="3">
        <v>31.12</v>
      </c>
      <c r="E1111" s="4">
        <v>9.41</v>
      </c>
      <c r="F1111" s="1">
        <v>8.84</v>
      </c>
      <c r="G1111" s="9">
        <v>-4.0000000000000001E-3</v>
      </c>
      <c r="H1111" s="9">
        <v>-2.8999999999999998E-3</v>
      </c>
      <c r="I1111" s="9">
        <v>4.0000000000000002E-4</v>
      </c>
    </row>
    <row r="1112" spans="1:11">
      <c r="A1112" s="1" t="s">
        <v>1270</v>
      </c>
      <c r="B1112" s="1">
        <v>290</v>
      </c>
      <c r="C1112" s="2">
        <v>39.479999999999997</v>
      </c>
      <c r="D1112" s="3">
        <v>32.29</v>
      </c>
      <c r="E1112" s="4">
        <v>9.52</v>
      </c>
      <c r="F1112" s="1">
        <v>8.98</v>
      </c>
      <c r="G1112" s="9">
        <v>-4.0000000000000001E-3</v>
      </c>
      <c r="H1112" s="9">
        <v>-2.8999999999999998E-3</v>
      </c>
      <c r="I1112" s="9">
        <v>4.0000000000000002E-4</v>
      </c>
    </row>
    <row r="1113" spans="1:11">
      <c r="A1113" s="1" t="s">
        <v>1271</v>
      </c>
      <c r="B1113" s="1">
        <v>275</v>
      </c>
      <c r="C1113" s="2">
        <v>38.5</v>
      </c>
      <c r="D1113" s="3">
        <v>31.5</v>
      </c>
      <c r="E1113" s="4">
        <v>9.24</v>
      </c>
      <c r="F1113" s="1">
        <v>8.74</v>
      </c>
      <c r="G1113" s="9">
        <v>-4.0000000000000001E-3</v>
      </c>
      <c r="H1113" s="9">
        <v>-3.0999999999999999E-3</v>
      </c>
      <c r="I1113" s="9">
        <v>5.0000000000000001E-4</v>
      </c>
    </row>
    <row r="1114" spans="1:11" ht="11.65" customHeight="1">
      <c r="A1114" s="1" t="s">
        <v>1272</v>
      </c>
      <c r="B1114" s="1">
        <v>330</v>
      </c>
      <c r="C1114" s="2">
        <v>45.7</v>
      </c>
      <c r="D1114" s="3">
        <v>37.700000000000003</v>
      </c>
      <c r="E1114" s="4">
        <v>9.2899999999999991</v>
      </c>
      <c r="F1114" s="1">
        <v>8.76</v>
      </c>
      <c r="G1114" s="9">
        <v>-4.0000000000000001E-3</v>
      </c>
      <c r="H1114" s="9">
        <v>-3.0999999999999999E-3</v>
      </c>
      <c r="I1114" s="9">
        <v>5.0000000000000001E-4</v>
      </c>
    </row>
    <row r="1115" spans="1:11">
      <c r="A1115" s="1" t="s">
        <v>1273</v>
      </c>
      <c r="B1115" s="1">
        <v>245</v>
      </c>
      <c r="C1115" s="2">
        <v>37.5</v>
      </c>
      <c r="D1115" s="3">
        <v>29.6</v>
      </c>
      <c r="E1115" s="4">
        <v>8.73</v>
      </c>
      <c r="F1115" s="1">
        <v>8.2799999999999994</v>
      </c>
      <c r="G1115" s="9">
        <v>-4.4999999999999997E-3</v>
      </c>
      <c r="H1115" s="9">
        <v>-3.2000000000000002E-3</v>
      </c>
      <c r="I1115" s="9">
        <v>4.0000000000000002E-4</v>
      </c>
    </row>
    <row r="1116" spans="1:11">
      <c r="A1116" s="1" t="s">
        <v>1274</v>
      </c>
      <c r="B1116" s="1">
        <v>255</v>
      </c>
      <c r="C1116" s="2">
        <v>37.99</v>
      </c>
      <c r="D1116" s="3">
        <v>30.04</v>
      </c>
      <c r="E1116" s="4">
        <v>9.0299999999999994</v>
      </c>
      <c r="F1116" s="1">
        <v>8.57</v>
      </c>
      <c r="G1116" s="9">
        <v>-4.4999999999999997E-3</v>
      </c>
      <c r="H1116" s="9">
        <v>-3.2000000000000002E-3</v>
      </c>
      <c r="I1116" s="9">
        <v>4.0000000000000002E-4</v>
      </c>
    </row>
    <row r="1117" spans="1:11">
      <c r="A1117" s="1" t="s">
        <v>1275</v>
      </c>
      <c r="B1117" s="1">
        <f>B1116*K1117</f>
        <v>0</v>
      </c>
      <c r="C1117" s="2">
        <f>C1116</f>
        <v>37.99</v>
      </c>
      <c r="D1117" s="3">
        <f>D1116</f>
        <v>30.04</v>
      </c>
      <c r="E1117" s="4">
        <f>E1116*K1117</f>
        <v>0</v>
      </c>
      <c r="F1117" s="1">
        <f>F1116*K1117</f>
        <v>0</v>
      </c>
      <c r="G1117" s="9">
        <f>G1116</f>
        <v>-4.4999999999999997E-3</v>
      </c>
      <c r="H1117" s="9">
        <f>H1116</f>
        <v>-3.2000000000000002E-3</v>
      </c>
      <c r="I1117" s="9">
        <f>I1116</f>
        <v>4.0000000000000002E-4</v>
      </c>
    </row>
    <row r="1118" spans="1:11">
      <c r="A1118" s="1" t="s">
        <v>1276</v>
      </c>
      <c r="B1118" s="1">
        <v>555</v>
      </c>
      <c r="C1118" s="2">
        <v>49.95</v>
      </c>
      <c r="D1118" s="3">
        <v>42.1</v>
      </c>
      <c r="E1118" s="4">
        <v>14.04</v>
      </c>
      <c r="F1118" s="1">
        <v>13.19</v>
      </c>
      <c r="G1118" s="9">
        <v>-3.3999999999999998E-3</v>
      </c>
      <c r="H1118" s="9">
        <v>-2.65E-3</v>
      </c>
      <c r="I1118" s="9">
        <v>5.0000000000000001E-4</v>
      </c>
    </row>
    <row r="1119" spans="1:11">
      <c r="A1119" s="1" t="s">
        <v>1277</v>
      </c>
      <c r="B1119" s="1">
        <v>325</v>
      </c>
      <c r="C1119" s="2">
        <v>45.5</v>
      </c>
      <c r="D1119" s="3">
        <v>37.4</v>
      </c>
      <c r="E1119" s="4">
        <v>9.16</v>
      </c>
      <c r="F1119" s="1">
        <v>8.69</v>
      </c>
      <c r="G1119" s="9">
        <v>-3.8E-3</v>
      </c>
      <c r="H1119" s="9">
        <v>-3.3E-3</v>
      </c>
    </row>
    <row r="1120" spans="1:11">
      <c r="A1120" s="1" t="s">
        <v>1278</v>
      </c>
      <c r="B1120" s="1">
        <v>420</v>
      </c>
      <c r="C1120" s="2">
        <v>48.88</v>
      </c>
      <c r="D1120" s="3">
        <v>40.89</v>
      </c>
      <c r="E1120" s="4">
        <v>10.79</v>
      </c>
      <c r="F1120" s="1">
        <v>10.27</v>
      </c>
      <c r="G1120" s="9">
        <v>-3.5999999999999999E-3</v>
      </c>
      <c r="H1120" s="9">
        <v>-2.7000000000000001E-3</v>
      </c>
      <c r="I1120" s="9">
        <v>4.0000000000000002E-4</v>
      </c>
    </row>
    <row r="1121" spans="1:11">
      <c r="A1121" s="1" t="s">
        <v>1279</v>
      </c>
      <c r="B1121" s="1">
        <v>255</v>
      </c>
      <c r="C1121" s="2">
        <v>37.89</v>
      </c>
      <c r="D1121" s="3">
        <v>29.96</v>
      </c>
      <c r="E1121" s="4">
        <v>8.99</v>
      </c>
      <c r="F1121" s="1">
        <v>8.51</v>
      </c>
      <c r="G1121" s="9">
        <v>-4.1999999999999997E-3</v>
      </c>
      <c r="H1121" s="9">
        <v>-3.3E-3</v>
      </c>
      <c r="K1121" s="5">
        <v>40</v>
      </c>
    </row>
    <row r="1122" spans="1:11">
      <c r="A1122" s="1" t="s">
        <v>1280</v>
      </c>
      <c r="B1122" s="1">
        <v>285</v>
      </c>
      <c r="C1122" s="2">
        <v>39.22</v>
      </c>
      <c r="D1122" s="3">
        <v>31.99</v>
      </c>
      <c r="G1122" s="9">
        <v>-4.0000000000000001E-3</v>
      </c>
      <c r="H1122" s="9">
        <v>-2.8999999999999998E-3</v>
      </c>
    </row>
    <row r="1123" spans="1:11">
      <c r="A1123" s="1" t="s">
        <v>1281</v>
      </c>
      <c r="B1123" s="1">
        <v>330</v>
      </c>
      <c r="C1123" s="2">
        <v>45.7</v>
      </c>
      <c r="D1123" s="3">
        <v>37.700000000000003</v>
      </c>
      <c r="E1123" s="4">
        <v>9.26</v>
      </c>
      <c r="F1123" s="1">
        <v>8.76</v>
      </c>
      <c r="G1123" s="9">
        <v>-4.0000000000000001E-3</v>
      </c>
      <c r="H1123" s="9">
        <v>-3.0999999999999999E-3</v>
      </c>
      <c r="I1123" s="9">
        <v>5.0000000000000001E-4</v>
      </c>
    </row>
    <row r="1124" spans="1:11">
      <c r="A1124" s="1" t="s">
        <v>1282</v>
      </c>
      <c r="B1124" s="1">
        <v>270</v>
      </c>
      <c r="C1124" s="2">
        <v>38.200000000000003</v>
      </c>
      <c r="D1124" s="3">
        <v>31.1</v>
      </c>
      <c r="E1124" s="4">
        <v>9.2200000000000006</v>
      </c>
      <c r="F1124" s="1">
        <v>8.69</v>
      </c>
      <c r="G1124" s="9">
        <v>-4.0000000000000001E-3</v>
      </c>
      <c r="H1124" s="9">
        <v>-3.0999999999999999E-3</v>
      </c>
      <c r="I1124" s="9">
        <v>5.0000000000000001E-4</v>
      </c>
    </row>
    <row r="1125" spans="1:11">
      <c r="A1125" s="1" t="s">
        <v>1283</v>
      </c>
      <c r="B1125" s="1">
        <v>305</v>
      </c>
      <c r="C1125" s="2">
        <v>40.049999999999997</v>
      </c>
      <c r="D1125" s="3">
        <v>32.619999999999997</v>
      </c>
      <c r="E1125" s="4">
        <v>9.84</v>
      </c>
      <c r="F1125" s="1">
        <v>9.35</v>
      </c>
      <c r="G1125" s="9">
        <v>-3.8999999999999998E-3</v>
      </c>
      <c r="H1125" s="9">
        <v>-2.8E-3</v>
      </c>
      <c r="I1125" s="9">
        <v>4.0000000000000002E-4</v>
      </c>
      <c r="K1125" s="5">
        <v>4</v>
      </c>
    </row>
    <row r="1126" spans="1:11">
      <c r="A1126" s="1" t="s">
        <v>1284</v>
      </c>
      <c r="B1126" s="1">
        <v>325</v>
      </c>
      <c r="C1126" s="2">
        <v>40.4</v>
      </c>
      <c r="D1126" s="3">
        <v>33.65</v>
      </c>
      <c r="E1126" s="4">
        <v>10.14</v>
      </c>
      <c r="F1126" s="1">
        <v>9.66</v>
      </c>
      <c r="G1126" s="9">
        <v>-3.7000000000000002E-3</v>
      </c>
      <c r="H1126" s="9">
        <v>-2.8E-3</v>
      </c>
      <c r="I1126" s="9">
        <v>4.0000000000000001E-3</v>
      </c>
    </row>
    <row r="1127" spans="1:11">
      <c r="A1127" s="1" t="s">
        <v>1285</v>
      </c>
      <c r="B1127" s="1">
        <v>305</v>
      </c>
      <c r="C1127" s="2">
        <v>40.049999999999997</v>
      </c>
      <c r="D1127" s="3">
        <v>32.619999999999997</v>
      </c>
      <c r="E1127" s="4">
        <v>9.84</v>
      </c>
      <c r="F1127" s="1">
        <v>9.35</v>
      </c>
      <c r="G1127" s="9">
        <v>-3.8999999999999998E-3</v>
      </c>
      <c r="H1127" s="9">
        <v>-2.8E-3</v>
      </c>
      <c r="I1127" s="9">
        <v>4.0000000000000002E-4</v>
      </c>
    </row>
    <row r="1128" spans="1:11">
      <c r="A1128" s="1" t="s">
        <v>1286</v>
      </c>
      <c r="B1128" s="1">
        <v>325</v>
      </c>
      <c r="C1128" s="2">
        <v>40.4</v>
      </c>
      <c r="D1128" s="3">
        <v>33.65</v>
      </c>
      <c r="E1128" s="4">
        <v>10.14</v>
      </c>
      <c r="F1128" s="1">
        <v>9.66</v>
      </c>
      <c r="G1128" s="9">
        <v>-3.7000000000000002E-3</v>
      </c>
      <c r="H1128" s="9">
        <v>-2.8E-3</v>
      </c>
      <c r="I1128" s="9">
        <v>4.0000000000000002E-4</v>
      </c>
    </row>
    <row r="1129" spans="1:11">
      <c r="A1129" s="1" t="s">
        <v>1287</v>
      </c>
      <c r="B1129" s="1">
        <v>390</v>
      </c>
      <c r="C1129" s="2">
        <v>48.48</v>
      </c>
      <c r="D1129" s="3">
        <v>40.380000000000003</v>
      </c>
      <c r="E1129" s="4">
        <v>10.14</v>
      </c>
      <c r="F1129" s="1">
        <v>9.66</v>
      </c>
      <c r="G1129" s="9">
        <v>-3.7000000000000002E-3</v>
      </c>
      <c r="H1129" s="9">
        <v>-2.8E-3</v>
      </c>
      <c r="I1129" s="9">
        <v>4.0000000000000002E-4</v>
      </c>
    </row>
    <row r="1130" spans="1:11">
      <c r="A1130" s="1" t="s">
        <v>1288</v>
      </c>
      <c r="B1130" s="1">
        <v>400</v>
      </c>
      <c r="C1130" s="2">
        <v>47.89</v>
      </c>
      <c r="D1130" s="3">
        <v>39.630000000000003</v>
      </c>
      <c r="E1130" s="4">
        <v>10.6</v>
      </c>
      <c r="F1130" s="1">
        <v>10.09</v>
      </c>
      <c r="G1130" s="9">
        <v>-3.7000000000000002E-3</v>
      </c>
      <c r="H1130" s="9">
        <v>-2.8E-3</v>
      </c>
      <c r="I1130" s="9">
        <v>4.0000000000000002E-4</v>
      </c>
    </row>
    <row r="1131" spans="1:11">
      <c r="A1131" s="1" t="s">
        <v>1289</v>
      </c>
      <c r="B1131" s="1">
        <v>290</v>
      </c>
      <c r="C1131" s="2">
        <v>39.479999999999997</v>
      </c>
      <c r="D1131" s="3">
        <v>32.29</v>
      </c>
      <c r="E1131" s="4">
        <v>9.52</v>
      </c>
      <c r="F1131" s="1">
        <v>8.98</v>
      </c>
      <c r="G1131" s="9">
        <v>-4.0000000000000001E-3</v>
      </c>
      <c r="H1131" s="9">
        <v>-2.8999999999999998E-3</v>
      </c>
      <c r="I1131" s="9">
        <v>4.0000000000000002E-4</v>
      </c>
    </row>
    <row r="1132" spans="1:11">
      <c r="A1132" s="1" t="s">
        <v>1290</v>
      </c>
      <c r="B1132" s="1">
        <v>340</v>
      </c>
      <c r="C1132" s="2">
        <v>47.07</v>
      </c>
      <c r="D1132" s="3">
        <v>37.630000000000003</v>
      </c>
      <c r="E1132" s="4">
        <v>9.59</v>
      </c>
      <c r="F1132" s="1">
        <v>9.0299999999999994</v>
      </c>
      <c r="G1132" s="9">
        <v>-4.0000000000000001E-3</v>
      </c>
      <c r="H1132" s="9">
        <v>-2.8999999999999998E-3</v>
      </c>
      <c r="I1132" s="9">
        <v>4.0000000000000002E-4</v>
      </c>
    </row>
    <row r="1133" spans="1:11">
      <c r="A1133" s="1" t="s">
        <v>1291</v>
      </c>
      <c r="B1133" s="1">
        <v>285</v>
      </c>
      <c r="C1133" s="2">
        <v>39.22</v>
      </c>
      <c r="D1133" s="3">
        <v>31.99</v>
      </c>
      <c r="E1133" s="4">
        <v>9.4600000000000009</v>
      </c>
      <c r="F1133" s="1">
        <v>8.91</v>
      </c>
      <c r="G1133" s="9">
        <v>-4.0000000000000001E-3</v>
      </c>
      <c r="H1133" s="9">
        <v>-2.8999999999999998E-3</v>
      </c>
      <c r="I1133" s="9">
        <v>4.0000000000000002E-4</v>
      </c>
    </row>
    <row r="1134" spans="1:11">
      <c r="A1134" s="1" t="s">
        <v>1292</v>
      </c>
      <c r="B1134" s="1">
        <v>150</v>
      </c>
      <c r="C1134" s="2">
        <v>28.5</v>
      </c>
      <c r="D1134" s="3">
        <v>22.5</v>
      </c>
      <c r="E1134" s="4">
        <v>7.26</v>
      </c>
      <c r="F1134" s="1">
        <v>6.67</v>
      </c>
      <c r="G1134" s="9">
        <v>-4.4000000000000003E-3</v>
      </c>
      <c r="H1134" s="9">
        <v>-3.29E-3</v>
      </c>
      <c r="I1134" s="9">
        <v>3.8000000000000002E-4</v>
      </c>
    </row>
    <row r="1135" spans="1:11">
      <c r="A1135" s="1" t="s">
        <v>1293</v>
      </c>
      <c r="B1135" s="1">
        <v>162</v>
      </c>
      <c r="C1135" s="2">
        <v>28.8</v>
      </c>
      <c r="D1135" s="3">
        <v>23.3</v>
      </c>
      <c r="E1135" s="4">
        <v>7.63</v>
      </c>
      <c r="F1135" s="1">
        <v>6.96</v>
      </c>
      <c r="G1135" s="9">
        <v>-4.4000000000000003E-3</v>
      </c>
      <c r="H1135" s="9">
        <v>-3.29E-3</v>
      </c>
      <c r="I1135" s="9">
        <v>3.8000000000000002E-4</v>
      </c>
    </row>
    <row r="1136" spans="1:11">
      <c r="A1136" s="1" t="s">
        <v>1294</v>
      </c>
      <c r="B1136" s="1">
        <v>180</v>
      </c>
      <c r="C1136" s="2">
        <v>29.4</v>
      </c>
      <c r="D1136" s="3">
        <v>23.8</v>
      </c>
      <c r="E1136" s="4">
        <v>8.2100000000000009</v>
      </c>
      <c r="F1136" s="1">
        <v>7.57</v>
      </c>
      <c r="G1136" s="9">
        <v>-4.4000000000000003E-3</v>
      </c>
      <c r="H1136" s="9">
        <v>-3.29E-3</v>
      </c>
      <c r="I1136" s="9">
        <v>3.8000000000000002E-4</v>
      </c>
    </row>
    <row r="1137" spans="1:11">
      <c r="A1137" s="1" t="s">
        <v>1295</v>
      </c>
      <c r="B1137" s="1">
        <v>145</v>
      </c>
      <c r="C1137" s="2">
        <v>24.9</v>
      </c>
      <c r="D1137" s="3">
        <v>19.899999999999999</v>
      </c>
      <c r="E1137" s="4">
        <v>7.69</v>
      </c>
      <c r="F1137" s="1">
        <v>7.29</v>
      </c>
      <c r="G1137" s="9">
        <v>-4.4000000000000003E-3</v>
      </c>
      <c r="H1137" s="9">
        <v>-3.29E-3</v>
      </c>
      <c r="I1137" s="9">
        <v>3.8000000000000002E-4</v>
      </c>
    </row>
    <row r="1138" spans="1:11">
      <c r="A1138" s="1" t="s">
        <v>1296</v>
      </c>
      <c r="B1138" s="1">
        <v>183</v>
      </c>
      <c r="C1138" s="2">
        <v>29.5</v>
      </c>
      <c r="D1138" s="3">
        <v>23.6</v>
      </c>
      <c r="E1138" s="4">
        <v>8.49</v>
      </c>
      <c r="F1138" s="1">
        <v>7.76</v>
      </c>
      <c r="G1138" s="9">
        <v>-4.4000000000000003E-3</v>
      </c>
      <c r="H1138" s="9">
        <v>-3.29E-3</v>
      </c>
      <c r="I1138" s="9">
        <v>3.8000000000000002E-4</v>
      </c>
    </row>
    <row r="1139" spans="1:11">
      <c r="A1139" s="1" t="s">
        <v>1297</v>
      </c>
      <c r="B1139" s="1">
        <v>186</v>
      </c>
      <c r="C1139" s="2">
        <v>29.5</v>
      </c>
      <c r="D1139" s="3">
        <v>23.6</v>
      </c>
      <c r="E1139" s="4">
        <v>8.6300000000000008</v>
      </c>
      <c r="F1139" s="1">
        <v>7.89</v>
      </c>
      <c r="G1139" s="9">
        <v>-4.4000000000000003E-3</v>
      </c>
      <c r="H1139" s="9">
        <v>-3.29E-3</v>
      </c>
      <c r="I1139" s="9">
        <v>3.8000000000000002E-4</v>
      </c>
      <c r="K1139" s="5">
        <v>4</v>
      </c>
    </row>
    <row r="1140" spans="1:11">
      <c r="A1140" s="1" t="s">
        <v>1298</v>
      </c>
      <c r="B1140" s="1">
        <v>380</v>
      </c>
      <c r="C1140" s="2">
        <v>48.2</v>
      </c>
      <c r="D1140" s="3">
        <v>40.299999999999997</v>
      </c>
      <c r="E1140" s="4">
        <v>10.050000000000001</v>
      </c>
      <c r="F1140" s="1">
        <v>9.43</v>
      </c>
      <c r="G1140" s="9">
        <v>-3.7000000000000002E-3</v>
      </c>
      <c r="H1140" s="9">
        <v>-2.8E-3</v>
      </c>
      <c r="I1140" s="9">
        <v>4.0000000000000002E-4</v>
      </c>
    </row>
    <row r="1141" spans="1:11">
      <c r="A1141" s="1" t="s">
        <v>1299</v>
      </c>
      <c r="B1141" s="1">
        <v>290</v>
      </c>
      <c r="C1141" s="2">
        <v>38.799999999999997</v>
      </c>
      <c r="D1141" s="3">
        <v>32.1</v>
      </c>
      <c r="E1141" s="4">
        <v>9.58</v>
      </c>
      <c r="F1141" s="1">
        <v>9.0500000000000007</v>
      </c>
      <c r="G1141" s="9">
        <v>-3.8999999999999998E-3</v>
      </c>
      <c r="H1141" s="9">
        <v>-3.0999999999999999E-3</v>
      </c>
      <c r="I1141" s="9">
        <v>4.4999999999999999E-4</v>
      </c>
    </row>
    <row r="1142" spans="1:11">
      <c r="A1142" s="1" t="s">
        <v>1300</v>
      </c>
      <c r="B1142" s="1">
        <v>365</v>
      </c>
      <c r="C1142" s="2">
        <v>40.799999999999997</v>
      </c>
      <c r="D1142" s="3">
        <v>34.299999999999997</v>
      </c>
      <c r="E1142" s="4">
        <v>11.32</v>
      </c>
      <c r="F1142" s="1">
        <v>10.65</v>
      </c>
      <c r="G1142" s="9">
        <v>-3.3999999999999998E-3</v>
      </c>
      <c r="H1142" s="9">
        <v>-2.5999999999999999E-3</v>
      </c>
      <c r="I1142" s="9">
        <v>4.0000000000000002E-4</v>
      </c>
    </row>
    <row r="1143" spans="1:11">
      <c r="A1143" s="1" t="s">
        <v>1301</v>
      </c>
      <c r="B1143" s="1">
        <v>410</v>
      </c>
      <c r="C1143" s="2">
        <v>59.2</v>
      </c>
      <c r="D1143" s="3">
        <v>49.4</v>
      </c>
      <c r="E1143" s="4">
        <v>8.81</v>
      </c>
      <c r="F1143" s="1">
        <v>8.3000000000000007</v>
      </c>
      <c r="G1143" s="9">
        <v>-2.5999999999999999E-3</v>
      </c>
      <c r="H1143" s="9">
        <v>-2.3999999999999998E-3</v>
      </c>
      <c r="I1143" s="9">
        <v>4.0000000000000002E-4</v>
      </c>
    </row>
    <row r="1144" spans="1:11">
      <c r="A1144" s="1" t="s">
        <v>1302</v>
      </c>
      <c r="B1144" s="1">
        <v>410</v>
      </c>
      <c r="C1144" s="2">
        <v>45.2</v>
      </c>
      <c r="D1144" s="3">
        <v>38.299999999999997</v>
      </c>
      <c r="E1144" s="4">
        <v>11.47</v>
      </c>
      <c r="F1144" s="1">
        <v>10.71</v>
      </c>
      <c r="G1144" s="9">
        <v>-3.3999999999999998E-3</v>
      </c>
      <c r="H1144" s="9">
        <v>-2.5999999999999999E-3</v>
      </c>
      <c r="I1144" s="9">
        <v>4.0000000000000002E-4</v>
      </c>
    </row>
    <row r="1145" spans="1:11">
      <c r="A1145" s="1" t="s">
        <v>1303</v>
      </c>
      <c r="B1145" s="1">
        <v>430</v>
      </c>
      <c r="C1145" s="2">
        <v>59.7</v>
      </c>
      <c r="D1145" s="3">
        <v>50.5</v>
      </c>
      <c r="E1145" s="4">
        <v>8.9700000000000006</v>
      </c>
      <c r="F1145" s="1">
        <v>8.52</v>
      </c>
      <c r="G1145" s="9">
        <v>-2.5999999999999999E-3</v>
      </c>
      <c r="H1145" s="9">
        <v>-2.3999999999999998E-3</v>
      </c>
      <c r="I1145" s="9">
        <v>4.0000000000000002E-4</v>
      </c>
      <c r="K1145" s="5">
        <v>4</v>
      </c>
    </row>
    <row r="1146" spans="1:11">
      <c r="A1146" s="1" t="s">
        <v>1304</v>
      </c>
      <c r="B1146" s="1">
        <v>275</v>
      </c>
      <c r="C1146" s="2">
        <v>38.69</v>
      </c>
      <c r="D1146" s="3">
        <v>31.5</v>
      </c>
      <c r="E1146" s="4">
        <v>9.16</v>
      </c>
      <c r="F1146" s="1">
        <v>8.73</v>
      </c>
      <c r="G1146" s="9">
        <v>-4.0200000000000001E-3</v>
      </c>
      <c r="H1146" s="9">
        <v>-3.3400000000000001E-3</v>
      </c>
      <c r="I1146" s="9">
        <v>5.6999999999999998E-4</v>
      </c>
    </row>
    <row r="1147" spans="1:11">
      <c r="A1147" s="1" t="s">
        <v>1305</v>
      </c>
      <c r="B1147" s="1">
        <v>340</v>
      </c>
      <c r="C1147" s="2">
        <v>42.41</v>
      </c>
      <c r="D1147" s="3">
        <v>34.17</v>
      </c>
      <c r="E1147" s="4">
        <v>10.52</v>
      </c>
      <c r="F1147" s="1">
        <v>9.9499999999999993</v>
      </c>
      <c r="G1147" s="9">
        <v>-3.8999999999999998E-3</v>
      </c>
      <c r="H1147" s="9">
        <v>-3.0400000000000002E-3</v>
      </c>
      <c r="I1147" s="9">
        <v>5.1000000000000004E-4</v>
      </c>
    </row>
    <row r="1148" spans="1:11">
      <c r="A1148" s="1" t="s">
        <v>1306</v>
      </c>
      <c r="B1148" s="1">
        <v>310</v>
      </c>
      <c r="C1148" s="2">
        <v>39.799999999999997</v>
      </c>
      <c r="D1148" s="3">
        <v>33.35</v>
      </c>
      <c r="E1148" s="4">
        <v>9.85</v>
      </c>
      <c r="F1148" s="1">
        <v>9.3000000000000007</v>
      </c>
      <c r="G1148" s="9">
        <v>-3.8999999999999998E-3</v>
      </c>
      <c r="H1148" s="9">
        <v>-2.8999999999999998E-3</v>
      </c>
    </row>
    <row r="1149" spans="1:11">
      <c r="A1149" s="1" t="s">
        <v>1307</v>
      </c>
      <c r="B1149" s="1">
        <v>330</v>
      </c>
      <c r="C1149" s="2">
        <v>40.299999999999997</v>
      </c>
      <c r="D1149" s="3">
        <v>34.049999999999997</v>
      </c>
      <c r="E1149" s="4">
        <v>10.3</v>
      </c>
      <c r="F1149" s="1">
        <v>9.6999999999999993</v>
      </c>
      <c r="G1149" s="9">
        <v>-3.8999999999999998E-3</v>
      </c>
      <c r="H1149" s="9">
        <v>-2.8999999999999998E-3</v>
      </c>
      <c r="I1149" s="9">
        <v>5.0000000000000001E-3</v>
      </c>
    </row>
    <row r="1150" spans="1:11">
      <c r="A1150" s="1" t="s">
        <v>1308</v>
      </c>
      <c r="B1150" s="1">
        <v>280</v>
      </c>
      <c r="C1150" s="2">
        <v>38.299999999999997</v>
      </c>
      <c r="D1150" s="3">
        <v>31.5</v>
      </c>
      <c r="E1150" s="4">
        <v>9.4</v>
      </c>
      <c r="F1150" s="1">
        <v>8.9</v>
      </c>
      <c r="G1150" s="9">
        <v>-3.8999999999999998E-3</v>
      </c>
      <c r="H1150" s="9">
        <v>-3.2000000000000002E-3</v>
      </c>
      <c r="I1150" s="9">
        <v>5.5000000000000003E-4</v>
      </c>
    </row>
    <row r="1151" spans="1:11">
      <c r="A1151" s="1" t="s">
        <v>1309</v>
      </c>
      <c r="B1151" s="1">
        <v>320</v>
      </c>
      <c r="C1151" s="2">
        <v>40</v>
      </c>
      <c r="D1151" s="3">
        <v>33.700000000000003</v>
      </c>
      <c r="E1151" s="4">
        <v>10.1</v>
      </c>
      <c r="F1151" s="1">
        <v>9.5</v>
      </c>
      <c r="G1151" s="9">
        <v>-3.8999999999999998E-3</v>
      </c>
      <c r="H1151" s="9">
        <v>-2.8999999999999998E-3</v>
      </c>
      <c r="I1151" s="9">
        <v>5.0000000000000001E-4</v>
      </c>
    </row>
    <row r="1152" spans="1:11">
      <c r="A1152" s="1" t="s">
        <v>1310</v>
      </c>
      <c r="B1152" s="1">
        <v>440</v>
      </c>
      <c r="C1152" s="2">
        <v>44.85</v>
      </c>
      <c r="D1152" s="3">
        <v>37.340000000000003</v>
      </c>
      <c r="E1152" s="4">
        <v>12.5</v>
      </c>
      <c r="F1152" s="1">
        <v>11.79</v>
      </c>
      <c r="G1152" s="9">
        <v>-3.3999999999999998E-3</v>
      </c>
      <c r="H1152" s="9">
        <v>-2.5000000000000001E-3</v>
      </c>
      <c r="I1152" s="9">
        <v>4.0000000000000002E-4</v>
      </c>
    </row>
    <row r="1153" spans="1:11">
      <c r="A1153" s="1" t="s">
        <v>1311</v>
      </c>
      <c r="B1153" s="1">
        <v>650</v>
      </c>
      <c r="C1153" s="2">
        <v>45.49</v>
      </c>
      <c r="D1153" s="3">
        <v>37.869999999999997</v>
      </c>
      <c r="E1153" s="4">
        <v>18.18</v>
      </c>
      <c r="F1153" s="1">
        <v>17.170000000000002</v>
      </c>
      <c r="G1153" s="9">
        <v>-3.3999999999999998E-3</v>
      </c>
      <c r="H1153" s="9">
        <v>-2.5000000000000001E-3</v>
      </c>
      <c r="I1153" s="9">
        <v>4.0000000000000002E-4</v>
      </c>
    </row>
    <row r="1154" spans="1:11">
      <c r="A1154" s="1" t="s">
        <v>1312</v>
      </c>
      <c r="B1154" s="1">
        <v>655</v>
      </c>
      <c r="C1154" s="2">
        <v>45.69</v>
      </c>
      <c r="D1154" s="3">
        <v>38.049999999999997</v>
      </c>
      <c r="E1154" s="4">
        <v>18.23</v>
      </c>
      <c r="F1154" s="1">
        <v>17.22</v>
      </c>
      <c r="G1154" s="9">
        <v>-3.3999999999999998E-3</v>
      </c>
      <c r="H1154" s="9">
        <v>-2.5000000000000001E-3</v>
      </c>
      <c r="I1154" s="9">
        <v>4.0000000000000002E-4</v>
      </c>
    </row>
    <row r="1155" spans="1:11">
      <c r="A1155" s="1" t="s">
        <v>1313</v>
      </c>
      <c r="B1155" s="1">
        <v>660</v>
      </c>
      <c r="C1155" s="2">
        <v>45.75</v>
      </c>
      <c r="D1155" s="3">
        <v>38.119999999999997</v>
      </c>
      <c r="E1155" s="4">
        <v>18.329999999999998</v>
      </c>
      <c r="F1155" s="1">
        <v>17.32</v>
      </c>
      <c r="G1155" s="9">
        <v>-3.3999999999999998E-3</v>
      </c>
      <c r="H1155" s="9">
        <v>-2.5000000000000001E-3</v>
      </c>
      <c r="I1155" s="9">
        <v>4.0000000000000002E-4</v>
      </c>
    </row>
    <row r="1156" spans="1:11">
      <c r="A1156" s="1" t="s">
        <v>1314</v>
      </c>
      <c r="B1156" s="1">
        <v>700</v>
      </c>
      <c r="C1156" s="2">
        <v>49.83</v>
      </c>
      <c r="D1156" s="3">
        <v>41.78</v>
      </c>
      <c r="E1156" s="4">
        <v>17.82</v>
      </c>
      <c r="F1156" s="1">
        <v>16.77</v>
      </c>
      <c r="G1156" s="9">
        <v>-2.3999999999999998E-3</v>
      </c>
      <c r="H1156" s="9">
        <v>-2.2000000000000001E-3</v>
      </c>
      <c r="I1156" s="9">
        <v>4.6999999999999999E-4</v>
      </c>
    </row>
    <row r="1157" spans="1:11">
      <c r="A1157" s="1" t="s">
        <v>1315</v>
      </c>
      <c r="B1157" s="1">
        <f>B1156*(1+J1157)</f>
        <v>875</v>
      </c>
      <c r="C1157" s="2">
        <f>C1156</f>
        <v>49.83</v>
      </c>
      <c r="D1157" s="3">
        <f>D1156</f>
        <v>41.78</v>
      </c>
      <c r="E1157" s="4">
        <f>E1156*(1+J1157)</f>
        <v>22.274999999999999</v>
      </c>
      <c r="F1157" s="1">
        <f>F1156*(1+J1157)</f>
        <v>20.962499999999999</v>
      </c>
      <c r="G1157" s="9">
        <f>G1156</f>
        <v>-2.3999999999999998E-3</v>
      </c>
      <c r="H1157" s="9">
        <f>H1156</f>
        <v>-2.2000000000000001E-3</v>
      </c>
      <c r="I1157" s="9">
        <f>I1156</f>
        <v>4.6999999999999999E-4</v>
      </c>
      <c r="J1157" s="9">
        <v>0.25</v>
      </c>
    </row>
    <row r="1158" spans="1:11">
      <c r="A1158" s="1" t="s">
        <v>1316</v>
      </c>
      <c r="B1158" s="1">
        <v>280</v>
      </c>
      <c r="C1158" s="2">
        <v>38.6</v>
      </c>
      <c r="D1158" s="3">
        <v>31.8</v>
      </c>
      <c r="E1158" s="4">
        <v>9.36</v>
      </c>
      <c r="F1158" s="1">
        <v>8.82</v>
      </c>
      <c r="G1158" s="9">
        <v>-3.8999999999999998E-3</v>
      </c>
      <c r="H1158" s="9">
        <v>-3.2000000000000002E-3</v>
      </c>
      <c r="I1158" s="9">
        <v>5.0000000000000001E-4</v>
      </c>
    </row>
    <row r="1159" spans="1:11">
      <c r="A1159" s="1" t="s">
        <v>1317</v>
      </c>
      <c r="B1159" s="1">
        <v>330</v>
      </c>
      <c r="C1159" s="2">
        <v>46.3</v>
      </c>
      <c r="D1159" s="3">
        <v>38.1</v>
      </c>
      <c r="E1159" s="4">
        <v>9.25</v>
      </c>
      <c r="F1159" s="1">
        <v>8.6999999999999993</v>
      </c>
      <c r="G1159" s="9">
        <v>-3.8999999999999998E-3</v>
      </c>
      <c r="H1159" s="9">
        <v>-3.2000000000000002E-3</v>
      </c>
      <c r="I1159" s="9">
        <v>5.0000000000000001E-4</v>
      </c>
    </row>
    <row r="1160" spans="1:11">
      <c r="A1160" s="1" t="s">
        <v>1318</v>
      </c>
      <c r="B1160" s="1">
        <v>375</v>
      </c>
      <c r="C1160" s="2">
        <v>48.6</v>
      </c>
      <c r="D1160" s="3">
        <v>39.950000000000003</v>
      </c>
      <c r="E1160" s="4">
        <v>9.9499999999999993</v>
      </c>
      <c r="F1160" s="1">
        <v>9.4</v>
      </c>
      <c r="G1160" s="9">
        <v>-3.8999999999999998E-3</v>
      </c>
      <c r="H1160" s="9">
        <v>-2.8999999999999998E-3</v>
      </c>
      <c r="I1160" s="9">
        <v>5.0000000000000001E-4</v>
      </c>
    </row>
    <row r="1161" spans="1:11">
      <c r="A1161" s="1" t="s">
        <v>1319</v>
      </c>
      <c r="B1161" s="1">
        <v>270</v>
      </c>
      <c r="C1161" s="2">
        <v>37.9</v>
      </c>
      <c r="D1161" s="3">
        <v>30.9</v>
      </c>
      <c r="E1161" s="4">
        <v>9.2200000000000006</v>
      </c>
      <c r="F1161" s="1">
        <v>8.73</v>
      </c>
      <c r="G1161" s="9">
        <v>-4.1000000000000003E-3</v>
      </c>
      <c r="H1161" s="9">
        <v>-3.2000000000000002E-3</v>
      </c>
      <c r="I1161" s="9">
        <v>5.0000000000000001E-4</v>
      </c>
    </row>
    <row r="1162" spans="1:11">
      <c r="A1162" s="1" t="s">
        <v>1320</v>
      </c>
      <c r="B1162" s="1">
        <v>46</v>
      </c>
      <c r="C1162" s="2">
        <v>7.3</v>
      </c>
      <c r="D1162" s="3">
        <v>5.9</v>
      </c>
      <c r="E1162" s="4">
        <v>8.59</v>
      </c>
      <c r="F1162" s="1">
        <v>7.9</v>
      </c>
      <c r="G1162" s="9">
        <v>-4.4000000000000003E-3</v>
      </c>
      <c r="H1162" s="9">
        <v>-3.29E-3</v>
      </c>
      <c r="I1162" s="9">
        <v>3.8000000000000002E-4</v>
      </c>
    </row>
    <row r="1163" spans="1:11">
      <c r="A1163" s="1" t="s">
        <v>1321</v>
      </c>
      <c r="B1163" s="1">
        <v>62</v>
      </c>
      <c r="C1163" s="2">
        <v>9.8000000000000007</v>
      </c>
      <c r="D1163" s="3">
        <v>7.9</v>
      </c>
      <c r="E1163" s="4">
        <v>8.59</v>
      </c>
      <c r="F1163" s="1">
        <v>7.9</v>
      </c>
      <c r="G1163" s="9">
        <v>-4.4000000000000003E-3</v>
      </c>
      <c r="H1163" s="9">
        <v>-3.29E-3</v>
      </c>
      <c r="I1163" s="9">
        <v>3.8000000000000002E-4</v>
      </c>
    </row>
    <row r="1164" spans="1:11">
      <c r="A1164" s="1" t="s">
        <v>1322</v>
      </c>
      <c r="B1164" s="1">
        <v>610</v>
      </c>
      <c r="C1164" s="2">
        <v>41.9</v>
      </c>
      <c r="D1164" s="3">
        <v>34.74</v>
      </c>
      <c r="E1164" s="4">
        <v>18.64</v>
      </c>
      <c r="F1164" s="1">
        <v>17.559999999999999</v>
      </c>
      <c r="G1164" s="9">
        <v>-3.3999999999999998E-3</v>
      </c>
      <c r="H1164" s="9">
        <v>-2.5999999999999999E-3</v>
      </c>
      <c r="I1164" s="9">
        <v>5.9999999999999995E-4</v>
      </c>
    </row>
    <row r="1165" spans="1:11">
      <c r="A1165" s="1" t="s">
        <v>1323</v>
      </c>
      <c r="B1165" s="1">
        <v>150</v>
      </c>
      <c r="C1165" s="2">
        <v>110</v>
      </c>
      <c r="D1165" s="3">
        <v>79</v>
      </c>
      <c r="E1165" s="4">
        <v>2.1</v>
      </c>
      <c r="F1165" s="1">
        <v>1.9</v>
      </c>
      <c r="G1165" s="9">
        <v>-3.0999999999999999E-3</v>
      </c>
      <c r="H1165" s="9">
        <v>-3.0000000000000001E-3</v>
      </c>
    </row>
    <row r="1166" spans="1:11">
      <c r="A1166" s="1" t="s">
        <v>1324</v>
      </c>
      <c r="B1166" s="1">
        <f>B1165*K1166</f>
        <v>25200</v>
      </c>
      <c r="C1166" s="2">
        <f>C1165</f>
        <v>110</v>
      </c>
      <c r="D1166" s="3">
        <f>D1165</f>
        <v>79</v>
      </c>
      <c r="E1166" s="4">
        <f>E1165*K1166</f>
        <v>352.8</v>
      </c>
      <c r="F1166" s="1">
        <f>F1165*K1166</f>
        <v>319.2</v>
      </c>
      <c r="G1166" s="9">
        <f>G1165</f>
        <v>-3.0999999999999999E-3</v>
      </c>
      <c r="H1166" s="9">
        <f>H1165</f>
        <v>-3.0000000000000001E-3</v>
      </c>
      <c r="I1166" s="9">
        <f>I1165</f>
        <v>0</v>
      </c>
      <c r="K1166" s="5">
        <v>168</v>
      </c>
    </row>
    <row r="1167" spans="1:11">
      <c r="A1167" s="1" t="s">
        <v>1325</v>
      </c>
      <c r="B1167" s="1">
        <v>160</v>
      </c>
      <c r="C1167" s="2">
        <v>110</v>
      </c>
      <c r="D1167" s="3">
        <v>84</v>
      </c>
      <c r="E1167" s="4">
        <v>2.2000000000000002</v>
      </c>
      <c r="F1167" s="1">
        <v>1.91</v>
      </c>
      <c r="G1167" s="9">
        <v>-3.0999999999999999E-3</v>
      </c>
      <c r="H1167" s="9">
        <v>-3.0000000000000001E-3</v>
      </c>
      <c r="K1167" s="5">
        <v>30</v>
      </c>
    </row>
    <row r="1168" spans="1:11">
      <c r="A1168" s="1" t="s">
        <v>1326</v>
      </c>
      <c r="B1168" s="1">
        <f>B1167*K1168</f>
        <v>640</v>
      </c>
      <c r="C1168" s="2">
        <f>C1167</f>
        <v>110</v>
      </c>
      <c r="D1168" s="3">
        <f>D1167</f>
        <v>84</v>
      </c>
      <c r="E1168" s="4">
        <f>E1167*K1168</f>
        <v>8.8000000000000007</v>
      </c>
      <c r="F1168" s="1">
        <f>F1167*K1168</f>
        <v>7.64</v>
      </c>
      <c r="G1168" s="9">
        <f>G1167</f>
        <v>-3.0999999999999999E-3</v>
      </c>
      <c r="H1168" s="9">
        <f>H1167</f>
        <v>-3.0000000000000001E-3</v>
      </c>
      <c r="I1168" s="9">
        <f>I1167</f>
        <v>0</v>
      </c>
      <c r="K1168" s="5">
        <v>4</v>
      </c>
    </row>
    <row r="1169" spans="1:11">
      <c r="A1169" s="1" t="s">
        <v>1327</v>
      </c>
      <c r="B1169" s="1">
        <v>165</v>
      </c>
      <c r="C1169" s="2">
        <v>110</v>
      </c>
      <c r="D1169" s="3">
        <v>85.5</v>
      </c>
      <c r="E1169" s="4">
        <v>2.2000000000000002</v>
      </c>
      <c r="F1169" s="1">
        <v>1.93</v>
      </c>
      <c r="G1169" s="9">
        <v>-3.0999999999999999E-3</v>
      </c>
      <c r="H1169" s="9">
        <v>-3.0000000000000001E-3</v>
      </c>
    </row>
    <row r="1170" spans="1:11">
      <c r="A1170" s="1" t="s">
        <v>1328</v>
      </c>
      <c r="B1170" s="1">
        <f>4*165</f>
        <v>660</v>
      </c>
      <c r="C1170" s="2">
        <v>110</v>
      </c>
      <c r="D1170" s="3">
        <v>85.5</v>
      </c>
      <c r="E1170" s="4">
        <f>4*2.2</f>
        <v>8.8000000000000007</v>
      </c>
      <c r="F1170" s="1">
        <f>4*1.93</f>
        <v>7.72</v>
      </c>
      <c r="G1170" s="9">
        <v>-3.0999999999999999E-3</v>
      </c>
      <c r="H1170" s="9">
        <v>-3.0000000000000001E-3</v>
      </c>
      <c r="K1170" s="5">
        <v>10</v>
      </c>
    </row>
    <row r="1171" spans="1:11">
      <c r="A1171" s="1" t="s">
        <v>1329</v>
      </c>
      <c r="B1171" s="1">
        <f>B1170*K1171</f>
        <v>39600</v>
      </c>
      <c r="C1171" s="2">
        <f>C1170</f>
        <v>110</v>
      </c>
      <c r="D1171" s="3">
        <f>D1170</f>
        <v>85.5</v>
      </c>
      <c r="E1171" s="4">
        <f>E1170*K1171</f>
        <v>528</v>
      </c>
      <c r="F1171" s="1">
        <f>F1170*K1171</f>
        <v>463.2</v>
      </c>
      <c r="G1171" s="9">
        <f>G1170</f>
        <v>-3.0999999999999999E-3</v>
      </c>
      <c r="H1171" s="9">
        <f>H1170</f>
        <v>-3.0000000000000001E-3</v>
      </c>
      <c r="I1171" s="9">
        <f>I1170</f>
        <v>0</v>
      </c>
      <c r="K1171" s="5">
        <v>60</v>
      </c>
    </row>
    <row r="1172" spans="1:11">
      <c r="A1172" s="1" t="s">
        <v>1330</v>
      </c>
      <c r="B1172" s="1">
        <v>170</v>
      </c>
      <c r="C1172" s="2">
        <v>112</v>
      </c>
      <c r="D1172" s="3">
        <v>87.5</v>
      </c>
      <c r="E1172" s="4">
        <v>2.2000000000000002</v>
      </c>
      <c r="F1172" s="1">
        <v>1.95</v>
      </c>
      <c r="G1172" s="9">
        <v>-3.0999999999999999E-3</v>
      </c>
      <c r="H1172" s="9">
        <v>-3.0000000000000001E-3</v>
      </c>
      <c r="I1172" s="9">
        <v>1E-4</v>
      </c>
      <c r="K1172" s="5">
        <v>4</v>
      </c>
    </row>
    <row r="1173" spans="1:11">
      <c r="A1173" s="1" t="s">
        <v>1331</v>
      </c>
      <c r="B1173" s="1">
        <f>B1172*K1173</f>
        <v>680</v>
      </c>
      <c r="C1173" s="2">
        <f>C1172</f>
        <v>112</v>
      </c>
      <c r="D1173" s="3">
        <f>D1172</f>
        <v>87.5</v>
      </c>
      <c r="E1173" s="4">
        <f>E1172*K1173</f>
        <v>8.8000000000000007</v>
      </c>
      <c r="F1173" s="1">
        <f>F1172*K1173</f>
        <v>7.8</v>
      </c>
      <c r="G1173" s="9">
        <f>G1172</f>
        <v>-3.0999999999999999E-3</v>
      </c>
      <c r="H1173" s="9">
        <f>H1172</f>
        <v>-3.0000000000000001E-3</v>
      </c>
      <c r="I1173" s="9">
        <f>I1172</f>
        <v>1E-4</v>
      </c>
      <c r="K1173" s="5">
        <v>4</v>
      </c>
    </row>
    <row r="1174" spans="1:11">
      <c r="A1174" s="1" t="s">
        <v>1332</v>
      </c>
      <c r="B1174" s="1">
        <v>175</v>
      </c>
      <c r="C1174" s="2">
        <v>114</v>
      </c>
      <c r="D1174" s="3">
        <v>89.5</v>
      </c>
      <c r="E1174" s="4">
        <v>2.2000000000000002</v>
      </c>
      <c r="F1174" s="1">
        <v>1.96</v>
      </c>
      <c r="G1174" s="9">
        <v>-3.0999999999999999E-3</v>
      </c>
      <c r="H1174" s="9">
        <v>-3.0000000000000001E-3</v>
      </c>
      <c r="I1174" s="9">
        <v>1E-4</v>
      </c>
    </row>
    <row r="1175" spans="1:11">
      <c r="A1175" s="1" t="s">
        <v>1333</v>
      </c>
      <c r="B1175" s="1">
        <v>185</v>
      </c>
      <c r="C1175" s="2">
        <v>121</v>
      </c>
      <c r="D1175" s="3">
        <v>95</v>
      </c>
      <c r="E1175" s="4">
        <v>2.19</v>
      </c>
      <c r="F1175" s="1">
        <v>1.95</v>
      </c>
      <c r="G1175" s="9">
        <v>-3.3E-3</v>
      </c>
      <c r="H1175" s="9">
        <v>-2.7000000000000001E-3</v>
      </c>
      <c r="I1175" s="9">
        <v>1E-4</v>
      </c>
    </row>
    <row r="1176" spans="1:11">
      <c r="A1176" s="1" t="s">
        <v>1334</v>
      </c>
      <c r="B1176" s="1">
        <v>375</v>
      </c>
      <c r="C1176" s="2">
        <v>41.6</v>
      </c>
      <c r="D1176" s="3">
        <v>34.4</v>
      </c>
      <c r="E1176" s="4">
        <v>11.5</v>
      </c>
      <c r="F1176" s="1">
        <v>10.9</v>
      </c>
      <c r="G1176" s="9">
        <v>-3.5999999999999999E-3</v>
      </c>
      <c r="H1176" s="9">
        <v>-2.5999999999999999E-3</v>
      </c>
      <c r="I1176" s="9">
        <v>4.0000000000000002E-4</v>
      </c>
    </row>
    <row r="1177" spans="1:11">
      <c r="A1177" s="1" t="s">
        <v>1335</v>
      </c>
      <c r="B1177" s="1">
        <v>380</v>
      </c>
      <c r="C1177" s="2">
        <v>41.9</v>
      </c>
      <c r="D1177" s="3">
        <v>34.700000000000003</v>
      </c>
      <c r="E1177" s="4">
        <v>11.52</v>
      </c>
      <c r="F1177" s="1">
        <v>10.96</v>
      </c>
      <c r="G1177" s="9">
        <v>-3.3999999999999998E-3</v>
      </c>
      <c r="H1177" s="9">
        <v>-2.5000000000000001E-3</v>
      </c>
      <c r="I1177" s="9">
        <v>4.0000000000000002E-4</v>
      </c>
    </row>
    <row r="1178" spans="1:11">
      <c r="A1178" s="1" t="s">
        <v>1336</v>
      </c>
      <c r="B1178" s="1">
        <v>430</v>
      </c>
      <c r="C1178" s="2">
        <v>48.7</v>
      </c>
      <c r="D1178" s="3">
        <v>40.299999999999997</v>
      </c>
      <c r="E1178" s="4">
        <v>11.2</v>
      </c>
      <c r="F1178" s="1">
        <v>10.7</v>
      </c>
      <c r="G1178" s="9">
        <v>-3.5999999999999999E-3</v>
      </c>
      <c r="H1178" s="9">
        <v>-2.5999999999999999E-3</v>
      </c>
      <c r="I1178" s="9">
        <v>4.0000000000000002E-4</v>
      </c>
    </row>
    <row r="1179" spans="1:11">
      <c r="A1179" s="1" t="s">
        <v>1337</v>
      </c>
      <c r="B1179" s="1">
        <v>450</v>
      </c>
      <c r="C1179" s="2">
        <v>49.6</v>
      </c>
      <c r="D1179" s="3">
        <v>41</v>
      </c>
      <c r="E1179" s="4">
        <v>11.5</v>
      </c>
      <c r="F1179" s="1">
        <v>11</v>
      </c>
      <c r="G1179" s="9">
        <v>-3.5999999999999999E-3</v>
      </c>
      <c r="H1179" s="9">
        <v>-2.5999999999999999E-3</v>
      </c>
      <c r="I1179" s="9">
        <v>4.0000000000000002E-4</v>
      </c>
    </row>
    <row r="1180" spans="1:11">
      <c r="A1180" s="1" t="s">
        <v>1338</v>
      </c>
      <c r="B1180" s="1">
        <v>455</v>
      </c>
      <c r="C1180" s="2">
        <v>49.8</v>
      </c>
      <c r="D1180" s="3">
        <v>41.2</v>
      </c>
      <c r="E1180" s="4">
        <v>11.61</v>
      </c>
      <c r="F1180" s="1">
        <v>11.06</v>
      </c>
      <c r="G1180" s="9">
        <v>-3.3999999999999998E-3</v>
      </c>
      <c r="H1180" s="9">
        <v>-2.5000000000000001E-3</v>
      </c>
      <c r="I1180" s="9">
        <v>4.0000000000000002E-4</v>
      </c>
    </row>
    <row r="1181" spans="1:11">
      <c r="A1181" s="1" t="s">
        <v>1339</v>
      </c>
      <c r="B1181" s="1">
        <v>410</v>
      </c>
      <c r="C1181" s="2">
        <v>37.33</v>
      </c>
      <c r="D1181" s="3">
        <v>31.09</v>
      </c>
      <c r="E1181" s="4">
        <v>14.06</v>
      </c>
      <c r="F1181" s="1">
        <v>13.2</v>
      </c>
      <c r="G1181" s="9">
        <v>-3.3E-3</v>
      </c>
      <c r="H1181" s="9">
        <v>-2.4599999999999999E-3</v>
      </c>
      <c r="I1181" s="9">
        <v>4.4799999999999999E-4</v>
      </c>
    </row>
    <row r="1182" spans="1:11">
      <c r="A1182" s="1" t="s">
        <v>1340</v>
      </c>
      <c r="B1182" s="1">
        <v>265</v>
      </c>
      <c r="C1182" s="2">
        <v>56.5</v>
      </c>
      <c r="D1182" s="3">
        <v>46.6</v>
      </c>
      <c r="E1182" s="4">
        <v>6.09</v>
      </c>
      <c r="F1182" s="1">
        <v>5.7</v>
      </c>
      <c r="G1182" s="9">
        <v>-4.4999999999999997E-3</v>
      </c>
      <c r="H1182" s="9">
        <v>-3.8E-3</v>
      </c>
      <c r="I1182" s="9">
        <v>3.6999999999999999E-4</v>
      </c>
    </row>
    <row r="1183" spans="1:11">
      <c r="A1183" s="1" t="s">
        <v>1341</v>
      </c>
      <c r="B1183" s="1">
        <v>300</v>
      </c>
      <c r="C1183" s="2">
        <v>33</v>
      </c>
      <c r="D1183" s="3">
        <v>27.3</v>
      </c>
      <c r="E1183" s="4">
        <v>11.31</v>
      </c>
      <c r="F1183" s="1">
        <v>10.99</v>
      </c>
      <c r="G1183" s="9">
        <v>-4.4999999999999997E-3</v>
      </c>
      <c r="H1183" s="9">
        <v>-3.8E-3</v>
      </c>
      <c r="I1183" s="9">
        <v>3.6999999999999999E-4</v>
      </c>
    </row>
    <row r="1184" spans="1:11">
      <c r="A1184" s="1" t="s">
        <v>1342</v>
      </c>
      <c r="B1184" s="1">
        <v>180</v>
      </c>
      <c r="C1184" s="2">
        <v>120</v>
      </c>
      <c r="D1184" s="3">
        <v>92.4</v>
      </c>
      <c r="E1184" s="4">
        <v>2.1800000000000002</v>
      </c>
      <c r="F1184" s="1">
        <v>1.95</v>
      </c>
      <c r="G1184" s="9">
        <v>-3.3E-3</v>
      </c>
      <c r="H1184" s="9">
        <v>-2.7000000000000001E-3</v>
      </c>
      <c r="I1184" s="9">
        <v>1E-4</v>
      </c>
    </row>
    <row r="1185" spans="1:11">
      <c r="A1185" s="1" t="s">
        <v>1343</v>
      </c>
      <c r="B1185" s="1">
        <v>175</v>
      </c>
      <c r="C1185" s="2">
        <v>67.5</v>
      </c>
      <c r="D1185" s="3">
        <v>53.6</v>
      </c>
      <c r="E1185" s="4">
        <v>3.69</v>
      </c>
      <c r="F1185" s="1">
        <v>3.28</v>
      </c>
      <c r="G1185" s="9">
        <v>-3.3E-3</v>
      </c>
      <c r="H1185" s="9">
        <v>-2.7000000000000001E-3</v>
      </c>
      <c r="I1185" s="9">
        <v>1E-4</v>
      </c>
    </row>
    <row r="1186" spans="1:11">
      <c r="A1186" s="1" t="s">
        <v>1344</v>
      </c>
      <c r="B1186" s="1">
        <v>185</v>
      </c>
      <c r="C1186" s="2">
        <v>121</v>
      </c>
      <c r="D1186" s="3">
        <v>95</v>
      </c>
      <c r="E1186" s="4">
        <v>2.19</v>
      </c>
      <c r="F1186" s="1">
        <v>1.95</v>
      </c>
      <c r="G1186" s="9">
        <v>-3.3E-3</v>
      </c>
      <c r="H1186" s="9">
        <v>-2.7000000000000001E-3</v>
      </c>
      <c r="I1186" s="9">
        <v>1E-4</v>
      </c>
    </row>
    <row r="1187" spans="1:11">
      <c r="A1187" s="1" t="s">
        <v>1345</v>
      </c>
      <c r="B1187" s="1">
        <f>B1186*K1187</f>
        <v>0</v>
      </c>
      <c r="C1187" s="2">
        <f>C1186</f>
        <v>121</v>
      </c>
      <c r="D1187" s="3">
        <f>D1186</f>
        <v>95</v>
      </c>
      <c r="E1187" s="4">
        <f>E1186*K1187</f>
        <v>0</v>
      </c>
      <c r="F1187" s="1">
        <f>F1186*K1187</f>
        <v>0</v>
      </c>
      <c r="G1187" s="9">
        <f>G1186</f>
        <v>-3.3E-3</v>
      </c>
      <c r="H1187" s="9">
        <f>H1186</f>
        <v>-2.7000000000000001E-3</v>
      </c>
      <c r="I1187" s="9">
        <f>I1186</f>
        <v>1E-4</v>
      </c>
    </row>
    <row r="1188" spans="1:11">
      <c r="A1188" s="1" t="s">
        <v>1346</v>
      </c>
      <c r="B1188" s="1">
        <v>185</v>
      </c>
      <c r="C1188" s="2">
        <v>121</v>
      </c>
      <c r="D1188" s="3">
        <v>95</v>
      </c>
      <c r="E1188" s="4">
        <v>2.19</v>
      </c>
      <c r="F1188" s="1">
        <v>1.95</v>
      </c>
      <c r="G1188" s="9">
        <v>-3.3E-3</v>
      </c>
      <c r="H1188" s="9">
        <v>-2.7000000000000001E-3</v>
      </c>
      <c r="I1188" s="9">
        <v>1E-4</v>
      </c>
    </row>
    <row r="1189" spans="1:11">
      <c r="A1189" s="1" t="s">
        <v>1347</v>
      </c>
      <c r="B1189" s="1">
        <v>190</v>
      </c>
      <c r="C1189" s="2">
        <v>122</v>
      </c>
      <c r="D1189" s="3">
        <v>97.1</v>
      </c>
      <c r="E1189" s="4">
        <v>2.21</v>
      </c>
      <c r="F1189" s="1">
        <v>1.96</v>
      </c>
      <c r="G1189" s="9">
        <v>-3.3E-3</v>
      </c>
      <c r="H1189" s="9">
        <v>-2.7000000000000001E-3</v>
      </c>
      <c r="I1189" s="9">
        <v>1E-4</v>
      </c>
    </row>
    <row r="1190" spans="1:11">
      <c r="A1190" s="1" t="s">
        <v>1348</v>
      </c>
      <c r="B1190" s="1">
        <v>100</v>
      </c>
      <c r="C1190" s="2">
        <v>70.3</v>
      </c>
      <c r="D1190" s="3">
        <v>53.6</v>
      </c>
      <c r="E1190" s="4">
        <v>2.09</v>
      </c>
      <c r="F1190" s="1">
        <v>1.87</v>
      </c>
      <c r="G1190" s="9">
        <v>-3.3999999999999998E-3</v>
      </c>
      <c r="H1190" s="9">
        <v>-2.0999999999999999E-3</v>
      </c>
      <c r="I1190" s="9">
        <v>5.0000000000000001E-4</v>
      </c>
    </row>
    <row r="1191" spans="1:11">
      <c r="A1191" s="1" t="s">
        <v>1349</v>
      </c>
      <c r="B1191" s="1">
        <v>90</v>
      </c>
      <c r="C1191" s="4">
        <v>67.900000000000006</v>
      </c>
      <c r="D1191" s="1">
        <v>49.5</v>
      </c>
      <c r="E1191" s="2">
        <v>2.09</v>
      </c>
      <c r="F1191" s="3">
        <v>1.82</v>
      </c>
      <c r="G1191" s="9">
        <v>-3.3999999999999998E-3</v>
      </c>
      <c r="H1191" s="9">
        <v>-2.0999999999999999E-3</v>
      </c>
      <c r="I1191" s="9">
        <v>5.0000000000000001E-4</v>
      </c>
    </row>
    <row r="1192" spans="1:11">
      <c r="A1192" s="1" t="s">
        <v>1350</v>
      </c>
      <c r="B1192" s="1">
        <v>95</v>
      </c>
      <c r="C1192" s="4">
        <v>68.900000000000006</v>
      </c>
      <c r="D1192" s="1">
        <v>51.4</v>
      </c>
      <c r="E1192" s="2">
        <v>2.09</v>
      </c>
      <c r="F1192" s="3">
        <v>1.85</v>
      </c>
      <c r="G1192" s="9">
        <v>-3.3999999999999998E-3</v>
      </c>
      <c r="H1192" s="9">
        <v>-2.0999999999999999E-3</v>
      </c>
      <c r="I1192" s="9">
        <v>5.0000000000000001E-4</v>
      </c>
    </row>
    <row r="1193" spans="1:11">
      <c r="A1193" s="1" t="s">
        <v>1351</v>
      </c>
      <c r="B1193" s="1">
        <v>110</v>
      </c>
      <c r="C1193" s="2">
        <v>77</v>
      </c>
      <c r="D1193" s="3">
        <v>61</v>
      </c>
      <c r="E1193" s="4">
        <v>2.1</v>
      </c>
      <c r="F1193" s="1">
        <v>1.81</v>
      </c>
      <c r="G1193" s="9">
        <v>-3.8999999999999998E-3</v>
      </c>
      <c r="H1193" s="9">
        <v>-2.8999999999999998E-3</v>
      </c>
      <c r="I1193" s="9">
        <v>1.0000000000000001E-5</v>
      </c>
    </row>
    <row r="1194" spans="1:11">
      <c r="A1194" s="1" t="s">
        <v>1352</v>
      </c>
      <c r="B1194" s="1">
        <f>B1193*K1194</f>
        <v>0</v>
      </c>
      <c r="C1194" s="2">
        <f>C1193</f>
        <v>77</v>
      </c>
      <c r="D1194" s="3">
        <f>D1193</f>
        <v>61</v>
      </c>
      <c r="E1194" s="4">
        <f>E1193*K1194</f>
        <v>0</v>
      </c>
      <c r="F1194" s="1">
        <f>F1193*K1194</f>
        <v>0</v>
      </c>
      <c r="G1194" s="9">
        <f>G1193</f>
        <v>-3.8999999999999998E-3</v>
      </c>
      <c r="H1194" s="9">
        <f>H1193</f>
        <v>-2.8999999999999998E-3</v>
      </c>
      <c r="I1194" s="9">
        <f>I1193</f>
        <v>1.0000000000000001E-5</v>
      </c>
    </row>
    <row r="1195" spans="1:11">
      <c r="A1195" s="1" t="s">
        <v>1353</v>
      </c>
      <c r="B1195" s="1">
        <v>115</v>
      </c>
      <c r="C1195" s="2">
        <v>76.7</v>
      </c>
      <c r="D1195" s="3">
        <v>60</v>
      </c>
      <c r="E1195" s="4">
        <v>2.15</v>
      </c>
      <c r="F1195" s="1">
        <v>1.92</v>
      </c>
      <c r="G1195" s="9">
        <v>-3.8999999999999998E-3</v>
      </c>
      <c r="H1195" s="9">
        <v>-2.8999999999999998E-3</v>
      </c>
      <c r="I1195" s="9">
        <v>1.0000000000000001E-5</v>
      </c>
    </row>
    <row r="1196" spans="1:11">
      <c r="A1196" s="1" t="s">
        <v>1354</v>
      </c>
      <c r="B1196" s="1">
        <f>B1195*K1196</f>
        <v>460</v>
      </c>
      <c r="C1196" s="2">
        <f>C1195</f>
        <v>76.7</v>
      </c>
      <c r="D1196" s="3">
        <f>D1195</f>
        <v>60</v>
      </c>
      <c r="E1196" s="4">
        <f>E1195*K1196</f>
        <v>8.6</v>
      </c>
      <c r="F1196" s="1">
        <f>F1195*K1196</f>
        <v>7.68</v>
      </c>
      <c r="G1196" s="9">
        <f>G1195</f>
        <v>-3.8999999999999998E-3</v>
      </c>
      <c r="H1196" s="9">
        <f>H1195</f>
        <v>-2.8999999999999998E-3</v>
      </c>
      <c r="I1196" s="9">
        <f>I1195</f>
        <v>1.0000000000000001E-5</v>
      </c>
      <c r="K1196" s="5">
        <v>4</v>
      </c>
    </row>
    <row r="1197" spans="1:11">
      <c r="A1197" s="1" t="s">
        <v>1355</v>
      </c>
      <c r="B1197" s="1">
        <v>175</v>
      </c>
      <c r="C1197" s="2">
        <v>67.5</v>
      </c>
      <c r="D1197" s="3">
        <v>53.6</v>
      </c>
      <c r="E1197" s="4">
        <v>3.69</v>
      </c>
      <c r="F1197" s="1">
        <v>3.28</v>
      </c>
      <c r="G1197" s="9">
        <v>-3.5999999999999999E-3</v>
      </c>
      <c r="H1197" s="9">
        <v>-3.0000000000000001E-3</v>
      </c>
      <c r="I1197" s="9">
        <v>-0.01</v>
      </c>
    </row>
    <row r="1198" spans="1:11">
      <c r="A1198" s="1" t="s">
        <v>1356</v>
      </c>
      <c r="B1198" s="1">
        <v>440</v>
      </c>
      <c r="C1198" s="2">
        <v>49.77</v>
      </c>
      <c r="D1198" s="3">
        <v>41.2</v>
      </c>
      <c r="E1198" s="4">
        <v>11.49</v>
      </c>
      <c r="F1198" s="1">
        <v>10.68</v>
      </c>
      <c r="G1198" s="9">
        <v>-3.47E-3</v>
      </c>
      <c r="H1198" s="9">
        <v>-2.63E-3</v>
      </c>
      <c r="I1198" s="9">
        <v>5.6999999999999998E-4</v>
      </c>
    </row>
    <row r="1199" spans="1:11">
      <c r="A1199" s="1" t="s">
        <v>1357</v>
      </c>
      <c r="B1199" s="1">
        <v>265</v>
      </c>
      <c r="C1199" s="2">
        <v>38.1</v>
      </c>
      <c r="D1199" s="3">
        <v>31</v>
      </c>
      <c r="E1199" s="4">
        <v>9.1999999999999993</v>
      </c>
      <c r="F1199" s="1">
        <v>8.5500000000000007</v>
      </c>
      <c r="G1199" s="10">
        <v>-4.3600000000000002E-3</v>
      </c>
      <c r="H1199" s="10">
        <v>-3.3E-3</v>
      </c>
    </row>
    <row r="1200" spans="1:11">
      <c r="A1200" s="1" t="s">
        <v>1358</v>
      </c>
      <c r="B1200" s="1">
        <v>275</v>
      </c>
      <c r="C1200" s="2">
        <v>42.24</v>
      </c>
      <c r="D1200" s="3">
        <v>32.5</v>
      </c>
      <c r="G1200" s="10">
        <v>-4.3600000000000002E-3</v>
      </c>
      <c r="H1200" s="10">
        <v>-3.3E-3</v>
      </c>
    </row>
    <row r="1201" spans="1:10">
      <c r="A1201" s="1" t="s">
        <v>1359</v>
      </c>
      <c r="B1201" s="1">
        <v>275</v>
      </c>
      <c r="C1201" s="2">
        <v>38.4</v>
      </c>
      <c r="D1201" s="3">
        <v>32.5</v>
      </c>
      <c r="E1201" s="4">
        <v>9.59</v>
      </c>
      <c r="F1201" s="1">
        <v>9.08</v>
      </c>
      <c r="G1201" s="9">
        <v>-4.3E-3</v>
      </c>
      <c r="H1201" s="9">
        <v>-3.3E-3</v>
      </c>
      <c r="I1201" s="9">
        <v>5.1999999999999995E-4</v>
      </c>
    </row>
    <row r="1202" spans="1:10">
      <c r="A1202" s="1" t="s">
        <v>1360</v>
      </c>
      <c r="B1202" s="1">
        <v>335</v>
      </c>
      <c r="C1202" s="2">
        <v>45.55</v>
      </c>
      <c r="D1202" s="3">
        <v>37</v>
      </c>
      <c r="E1202" s="4">
        <v>9.4</v>
      </c>
      <c r="F1202" s="1">
        <v>9.0500000000000007</v>
      </c>
      <c r="G1202" s="9">
        <v>-4.0000000000000001E-3</v>
      </c>
      <c r="H1202" s="9">
        <v>-3.2000000000000002E-3</v>
      </c>
      <c r="I1202" s="9">
        <v>5.0000000000000001E-4</v>
      </c>
    </row>
    <row r="1203" spans="1:10">
      <c r="A1203" s="1" t="s">
        <v>1361</v>
      </c>
      <c r="B1203" s="1">
        <v>310</v>
      </c>
      <c r="C1203" s="2">
        <v>40.82</v>
      </c>
      <c r="D1203" s="3">
        <v>33.18</v>
      </c>
      <c r="E1203" s="4">
        <v>9.89</v>
      </c>
      <c r="F1203" s="1">
        <v>9.35</v>
      </c>
      <c r="G1203" s="9">
        <v>-4.1999999999999997E-3</v>
      </c>
      <c r="H1203" s="9">
        <v>-3.2000000000000002E-3</v>
      </c>
      <c r="I1203" s="9">
        <v>4.0000000000000002E-4</v>
      </c>
    </row>
    <row r="1204" spans="1:10">
      <c r="A1204" s="1" t="s">
        <v>1362</v>
      </c>
      <c r="B1204" s="1">
        <v>440</v>
      </c>
      <c r="C1204" s="2">
        <v>49.77</v>
      </c>
      <c r="D1204" s="3">
        <v>41.2</v>
      </c>
      <c r="E1204" s="4">
        <v>11.49</v>
      </c>
      <c r="F1204" s="1">
        <v>10.68</v>
      </c>
      <c r="G1204" s="9">
        <v>-3.47E-3</v>
      </c>
      <c r="H1204" s="9">
        <v>-2.63E-3</v>
      </c>
      <c r="I1204" s="9">
        <v>3.2000000000000003E-4</v>
      </c>
    </row>
    <row r="1205" spans="1:10">
      <c r="A1205" s="1" t="s">
        <v>1363</v>
      </c>
      <c r="B1205" s="1">
        <v>265</v>
      </c>
      <c r="C1205" s="2">
        <v>37.909999999999997</v>
      </c>
      <c r="D1205" s="3">
        <v>31.63</v>
      </c>
      <c r="E1205" s="4">
        <v>8.6999999999999993</v>
      </c>
      <c r="F1205" s="1">
        <v>8.3800000000000008</v>
      </c>
      <c r="G1205" s="9">
        <v>-4.3600000000000002E-3</v>
      </c>
      <c r="H1205" s="9">
        <v>-3.3E-3</v>
      </c>
      <c r="I1205" s="9">
        <v>5.1999999999999995E-4</v>
      </c>
    </row>
    <row r="1206" spans="1:10">
      <c r="A1206" s="1" t="s">
        <v>1364</v>
      </c>
      <c r="B1206" s="1">
        <v>370</v>
      </c>
      <c r="C1206" s="2">
        <v>41.18</v>
      </c>
      <c r="D1206" s="3">
        <v>34.130000000000003</v>
      </c>
      <c r="E1206" s="4">
        <v>11.34</v>
      </c>
      <c r="F1206" s="1">
        <v>10.84</v>
      </c>
      <c r="G1206" s="9">
        <v>-3.5999999999999999E-3</v>
      </c>
      <c r="H1206" s="9">
        <v>-2.8E-3</v>
      </c>
      <c r="I1206" s="9">
        <v>5.0000000000000001E-4</v>
      </c>
    </row>
    <row r="1207" spans="1:10">
      <c r="A1207" s="1" t="s">
        <v>1365</v>
      </c>
      <c r="B1207" s="1">
        <v>710</v>
      </c>
      <c r="C1207" s="2">
        <v>50.71</v>
      </c>
      <c r="D1207" s="3">
        <v>43.46</v>
      </c>
      <c r="E1207" s="4">
        <v>17.25</v>
      </c>
      <c r="F1207" s="1">
        <v>16.34</v>
      </c>
      <c r="G1207" s="9">
        <v>-2.3999999999999998E-3</v>
      </c>
      <c r="H1207" s="9">
        <v>-2.2000000000000001E-3</v>
      </c>
      <c r="I1207" s="9">
        <v>4.6999999999999999E-4</v>
      </c>
    </row>
    <row r="1208" spans="1:10">
      <c r="A1208" s="1" t="s">
        <v>1366</v>
      </c>
      <c r="B1208" s="1">
        <f>B1207*(1+J1208)</f>
        <v>887.5</v>
      </c>
      <c r="C1208" s="2">
        <f>C1207</f>
        <v>50.71</v>
      </c>
      <c r="D1208" s="3">
        <f>D1207</f>
        <v>43.46</v>
      </c>
      <c r="E1208" s="4">
        <f>E1207*(1+J1208)</f>
        <v>21.5625</v>
      </c>
      <c r="F1208" s="1">
        <f>F1207*(1+J1208)</f>
        <v>20.425000000000001</v>
      </c>
      <c r="G1208" s="9">
        <f>G1207</f>
        <v>-2.3999999999999998E-3</v>
      </c>
      <c r="H1208" s="9">
        <f>H1207</f>
        <v>-2.2000000000000001E-3</v>
      </c>
      <c r="I1208" s="9">
        <f>I1207</f>
        <v>4.6999999999999999E-4</v>
      </c>
      <c r="J1208" s="9">
        <v>0.25</v>
      </c>
    </row>
    <row r="1209" spans="1:10">
      <c r="A1209" s="1" t="s">
        <v>1367</v>
      </c>
      <c r="B1209" s="1">
        <v>660</v>
      </c>
      <c r="C1209" s="2">
        <v>45.21</v>
      </c>
      <c r="D1209" s="3">
        <v>38.11</v>
      </c>
      <c r="E1209" s="4">
        <v>18.440000000000001</v>
      </c>
      <c r="F1209" s="1">
        <v>17.190000000000001</v>
      </c>
      <c r="G1209" s="9">
        <v>-3.3999999999999998E-3</v>
      </c>
      <c r="H1209" s="9">
        <v>-2.5000000000000001E-3</v>
      </c>
      <c r="I1209" s="9">
        <v>4.0000000000000002E-4</v>
      </c>
    </row>
    <row r="1210" spans="1:10">
      <c r="A1210" s="1" t="s">
        <v>1368</v>
      </c>
      <c r="B1210" s="1">
        <v>185</v>
      </c>
      <c r="C1210" s="2">
        <v>121</v>
      </c>
      <c r="D1210" s="3">
        <v>95</v>
      </c>
      <c r="E1210" s="4">
        <v>2.19</v>
      </c>
      <c r="F1210" s="1">
        <v>1.95</v>
      </c>
      <c r="G1210" s="9">
        <v>-3.3E-3</v>
      </c>
      <c r="H1210" s="9">
        <v>-2.7000000000000001E-3</v>
      </c>
      <c r="I1210" s="9">
        <v>1E-4</v>
      </c>
    </row>
    <row r="1211" spans="1:10">
      <c r="A1211" s="1" t="s">
        <v>1369</v>
      </c>
      <c r="B1211" s="1">
        <v>260</v>
      </c>
      <c r="C1211" s="2">
        <v>38.200000000000003</v>
      </c>
      <c r="D1211" s="3">
        <v>30.6</v>
      </c>
      <c r="E1211" s="4">
        <v>9</v>
      </c>
      <c r="F1211" s="1">
        <v>8.5</v>
      </c>
      <c r="G1211" s="9">
        <v>-4.1000000000000003E-3</v>
      </c>
      <c r="H1211" s="9">
        <v>-3.2000000000000002E-3</v>
      </c>
      <c r="I1211" s="9">
        <v>5.0000000000000001E-4</v>
      </c>
    </row>
    <row r="1212" spans="1:10">
      <c r="A1212" s="1" t="s">
        <v>1370</v>
      </c>
      <c r="B1212" s="1">
        <v>545</v>
      </c>
      <c r="C1212" s="2">
        <v>49.68</v>
      </c>
      <c r="D1212" s="3">
        <v>41.83</v>
      </c>
      <c r="E1212" s="4">
        <v>13.91</v>
      </c>
      <c r="F1212" s="1">
        <v>13.03</v>
      </c>
      <c r="G1212" s="9">
        <v>-3.5000000000000001E-3</v>
      </c>
      <c r="H1212" s="9">
        <v>-2.8E-3</v>
      </c>
      <c r="I1212" s="9">
        <v>4.8000000000000001E-4</v>
      </c>
    </row>
    <row r="1213" spans="1:10">
      <c r="A1213" s="1" t="s">
        <v>1371</v>
      </c>
      <c r="B1213" s="1">
        <v>185</v>
      </c>
      <c r="C1213" s="2">
        <v>45</v>
      </c>
      <c r="D1213" s="3">
        <v>36.4</v>
      </c>
      <c r="E1213" s="4">
        <v>5.43</v>
      </c>
      <c r="F1213" s="1">
        <v>5.09</v>
      </c>
      <c r="G1213" s="9">
        <v>-4.8500000000000001E-3</v>
      </c>
      <c r="H1213" s="9">
        <f>-0.13/C1213</f>
        <v>-2.8888888888888892E-3</v>
      </c>
    </row>
    <row r="1214" spans="1:10">
      <c r="A1214" s="1" t="s">
        <v>1372</v>
      </c>
      <c r="B1214" s="1">
        <v>285</v>
      </c>
      <c r="C1214" s="2">
        <v>39.200000000000003</v>
      </c>
      <c r="D1214" s="3">
        <v>31.8</v>
      </c>
      <c r="E1214" s="4">
        <v>9.4700000000000006</v>
      </c>
      <c r="F1214" s="1">
        <v>8.9700000000000006</v>
      </c>
      <c r="G1214" s="9">
        <v>-3.8999999999999998E-3</v>
      </c>
      <c r="H1214" s="9">
        <v>-3.3999999999999998E-3</v>
      </c>
      <c r="I1214" s="9">
        <v>3.6000000000000002E-4</v>
      </c>
    </row>
    <row r="1215" spans="1:10">
      <c r="A1215" s="1" t="s">
        <v>1373</v>
      </c>
      <c r="B1215" s="1">
        <v>185</v>
      </c>
      <c r="C1215" s="2">
        <v>121</v>
      </c>
      <c r="D1215" s="3">
        <v>95</v>
      </c>
      <c r="E1215" s="4">
        <v>2.19</v>
      </c>
      <c r="F1215" s="1">
        <v>1.95</v>
      </c>
      <c r="G1215" s="9">
        <v>-3.3E-3</v>
      </c>
      <c r="H1215" s="9">
        <v>-2.7000000000000001E-3</v>
      </c>
      <c r="I1215" s="9">
        <v>1E-4</v>
      </c>
    </row>
    <row r="1216" spans="1:10">
      <c r="A1216" s="1" t="s">
        <v>1374</v>
      </c>
      <c r="B1216" s="1">
        <v>175</v>
      </c>
      <c r="C1216" s="2">
        <v>114</v>
      </c>
      <c r="D1216" s="3">
        <v>89.5</v>
      </c>
      <c r="E1216" s="4">
        <v>2.2000000000000002</v>
      </c>
      <c r="F1216" s="1">
        <v>1.96</v>
      </c>
      <c r="G1216" s="9">
        <v>-3.0999999999999999E-3</v>
      </c>
      <c r="H1216" s="9">
        <v>-3.0000000000000001E-3</v>
      </c>
    </row>
    <row r="1217" spans="1:9">
      <c r="A1217" s="1" t="s">
        <v>1375</v>
      </c>
      <c r="B1217" s="1">
        <v>185</v>
      </c>
      <c r="C1217" s="2">
        <v>121</v>
      </c>
      <c r="D1217" s="3">
        <v>95</v>
      </c>
      <c r="E1217" s="4">
        <v>2.19</v>
      </c>
      <c r="F1217" s="1">
        <v>1.95</v>
      </c>
      <c r="G1217" s="9">
        <v>-3.3E-3</v>
      </c>
      <c r="H1217" s="9">
        <v>-2.7000000000000001E-3</v>
      </c>
    </row>
    <row r="1218" spans="1:9">
      <c r="A1218" s="1" t="s">
        <v>1376</v>
      </c>
      <c r="B1218" s="1">
        <v>90</v>
      </c>
      <c r="C1218" s="2">
        <v>20.6</v>
      </c>
      <c r="D1218" s="3">
        <v>17.100000000000001</v>
      </c>
      <c r="E1218" s="4">
        <v>5.54</v>
      </c>
      <c r="F1218" s="1">
        <v>5.27</v>
      </c>
      <c r="G1218" s="9">
        <v>-3.5999999999999999E-3</v>
      </c>
      <c r="H1218" s="9">
        <v>-2.8E-3</v>
      </c>
      <c r="I1218" s="9">
        <v>5.9999999999999995E-4</v>
      </c>
    </row>
    <row r="1219" spans="1:9">
      <c r="A1219" s="1" t="s">
        <v>1377</v>
      </c>
      <c r="B1219" s="1">
        <f>90*3</f>
        <v>270</v>
      </c>
      <c r="C1219" s="2">
        <f>20.6*3</f>
        <v>61.800000000000004</v>
      </c>
      <c r="D1219" s="3">
        <f>3*17.1</f>
        <v>51.300000000000004</v>
      </c>
      <c r="E1219" s="4">
        <v>5.54</v>
      </c>
      <c r="F1219" s="1">
        <v>5.27</v>
      </c>
      <c r="G1219" s="9">
        <v>-3.5999999999999999E-3</v>
      </c>
      <c r="H1219" s="9">
        <v>-2.8E-3</v>
      </c>
      <c r="I1219" s="9">
        <v>5.9999999999999995E-4</v>
      </c>
    </row>
    <row r="1220" spans="1:9">
      <c r="A1220" s="1" t="s">
        <v>1378</v>
      </c>
      <c r="B1220" s="1">
        <f>B1219*K1220</f>
        <v>0</v>
      </c>
      <c r="C1220" s="2">
        <f>C1219</f>
        <v>61.800000000000004</v>
      </c>
      <c r="D1220" s="3">
        <f>D1219</f>
        <v>51.300000000000004</v>
      </c>
      <c r="E1220" s="4">
        <f>E1219*K1220</f>
        <v>0</v>
      </c>
      <c r="F1220" s="1">
        <f>F1219*K1220</f>
        <v>0</v>
      </c>
      <c r="G1220" s="9">
        <f>G1219</f>
        <v>-3.5999999999999999E-3</v>
      </c>
      <c r="H1220" s="9">
        <f>H1219</f>
        <v>-2.8E-3</v>
      </c>
      <c r="I1220" s="9">
        <f>I1219</f>
        <v>5.9999999999999995E-4</v>
      </c>
    </row>
    <row r="1221" spans="1:9">
      <c r="A1221" s="1" t="s">
        <v>1379</v>
      </c>
      <c r="B1221" s="1">
        <v>400</v>
      </c>
      <c r="C1221" s="2">
        <v>52.7</v>
      </c>
      <c r="D1221" s="3">
        <v>43.4</v>
      </c>
      <c r="E1221" s="4">
        <v>9.7899999999999991</v>
      </c>
      <c r="F1221" s="1">
        <v>9.2100000000000009</v>
      </c>
      <c r="G1221" s="9">
        <v>-3.7000000000000002E-3</v>
      </c>
      <c r="H1221" s="9">
        <v>-2.8999999999999998E-3</v>
      </c>
    </row>
    <row r="1222" spans="1:9">
      <c r="A1222" s="1" t="s">
        <v>1380</v>
      </c>
      <c r="B1222" s="1">
        <v>365</v>
      </c>
      <c r="C1222" s="2">
        <v>42.4</v>
      </c>
      <c r="D1222" s="3">
        <v>34.9</v>
      </c>
      <c r="E1222" s="4">
        <v>11.09</v>
      </c>
      <c r="F1222" s="1">
        <v>10.46</v>
      </c>
      <c r="G1222" s="9">
        <v>-3.5999999999999999E-3</v>
      </c>
      <c r="H1222" s="9">
        <v>-2.8E-3</v>
      </c>
      <c r="I1222" s="9">
        <v>5.9999999999999995E-4</v>
      </c>
    </row>
    <row r="1223" spans="1:9">
      <c r="A1223" s="1" t="s">
        <v>1381</v>
      </c>
      <c r="B1223" s="1">
        <v>375</v>
      </c>
      <c r="C1223" s="2">
        <v>42.8</v>
      </c>
      <c r="D1223" s="3">
        <v>35.299999999999997</v>
      </c>
      <c r="E1223" s="4">
        <v>11.23</v>
      </c>
      <c r="F1223" s="1">
        <v>10.62</v>
      </c>
      <c r="G1223" s="9">
        <v>-3.5999999999999999E-3</v>
      </c>
      <c r="H1223" s="9">
        <v>-2.8E-3</v>
      </c>
      <c r="I1223" s="9">
        <v>5.9999999999999995E-4</v>
      </c>
    </row>
    <row r="1224" spans="1:9">
      <c r="A1224" s="1" t="s">
        <v>1382</v>
      </c>
      <c r="B1224" s="1">
        <v>390</v>
      </c>
      <c r="C1224" s="2">
        <v>52.3</v>
      </c>
      <c r="D1224" s="3">
        <v>43.1</v>
      </c>
      <c r="E1224" s="4">
        <v>9.64</v>
      </c>
      <c r="F1224" s="1">
        <v>9.06</v>
      </c>
      <c r="G1224" s="9">
        <v>-3.7000000000000002E-3</v>
      </c>
      <c r="H1224" s="9">
        <v>-2.8999999999999998E-3</v>
      </c>
      <c r="I1224" s="9">
        <v>5.0000000000000001E-4</v>
      </c>
    </row>
    <row r="1225" spans="1:9">
      <c r="A1225" s="1" t="s">
        <v>1383</v>
      </c>
      <c r="B1225" s="1">
        <v>210</v>
      </c>
      <c r="C1225" s="2">
        <v>47.7</v>
      </c>
      <c r="D1225" s="3">
        <v>40</v>
      </c>
      <c r="E1225" s="4">
        <v>5.75</v>
      </c>
      <c r="F1225" s="1">
        <v>5.25</v>
      </c>
      <c r="G1225" s="9">
        <v>-4.4999999999999997E-3</v>
      </c>
      <c r="H1225" s="9">
        <v>-3.5000000000000001E-3</v>
      </c>
      <c r="I1225" s="9">
        <v>5.0000000000000001E-4</v>
      </c>
    </row>
    <row r="1226" spans="1:9">
      <c r="A1226" s="1" t="s">
        <v>1384</v>
      </c>
      <c r="B1226" s="1">
        <v>240</v>
      </c>
      <c r="C1226" s="2">
        <v>48.6</v>
      </c>
      <c r="D1226" s="3">
        <v>40.5</v>
      </c>
      <c r="E1226" s="4">
        <v>6.3</v>
      </c>
      <c r="F1226" s="1">
        <v>5.93</v>
      </c>
      <c r="G1226" s="207">
        <v>-4.4999999999999997E-3</v>
      </c>
      <c r="H1226" s="207">
        <v>-4.0000000000000001E-3</v>
      </c>
      <c r="I1226" s="207">
        <v>5.0000000000000001E-4</v>
      </c>
    </row>
    <row r="1227" spans="1:9">
      <c r="A1227" s="1" t="s">
        <v>1385</v>
      </c>
      <c r="B1227" s="1">
        <v>250</v>
      </c>
      <c r="C1227" s="2">
        <v>68.8</v>
      </c>
      <c r="D1227" s="3">
        <v>40.5</v>
      </c>
      <c r="E1227" s="4">
        <v>6.56</v>
      </c>
      <c r="F1227" s="1">
        <v>6.17</v>
      </c>
      <c r="G1227" s="9">
        <v>-3.5000000000000001E-3</v>
      </c>
      <c r="H1227" s="9">
        <v>-3.0000000000000001E-3</v>
      </c>
      <c r="I1227" s="9">
        <v>4.0000000000000002E-4</v>
      </c>
    </row>
    <row r="1228" spans="1:9">
      <c r="A1228" s="1" t="s">
        <v>1386</v>
      </c>
      <c r="B1228" s="1">
        <v>253</v>
      </c>
      <c r="C1228" s="2">
        <v>51</v>
      </c>
      <c r="D1228" s="3">
        <v>42.8</v>
      </c>
      <c r="E1228" s="4">
        <v>6.28</v>
      </c>
      <c r="F1228" s="1">
        <v>5.91</v>
      </c>
      <c r="G1228" s="9">
        <v>-3.5000000000000001E-3</v>
      </c>
      <c r="H1228" s="9">
        <v>-3.0000000000000001E-3</v>
      </c>
      <c r="I1228" s="9">
        <v>4.0000000000000002E-4</v>
      </c>
    </row>
    <row r="1229" spans="1:9">
      <c r="A1229" s="1" t="s">
        <v>1387</v>
      </c>
      <c r="B1229" s="1">
        <v>327</v>
      </c>
      <c r="C1229" s="2">
        <v>64.900000000000006</v>
      </c>
      <c r="D1229" s="3">
        <v>54.7</v>
      </c>
      <c r="E1229" s="4">
        <v>6.46</v>
      </c>
      <c r="F1229" s="1">
        <v>5.98</v>
      </c>
      <c r="G1229" s="9">
        <v>-3.3E-3</v>
      </c>
      <c r="H1229" s="9">
        <v>-2.7000000000000001E-3</v>
      </c>
    </row>
    <row r="1230" spans="1:9">
      <c r="A1230" s="1" t="s">
        <v>1388</v>
      </c>
      <c r="B1230" s="1">
        <v>327</v>
      </c>
      <c r="C1230" s="2">
        <v>64.900000000000006</v>
      </c>
      <c r="D1230" s="3">
        <v>54.7</v>
      </c>
      <c r="E1230" s="4">
        <v>6.46</v>
      </c>
      <c r="F1230" s="1">
        <v>5.98</v>
      </c>
      <c r="G1230" s="9">
        <v>-3.8E-3</v>
      </c>
      <c r="H1230" s="9">
        <f>-0.1766/64.9</f>
        <v>-2.7211093990755007E-3</v>
      </c>
      <c r="I1230" s="9">
        <v>5.0000000000000001E-4</v>
      </c>
    </row>
    <row r="1231" spans="1:9">
      <c r="A1231" s="1" t="s">
        <v>1389</v>
      </c>
      <c r="B1231" s="1">
        <v>327</v>
      </c>
      <c r="C1231" s="2">
        <v>64.900000000000006</v>
      </c>
      <c r="D1231" s="3">
        <v>54.7</v>
      </c>
      <c r="E1231" s="4">
        <v>6.46</v>
      </c>
      <c r="F1231" s="1">
        <v>5.98</v>
      </c>
      <c r="G1231" s="9">
        <v>-3.8E-3</v>
      </c>
      <c r="H1231" s="9">
        <f>-0.1766/C1231</f>
        <v>-2.7211093990755007E-3</v>
      </c>
      <c r="I1231" s="9">
        <f>0.0035/E1231</f>
        <v>5.4179566563467496E-4</v>
      </c>
    </row>
    <row r="1232" spans="1:9">
      <c r="A1232" s="1" t="s">
        <v>1390</v>
      </c>
      <c r="B1232" s="1">
        <v>400</v>
      </c>
      <c r="C1232" s="2">
        <v>75.599999999999994</v>
      </c>
      <c r="D1232" s="3">
        <v>65.8</v>
      </c>
      <c r="E1232" s="4">
        <v>6.58</v>
      </c>
      <c r="F1232" s="1">
        <v>6.08</v>
      </c>
      <c r="G1232" s="9">
        <v>-2.8999999999999998E-3</v>
      </c>
      <c r="H1232" s="9">
        <f>-0.1768/C1232</f>
        <v>-2.3386243386243392E-3</v>
      </c>
      <c r="I1232" s="9">
        <f>0.0029/E1232</f>
        <v>4.4072948328267473E-4</v>
      </c>
    </row>
    <row r="1233" spans="1:10">
      <c r="A1233" s="1" t="s">
        <v>1391</v>
      </c>
      <c r="B1233" s="1">
        <v>390</v>
      </c>
      <c r="C1233" s="2">
        <v>52.3</v>
      </c>
      <c r="D1233" s="3">
        <v>43.1</v>
      </c>
      <c r="E1233" s="4">
        <v>9.64</v>
      </c>
      <c r="F1233" s="1">
        <v>9.06</v>
      </c>
      <c r="G1233" s="9">
        <v>-3.7000000000000002E-3</v>
      </c>
      <c r="H1233" s="9">
        <v>-2.8999999999999998E-3</v>
      </c>
    </row>
    <row r="1234" spans="1:10">
      <c r="A1234" s="1" t="s">
        <v>1392</v>
      </c>
      <c r="B1234" s="1">
        <v>400</v>
      </c>
      <c r="C1234" s="2">
        <v>52.7</v>
      </c>
      <c r="D1234" s="3">
        <v>43.4</v>
      </c>
      <c r="E1234" s="4">
        <v>9.8000000000000007</v>
      </c>
      <c r="F1234" s="1">
        <v>9.2200000000000006</v>
      </c>
      <c r="G1234" s="9">
        <v>-3.5999999999999999E-3</v>
      </c>
      <c r="H1234" s="9">
        <v>-2.8999999999999998E-3</v>
      </c>
    </row>
    <row r="1235" spans="1:10">
      <c r="A1235" s="1" t="s">
        <v>1393</v>
      </c>
      <c r="B1235" s="1">
        <v>400</v>
      </c>
      <c r="C1235" s="2">
        <v>52.7</v>
      </c>
      <c r="D1235" s="3">
        <v>43.4</v>
      </c>
      <c r="E1235" s="4">
        <v>9.7899999999999991</v>
      </c>
      <c r="F1235" s="1">
        <v>9.2100000000000009</v>
      </c>
      <c r="G1235" s="9">
        <v>-3.7000000000000002E-3</v>
      </c>
      <c r="H1235" s="9">
        <v>-2.8999999999999998E-3</v>
      </c>
      <c r="I1235" s="9">
        <v>5.0000000000000001E-4</v>
      </c>
    </row>
    <row r="1236" spans="1:10">
      <c r="A1236" s="1" t="s">
        <v>1394</v>
      </c>
      <c r="B1236" s="1">
        <v>405</v>
      </c>
      <c r="C1236" s="2">
        <v>52.9</v>
      </c>
      <c r="D1236" s="3">
        <v>43.6</v>
      </c>
      <c r="E1236" s="4">
        <v>9.8699999999999992</v>
      </c>
      <c r="F1236" s="1">
        <v>9.2799999999999994</v>
      </c>
      <c r="G1236" s="9">
        <v>-3.7000000000000002E-3</v>
      </c>
      <c r="H1236" s="9">
        <v>-2.8999999999999998E-3</v>
      </c>
      <c r="I1236" s="9">
        <v>5.0000000000000001E-4</v>
      </c>
    </row>
    <row r="1237" spans="1:10">
      <c r="A1237" s="1" t="s">
        <v>1395</v>
      </c>
      <c r="B1237" s="1">
        <v>415</v>
      </c>
      <c r="C1237" s="2">
        <v>54.1</v>
      </c>
      <c r="D1237" s="3">
        <v>45</v>
      </c>
      <c r="E1237" s="4">
        <v>9.9</v>
      </c>
      <c r="F1237" s="1">
        <v>9.2200000000000006</v>
      </c>
      <c r="G1237" s="9">
        <v>-3.5999999999999999E-3</v>
      </c>
      <c r="H1237" s="9">
        <v>-2.8999999999999998E-3</v>
      </c>
      <c r="I1237" s="9">
        <v>5.0000000000000001E-4</v>
      </c>
    </row>
    <row r="1238" spans="1:10">
      <c r="A1238" s="1" t="s">
        <v>1396</v>
      </c>
      <c r="B1238" s="1">
        <v>480</v>
      </c>
      <c r="C1238" s="2">
        <v>54.3</v>
      </c>
      <c r="D1238" s="3">
        <v>45.4</v>
      </c>
      <c r="E1238" s="4">
        <v>11.36</v>
      </c>
      <c r="F1238" s="1">
        <v>10.56</v>
      </c>
      <c r="G1238" s="9">
        <v>-3.5999999999999999E-3</v>
      </c>
      <c r="H1238" s="9">
        <v>-2.8999999999999998E-3</v>
      </c>
      <c r="I1238" s="9">
        <v>5.0000000000000001E-4</v>
      </c>
    </row>
    <row r="1239" spans="1:10">
      <c r="A1239" s="1" t="s">
        <v>1397</v>
      </c>
      <c r="B1239" s="1">
        <v>480</v>
      </c>
      <c r="C1239" s="2">
        <v>53.3</v>
      </c>
      <c r="D1239" s="3">
        <v>44.3</v>
      </c>
      <c r="E1239" s="4">
        <v>11.49</v>
      </c>
      <c r="F1239" s="1">
        <v>10.85</v>
      </c>
      <c r="G1239" s="9">
        <v>-3.5999999999999999E-3</v>
      </c>
      <c r="H1239" s="9">
        <v>-2.8999999999999998E-3</v>
      </c>
      <c r="I1239" s="9">
        <v>5.0000000000000001E-4</v>
      </c>
    </row>
    <row r="1240" spans="1:10">
      <c r="A1240" s="1" t="s">
        <v>1398</v>
      </c>
      <c r="B1240" s="1">
        <v>415</v>
      </c>
      <c r="C1240" s="2">
        <v>36.1</v>
      </c>
      <c r="D1240" s="3">
        <v>30.2</v>
      </c>
      <c r="E1240" s="4">
        <v>14.66</v>
      </c>
      <c r="F1240" s="1">
        <v>13.76</v>
      </c>
      <c r="G1240" s="9">
        <v>-3.3999999999999998E-3</v>
      </c>
      <c r="H1240" s="9">
        <v>-2.7000000000000001E-3</v>
      </c>
      <c r="I1240" s="9">
        <v>4.0000000000000002E-4</v>
      </c>
    </row>
    <row r="1241" spans="1:10">
      <c r="A1241" s="1" t="s">
        <v>1399</v>
      </c>
      <c r="B1241" s="1">
        <v>520</v>
      </c>
      <c r="C1241" s="2">
        <v>46.5</v>
      </c>
      <c r="D1241" s="3">
        <v>37.9</v>
      </c>
      <c r="E1241" s="4">
        <v>14.64</v>
      </c>
      <c r="F1241" s="1">
        <v>13.74</v>
      </c>
      <c r="G1241" s="9">
        <v>-3.8E-3</v>
      </c>
      <c r="H1241" s="9">
        <v>-2.8E-3</v>
      </c>
      <c r="I1241" s="9">
        <v>5.9999999999999995E-4</v>
      </c>
      <c r="J1241" s="9">
        <v>0.25</v>
      </c>
    </row>
    <row r="1242" spans="1:10">
      <c r="A1242" s="1" t="s">
        <v>1400</v>
      </c>
      <c r="B1242" s="1">
        <f>B1241*(1+J1241)</f>
        <v>650</v>
      </c>
      <c r="C1242" s="2">
        <f>C1241</f>
        <v>46.5</v>
      </c>
      <c r="D1242" s="3">
        <f>D1241</f>
        <v>37.9</v>
      </c>
      <c r="E1242" s="4">
        <f>E1241*(1+J1241)</f>
        <v>18.3</v>
      </c>
      <c r="F1242" s="1">
        <f>F1241*(1+J1241)</f>
        <v>17.175000000000001</v>
      </c>
      <c r="G1242" s="9">
        <f>G1241</f>
        <v>-3.8E-3</v>
      </c>
      <c r="H1242" s="9">
        <f>H1241</f>
        <v>-2.8E-3</v>
      </c>
      <c r="I1242" s="9">
        <f>I1241</f>
        <v>5.9999999999999995E-4</v>
      </c>
    </row>
    <row r="1243" spans="1:10">
      <c r="A1243" s="1" t="s">
        <v>1401</v>
      </c>
      <c r="B1243" s="1">
        <v>530</v>
      </c>
      <c r="C1243" s="2">
        <v>47.1</v>
      </c>
      <c r="D1243" s="3">
        <v>38.5</v>
      </c>
      <c r="E1243" s="4">
        <v>14.71</v>
      </c>
      <c r="F1243" s="1">
        <v>13.78</v>
      </c>
      <c r="G1243" s="9">
        <v>-3.3999999999999998E-3</v>
      </c>
      <c r="H1243" s="9">
        <v>-2.8E-3</v>
      </c>
      <c r="I1243" s="9">
        <v>5.9999999999999995E-4</v>
      </c>
      <c r="J1243" s="9">
        <v>0.25</v>
      </c>
    </row>
    <row r="1244" spans="1:10">
      <c r="A1244" s="1" t="s">
        <v>1402</v>
      </c>
      <c r="B1244" s="1">
        <f>B1243*(1+J1243)</f>
        <v>662.5</v>
      </c>
      <c r="C1244" s="2">
        <f>C1243</f>
        <v>47.1</v>
      </c>
      <c r="D1244" s="3">
        <f>D1243</f>
        <v>38.5</v>
      </c>
      <c r="E1244" s="4">
        <f>E1243*(1+J1243)</f>
        <v>18.387500000000003</v>
      </c>
      <c r="F1244" s="1">
        <f>F1243*(1+J1243)</f>
        <v>17.224999999999998</v>
      </c>
      <c r="G1244" s="9">
        <f>G1243</f>
        <v>-3.3999999999999998E-3</v>
      </c>
      <c r="H1244" s="9">
        <f>H1243</f>
        <v>-2.8E-3</v>
      </c>
      <c r="I1244" s="9">
        <f>I1243</f>
        <v>5.9999999999999995E-4</v>
      </c>
    </row>
    <row r="1245" spans="1:10">
      <c r="A1245" s="1" t="s">
        <v>1403</v>
      </c>
      <c r="B1245" s="1">
        <v>535</v>
      </c>
      <c r="C1245" s="2">
        <v>47.4</v>
      </c>
      <c r="D1245" s="3">
        <v>38.799999999999997</v>
      </c>
      <c r="E1245" s="4">
        <v>14.74</v>
      </c>
      <c r="F1245" s="1">
        <v>13.81</v>
      </c>
      <c r="G1245" s="9">
        <v>-3.3999999999999998E-3</v>
      </c>
      <c r="H1245" s="9">
        <v>-2.8E-3</v>
      </c>
      <c r="I1245" s="9">
        <v>5.9999999999999995E-4</v>
      </c>
      <c r="J1245" s="9">
        <v>0.25</v>
      </c>
    </row>
    <row r="1246" spans="1:10">
      <c r="A1246" s="1" t="s">
        <v>1404</v>
      </c>
      <c r="B1246" s="1">
        <f>B1245*(1+J1245)</f>
        <v>668.75</v>
      </c>
      <c r="C1246" s="2">
        <f>C1245</f>
        <v>47.4</v>
      </c>
      <c r="D1246" s="3">
        <f>D1245</f>
        <v>38.799999999999997</v>
      </c>
      <c r="E1246" s="4">
        <f>E1245*(1+J1245)</f>
        <v>18.425000000000001</v>
      </c>
      <c r="F1246" s="1">
        <f>F1245*(1+J1245)</f>
        <v>17.262499999999999</v>
      </c>
      <c r="G1246" s="9">
        <f>G1245</f>
        <v>-3.3999999999999998E-3</v>
      </c>
      <c r="H1246" s="9">
        <f>H1245</f>
        <v>-2.8E-3</v>
      </c>
      <c r="I1246" s="9">
        <f>I1245</f>
        <v>5.9999999999999995E-4</v>
      </c>
    </row>
    <row r="1247" spans="1:10">
      <c r="A1247" s="1" t="s">
        <v>1405</v>
      </c>
      <c r="B1247" s="1">
        <v>545</v>
      </c>
      <c r="C1247" s="2">
        <v>47.8</v>
      </c>
      <c r="D1247" s="3">
        <v>39.4</v>
      </c>
      <c r="E1247" s="4">
        <v>14.78</v>
      </c>
      <c r="F1247" s="1">
        <v>13.85</v>
      </c>
      <c r="G1247" s="9">
        <v>-3.8E-3</v>
      </c>
      <c r="H1247" s="9">
        <v>-2.8E-3</v>
      </c>
      <c r="I1247" s="9">
        <v>5.9999999999999995E-4</v>
      </c>
      <c r="J1247" s="9">
        <v>0.15</v>
      </c>
    </row>
    <row r="1248" spans="1:10">
      <c r="A1248" s="1" t="s">
        <v>1406</v>
      </c>
      <c r="B1248" s="1">
        <f>B1247*(1+J1247)</f>
        <v>626.75</v>
      </c>
      <c r="C1248" s="2">
        <f>C1247</f>
        <v>47.8</v>
      </c>
      <c r="D1248" s="3">
        <f>D1247</f>
        <v>39.4</v>
      </c>
      <c r="E1248" s="4">
        <f>E1247*(1+J1247)</f>
        <v>16.996999999999996</v>
      </c>
      <c r="F1248" s="1">
        <f>F1247*(1+J1247)</f>
        <v>15.927499999999998</v>
      </c>
      <c r="G1248" s="9">
        <f>G1247</f>
        <v>-3.8E-3</v>
      </c>
      <c r="H1248" s="9">
        <f>H1247</f>
        <v>-2.8E-3</v>
      </c>
      <c r="I1248" s="9">
        <f>I1247</f>
        <v>5.9999999999999995E-4</v>
      </c>
    </row>
    <row r="1249" spans="1:10">
      <c r="A1249" s="1" t="s">
        <v>1407</v>
      </c>
      <c r="B1249" s="1">
        <v>500</v>
      </c>
      <c r="C1249" s="2">
        <v>43</v>
      </c>
      <c r="D1249" s="3">
        <v>36.200000000000003</v>
      </c>
      <c r="E1249" s="4">
        <v>14.71</v>
      </c>
      <c r="F1249" s="1">
        <v>13.81</v>
      </c>
      <c r="G1249" s="9">
        <v>-3.3999999999999998E-3</v>
      </c>
      <c r="H1249" s="9">
        <v>-2.5999999999999999E-3</v>
      </c>
      <c r="I1249" s="9">
        <v>5.0000000000000001E-4</v>
      </c>
      <c r="J1249" s="9">
        <v>0.2</v>
      </c>
    </row>
    <row r="1250" spans="1:10">
      <c r="A1250" s="1" t="s">
        <v>1408</v>
      </c>
      <c r="B1250" s="1">
        <f>B1249*(1+J1249)</f>
        <v>600</v>
      </c>
      <c r="C1250" s="2">
        <f>C1249</f>
        <v>43</v>
      </c>
      <c r="D1250" s="3">
        <f>D1249</f>
        <v>36.200000000000003</v>
      </c>
      <c r="E1250" s="4">
        <f>E1249*(1+J1249)</f>
        <v>17.652000000000001</v>
      </c>
      <c r="F1250" s="1">
        <f>F1249*(1+J1249)</f>
        <v>16.571999999999999</v>
      </c>
      <c r="G1250" s="9">
        <f>G1249</f>
        <v>-3.3999999999999998E-3</v>
      </c>
      <c r="H1250" s="9">
        <f>H1249</f>
        <v>-2.5999999999999999E-3</v>
      </c>
      <c r="I1250" s="9">
        <f>I1249</f>
        <v>5.0000000000000001E-4</v>
      </c>
    </row>
    <row r="1251" spans="1:10">
      <c r="A1251" s="1" t="s">
        <v>1409</v>
      </c>
      <c r="B1251" s="1">
        <v>535</v>
      </c>
      <c r="C1251" s="2">
        <v>47</v>
      </c>
      <c r="D1251" s="3">
        <v>38.799999999999997</v>
      </c>
      <c r="E1251" s="4">
        <v>14.79</v>
      </c>
      <c r="F1251" s="1">
        <v>13.79</v>
      </c>
      <c r="G1251" s="9">
        <v>-3.3999999999999998E-3</v>
      </c>
      <c r="H1251" s="9">
        <v>-2.5999999999999999E-3</v>
      </c>
      <c r="I1251" s="9">
        <v>5.0000000000000001E-4</v>
      </c>
      <c r="J1251" s="9">
        <v>0.2</v>
      </c>
    </row>
    <row r="1252" spans="1:10">
      <c r="A1252" s="1" t="s">
        <v>1410</v>
      </c>
      <c r="B1252" s="1">
        <f>B1251*(1+J1251)</f>
        <v>642</v>
      </c>
      <c r="C1252" s="2">
        <f>C1251</f>
        <v>47</v>
      </c>
      <c r="D1252" s="3">
        <f>D1251</f>
        <v>38.799999999999997</v>
      </c>
      <c r="E1252" s="4">
        <f>E1251*(1+J1251)</f>
        <v>17.747999999999998</v>
      </c>
      <c r="F1252" s="1">
        <f>F1251*(1+J1251)</f>
        <v>16.547999999999998</v>
      </c>
      <c r="G1252" s="9">
        <f>G1251</f>
        <v>-3.3999999999999998E-3</v>
      </c>
      <c r="H1252" s="9">
        <f>H1251</f>
        <v>-2.5999999999999999E-3</v>
      </c>
      <c r="I1252" s="9">
        <f>I1251</f>
        <v>5.0000000000000001E-4</v>
      </c>
    </row>
    <row r="1253" spans="1:10">
      <c r="A1253" s="1" t="s">
        <v>1411</v>
      </c>
      <c r="B1253" s="1">
        <v>540</v>
      </c>
      <c r="C1253" s="2">
        <v>47.2</v>
      </c>
      <c r="D1253" s="3">
        <v>39.1</v>
      </c>
      <c r="E1253" s="4">
        <v>14.8</v>
      </c>
      <c r="F1253" s="1">
        <v>13.81</v>
      </c>
      <c r="G1253" s="9">
        <v>-3.3999999999999998E-3</v>
      </c>
      <c r="H1253" s="9">
        <v>-2.5999999999999999E-3</v>
      </c>
      <c r="I1253" s="9">
        <v>5.0000000000000001E-4</v>
      </c>
      <c r="J1253" s="9">
        <v>0.2</v>
      </c>
    </row>
    <row r="1254" spans="1:10">
      <c r="A1254" s="1" t="s">
        <v>1412</v>
      </c>
      <c r="B1254" s="1">
        <f>B1253*(1+J1253)</f>
        <v>648</v>
      </c>
      <c r="C1254" s="2">
        <f>C1253</f>
        <v>47.2</v>
      </c>
      <c r="D1254" s="3">
        <f>D1253</f>
        <v>39.1</v>
      </c>
      <c r="E1254" s="4">
        <f>E1253*(1+J1253)</f>
        <v>17.760000000000002</v>
      </c>
      <c r="F1254" s="1">
        <f>F1253*(1+J1253)</f>
        <v>16.571999999999999</v>
      </c>
      <c r="G1254" s="9">
        <f>G1253</f>
        <v>-3.3999999999999998E-3</v>
      </c>
      <c r="H1254" s="9">
        <f>H1253</f>
        <v>-2.5999999999999999E-3</v>
      </c>
      <c r="I1254" s="9">
        <f>I1253</f>
        <v>5.0000000000000001E-4</v>
      </c>
    </row>
    <row r="1255" spans="1:10">
      <c r="A1255" s="1" t="s">
        <v>1413</v>
      </c>
      <c r="B1255" s="1">
        <v>545</v>
      </c>
      <c r="C1255" s="2">
        <v>47.4</v>
      </c>
      <c r="D1255" s="3">
        <v>39.299999999999997</v>
      </c>
      <c r="E1255" s="4">
        <v>14.81</v>
      </c>
      <c r="F1255" s="1">
        <v>13.87</v>
      </c>
      <c r="G1255" s="9">
        <v>-3.3999999999999998E-3</v>
      </c>
      <c r="H1255" s="9">
        <v>-2.5999999999999999E-3</v>
      </c>
      <c r="I1255" s="9">
        <v>5.0000000000000001E-4</v>
      </c>
      <c r="J1255" s="9">
        <v>0.2</v>
      </c>
    </row>
    <row r="1256" spans="1:10">
      <c r="A1256" s="1" t="s">
        <v>1414</v>
      </c>
      <c r="B1256" s="1">
        <f>B1255*(1+J1255)</f>
        <v>654</v>
      </c>
      <c r="C1256" s="2">
        <f>C1255</f>
        <v>47.4</v>
      </c>
      <c r="D1256" s="3">
        <f>D1255</f>
        <v>39.299999999999997</v>
      </c>
      <c r="E1256" s="4">
        <f>E1255*(1+J1255)</f>
        <v>17.771999999999998</v>
      </c>
      <c r="F1256" s="1">
        <f>F1255*(1+J1255)</f>
        <v>16.643999999999998</v>
      </c>
      <c r="G1256" s="9">
        <f>G1255</f>
        <v>-3.3999999999999998E-3</v>
      </c>
      <c r="H1256" s="9">
        <f>H1255</f>
        <v>-2.5999999999999999E-3</v>
      </c>
      <c r="I1256" s="9">
        <f>I1255</f>
        <v>5.0000000000000001E-4</v>
      </c>
    </row>
    <row r="1257" spans="1:10">
      <c r="A1257" s="1" t="s">
        <v>1415</v>
      </c>
      <c r="B1257" s="1">
        <v>550</v>
      </c>
      <c r="C1257" s="2">
        <v>47.6</v>
      </c>
      <c r="D1257" s="3">
        <v>39.5</v>
      </c>
      <c r="E1257" s="4">
        <v>14.82</v>
      </c>
      <c r="F1257" s="1">
        <v>13.72</v>
      </c>
      <c r="G1257" s="9">
        <v>-3.3999999999999998E-3</v>
      </c>
      <c r="H1257" s="9">
        <v>-2.5999999999999999E-3</v>
      </c>
      <c r="I1257" s="9">
        <v>5.0000000000000001E-4</v>
      </c>
      <c r="J1257" s="9">
        <v>0.2</v>
      </c>
    </row>
    <row r="1258" spans="1:10">
      <c r="A1258" s="1" t="s">
        <v>1416</v>
      </c>
      <c r="B1258" s="1">
        <f>B1257*(1+J1257)</f>
        <v>660</v>
      </c>
      <c r="C1258" s="2">
        <f>C1257</f>
        <v>47.6</v>
      </c>
      <c r="D1258" s="3">
        <f>D1257</f>
        <v>39.5</v>
      </c>
      <c r="E1258" s="4">
        <f>E1257*(1+J1257)</f>
        <v>17.783999999999999</v>
      </c>
      <c r="F1258" s="1">
        <f>F1257*(1+J1257)</f>
        <v>16.463999999999999</v>
      </c>
      <c r="G1258" s="9">
        <f>G1257</f>
        <v>-3.3999999999999998E-3</v>
      </c>
      <c r="H1258" s="9">
        <f>H1257</f>
        <v>-2.5999999999999999E-3</v>
      </c>
      <c r="I1258" s="9">
        <f>I1257</f>
        <v>5.0000000000000001E-4</v>
      </c>
    </row>
    <row r="1259" spans="1:10">
      <c r="A1259" s="1" t="s">
        <v>1417</v>
      </c>
      <c r="B1259" s="1">
        <v>265</v>
      </c>
      <c r="C1259" s="2">
        <v>51.8</v>
      </c>
      <c r="D1259" s="3">
        <v>44</v>
      </c>
      <c r="E1259" s="4">
        <v>6.42</v>
      </c>
      <c r="F1259" s="1">
        <v>6.02</v>
      </c>
      <c r="G1259" s="9">
        <v>-3.5000000000000001E-3</v>
      </c>
      <c r="H1259" s="9">
        <v>-3.0000000000000001E-3</v>
      </c>
      <c r="I1259" s="9">
        <v>4.0000000000000002E-4</v>
      </c>
    </row>
    <row r="1260" spans="1:10">
      <c r="A1260" s="1" t="s">
        <v>1418</v>
      </c>
      <c r="B1260" s="1">
        <v>345</v>
      </c>
      <c r="C1260" s="2">
        <v>68.2</v>
      </c>
      <c r="D1260" s="3">
        <v>57.3</v>
      </c>
      <c r="E1260" s="4">
        <v>6.39</v>
      </c>
      <c r="F1260" s="1">
        <v>6.02</v>
      </c>
      <c r="G1260" s="9">
        <v>-3.5000000000000001E-3</v>
      </c>
      <c r="H1260" s="9">
        <v>-3.0000000000000001E-3</v>
      </c>
      <c r="I1260" s="9">
        <v>4.0000000000000002E-4</v>
      </c>
    </row>
    <row r="1261" spans="1:10">
      <c r="A1261" s="1" t="s">
        <v>1419</v>
      </c>
      <c r="B1261" s="1">
        <v>360</v>
      </c>
      <c r="C1261" s="2">
        <v>69.5</v>
      </c>
      <c r="D1261" s="3">
        <v>59.1</v>
      </c>
      <c r="E1261" s="4">
        <v>6.48</v>
      </c>
      <c r="F1261" s="1">
        <v>6.09</v>
      </c>
      <c r="G1261" s="9">
        <v>-2.8999999999999998E-3</v>
      </c>
      <c r="H1261" s="9">
        <v>-3.0000000000000001E-3</v>
      </c>
      <c r="I1261" s="9">
        <v>4.0000000000000002E-4</v>
      </c>
    </row>
    <row r="1262" spans="1:10">
      <c r="A1262" s="1" t="s">
        <v>1420</v>
      </c>
      <c r="B1262" s="1">
        <v>308</v>
      </c>
      <c r="C1262" s="2">
        <v>45.9</v>
      </c>
      <c r="D1262" s="3">
        <v>37</v>
      </c>
      <c r="E1262" s="4">
        <v>9</v>
      </c>
      <c r="F1262" s="1">
        <v>8.33</v>
      </c>
      <c r="G1262" s="9">
        <v>-5.0939999999999996E-3</v>
      </c>
      <c r="H1262" s="9">
        <v>-2.3999999999999998E-3</v>
      </c>
      <c r="I1262" s="9">
        <v>6.1799999999999995E-4</v>
      </c>
    </row>
    <row r="1263" spans="1:10">
      <c r="A1263" s="1" t="s">
        <v>1421</v>
      </c>
      <c r="B1263" s="1">
        <v>440</v>
      </c>
      <c r="C1263" s="2">
        <v>48.9</v>
      </c>
      <c r="D1263" s="3">
        <v>41.1</v>
      </c>
      <c r="E1263" s="4">
        <v>11.46</v>
      </c>
      <c r="F1263" s="1">
        <v>10.71</v>
      </c>
      <c r="G1263" s="9">
        <v>-3.9250999999999999E-3</v>
      </c>
      <c r="H1263" s="9">
        <v>-2.9605999999999999E-3</v>
      </c>
      <c r="I1263" s="9">
        <v>4.7899999999999999E-4</v>
      </c>
    </row>
    <row r="1264" spans="1:10">
      <c r="A1264" s="1" t="s">
        <v>1422</v>
      </c>
      <c r="B1264" s="1">
        <v>535</v>
      </c>
      <c r="C1264" s="2">
        <v>49.4</v>
      </c>
      <c r="D1264" s="3">
        <v>41.29</v>
      </c>
      <c r="E1264" s="4">
        <v>13.7</v>
      </c>
      <c r="F1264" s="1">
        <v>12.96</v>
      </c>
      <c r="G1264" s="9">
        <v>-3.3999999999999998E-3</v>
      </c>
      <c r="H1264" s="9">
        <v>-2.5999999999999999E-3</v>
      </c>
      <c r="I1264" s="9">
        <v>5.0000000000000001E-4</v>
      </c>
    </row>
    <row r="1265" spans="1:11">
      <c r="A1265" s="1" t="s">
        <v>1423</v>
      </c>
      <c r="B1265" s="1">
        <v>550</v>
      </c>
      <c r="C1265" s="2">
        <v>46.4</v>
      </c>
      <c r="D1265" s="3">
        <v>38.58</v>
      </c>
      <c r="E1265" s="4">
        <v>11.32</v>
      </c>
      <c r="F1265" s="1">
        <v>10.73</v>
      </c>
      <c r="G1265" s="9">
        <v>-3.3999999999999998E-3</v>
      </c>
      <c r="H1265" s="9">
        <v>-2.5999999999999999E-3</v>
      </c>
      <c r="I1265" s="9">
        <v>5.0000000000000001E-4</v>
      </c>
    </row>
    <row r="1266" spans="1:11">
      <c r="A1266" s="1" t="s">
        <v>1424</v>
      </c>
      <c r="B1266" s="1">
        <v>275</v>
      </c>
      <c r="C1266" s="2">
        <v>38.1</v>
      </c>
      <c r="D1266" s="3">
        <v>31.2</v>
      </c>
      <c r="E1266" s="4">
        <v>9.27</v>
      </c>
      <c r="F1266" s="1">
        <v>8.82</v>
      </c>
      <c r="G1266" s="9">
        <v>-4.1000000000000003E-3</v>
      </c>
      <c r="H1266" s="9">
        <v>-3.3E-3</v>
      </c>
      <c r="I1266" s="9">
        <v>6.7000000000000002E-4</v>
      </c>
    </row>
    <row r="1267" spans="1:11">
      <c r="A1267" s="1" t="s">
        <v>1425</v>
      </c>
      <c r="B1267" s="1">
        <v>300</v>
      </c>
      <c r="C1267" s="2">
        <v>39.9</v>
      </c>
      <c r="D1267" s="3">
        <v>32.6</v>
      </c>
      <c r="E1267" s="4">
        <v>9.65</v>
      </c>
      <c r="F1267" s="1">
        <v>9.2100000000000009</v>
      </c>
      <c r="G1267" s="9">
        <v>-4.0000000000000001E-3</v>
      </c>
      <c r="H1267" s="9">
        <v>-3.3999999999999998E-3</v>
      </c>
      <c r="I1267" s="9">
        <v>5.9999999999999995E-4</v>
      </c>
    </row>
    <row r="1268" spans="1:11">
      <c r="A1268" s="1" t="s">
        <v>1426</v>
      </c>
      <c r="B1268" s="1">
        <v>190</v>
      </c>
      <c r="C1268" s="2">
        <v>45.2</v>
      </c>
      <c r="D1268" s="3">
        <v>36.6</v>
      </c>
      <c r="E1268" s="4">
        <v>5.62</v>
      </c>
      <c r="F1268" s="1">
        <v>5.2</v>
      </c>
      <c r="G1268" s="9">
        <v>-4.4999999999999997E-3</v>
      </c>
      <c r="H1268" s="9">
        <v>-3.3999999999999998E-3</v>
      </c>
      <c r="I1268" s="9">
        <v>5.0000000000000001E-4</v>
      </c>
    </row>
    <row r="1269" spans="1:11">
      <c r="A1269" s="1" t="s">
        <v>1427</v>
      </c>
      <c r="B1269" s="1">
        <v>195</v>
      </c>
      <c r="C1269" s="2">
        <v>45.4</v>
      </c>
      <c r="D1269" s="3">
        <v>36.6</v>
      </c>
      <c r="E1269" s="4">
        <v>5.69</v>
      </c>
      <c r="F1269" s="1">
        <v>5.33</v>
      </c>
      <c r="G1269" s="9">
        <v>-4.4999999999999997E-3</v>
      </c>
      <c r="H1269" s="9">
        <v>-3.3999999999999998E-3</v>
      </c>
      <c r="I1269" s="9">
        <v>5.0000000000000001E-4</v>
      </c>
    </row>
    <row r="1270" spans="1:11">
      <c r="A1270" s="1" t="s">
        <v>1428</v>
      </c>
      <c r="B1270" s="1">
        <v>245</v>
      </c>
      <c r="C1270" s="2">
        <v>37.299999999999997</v>
      </c>
      <c r="D1270" s="3">
        <v>30.5</v>
      </c>
      <c r="E1270" s="4">
        <v>8.52</v>
      </c>
      <c r="F1270" s="1">
        <v>8.0399999999999991</v>
      </c>
      <c r="G1270" s="9">
        <v>-4.3E-3</v>
      </c>
      <c r="H1270" s="9">
        <v>-3.3999999999999998E-3</v>
      </c>
      <c r="I1270" s="9">
        <v>6.4999999999999997E-4</v>
      </c>
    </row>
    <row r="1271" spans="1:11">
      <c r="A1271" s="1" t="s">
        <v>1429</v>
      </c>
      <c r="B1271" s="1">
        <f>B1270*K1271</f>
        <v>7840</v>
      </c>
      <c r="C1271" s="2">
        <f>C1270</f>
        <v>37.299999999999997</v>
      </c>
      <c r="D1271" s="3">
        <f>D1270</f>
        <v>30.5</v>
      </c>
      <c r="E1271" s="4">
        <f>E1270*K1271</f>
        <v>272.64</v>
      </c>
      <c r="F1271" s="1">
        <f>F1270*K1271</f>
        <v>257.27999999999997</v>
      </c>
      <c r="G1271" s="9">
        <f>G1270</f>
        <v>-4.3E-3</v>
      </c>
      <c r="H1271" s="9">
        <f>H1270</f>
        <v>-3.3999999999999998E-3</v>
      </c>
      <c r="I1271" s="9">
        <f>I1270</f>
        <v>6.4999999999999997E-4</v>
      </c>
      <c r="K1271" s="5">
        <v>32</v>
      </c>
    </row>
    <row r="1272" spans="1:11">
      <c r="A1272" s="1" t="s">
        <v>1430</v>
      </c>
      <c r="B1272" s="1">
        <v>270</v>
      </c>
      <c r="C1272" s="2">
        <v>37.9</v>
      </c>
      <c r="D1272" s="3">
        <v>31.1</v>
      </c>
      <c r="E1272" s="4">
        <v>9.15</v>
      </c>
      <c r="F1272" s="1">
        <v>8.69</v>
      </c>
      <c r="G1272" s="9">
        <v>-4.1000000000000003E-3</v>
      </c>
      <c r="H1272" s="9">
        <v>-3.3E-3</v>
      </c>
      <c r="I1272" s="9">
        <v>6.7000000000000002E-4</v>
      </c>
    </row>
    <row r="1273" spans="1:11">
      <c r="A1273" s="1" t="s">
        <v>1431</v>
      </c>
      <c r="B1273" s="1">
        <v>280</v>
      </c>
      <c r="C1273" s="2">
        <v>38.299999999999997</v>
      </c>
      <c r="D1273" s="3">
        <v>31.3</v>
      </c>
      <c r="E1273" s="4">
        <v>9.41</v>
      </c>
      <c r="F1273" s="1">
        <v>8.9499999999999993</v>
      </c>
      <c r="G1273" s="9">
        <v>-4.1000000000000003E-3</v>
      </c>
      <c r="H1273" s="9">
        <v>-3.3E-3</v>
      </c>
      <c r="I1273" s="9">
        <v>6.7000000000000002E-4</v>
      </c>
    </row>
    <row r="1274" spans="1:11">
      <c r="A1274" s="1" t="s">
        <v>1432</v>
      </c>
      <c r="B1274" s="1">
        <v>295</v>
      </c>
      <c r="C1274" s="2">
        <v>45.1</v>
      </c>
      <c r="D1274" s="3">
        <v>35.700000000000003</v>
      </c>
      <c r="E1274" s="4">
        <v>8.57</v>
      </c>
      <c r="F1274" s="1">
        <v>8.27</v>
      </c>
      <c r="G1274" s="9">
        <v>-4.4000000000000003E-3</v>
      </c>
      <c r="H1274" s="9">
        <v>-3.3E-3</v>
      </c>
      <c r="I1274" s="9">
        <v>5.5000000000000003E-4</v>
      </c>
    </row>
    <row r="1275" spans="1:11">
      <c r="A1275" s="1" t="s">
        <v>1433</v>
      </c>
      <c r="B1275" s="1">
        <f>B1274*K1275</f>
        <v>4720</v>
      </c>
      <c r="C1275" s="2">
        <f>C1274</f>
        <v>45.1</v>
      </c>
      <c r="D1275" s="3">
        <f>D1274</f>
        <v>35.700000000000003</v>
      </c>
      <c r="E1275" s="4">
        <f>E1274*K1275</f>
        <v>137.12</v>
      </c>
      <c r="F1275" s="1">
        <f>F1274*K1275</f>
        <v>132.32</v>
      </c>
      <c r="G1275" s="9">
        <f>G1274</f>
        <v>-4.4000000000000003E-3</v>
      </c>
      <c r="H1275" s="9">
        <f>H1274</f>
        <v>-3.3E-3</v>
      </c>
      <c r="I1275" s="9">
        <f>I1274</f>
        <v>5.5000000000000003E-4</v>
      </c>
      <c r="K1275" s="5">
        <v>16</v>
      </c>
    </row>
    <row r="1276" spans="1:11">
      <c r="A1276" s="1" t="s">
        <v>1434</v>
      </c>
      <c r="B1276" s="1">
        <v>320</v>
      </c>
      <c r="C1276" s="2">
        <v>40.6</v>
      </c>
      <c r="D1276" s="3">
        <v>33.4</v>
      </c>
      <c r="E1276" s="4">
        <v>10.02</v>
      </c>
      <c r="F1276" s="1">
        <v>9.59</v>
      </c>
      <c r="G1276" s="9">
        <v>-4.0000000000000001E-3</v>
      </c>
      <c r="H1276" s="9">
        <v>-3.3999999999999998E-3</v>
      </c>
      <c r="I1276" s="9">
        <v>6.0000000000000001E-3</v>
      </c>
    </row>
    <row r="1277" spans="1:11">
      <c r="A1277" s="1" t="s">
        <v>1435</v>
      </c>
      <c r="B1277" s="1">
        <v>375</v>
      </c>
      <c r="C1277" s="2">
        <v>41.1</v>
      </c>
      <c r="D1277" s="3">
        <v>34.5</v>
      </c>
      <c r="E1277" s="4">
        <v>11.57</v>
      </c>
      <c r="F1277" s="1">
        <v>10.87</v>
      </c>
      <c r="G1277" s="9">
        <v>-3.5999999999999999E-3</v>
      </c>
      <c r="H1277" s="9">
        <v>-3.0400000000000002E-3</v>
      </c>
      <c r="I1277" s="9">
        <v>5.0000000000000001E-4</v>
      </c>
    </row>
    <row r="1278" spans="1:11">
      <c r="A1278" s="1" t="s">
        <v>1436</v>
      </c>
      <c r="B1278" s="1">
        <v>375</v>
      </c>
      <c r="C1278" s="2">
        <v>41.1</v>
      </c>
      <c r="D1278" s="3">
        <v>34.5</v>
      </c>
      <c r="E1278" s="4">
        <v>11.57</v>
      </c>
      <c r="F1278" s="1">
        <v>10.87</v>
      </c>
      <c r="G1278" s="9">
        <v>-3.5999999999999999E-3</v>
      </c>
      <c r="H1278" s="9">
        <v>-3.0400000000000002E-3</v>
      </c>
      <c r="I1278" s="9">
        <v>5.0000000000000001E-4</v>
      </c>
    </row>
    <row r="1279" spans="1:11">
      <c r="A1279" s="1" t="s">
        <v>1437</v>
      </c>
      <c r="B1279" s="1">
        <v>380</v>
      </c>
      <c r="C1279" s="2">
        <v>41.3</v>
      </c>
      <c r="D1279" s="3">
        <v>34.700000000000003</v>
      </c>
      <c r="E1279" s="4">
        <v>11.64</v>
      </c>
      <c r="F1279" s="1">
        <v>10.96</v>
      </c>
      <c r="G1279" s="9">
        <v>-3.5999999999999999E-3</v>
      </c>
      <c r="H1279" s="9">
        <v>-3.0400000000000002E-3</v>
      </c>
      <c r="I1279" s="9">
        <v>5.0000000000000001E-4</v>
      </c>
    </row>
    <row r="1280" spans="1:11">
      <c r="A1280" s="1" t="s">
        <v>1438</v>
      </c>
      <c r="B1280" s="1">
        <v>395</v>
      </c>
      <c r="C1280" s="2">
        <v>48.8</v>
      </c>
      <c r="D1280" s="3">
        <v>41.6</v>
      </c>
      <c r="E1280" s="4">
        <v>10.1</v>
      </c>
      <c r="F1280" s="1">
        <v>9.5</v>
      </c>
      <c r="G1280" s="9">
        <v>-3.7000000000000002E-3</v>
      </c>
      <c r="H1280" s="9">
        <v>-3.3999999999999998E-3</v>
      </c>
      <c r="I1280" s="9">
        <v>5.9999999999999995E-4</v>
      </c>
    </row>
    <row r="1281" spans="1:10">
      <c r="A1281" s="1" t="s">
        <v>1439</v>
      </c>
      <c r="B1281" s="1">
        <v>395</v>
      </c>
      <c r="C1281" s="2">
        <v>48.8</v>
      </c>
      <c r="D1281" s="3">
        <v>41.6</v>
      </c>
      <c r="E1281" s="4">
        <v>10.1</v>
      </c>
      <c r="F1281" s="1">
        <v>9.5</v>
      </c>
      <c r="G1281" s="9">
        <v>-3.5000000000000001E-3</v>
      </c>
      <c r="H1281" s="9">
        <v>-3.3999999999999998E-3</v>
      </c>
      <c r="I1281" s="9">
        <v>5.9999999999999995E-4</v>
      </c>
    </row>
    <row r="1282" spans="1:10">
      <c r="A1282" s="1" t="s">
        <v>1440</v>
      </c>
      <c r="B1282" s="1">
        <v>410</v>
      </c>
      <c r="C1282" s="2">
        <v>37.450000000000003</v>
      </c>
      <c r="D1282" s="3">
        <v>31.59</v>
      </c>
      <c r="E1282" s="4">
        <v>13.88</v>
      </c>
      <c r="F1282" s="1">
        <v>12.98</v>
      </c>
      <c r="G1282" s="9">
        <v>-3.5999999999999999E-3</v>
      </c>
      <c r="H1282" s="9">
        <v>-3.0400000000000002E-3</v>
      </c>
      <c r="I1282" s="9">
        <v>5.0000000000000001E-4</v>
      </c>
    </row>
    <row r="1283" spans="1:10">
      <c r="A1283" s="1" t="s">
        <v>1441</v>
      </c>
      <c r="B1283" s="1">
        <v>545</v>
      </c>
      <c r="C1283" s="2">
        <v>49.69</v>
      </c>
      <c r="D1283" s="3">
        <v>41.87</v>
      </c>
      <c r="E1283" s="4">
        <v>13.96</v>
      </c>
      <c r="F1283" s="1">
        <v>13.02</v>
      </c>
      <c r="G1283" s="9">
        <v>-3.5999999999999999E-3</v>
      </c>
      <c r="H1283" s="9">
        <v>-3.0400000000000002E-3</v>
      </c>
      <c r="I1283" s="9">
        <v>5.0000000000000001E-4</v>
      </c>
    </row>
    <row r="1284" spans="1:10">
      <c r="A1284" s="1" t="s">
        <v>1442</v>
      </c>
      <c r="B1284" s="1">
        <v>560</v>
      </c>
      <c r="C1284" s="2">
        <v>50.9</v>
      </c>
      <c r="D1284" s="3">
        <v>42.2</v>
      </c>
      <c r="E1284" s="4">
        <v>14</v>
      </c>
      <c r="F1284" s="1">
        <v>13.27</v>
      </c>
      <c r="G1284" s="9">
        <v>-3.0000000000000001E-3</v>
      </c>
      <c r="H1284" s="9">
        <v>-2.5000000000000001E-3</v>
      </c>
      <c r="I1284" s="9">
        <v>4.6000000000000001E-4</v>
      </c>
      <c r="J1284" s="9">
        <v>0.1</v>
      </c>
    </row>
    <row r="1285" spans="1:10">
      <c r="A1285" s="1" t="s">
        <v>1443</v>
      </c>
      <c r="B1285" s="1">
        <f>B1284*(1+J1284)</f>
        <v>616</v>
      </c>
      <c r="C1285" s="2">
        <f>C1284</f>
        <v>50.9</v>
      </c>
      <c r="D1285" s="3">
        <f>D1284</f>
        <v>42.2</v>
      </c>
      <c r="E1285" s="4">
        <f>E1284*(1+J1284)</f>
        <v>15.400000000000002</v>
      </c>
      <c r="F1285" s="1">
        <f>F1284*(1+J1284)</f>
        <v>14.597000000000001</v>
      </c>
      <c r="G1285" s="9">
        <f>G1284</f>
        <v>-3.0000000000000001E-3</v>
      </c>
      <c r="H1285" s="9">
        <f>H1284</f>
        <v>-2.5000000000000001E-3</v>
      </c>
      <c r="I1285" s="9">
        <f>I1284</f>
        <v>4.6000000000000001E-4</v>
      </c>
    </row>
    <row r="1286" spans="1:10">
      <c r="A1286" s="1" t="s">
        <v>1444</v>
      </c>
      <c r="B1286" s="1">
        <v>565</v>
      </c>
      <c r="C1286" s="2">
        <v>51.03</v>
      </c>
      <c r="D1286" s="3">
        <v>42.32</v>
      </c>
      <c r="E1286" s="4">
        <v>14.08</v>
      </c>
      <c r="F1286" s="1">
        <v>13.35</v>
      </c>
      <c r="G1286" s="9">
        <v>-3.0000000000000001E-3</v>
      </c>
      <c r="H1286" s="9">
        <v>-2.5000000000000001E-3</v>
      </c>
      <c r="I1286" s="9">
        <v>4.6000000000000001E-4</v>
      </c>
      <c r="J1286" s="9">
        <v>0.25</v>
      </c>
    </row>
    <row r="1287" spans="1:10">
      <c r="A1287" s="1" t="s">
        <v>1445</v>
      </c>
      <c r="B1287" s="1">
        <f>B1286*(1+J1286)</f>
        <v>706.25</v>
      </c>
      <c r="C1287" s="2">
        <f>C1286</f>
        <v>51.03</v>
      </c>
      <c r="D1287" s="3">
        <f>D1286</f>
        <v>42.32</v>
      </c>
      <c r="E1287" s="4">
        <f>E1286*(1+J1286)</f>
        <v>17.600000000000001</v>
      </c>
      <c r="F1287" s="1">
        <f>F1286*(1+J1286)</f>
        <v>16.6875</v>
      </c>
      <c r="G1287" s="9">
        <f>G1286</f>
        <v>-3.0000000000000001E-3</v>
      </c>
      <c r="H1287" s="9">
        <f>H1286</f>
        <v>-2.5000000000000001E-3</v>
      </c>
      <c r="I1287" s="9">
        <f>I1286</f>
        <v>4.6000000000000001E-4</v>
      </c>
    </row>
    <row r="1288" spans="1:10">
      <c r="A1288" s="1" t="s">
        <v>1446</v>
      </c>
      <c r="B1288" s="1">
        <v>580</v>
      </c>
      <c r="C1288" s="2">
        <v>51.42</v>
      </c>
      <c r="D1288" s="3">
        <v>42.68</v>
      </c>
      <c r="E1288" s="4">
        <v>14.32</v>
      </c>
      <c r="F1288" s="1">
        <v>13.59</v>
      </c>
      <c r="G1288" s="9">
        <v>-3.0000000000000001E-3</v>
      </c>
      <c r="H1288" s="9">
        <v>-2.5000000000000001E-3</v>
      </c>
      <c r="I1288" s="9">
        <v>4.6000000000000001E-4</v>
      </c>
    </row>
    <row r="1289" spans="1:10">
      <c r="A1289" s="1" t="s">
        <v>1447</v>
      </c>
      <c r="B1289" s="1">
        <v>585</v>
      </c>
      <c r="C1289" s="2">
        <v>51.55</v>
      </c>
      <c r="D1289" s="3">
        <v>42.97</v>
      </c>
      <c r="E1289" s="4">
        <v>14.4</v>
      </c>
      <c r="F1289" s="1">
        <v>1367</v>
      </c>
      <c r="G1289" s="9">
        <v>-2.8999999999999998E-3</v>
      </c>
      <c r="H1289" s="9">
        <v>-2.5000000000000001E-3</v>
      </c>
      <c r="I1289" s="9">
        <v>4.6000000000000001E-4</v>
      </c>
    </row>
    <row r="1290" spans="1:10">
      <c r="A1290" s="1" t="s">
        <v>1448</v>
      </c>
      <c r="B1290" s="1">
        <f>B1289*(1+J1290)</f>
        <v>731.25</v>
      </c>
      <c r="C1290" s="2">
        <f>C1289</f>
        <v>51.55</v>
      </c>
      <c r="D1290" s="3">
        <f>D1289</f>
        <v>42.97</v>
      </c>
      <c r="E1290" s="4">
        <f>E1289*(1+J1290)</f>
        <v>18</v>
      </c>
      <c r="F1290" s="1">
        <f>F1289*(1+J1290)</f>
        <v>1708.75</v>
      </c>
      <c r="G1290" s="9">
        <f>G1289</f>
        <v>-2.8999999999999998E-3</v>
      </c>
      <c r="H1290" s="9">
        <f>H1289</f>
        <v>-2.5000000000000001E-3</v>
      </c>
      <c r="I1290" s="9">
        <f>I1289</f>
        <v>4.6000000000000001E-4</v>
      </c>
      <c r="J1290" s="9">
        <v>0.25</v>
      </c>
    </row>
    <row r="1291" spans="1:10">
      <c r="A1291" s="1" t="s">
        <v>1449</v>
      </c>
      <c r="B1291" s="1">
        <v>315</v>
      </c>
      <c r="C1291" s="2">
        <f>40.6*1.05</f>
        <v>42.63</v>
      </c>
      <c r="D1291" s="3">
        <v>33.4</v>
      </c>
      <c r="E1291" s="4">
        <v>9.92</v>
      </c>
      <c r="F1291" s="1">
        <v>9.43</v>
      </c>
      <c r="G1291" s="9">
        <v>-3.7000000000000002E-3</v>
      </c>
      <c r="H1291" s="9">
        <v>-3.3999999999999998E-3</v>
      </c>
      <c r="I1291" s="9">
        <v>5.9999999999999995E-4</v>
      </c>
    </row>
    <row r="1292" spans="1:10">
      <c r="A1292" s="1" t="s">
        <v>1450</v>
      </c>
      <c r="B1292" s="1">
        <v>45</v>
      </c>
      <c r="C1292" s="2">
        <v>7.4</v>
      </c>
      <c r="D1292" s="3">
        <v>6</v>
      </c>
      <c r="E1292" s="4">
        <v>8.2799999999999994</v>
      </c>
      <c r="F1292" s="1">
        <v>7.5</v>
      </c>
      <c r="G1292" s="9">
        <v>-4.0000000000000001E-3</v>
      </c>
      <c r="H1292" s="9">
        <v>-3.0000000000000001E-3</v>
      </c>
      <c r="I1292" s="9">
        <v>5.0000000000000001E-4</v>
      </c>
    </row>
    <row r="1293" spans="1:10">
      <c r="A1293" s="1" t="s">
        <v>1451</v>
      </c>
      <c r="B1293" s="1">
        <v>60</v>
      </c>
      <c r="C1293" s="2">
        <v>9.8000000000000007</v>
      </c>
      <c r="D1293" s="3">
        <v>8</v>
      </c>
      <c r="E1293" s="4">
        <v>8.2799999999999994</v>
      </c>
      <c r="F1293" s="1">
        <v>7.5</v>
      </c>
      <c r="G1293" s="9">
        <v>-4.0000000000000001E-3</v>
      </c>
      <c r="H1293" s="9">
        <v>-3.0000000000000001E-3</v>
      </c>
      <c r="I1293" s="9">
        <v>5.0000000000000001E-4</v>
      </c>
    </row>
    <row r="1294" spans="1:10">
      <c r="A1294" s="1" t="s">
        <v>1452</v>
      </c>
      <c r="B1294" s="1">
        <v>390</v>
      </c>
      <c r="C1294" s="2">
        <v>52.3</v>
      </c>
      <c r="D1294" s="3">
        <v>43.1</v>
      </c>
      <c r="E1294" s="4">
        <v>9.64</v>
      </c>
      <c r="F1294" s="1">
        <v>9.06</v>
      </c>
      <c r="G1294" s="9">
        <v>-3.7000000000000002E-3</v>
      </c>
      <c r="H1294" s="9">
        <v>-2.8999999999999998E-3</v>
      </c>
      <c r="I1294" s="9">
        <v>5.0000000000000001E-4</v>
      </c>
    </row>
    <row r="1295" spans="1:10">
      <c r="A1295" s="1" t="s">
        <v>1453</v>
      </c>
      <c r="B1295" s="1">
        <v>327</v>
      </c>
      <c r="C1295" s="2">
        <v>64.900000000000006</v>
      </c>
      <c r="D1295" s="3">
        <v>54.7</v>
      </c>
      <c r="G1295" s="9">
        <v>-3.8E-3</v>
      </c>
      <c r="H1295" s="9">
        <f>-176.6*10^(-3)/C1295</f>
        <v>-2.7211093990755007E-3</v>
      </c>
    </row>
    <row r="1296" spans="1:10">
      <c r="A1296" s="1" t="s">
        <v>1454</v>
      </c>
      <c r="B1296" s="1">
        <v>390</v>
      </c>
      <c r="C1296" s="2">
        <v>52.3</v>
      </c>
      <c r="D1296" s="3">
        <v>43.1</v>
      </c>
      <c r="E1296" s="4">
        <v>9.64</v>
      </c>
      <c r="F1296" s="1">
        <v>9.06</v>
      </c>
      <c r="G1296" s="9">
        <v>-3.7000000000000002E-3</v>
      </c>
      <c r="H1296" s="9">
        <v>-2.8999999999999998E-3</v>
      </c>
    </row>
    <row r="1297" spans="1:11" s="1" customFormat="1">
      <c r="A1297" s="1" t="s">
        <v>1455</v>
      </c>
      <c r="B1297" s="1">
        <v>435</v>
      </c>
      <c r="C1297" s="2">
        <v>85.6</v>
      </c>
      <c r="D1297" s="3">
        <v>72.900000000000006</v>
      </c>
      <c r="E1297" s="4">
        <v>6.43</v>
      </c>
      <c r="F1297" s="1">
        <v>5.97</v>
      </c>
      <c r="G1297" s="9">
        <v>-3.5000000000000001E-3</v>
      </c>
      <c r="H1297" s="9">
        <f>-0.2355/85.6</f>
        <v>-2.7511682242990654E-3</v>
      </c>
      <c r="I1297" s="9"/>
      <c r="J1297" s="9"/>
      <c r="K1297" s="5"/>
    </row>
    <row r="1298" spans="1:11">
      <c r="A1298" s="1" t="s">
        <v>1456</v>
      </c>
      <c r="B1298" s="1">
        <v>250</v>
      </c>
      <c r="C1298" s="2">
        <v>37.6</v>
      </c>
      <c r="D1298" s="3">
        <v>30.8</v>
      </c>
      <c r="E1298" s="4">
        <v>8.64</v>
      </c>
      <c r="F1298" s="1">
        <v>8.1199999999999992</v>
      </c>
      <c r="G1298" s="9">
        <v>-4.4999999999999997E-3</v>
      </c>
      <c r="H1298" s="9">
        <v>-3.7000000000000002E-3</v>
      </c>
      <c r="I1298" s="9">
        <v>8.0999999999999996E-4</v>
      </c>
    </row>
    <row r="1299" spans="1:11">
      <c r="A1299" s="1" t="s">
        <v>1457</v>
      </c>
      <c r="B1299" s="1">
        <f>B1298*K1299</f>
        <v>5250</v>
      </c>
      <c r="C1299" s="2">
        <f>C1298</f>
        <v>37.6</v>
      </c>
      <c r="D1299" s="3">
        <f>D1298</f>
        <v>30.8</v>
      </c>
      <c r="E1299" s="4">
        <f>E1298*K1299</f>
        <v>181.44</v>
      </c>
      <c r="F1299" s="1">
        <f>F1298*K1299</f>
        <v>170.51999999999998</v>
      </c>
      <c r="G1299" s="9">
        <f>G1298</f>
        <v>-4.4999999999999997E-3</v>
      </c>
      <c r="H1299" s="9">
        <f>H1298</f>
        <v>-3.7000000000000002E-3</v>
      </c>
      <c r="I1299" s="9">
        <f>I1298</f>
        <v>8.0999999999999996E-4</v>
      </c>
      <c r="K1299" s="5">
        <v>21</v>
      </c>
    </row>
    <row r="1300" spans="1:11">
      <c r="A1300" s="1" t="s">
        <v>1458</v>
      </c>
      <c r="B1300" s="1">
        <v>300</v>
      </c>
      <c r="C1300" s="2">
        <v>40</v>
      </c>
      <c r="D1300" s="3">
        <v>32.6</v>
      </c>
      <c r="E1300" s="4">
        <v>9.83</v>
      </c>
      <c r="F1300" s="1">
        <v>9.31</v>
      </c>
      <c r="G1300" s="9">
        <v>-3.8999999999999998E-3</v>
      </c>
      <c r="H1300" s="9">
        <v>-2.8999999999999998E-3</v>
      </c>
      <c r="I1300" s="9">
        <v>6.9999999999999999E-4</v>
      </c>
    </row>
    <row r="1301" spans="1:11">
      <c r="A1301" s="1" t="s">
        <v>1459</v>
      </c>
      <c r="B1301" s="1">
        <v>400</v>
      </c>
      <c r="C1301" s="2">
        <v>37.07</v>
      </c>
      <c r="D1301" s="3">
        <v>31.01</v>
      </c>
      <c r="E1301" s="4">
        <v>13.79</v>
      </c>
      <c r="F1301" s="1">
        <v>12.9</v>
      </c>
      <c r="G1301" s="9">
        <v>-3.5000000000000001E-3</v>
      </c>
      <c r="H1301" s="9">
        <v>-2.7499999999999998E-3</v>
      </c>
      <c r="I1301" s="9">
        <v>4.4999999999999999E-4</v>
      </c>
    </row>
    <row r="1302" spans="1:11">
      <c r="A1302" s="1" t="s">
        <v>1460</v>
      </c>
      <c r="B1302" s="1">
        <v>335</v>
      </c>
      <c r="C1302" s="2">
        <v>41.32</v>
      </c>
      <c r="D1302" s="3">
        <v>34.479999999999997</v>
      </c>
      <c r="E1302" s="4">
        <v>10.38</v>
      </c>
      <c r="F1302" s="1">
        <v>9.7200000000000006</v>
      </c>
      <c r="G1302" s="9">
        <v>-3.5000000000000001E-3</v>
      </c>
      <c r="H1302" s="9">
        <v>-2.7200000000000002E-3</v>
      </c>
      <c r="I1302" s="9">
        <v>4.4000000000000002E-4</v>
      </c>
    </row>
    <row r="1303" spans="1:11">
      <c r="A1303" s="1" t="s">
        <v>1461</v>
      </c>
      <c r="B1303" s="1">
        <v>375</v>
      </c>
      <c r="C1303" s="2">
        <v>41.45</v>
      </c>
      <c r="D1303" s="3">
        <v>34.5</v>
      </c>
      <c r="E1303" s="4">
        <v>11.41</v>
      </c>
      <c r="F1303" s="1">
        <v>10.87</v>
      </c>
      <c r="G1303" s="9">
        <v>-3.5000000000000001E-3</v>
      </c>
      <c r="H1303" s="9">
        <v>-2.7200000000000002E-3</v>
      </c>
      <c r="I1303" s="9">
        <v>4.4000000000000002E-4</v>
      </c>
    </row>
    <row r="1304" spans="1:11">
      <c r="A1304" s="1" t="s">
        <v>1462</v>
      </c>
      <c r="B1304" s="1">
        <v>250</v>
      </c>
      <c r="C1304" s="2">
        <v>37.92</v>
      </c>
      <c r="D1304" s="3">
        <v>30.96</v>
      </c>
      <c r="E1304" s="4">
        <v>8.6199999999999992</v>
      </c>
      <c r="F1304" s="1">
        <v>8.07</v>
      </c>
      <c r="G1304" s="9">
        <v>-4.4000000000000003E-3</v>
      </c>
      <c r="H1304" s="9">
        <v>-3.0000000000000001E-3</v>
      </c>
      <c r="I1304" s="9">
        <v>4.0000000000000002E-4</v>
      </c>
    </row>
    <row r="1305" spans="1:11">
      <c r="A1305" s="1" t="s">
        <v>1463</v>
      </c>
      <c r="B1305" s="1">
        <v>270</v>
      </c>
      <c r="C1305" s="2">
        <v>38.299999999999997</v>
      </c>
      <c r="D1305" s="3">
        <v>31.21</v>
      </c>
      <c r="E1305" s="4">
        <v>9.16</v>
      </c>
      <c r="F1305" s="1">
        <v>8.65</v>
      </c>
      <c r="G1305" s="9">
        <v>-4.0000000000000001E-3</v>
      </c>
      <c r="H1305" s="9">
        <v>-3.3E-3</v>
      </c>
      <c r="I1305" s="9">
        <v>5.8E-4</v>
      </c>
    </row>
    <row r="1306" spans="1:11">
      <c r="A1306" s="1" t="s">
        <v>1464</v>
      </c>
      <c r="B1306" s="1">
        <v>390</v>
      </c>
      <c r="C1306" s="2">
        <v>49.31</v>
      </c>
      <c r="D1306" s="3">
        <v>41.12</v>
      </c>
      <c r="E1306" s="4">
        <v>10.119999999999999</v>
      </c>
      <c r="F1306" s="1">
        <v>9.49</v>
      </c>
      <c r="G1306" s="9">
        <v>-3.8999999999999998E-3</v>
      </c>
      <c r="H1306" s="9">
        <v>-3.0000000000000001E-3</v>
      </c>
      <c r="I1306" s="9">
        <v>5.9999999999999995E-4</v>
      </c>
    </row>
    <row r="1307" spans="1:11">
      <c r="A1307" s="1" t="s">
        <v>1465</v>
      </c>
      <c r="B1307" s="1">
        <v>300</v>
      </c>
      <c r="C1307" s="2">
        <v>39.700000000000003</v>
      </c>
      <c r="D1307" s="3">
        <v>32.9</v>
      </c>
      <c r="E1307" s="4">
        <v>9.58</v>
      </c>
      <c r="F1307" s="1">
        <v>9.1199999999999992</v>
      </c>
      <c r="G1307" s="9">
        <v>-3.8999999999999998E-3</v>
      </c>
      <c r="H1307" s="9">
        <v>-3.0000000000000001E-3</v>
      </c>
      <c r="I1307" s="9">
        <v>5.0000000000000001E-4</v>
      </c>
    </row>
    <row r="1308" spans="1:11">
      <c r="A1308" s="1" t="s">
        <v>1466</v>
      </c>
      <c r="B1308" s="1">
        <v>270</v>
      </c>
      <c r="C1308" s="2">
        <v>38</v>
      </c>
      <c r="H1308" s="9">
        <v>-3.2000000000000002E-3</v>
      </c>
    </row>
    <row r="1309" spans="1:11">
      <c r="A1309" s="1" t="s">
        <v>1467</v>
      </c>
      <c r="B1309" s="1">
        <v>300</v>
      </c>
      <c r="C1309" s="2">
        <v>45</v>
      </c>
      <c r="H1309" s="9">
        <v>-3.2000000000000002E-3</v>
      </c>
    </row>
    <row r="1310" spans="1:11">
      <c r="A1310" s="1" t="s">
        <v>1468</v>
      </c>
      <c r="B1310" s="1">
        <v>330</v>
      </c>
      <c r="C1310" s="2">
        <v>45.8</v>
      </c>
      <c r="D1310" s="3">
        <v>37.4</v>
      </c>
      <c r="E1310" s="4">
        <v>9.2799999999999994</v>
      </c>
      <c r="F1310" s="1">
        <v>8.83</v>
      </c>
      <c r="G1310" s="9">
        <v>-4.1000000000000003E-3</v>
      </c>
      <c r="H1310" s="9">
        <v>-3.2000000000000002E-3</v>
      </c>
      <c r="I1310" s="9">
        <v>5.0000000000000001E-4</v>
      </c>
    </row>
    <row r="1311" spans="1:11">
      <c r="A1311" s="1" t="s">
        <v>1469</v>
      </c>
      <c r="B1311" s="1">
        <v>335</v>
      </c>
      <c r="C1311" s="2">
        <v>46</v>
      </c>
      <c r="D1311" s="3">
        <v>37.6</v>
      </c>
      <c r="E1311" s="4">
        <v>9.35</v>
      </c>
      <c r="F1311" s="1">
        <v>8.91</v>
      </c>
      <c r="G1311" s="9">
        <v>-4.1000000000000003E-3</v>
      </c>
      <c r="H1311" s="9">
        <v>-3.2000000000000002E-3</v>
      </c>
      <c r="I1311" s="9">
        <v>5.0000000000000001E-4</v>
      </c>
    </row>
    <row r="1312" spans="1:11">
      <c r="A1312" s="1" t="s">
        <v>1470</v>
      </c>
      <c r="B1312" s="1">
        <v>545</v>
      </c>
      <c r="C1312" s="2">
        <v>49.75</v>
      </c>
      <c r="D1312" s="3">
        <v>41.8</v>
      </c>
      <c r="E1312" s="4">
        <v>13.93</v>
      </c>
      <c r="F1312" s="1">
        <v>13.04</v>
      </c>
      <c r="G1312" s="9">
        <v>-3.5000000000000001E-3</v>
      </c>
      <c r="H1312" s="9">
        <v>-2.7499999999999998E-3</v>
      </c>
      <c r="I1312" s="9">
        <v>4.4999999999999999E-4</v>
      </c>
    </row>
    <row r="1313" spans="1:9">
      <c r="A1313" s="1" t="s">
        <v>1471</v>
      </c>
      <c r="B1313" s="1">
        <v>550</v>
      </c>
      <c r="C1313" s="2">
        <v>49.9</v>
      </c>
      <c r="D1313" s="3">
        <v>41.96</v>
      </c>
      <c r="E1313" s="4">
        <v>14</v>
      </c>
      <c r="F1313" s="1">
        <v>13.11</v>
      </c>
      <c r="G1313" s="9">
        <v>-3.5000000000000001E-3</v>
      </c>
      <c r="H1313" s="9">
        <v>-2.7499999999999998E-3</v>
      </c>
      <c r="I1313" s="9">
        <v>4.4999999999999999E-4</v>
      </c>
    </row>
    <row r="1314" spans="1:9">
      <c r="A1314" s="1" t="s">
        <v>1472</v>
      </c>
      <c r="B1314" s="1">
        <v>325</v>
      </c>
      <c r="C1314" s="2">
        <v>45.7</v>
      </c>
      <c r="D1314" s="3">
        <v>37.5</v>
      </c>
      <c r="E1314" s="4">
        <v>9.16</v>
      </c>
      <c r="F1314" s="1">
        <v>8.76</v>
      </c>
      <c r="G1314" s="9">
        <v>-4.1000000000000003E-3</v>
      </c>
      <c r="H1314" s="9">
        <v>-3.0999999999999999E-3</v>
      </c>
    </row>
    <row r="1315" spans="1:9">
      <c r="A1315" s="1" t="s">
        <v>1473</v>
      </c>
      <c r="B1315" s="1">
        <v>545</v>
      </c>
      <c r="C1315" s="2">
        <v>49.68</v>
      </c>
      <c r="D1315" s="3">
        <v>41.18</v>
      </c>
      <c r="E1315" s="4">
        <v>13.71</v>
      </c>
      <c r="F1315" s="1">
        <v>13.24</v>
      </c>
      <c r="G1315" s="9">
        <v>-3.5000000000000001E-3</v>
      </c>
      <c r="H1315" s="9">
        <v>-2.7000000000000001E-3</v>
      </c>
      <c r="I1315" s="9">
        <v>4.8000000000000001E-4</v>
      </c>
    </row>
    <row r="1316" spans="1:9">
      <c r="A1316" s="1" t="s">
        <v>1474</v>
      </c>
      <c r="B1316" s="1">
        <v>250</v>
      </c>
      <c r="C1316" s="2">
        <v>37.92</v>
      </c>
      <c r="D1316" s="3">
        <v>30.96</v>
      </c>
      <c r="E1316" s="4">
        <v>8.6199999999999992</v>
      </c>
      <c r="F1316" s="1">
        <v>8.07</v>
      </c>
      <c r="G1316" s="9">
        <v>-4.4000000000000003E-3</v>
      </c>
      <c r="H1316" s="9">
        <v>-3.0000000000000001E-3</v>
      </c>
      <c r="I1316" s="9">
        <v>4.0000000000000002E-4</v>
      </c>
    </row>
    <row r="1317" spans="1:9">
      <c r="A1317" s="1" t="s">
        <v>1475</v>
      </c>
      <c r="B1317" s="1">
        <v>270</v>
      </c>
      <c r="C1317" s="2">
        <v>38.299999999999997</v>
      </c>
      <c r="D1317" s="3">
        <v>31.21</v>
      </c>
      <c r="E1317" s="4">
        <v>9.16</v>
      </c>
      <c r="F1317" s="1">
        <v>8.65</v>
      </c>
      <c r="G1317" s="9">
        <v>-4.0000000000000001E-3</v>
      </c>
      <c r="H1317" s="9">
        <v>-3.3E-3</v>
      </c>
    </row>
    <row r="1318" spans="1:9">
      <c r="A1318" s="1" t="s">
        <v>1476</v>
      </c>
      <c r="B1318" s="1">
        <v>285</v>
      </c>
      <c r="C1318" s="2">
        <v>39.1</v>
      </c>
      <c r="D1318" s="3">
        <v>31.4</v>
      </c>
      <c r="G1318" s="9">
        <v>-4.1099999999999999E-3</v>
      </c>
      <c r="H1318" s="9">
        <v>-3.3500000000000001E-3</v>
      </c>
    </row>
    <row r="1319" spans="1:9">
      <c r="A1319" s="1" t="s">
        <v>1477</v>
      </c>
      <c r="B1319" s="1">
        <v>310</v>
      </c>
      <c r="C1319" s="2">
        <v>40.31</v>
      </c>
      <c r="D1319" s="3">
        <v>33.020000000000003</v>
      </c>
      <c r="E1319" s="4">
        <v>9.8800000000000008</v>
      </c>
      <c r="F1319" s="1">
        <v>9.4</v>
      </c>
      <c r="G1319" s="9">
        <v>-3.8999999999999998E-3</v>
      </c>
      <c r="H1319" s="9">
        <v>-3.0000000000000001E-3</v>
      </c>
      <c r="I1319" s="9">
        <v>5.9999999999999995E-4</v>
      </c>
    </row>
    <row r="1320" spans="1:9">
      <c r="A1320" s="1" t="s">
        <v>1478</v>
      </c>
      <c r="B1320" s="1">
        <v>410</v>
      </c>
      <c r="C1320" s="2">
        <v>49.5</v>
      </c>
      <c r="D1320" s="3">
        <v>40.9</v>
      </c>
      <c r="E1320" s="4">
        <v>10.58</v>
      </c>
      <c r="F1320" s="1">
        <v>10.039999999999999</v>
      </c>
      <c r="G1320" s="9">
        <v>-3.5999999999999999E-3</v>
      </c>
      <c r="H1320" s="9">
        <v>-2.5999999999999999E-3</v>
      </c>
      <c r="I1320" s="9">
        <v>4.2999999999999999E-4</v>
      </c>
    </row>
    <row r="1321" spans="1:9">
      <c r="A1321" s="1" t="s">
        <v>1479</v>
      </c>
      <c r="B1321" s="1">
        <v>330</v>
      </c>
      <c r="C1321" s="2">
        <v>40.5</v>
      </c>
      <c r="D1321" s="3">
        <v>34.200000000000003</v>
      </c>
      <c r="E1321" s="4">
        <v>10.26</v>
      </c>
      <c r="F1321" s="1">
        <v>9.66</v>
      </c>
      <c r="G1321" s="9">
        <v>-3.5999999999999999E-3</v>
      </c>
      <c r="H1321" s="9">
        <v>-2.5999999999999999E-3</v>
      </c>
      <c r="I1321" s="9">
        <v>4.2999999999999999E-4</v>
      </c>
    </row>
    <row r="1322" spans="1:9">
      <c r="A1322" s="1" t="s">
        <v>1480</v>
      </c>
      <c r="B1322" s="1">
        <v>275</v>
      </c>
      <c r="C1322" s="2">
        <v>36.200000000000003</v>
      </c>
      <c r="D1322" s="3">
        <v>29.3</v>
      </c>
      <c r="G1322" s="9">
        <v>-4.1000000000000003E-3</v>
      </c>
      <c r="H1322" s="9">
        <v>-3.2000000000000002E-3</v>
      </c>
    </row>
    <row r="1323" spans="1:9">
      <c r="A1323" s="1" t="s">
        <v>1481</v>
      </c>
      <c r="B1323" s="1">
        <v>275</v>
      </c>
      <c r="C1323" s="2">
        <v>38.5</v>
      </c>
      <c r="D1323" s="3">
        <v>31.1</v>
      </c>
      <c r="G1323" s="9">
        <v>-4.1000000000000003E-3</v>
      </c>
      <c r="H1323" s="9">
        <v>-3.2000000000000002E-3</v>
      </c>
    </row>
    <row r="1324" spans="1:9">
      <c r="A1324" s="1" t="s">
        <v>1482</v>
      </c>
      <c r="B1324" s="1">
        <v>285</v>
      </c>
      <c r="C1324" s="2">
        <v>38.799999999999997</v>
      </c>
      <c r="D1324" s="3">
        <v>31.4</v>
      </c>
      <c r="E1324" s="4">
        <v>9.4499999999999993</v>
      </c>
      <c r="F1324" s="1">
        <v>9.08</v>
      </c>
      <c r="G1324" s="9">
        <v>-4.1000000000000003E-3</v>
      </c>
      <c r="H1324" s="9">
        <v>-3.2000000000000002E-3</v>
      </c>
      <c r="I1324" s="9">
        <v>5.0000000000000001E-4</v>
      </c>
    </row>
    <row r="1325" spans="1:9">
      <c r="A1325" s="1" t="s">
        <v>1483</v>
      </c>
      <c r="B1325" s="1">
        <v>285</v>
      </c>
      <c r="C1325" s="2">
        <v>38.799999999999997</v>
      </c>
      <c r="D1325" s="3">
        <v>31.4</v>
      </c>
      <c r="G1325" s="9">
        <v>-4.1000000000000003E-3</v>
      </c>
      <c r="H1325" s="9">
        <v>-3.2000000000000002E-3</v>
      </c>
    </row>
    <row r="1326" spans="1:9">
      <c r="A1326" s="1" t="s">
        <v>1484</v>
      </c>
      <c r="B1326" s="1">
        <v>285</v>
      </c>
      <c r="C1326" s="2">
        <v>38.799999999999997</v>
      </c>
      <c r="D1326" s="3">
        <v>31.4</v>
      </c>
      <c r="E1326" s="4">
        <v>9.4499999999999993</v>
      </c>
      <c r="F1326" s="1">
        <v>9.08</v>
      </c>
      <c r="G1326" s="9">
        <v>-4.1000000000000003E-3</v>
      </c>
      <c r="H1326" s="9">
        <v>-3.2000000000000002E-3</v>
      </c>
      <c r="I1326" s="9">
        <v>5.0000000000000001E-4</v>
      </c>
    </row>
    <row r="1327" spans="1:9">
      <c r="A1327" s="1" t="s">
        <v>1485</v>
      </c>
      <c r="B1327" s="1">
        <v>285</v>
      </c>
      <c r="C1327" s="2">
        <v>38.299999999999997</v>
      </c>
      <c r="D1327" s="3">
        <v>31.6</v>
      </c>
      <c r="E1327" s="4">
        <v>9.49</v>
      </c>
      <c r="F1327" s="1">
        <v>9.02</v>
      </c>
      <c r="G1327" s="9">
        <v>-4.1000000000000003E-3</v>
      </c>
      <c r="H1327" s="9">
        <v>-3.2000000000000002E-3</v>
      </c>
    </row>
    <row r="1328" spans="1:9">
      <c r="A1328" s="1" t="s">
        <v>1486</v>
      </c>
      <c r="B1328" s="1">
        <v>290</v>
      </c>
      <c r="C1328" s="2">
        <v>39</v>
      </c>
      <c r="D1328" s="3">
        <v>31.5</v>
      </c>
      <c r="E1328" s="4">
        <v>9.5</v>
      </c>
      <c r="F1328" s="1">
        <v>9.1999999999999993</v>
      </c>
      <c r="G1328" s="9">
        <v>-4.1000000000000003E-3</v>
      </c>
      <c r="H1328" s="9">
        <v>-3.2000000000000002E-3</v>
      </c>
      <c r="I1328" s="9">
        <v>5.0000000000000001E-4</v>
      </c>
    </row>
    <row r="1329" spans="1:9" ht="13.5" customHeight="1">
      <c r="A1329" s="1" t="s">
        <v>1487</v>
      </c>
      <c r="B1329" s="1">
        <v>295</v>
      </c>
      <c r="C1329" s="2">
        <v>39.200000000000003</v>
      </c>
      <c r="D1329" s="3">
        <v>31.9</v>
      </c>
      <c r="E1329" s="4">
        <v>9.67</v>
      </c>
      <c r="F1329" s="1">
        <v>9.25</v>
      </c>
      <c r="G1329" s="9">
        <v>-3.7000000000000002E-3</v>
      </c>
      <c r="H1329" s="9">
        <v>-2.8999999999999998E-3</v>
      </c>
      <c r="I1329" s="9">
        <v>5.0000000000000001E-4</v>
      </c>
    </row>
    <row r="1330" spans="1:9">
      <c r="A1330" s="1" t="s">
        <v>1488</v>
      </c>
      <c r="B1330" s="1">
        <v>300</v>
      </c>
      <c r="C1330" s="2">
        <v>39.9</v>
      </c>
      <c r="D1330" s="3">
        <v>32.6</v>
      </c>
      <c r="G1330" s="9">
        <v>-3.8999999999999998E-3</v>
      </c>
      <c r="H1330" s="9">
        <v>-2.8999999999999998E-3</v>
      </c>
    </row>
    <row r="1331" spans="1:9">
      <c r="A1331" s="1" t="s">
        <v>1489</v>
      </c>
      <c r="B1331" s="1">
        <v>300</v>
      </c>
      <c r="C1331" s="2">
        <v>39.4</v>
      </c>
      <c r="D1331" s="3">
        <v>32.1</v>
      </c>
      <c r="E1331" s="4">
        <v>9.77</v>
      </c>
      <c r="F1331" s="1">
        <v>9.35</v>
      </c>
      <c r="G1331" s="9">
        <v>-3.7000000000000002E-3</v>
      </c>
      <c r="H1331" s="9">
        <v>-2.8999999999999998E-3</v>
      </c>
      <c r="I1331" s="9">
        <v>5.0000000000000001E-4</v>
      </c>
    </row>
    <row r="1332" spans="1:9">
      <c r="A1332" s="1" t="s">
        <v>1490</v>
      </c>
      <c r="B1332" s="1">
        <v>305</v>
      </c>
      <c r="C1332" s="2">
        <v>40</v>
      </c>
      <c r="D1332" s="3">
        <v>32.9</v>
      </c>
      <c r="E1332" s="4">
        <v>9.85</v>
      </c>
      <c r="F1332" s="1">
        <v>9.2799999999999994</v>
      </c>
      <c r="G1332" s="9">
        <v>-3.8999999999999998E-3</v>
      </c>
      <c r="H1332" s="9">
        <v>-2.8999999999999998E-3</v>
      </c>
    </row>
    <row r="1333" spans="1:9">
      <c r="A1333" s="1" t="s">
        <v>1491</v>
      </c>
      <c r="B1333" s="1">
        <v>310</v>
      </c>
      <c r="C1333" s="2">
        <v>40.200000000000003</v>
      </c>
      <c r="D1333" s="3">
        <v>32.9</v>
      </c>
      <c r="E1333" s="4">
        <v>9.83</v>
      </c>
      <c r="F1333" s="1">
        <v>9.43</v>
      </c>
      <c r="G1333" s="9">
        <v>-3.8999999999999998E-3</v>
      </c>
      <c r="H1333" s="9">
        <v>-2.8999999999999998E-3</v>
      </c>
    </row>
    <row r="1334" spans="1:9">
      <c r="A1334" s="1" t="s">
        <v>1492</v>
      </c>
      <c r="B1334" s="1">
        <v>315</v>
      </c>
      <c r="C1334" s="2">
        <v>40.5</v>
      </c>
      <c r="D1334" s="3">
        <v>33.299999999999997</v>
      </c>
      <c r="G1334" s="9">
        <v>-3.8999999999999998E-3</v>
      </c>
      <c r="H1334" s="9">
        <v>-2.8999999999999998E-3</v>
      </c>
    </row>
    <row r="1335" spans="1:9">
      <c r="A1335" s="1" t="s">
        <v>1493</v>
      </c>
      <c r="B1335" s="1">
        <v>330</v>
      </c>
      <c r="C1335" s="2">
        <v>45.8</v>
      </c>
      <c r="D1335" s="3">
        <v>37.4</v>
      </c>
      <c r="E1335" s="4">
        <v>9.2799999999999994</v>
      </c>
      <c r="F1335" s="1">
        <v>8.83</v>
      </c>
      <c r="G1335" s="9">
        <v>-4.1000000000000003E-3</v>
      </c>
      <c r="H1335" s="9">
        <v>-3.2000000000000002E-3</v>
      </c>
      <c r="I1335" s="9">
        <v>5.0000000000000001E-4</v>
      </c>
    </row>
    <row r="1336" spans="1:9">
      <c r="A1336" s="1" t="s">
        <v>1494</v>
      </c>
      <c r="B1336" s="1">
        <v>330</v>
      </c>
      <c r="C1336" s="2">
        <v>45.8</v>
      </c>
      <c r="D1336" s="3">
        <v>37.4</v>
      </c>
      <c r="E1336" s="4">
        <v>9.2799999999999994</v>
      </c>
      <c r="F1336" s="1">
        <v>8.83</v>
      </c>
      <c r="G1336" s="9">
        <v>-4.1000000000000003E-3</v>
      </c>
      <c r="H1336" s="9">
        <v>-3.2000000000000002E-3</v>
      </c>
      <c r="I1336" s="9">
        <v>5.0000000000000001E-4</v>
      </c>
    </row>
    <row r="1337" spans="1:9">
      <c r="A1337" s="1" t="s">
        <v>1495</v>
      </c>
      <c r="B1337" s="1">
        <v>335</v>
      </c>
      <c r="C1337" s="2">
        <v>46.3</v>
      </c>
      <c r="D1337" s="3">
        <v>37.6</v>
      </c>
      <c r="G1337" s="9">
        <v>-4.1000000000000003E-3</v>
      </c>
      <c r="H1337" s="10">
        <v>-3.3E-3</v>
      </c>
    </row>
    <row r="1338" spans="1:9">
      <c r="A1338" s="8" t="s">
        <v>1496</v>
      </c>
      <c r="B1338" s="1">
        <v>340</v>
      </c>
      <c r="C1338" s="2">
        <v>46.2</v>
      </c>
      <c r="D1338" s="3">
        <v>37.799999999999997</v>
      </c>
      <c r="E1338" s="4">
        <v>9.42</v>
      </c>
      <c r="F1338" s="1">
        <v>8.99</v>
      </c>
      <c r="G1338" s="9">
        <v>-4.1000000000000003E-3</v>
      </c>
      <c r="H1338" s="9">
        <v>-3.2000000000000002E-3</v>
      </c>
      <c r="I1338" s="9">
        <v>5.0000000000000001E-4</v>
      </c>
    </row>
    <row r="1339" spans="1:9">
      <c r="A1339" s="1" t="s">
        <v>1497</v>
      </c>
      <c r="B1339" s="1">
        <v>340</v>
      </c>
      <c r="C1339" s="2">
        <v>46.1</v>
      </c>
      <c r="D1339" s="3">
        <v>37.6</v>
      </c>
      <c r="E1339" s="4">
        <v>9.5</v>
      </c>
      <c r="F1339" s="1">
        <v>9.0500000000000007</v>
      </c>
      <c r="G1339" s="9">
        <v>-4.1000000000000003E-3</v>
      </c>
      <c r="H1339" s="9">
        <v>-3.2000000000000002E-3</v>
      </c>
    </row>
    <row r="1340" spans="1:9">
      <c r="A1340" s="1" t="s">
        <v>1498</v>
      </c>
      <c r="B1340" s="1">
        <v>345</v>
      </c>
      <c r="C1340" s="2">
        <v>46.3</v>
      </c>
      <c r="D1340" s="3">
        <v>38.200000000000003</v>
      </c>
      <c r="E1340" s="4">
        <v>9.5500000000000007</v>
      </c>
      <c r="F1340" s="1">
        <v>9.0399999999999991</v>
      </c>
      <c r="G1340" s="9">
        <v>-3.7000000000000002E-3</v>
      </c>
      <c r="H1340" s="9">
        <v>-2.8999999999999998E-3</v>
      </c>
      <c r="I1340" s="9">
        <v>5.0000000000000001E-4</v>
      </c>
    </row>
    <row r="1341" spans="1:9">
      <c r="A1341" s="1" t="s">
        <v>1499</v>
      </c>
      <c r="B1341" s="1">
        <v>360</v>
      </c>
      <c r="C1341" s="2">
        <v>47.7</v>
      </c>
      <c r="D1341" s="3">
        <v>39</v>
      </c>
      <c r="E1341" s="4">
        <v>9.6999999999999993</v>
      </c>
      <c r="F1341" s="1">
        <v>9.14</v>
      </c>
      <c r="G1341" s="9">
        <v>-3.8999999999999998E-3</v>
      </c>
      <c r="H1341" s="9">
        <v>-2.8999999999999998E-3</v>
      </c>
      <c r="I1341" s="9">
        <v>5.0000000000000001E-4</v>
      </c>
    </row>
    <row r="1342" spans="1:9">
      <c r="A1342" s="1" t="s">
        <v>1500</v>
      </c>
      <c r="B1342" s="1">
        <v>400</v>
      </c>
      <c r="C1342" s="2">
        <v>50.4</v>
      </c>
      <c r="D1342" s="3">
        <v>41.1</v>
      </c>
      <c r="E1342" s="4">
        <v>10.18</v>
      </c>
      <c r="F1342" s="1">
        <v>9.74</v>
      </c>
      <c r="G1342" s="9">
        <v>-3.7000000000000002E-3</v>
      </c>
      <c r="H1342" s="9">
        <v>-2.8999999999999998E-3</v>
      </c>
      <c r="I1342" s="9">
        <v>5.0000000000000001E-4</v>
      </c>
    </row>
    <row r="1343" spans="1:9">
      <c r="A1343" s="1" t="s">
        <v>1501</v>
      </c>
      <c r="B1343" s="1">
        <v>495</v>
      </c>
      <c r="C1343" s="2">
        <v>51.5</v>
      </c>
      <c r="D1343" s="3">
        <v>42.6</v>
      </c>
      <c r="E1343" s="4">
        <v>12.21</v>
      </c>
      <c r="F1343" s="1">
        <v>11.63</v>
      </c>
      <c r="G1343" s="9">
        <v>-3.5999999999999999E-3</v>
      </c>
      <c r="H1343" s="9">
        <v>-2.5999999999999999E-3</v>
      </c>
      <c r="I1343" s="9">
        <v>4.0000000000000002E-4</v>
      </c>
    </row>
    <row r="1344" spans="1:9">
      <c r="A1344" s="1" t="s">
        <v>1502</v>
      </c>
      <c r="B1344" s="1">
        <v>415</v>
      </c>
      <c r="C1344" s="2">
        <v>49.8</v>
      </c>
      <c r="D1344" s="3">
        <v>41.9</v>
      </c>
      <c r="E1344" s="4">
        <v>10.46</v>
      </c>
      <c r="F1344" s="1">
        <v>9.91</v>
      </c>
      <c r="G1344" s="9">
        <v>-3.5000000000000001E-3</v>
      </c>
      <c r="H1344" s="9">
        <v>-2.5000000000000001E-3</v>
      </c>
      <c r="I1344" s="9">
        <v>4.0000000000000002E-4</v>
      </c>
    </row>
    <row r="1345" spans="1:9">
      <c r="A1345" s="1" t="s">
        <v>1503</v>
      </c>
      <c r="B1345" s="1">
        <v>468</v>
      </c>
      <c r="C1345" s="2">
        <v>50.3</v>
      </c>
      <c r="D1345" s="3">
        <v>42.5</v>
      </c>
      <c r="E1345" s="4">
        <v>11.59</v>
      </c>
      <c r="F1345" s="1">
        <v>11</v>
      </c>
      <c r="G1345" s="9">
        <v>-3.5000000000000001E-3</v>
      </c>
      <c r="H1345" s="9">
        <v>-2.5000000000000001E-3</v>
      </c>
      <c r="I1345" s="9">
        <v>4.0000000000000002E-4</v>
      </c>
    </row>
    <row r="1346" spans="1:9">
      <c r="A1346" s="1" t="s">
        <v>1504</v>
      </c>
      <c r="B1346" s="1">
        <v>270</v>
      </c>
      <c r="C1346" s="2">
        <v>36</v>
      </c>
      <c r="D1346" s="3">
        <v>29.2</v>
      </c>
      <c r="E1346" s="4">
        <v>10.02</v>
      </c>
      <c r="F1346" s="1">
        <v>9.25</v>
      </c>
      <c r="G1346" s="9">
        <v>-4.1000000000000003E-3</v>
      </c>
      <c r="H1346" s="9">
        <v>-3.3E-3</v>
      </c>
    </row>
    <row r="1347" spans="1:9">
      <c r="A1347" s="1" t="s">
        <v>1505</v>
      </c>
      <c r="B1347" s="1">
        <v>270</v>
      </c>
      <c r="C1347" s="2">
        <v>38.4</v>
      </c>
      <c r="D1347" s="3">
        <v>30.9</v>
      </c>
      <c r="E1347" s="4">
        <v>9.18</v>
      </c>
      <c r="F1347" s="1">
        <v>8.73</v>
      </c>
      <c r="G1347" s="9">
        <v>-4.1000000000000003E-3</v>
      </c>
      <c r="H1347" s="9">
        <v>-3.2000000000000002E-3</v>
      </c>
      <c r="I1347" s="9">
        <v>5.0000000000000001E-4</v>
      </c>
    </row>
    <row r="1348" spans="1:9">
      <c r="A1348" s="1" t="s">
        <v>1506</v>
      </c>
      <c r="B1348" s="1">
        <v>280</v>
      </c>
      <c r="C1348" s="2">
        <v>38.700000000000003</v>
      </c>
      <c r="D1348" s="3">
        <v>31.3</v>
      </c>
      <c r="E1348" s="4">
        <v>9.4</v>
      </c>
      <c r="F1348" s="1">
        <v>8.9499999999999993</v>
      </c>
      <c r="G1348" s="9">
        <v>-4.1000000000000003E-3</v>
      </c>
      <c r="H1348" s="9">
        <v>-3.2000000000000002E-3</v>
      </c>
      <c r="I1348" s="9">
        <v>5.0000000000000001E-4</v>
      </c>
    </row>
    <row r="1349" spans="1:9">
      <c r="A1349" s="1" t="s">
        <v>1507</v>
      </c>
      <c r="B1349" s="1">
        <v>205</v>
      </c>
      <c r="C1349" s="2">
        <v>46.2</v>
      </c>
      <c r="D1349" s="3">
        <v>37.700000000000003</v>
      </c>
      <c r="E1349" s="4">
        <v>5.83</v>
      </c>
      <c r="F1349" s="1">
        <v>5.43</v>
      </c>
      <c r="G1349" s="9">
        <v>-3.5000000000000001E-3</v>
      </c>
      <c r="H1349" s="9">
        <v>-3.0000000000000001E-3</v>
      </c>
      <c r="I1349" s="9">
        <v>4.0000000000000002E-4</v>
      </c>
    </row>
    <row r="1350" spans="1:9">
      <c r="A1350" s="1" t="s">
        <v>1508</v>
      </c>
      <c r="B1350" s="1">
        <v>210</v>
      </c>
      <c r="C1350" s="2">
        <v>46.7</v>
      </c>
      <c r="D1350" s="3">
        <v>37.6</v>
      </c>
      <c r="E1350" s="4">
        <v>5.99</v>
      </c>
      <c r="F1350" s="1">
        <v>5.59</v>
      </c>
      <c r="G1350" s="9">
        <v>-3.8999999999999998E-3</v>
      </c>
      <c r="H1350" s="9">
        <v>-3.0999999999999999E-3</v>
      </c>
      <c r="I1350" s="9">
        <v>4.0000000000000002E-4</v>
      </c>
    </row>
    <row r="1351" spans="1:9">
      <c r="A1351" s="1" t="s">
        <v>1509</v>
      </c>
      <c r="B1351" s="1">
        <v>250</v>
      </c>
      <c r="C1351" s="2">
        <v>38</v>
      </c>
      <c r="D1351" s="3">
        <v>30.3</v>
      </c>
      <c r="E1351" s="4">
        <v>8.7899999999999991</v>
      </c>
      <c r="F1351" s="1">
        <v>8.27</v>
      </c>
      <c r="G1351" s="9">
        <v>-4.1000000000000003E-3</v>
      </c>
      <c r="H1351" s="9">
        <v>-3.2000000000000002E-3</v>
      </c>
      <c r="I1351" s="9">
        <v>5.0000000000000001E-4</v>
      </c>
    </row>
    <row r="1352" spans="1:9">
      <c r="A1352" s="1" t="s">
        <v>1510</v>
      </c>
      <c r="B1352" s="1">
        <v>260</v>
      </c>
      <c r="C1352" s="2">
        <v>38.200000000000003</v>
      </c>
      <c r="D1352" s="3">
        <v>30.6</v>
      </c>
      <c r="E1352" s="4">
        <v>9</v>
      </c>
      <c r="F1352" s="1">
        <v>8.5</v>
      </c>
      <c r="G1352" s="9">
        <v>-4.1000000000000003E-3</v>
      </c>
      <c r="H1352" s="9">
        <v>-3.2000000000000002E-3</v>
      </c>
      <c r="I1352" s="9">
        <v>5.0000000000000001E-4</v>
      </c>
    </row>
    <row r="1353" spans="1:9">
      <c r="A1353" s="1" t="s">
        <v>1511</v>
      </c>
      <c r="B1353" s="1">
        <v>270</v>
      </c>
      <c r="C1353" s="2">
        <v>38.4</v>
      </c>
      <c r="D1353" s="3">
        <v>30.9</v>
      </c>
      <c r="E1353" s="4">
        <v>9.18</v>
      </c>
      <c r="F1353" s="1">
        <v>8.73</v>
      </c>
      <c r="G1353" s="9">
        <v>-4.1000000000000003E-3</v>
      </c>
      <c r="H1353" s="9">
        <v>-3.2000000000000002E-3</v>
      </c>
      <c r="I1353" s="9">
        <v>5.0000000000000001E-4</v>
      </c>
    </row>
    <row r="1354" spans="1:9">
      <c r="A1354" s="1" t="s">
        <v>1512</v>
      </c>
      <c r="B1354" s="1">
        <v>315</v>
      </c>
      <c r="C1354" s="2">
        <v>40.4</v>
      </c>
      <c r="D1354" s="3">
        <v>33.1</v>
      </c>
      <c r="E1354" s="4">
        <v>9.93</v>
      </c>
      <c r="F1354" s="1">
        <v>9.51</v>
      </c>
      <c r="G1354" s="9">
        <v>-3.7000000000000002E-3</v>
      </c>
      <c r="H1354" s="9">
        <v>-2.8999999999999998E-3</v>
      </c>
      <c r="I1354" s="9">
        <v>5.0000000000000001E-4</v>
      </c>
    </row>
    <row r="1355" spans="1:9">
      <c r="A1355" s="1" t="s">
        <v>1513</v>
      </c>
      <c r="B1355" s="1">
        <v>360</v>
      </c>
      <c r="C1355" s="2">
        <v>47.61</v>
      </c>
      <c r="D1355" s="3">
        <v>39.26</v>
      </c>
      <c r="E1355" s="4">
        <v>9.92</v>
      </c>
      <c r="F1355" s="1">
        <v>9.17</v>
      </c>
      <c r="G1355" s="9">
        <v>-4.0000000000000001E-3</v>
      </c>
      <c r="H1355" s="9">
        <v>-3.0999999999999999E-3</v>
      </c>
      <c r="I1355" s="9">
        <v>5.0000000000000001E-4</v>
      </c>
    </row>
    <row r="1356" spans="1:9">
      <c r="A1356" s="1" t="s">
        <v>1514</v>
      </c>
      <c r="B1356" s="1">
        <v>375</v>
      </c>
      <c r="C1356" s="2">
        <v>48.5</v>
      </c>
      <c r="D1356" s="3">
        <v>40</v>
      </c>
      <c r="E1356" s="4">
        <v>9.8800000000000008</v>
      </c>
      <c r="F1356" s="1">
        <v>9.3699999999999992</v>
      </c>
      <c r="G1356" s="9">
        <v>-3.8999999999999998E-3</v>
      </c>
      <c r="H1356" s="9">
        <v>-2.8999999999999998E-3</v>
      </c>
      <c r="I1356" s="9">
        <v>5.0000000000000001E-4</v>
      </c>
    </row>
    <row r="1357" spans="1:9">
      <c r="A1357" s="1" t="s">
        <v>1515</v>
      </c>
      <c r="B1357" s="1">
        <v>375</v>
      </c>
      <c r="C1357" s="2">
        <v>41.6</v>
      </c>
      <c r="D1357" s="3">
        <v>34.4</v>
      </c>
      <c r="E1357" s="4">
        <v>11.45</v>
      </c>
      <c r="F1357" s="1">
        <v>10.89</v>
      </c>
      <c r="G1357" s="9">
        <v>-3.5999999999999999E-3</v>
      </c>
      <c r="H1357" s="9">
        <v>-2.5999999999999999E-3</v>
      </c>
      <c r="I1357" s="9">
        <v>4.0000000000000002E-4</v>
      </c>
    </row>
    <row r="1358" spans="1:9">
      <c r="A1358" s="1" t="s">
        <v>1516</v>
      </c>
      <c r="B1358" s="1">
        <v>400</v>
      </c>
      <c r="C1358" s="2">
        <v>41.2</v>
      </c>
      <c r="D1358" s="3">
        <v>34.200000000000003</v>
      </c>
      <c r="E1358" s="4">
        <v>12.28</v>
      </c>
      <c r="F1358" s="1">
        <v>11.7</v>
      </c>
      <c r="G1358" s="9">
        <v>-3.3999999999999998E-3</v>
      </c>
      <c r="H1358" s="9">
        <v>-2.5000000000000001E-3</v>
      </c>
      <c r="I1358" s="9">
        <v>4.0000000000000002E-4</v>
      </c>
    </row>
    <row r="1359" spans="1:9">
      <c r="A1359" s="1" t="s">
        <v>1517</v>
      </c>
      <c r="B1359" s="1">
        <v>400</v>
      </c>
      <c r="C1359" s="2">
        <v>49</v>
      </c>
      <c r="D1359" s="3">
        <v>40.299999999999997</v>
      </c>
      <c r="E1359" s="4">
        <v>10.45</v>
      </c>
      <c r="F1359" s="1">
        <v>9.92</v>
      </c>
      <c r="G1359" s="9">
        <v>-3.7000000000000002E-3</v>
      </c>
      <c r="H1359" s="9">
        <v>-2.8999999999999998E-3</v>
      </c>
      <c r="I1359" s="9">
        <v>5.0000000000000001E-4</v>
      </c>
    </row>
    <row r="1360" spans="1:9">
      <c r="A1360" s="1" t="s">
        <v>1518</v>
      </c>
      <c r="B1360" s="1">
        <v>405</v>
      </c>
      <c r="C1360" s="2">
        <v>41.4</v>
      </c>
      <c r="D1360" s="3">
        <v>34.4</v>
      </c>
      <c r="E1360" s="4">
        <v>12.34</v>
      </c>
      <c r="F1360" s="1">
        <v>11.77</v>
      </c>
      <c r="G1360" s="9">
        <v>-3.3999999999999998E-3</v>
      </c>
      <c r="H1360" s="9">
        <v>-2.5000000000000001E-3</v>
      </c>
      <c r="I1360" s="9">
        <v>4.0000000000000002E-4</v>
      </c>
    </row>
    <row r="1361" spans="1:10">
      <c r="A1361" s="1" t="s">
        <v>1519</v>
      </c>
      <c r="B1361" s="1">
        <v>405</v>
      </c>
      <c r="C1361" s="2">
        <v>49.2</v>
      </c>
      <c r="D1361" s="3">
        <v>40.5</v>
      </c>
      <c r="E1361" s="4">
        <v>10.52</v>
      </c>
      <c r="F1361" s="1">
        <v>10</v>
      </c>
      <c r="G1361" s="9">
        <v>-3.7000000000000002E-3</v>
      </c>
      <c r="H1361" s="9">
        <v>-2.8999999999999998E-3</v>
      </c>
      <c r="I1361" s="9">
        <v>5.0000000000000001E-4</v>
      </c>
    </row>
    <row r="1362" spans="1:10">
      <c r="A1362" s="1" t="s">
        <v>1520</v>
      </c>
      <c r="B1362" s="1">
        <v>410</v>
      </c>
      <c r="C1362" s="2">
        <v>41.6</v>
      </c>
      <c r="D1362" s="3">
        <v>34.6</v>
      </c>
      <c r="E1362" s="4">
        <v>12.4</v>
      </c>
      <c r="F1362" s="1">
        <v>11.85</v>
      </c>
      <c r="G1362" s="9">
        <v>-3.3999999999999998E-3</v>
      </c>
      <c r="H1362" s="9">
        <v>-2.5000000000000001E-3</v>
      </c>
      <c r="I1362" s="9">
        <v>4.0000000000000002E-4</v>
      </c>
    </row>
    <row r="1363" spans="1:10">
      <c r="A1363" s="1" t="s">
        <v>1521</v>
      </c>
      <c r="B1363" s="1">
        <v>415</v>
      </c>
      <c r="C1363" s="2">
        <v>49.6</v>
      </c>
      <c r="D1363" s="3">
        <v>40.9</v>
      </c>
      <c r="E1363" s="4">
        <v>10.66</v>
      </c>
      <c r="F1363" s="1">
        <v>10.15</v>
      </c>
      <c r="G1363" s="9">
        <v>-3.7000000000000002E-3</v>
      </c>
      <c r="H1363" s="9">
        <v>-2.8999999999999998E-3</v>
      </c>
      <c r="I1363" s="9">
        <v>5.0000000000000001E-4</v>
      </c>
    </row>
    <row r="1364" spans="1:10">
      <c r="A1364" s="1" t="s">
        <v>1522</v>
      </c>
      <c r="B1364" s="1">
        <v>425</v>
      </c>
      <c r="C1364" s="2">
        <v>50.2</v>
      </c>
      <c r="D1364" s="3">
        <v>42.2</v>
      </c>
      <c r="E1364" s="4">
        <v>10.61</v>
      </c>
      <c r="F1364" s="1">
        <v>10.08</v>
      </c>
      <c r="G1364" s="9">
        <v>-3.3999999999999998E-3</v>
      </c>
      <c r="H1364" s="9">
        <v>-2.5000000000000001E-3</v>
      </c>
      <c r="I1364" s="9">
        <v>4.0000000000000002E-4</v>
      </c>
    </row>
    <row r="1365" spans="1:10">
      <c r="A1365" s="1" t="s">
        <v>1523</v>
      </c>
      <c r="B1365" s="1">
        <v>425</v>
      </c>
      <c r="C1365" s="2">
        <v>50.9</v>
      </c>
      <c r="D1365" s="3">
        <v>42.8</v>
      </c>
      <c r="E1365" s="4">
        <v>10.57</v>
      </c>
      <c r="F1365" s="1">
        <v>9.92</v>
      </c>
      <c r="G1365" s="9">
        <v>-3.0000000000000001E-3</v>
      </c>
      <c r="H1365" s="9">
        <v>-2.3999999999999998E-3</v>
      </c>
      <c r="I1365" s="9">
        <v>4.0000000000000002E-4</v>
      </c>
    </row>
    <row r="1366" spans="1:10">
      <c r="A1366" s="1" t="s">
        <v>1524</v>
      </c>
      <c r="B1366" s="1">
        <v>435</v>
      </c>
      <c r="C1366" s="2">
        <v>50.4</v>
      </c>
      <c r="D1366" s="3">
        <v>42.5</v>
      </c>
      <c r="E1366" s="4">
        <v>10.67</v>
      </c>
      <c r="F1366" s="1">
        <v>10.24</v>
      </c>
      <c r="G1366" s="9">
        <v>-3.3999999999999998E-3</v>
      </c>
      <c r="H1366" s="9">
        <v>-2.5000000000000001E-3</v>
      </c>
      <c r="I1366" s="9">
        <v>4.0000000000000002E-4</v>
      </c>
    </row>
    <row r="1367" spans="1:10">
      <c r="A1367" s="1" t="s">
        <v>1525</v>
      </c>
      <c r="B1367" s="1">
        <v>440</v>
      </c>
      <c r="C1367" s="2">
        <v>49.2</v>
      </c>
      <c r="D1367" s="3">
        <v>40.700000000000003</v>
      </c>
      <c r="E1367" s="4">
        <v>11.39</v>
      </c>
      <c r="F1367" s="1">
        <v>10.82</v>
      </c>
      <c r="G1367" s="9">
        <v>-3.5999999999999999E-3</v>
      </c>
      <c r="H1367" s="9">
        <v>-2.5999999999999999E-3</v>
      </c>
      <c r="I1367" s="9">
        <v>4.0000000000000002E-4</v>
      </c>
    </row>
    <row r="1368" spans="1:10">
      <c r="A1368" s="1" t="s">
        <v>1526</v>
      </c>
      <c r="B1368" s="1">
        <v>440</v>
      </c>
      <c r="C1368" s="2">
        <v>52.2</v>
      </c>
      <c r="D1368" s="3">
        <v>44</v>
      </c>
      <c r="E1368" s="4">
        <v>10.67</v>
      </c>
      <c r="F1368" s="1">
        <v>10.01</v>
      </c>
      <c r="G1368" s="9">
        <v>-3.0000000000000001E-3</v>
      </c>
      <c r="H1368" s="9">
        <v>-2.3999999999999998E-3</v>
      </c>
      <c r="I1368" s="9">
        <v>4.0000000000000002E-4</v>
      </c>
    </row>
    <row r="1369" spans="1:10">
      <c r="A1369" s="1" t="s">
        <v>1527</v>
      </c>
      <c r="B1369" s="1">
        <v>450</v>
      </c>
      <c r="C1369" s="2">
        <v>49.6</v>
      </c>
      <c r="D1369" s="3">
        <v>41</v>
      </c>
      <c r="E1369" s="4">
        <v>11.53</v>
      </c>
      <c r="F1369" s="1">
        <v>10.98</v>
      </c>
      <c r="G1369" s="9">
        <v>-3.5999999999999999E-3</v>
      </c>
      <c r="H1369" s="9">
        <v>-2.5999999999999999E-3</v>
      </c>
      <c r="I1369" s="9">
        <v>4.0000000000000002E-4</v>
      </c>
    </row>
    <row r="1370" spans="1:10">
      <c r="A1370" s="1" t="s">
        <v>1528</v>
      </c>
      <c r="B1370" s="1">
        <v>455</v>
      </c>
      <c r="C1370" s="2">
        <v>49.8</v>
      </c>
      <c r="D1370" s="3">
        <v>41.2</v>
      </c>
      <c r="E1370" s="4">
        <v>11.61</v>
      </c>
      <c r="F1370" s="1">
        <v>11.06</v>
      </c>
      <c r="G1370" s="9">
        <v>-3.3999999999999998E-3</v>
      </c>
      <c r="H1370" s="9">
        <v>-2.5000000000000001E-3</v>
      </c>
      <c r="I1370" s="9">
        <v>4.0000000000000002E-4</v>
      </c>
    </row>
    <row r="1371" spans="1:10">
      <c r="A1371" s="1" t="s">
        <v>1529</v>
      </c>
      <c r="B1371" s="1">
        <v>455</v>
      </c>
      <c r="C1371" s="2">
        <v>53.4</v>
      </c>
      <c r="D1371" s="3">
        <v>45</v>
      </c>
      <c r="E1371" s="4">
        <v>10.77</v>
      </c>
      <c r="F1371" s="1">
        <v>10.11</v>
      </c>
      <c r="G1371" s="9">
        <v>-2.8999999999999998E-3</v>
      </c>
      <c r="H1371" s="9">
        <v>-2.5000000000000001E-3</v>
      </c>
      <c r="I1371" s="9">
        <v>4.0000000000000002E-4</v>
      </c>
    </row>
    <row r="1372" spans="1:10">
      <c r="A1372" s="1" t="s">
        <v>1530</v>
      </c>
      <c r="B1372" s="1">
        <v>480</v>
      </c>
      <c r="C1372" s="2">
        <v>50.8</v>
      </c>
      <c r="D1372" s="3">
        <v>42</v>
      </c>
      <c r="E1372" s="4">
        <v>11.99</v>
      </c>
      <c r="F1372" s="1">
        <v>11.42</v>
      </c>
      <c r="G1372" s="9">
        <v>-3.5999999999999999E-3</v>
      </c>
      <c r="H1372" s="9">
        <v>-2.5999999999999999E-3</v>
      </c>
      <c r="I1372" s="9">
        <v>4.0000000000000002E-4</v>
      </c>
    </row>
    <row r="1373" spans="1:10">
      <c r="A1373" s="1" t="s">
        <v>1531</v>
      </c>
      <c r="B1373" s="1">
        <v>490</v>
      </c>
      <c r="C1373" s="2">
        <v>39.6</v>
      </c>
      <c r="D1373" s="3">
        <v>32.9</v>
      </c>
      <c r="E1373" s="4">
        <v>15.8</v>
      </c>
      <c r="F1373" s="1">
        <v>14.91</v>
      </c>
      <c r="G1373" s="9">
        <v>-3.0000000000000001E-3</v>
      </c>
      <c r="H1373" s="9">
        <v>-2.3999999999999998E-3</v>
      </c>
      <c r="I1373" s="9">
        <v>4.0000000000000002E-4</v>
      </c>
    </row>
    <row r="1374" spans="1:10">
      <c r="A1374" s="1" t="s">
        <v>1532</v>
      </c>
      <c r="B1374" s="1">
        <v>495</v>
      </c>
      <c r="C1374" s="2">
        <v>51.5</v>
      </c>
      <c r="D1374" s="3">
        <v>42.6</v>
      </c>
      <c r="E1374" s="4">
        <v>12.21</v>
      </c>
      <c r="F1374" s="1">
        <v>11.63</v>
      </c>
      <c r="G1374" s="9">
        <v>-3.5999999999999999E-3</v>
      </c>
      <c r="H1374" s="9">
        <v>-2.5999999999999999E-3</v>
      </c>
      <c r="I1374" s="9">
        <v>4.0000000000000002E-4</v>
      </c>
    </row>
    <row r="1375" spans="1:10">
      <c r="A1375" s="1" t="s">
        <v>1533</v>
      </c>
      <c r="B1375" s="1">
        <v>495</v>
      </c>
      <c r="C1375" s="2">
        <v>51.3</v>
      </c>
      <c r="D1375" s="3">
        <v>43.1</v>
      </c>
      <c r="E1375" s="4">
        <v>12.09</v>
      </c>
      <c r="F1375" s="1">
        <v>11.49</v>
      </c>
      <c r="G1375" s="9">
        <v>-3.5000000000000001E-3</v>
      </c>
      <c r="H1375" s="9">
        <v>-2.5000000000000001E-3</v>
      </c>
      <c r="I1375" s="9">
        <v>4.0000000000000002E-4</v>
      </c>
      <c r="J1375" s="9">
        <v>0.1</v>
      </c>
    </row>
    <row r="1376" spans="1:10">
      <c r="A1376" s="1" t="s">
        <v>1534</v>
      </c>
      <c r="B1376" s="1">
        <f>B1375*(1+J1375)</f>
        <v>544.5</v>
      </c>
      <c r="C1376" s="2">
        <f>C1375</f>
        <v>51.3</v>
      </c>
      <c r="D1376" s="3">
        <f>D1375</f>
        <v>43.1</v>
      </c>
      <c r="E1376" s="4">
        <f>E1375*(1+J1375)</f>
        <v>13.299000000000001</v>
      </c>
      <c r="F1376" s="1">
        <f>F1375*(1+J1375)</f>
        <v>12.639000000000001</v>
      </c>
      <c r="G1376" s="9">
        <f>G1375</f>
        <v>-3.5000000000000001E-3</v>
      </c>
      <c r="H1376" s="9">
        <f>H1375</f>
        <v>-2.5000000000000001E-3</v>
      </c>
      <c r="I1376" s="9">
        <f>I1375</f>
        <v>4.0000000000000002E-4</v>
      </c>
    </row>
    <row r="1377" spans="1:11">
      <c r="A1377" s="1" t="s">
        <v>1535</v>
      </c>
      <c r="B1377" s="1">
        <v>500</v>
      </c>
      <c r="C1377" s="2">
        <v>51.7</v>
      </c>
      <c r="D1377" s="3">
        <v>42.8</v>
      </c>
      <c r="E1377" s="4">
        <v>12.28</v>
      </c>
      <c r="F1377" s="1">
        <v>11.69</v>
      </c>
      <c r="G1377" s="9">
        <v>-3.5999999999999999E-3</v>
      </c>
      <c r="H1377" s="9">
        <v>-2.5999999999999999E-3</v>
      </c>
      <c r="I1377" s="9">
        <v>4.0000000000000002E-4</v>
      </c>
    </row>
    <row r="1378" spans="1:11">
      <c r="A1378" s="1" t="s">
        <v>1536</v>
      </c>
      <c r="B1378" s="1">
        <v>500</v>
      </c>
      <c r="C1378" s="2">
        <v>51.5</v>
      </c>
      <c r="D1378" s="3">
        <v>43.4</v>
      </c>
      <c r="E1378" s="4">
        <v>12.13</v>
      </c>
      <c r="F1378" s="1">
        <v>11.53</v>
      </c>
      <c r="G1378" s="9">
        <v>-3.5000000000000001E-3</v>
      </c>
      <c r="H1378" s="9">
        <v>-2.5000000000000001E-3</v>
      </c>
      <c r="I1378" s="9">
        <v>4.0000000000000002E-4</v>
      </c>
      <c r="J1378" s="9">
        <v>0.25</v>
      </c>
    </row>
    <row r="1379" spans="1:11">
      <c r="A1379" s="1" t="s">
        <v>1537</v>
      </c>
      <c r="B1379" s="1">
        <f>B1378*(1+J1378)</f>
        <v>625</v>
      </c>
      <c r="C1379" s="2">
        <f>C1378</f>
        <v>51.5</v>
      </c>
      <c r="D1379" s="3">
        <f>D1378</f>
        <v>43.4</v>
      </c>
      <c r="E1379" s="4">
        <f>E1378*(1+J1378)</f>
        <v>15.162500000000001</v>
      </c>
      <c r="F1379" s="1">
        <f>F1378*(1+J1378)</f>
        <v>14.4125</v>
      </c>
      <c r="G1379" s="9">
        <f>G1378</f>
        <v>-3.5000000000000001E-3</v>
      </c>
      <c r="H1379" s="9">
        <f>H1378</f>
        <v>-2.5000000000000001E-3</v>
      </c>
      <c r="I1379" s="9">
        <f>I1378</f>
        <v>4.0000000000000002E-4</v>
      </c>
    </row>
    <row r="1380" spans="1:11">
      <c r="A1380" s="1" t="s">
        <v>1538</v>
      </c>
      <c r="B1380" s="1">
        <v>500</v>
      </c>
      <c r="C1380" s="2">
        <v>40</v>
      </c>
      <c r="D1380" s="3">
        <v>33.299999999999997</v>
      </c>
      <c r="E1380" s="4">
        <v>15.86</v>
      </c>
      <c r="F1380" s="1">
        <v>15.03</v>
      </c>
      <c r="G1380" s="9">
        <v>-2.8999999999999998E-3</v>
      </c>
      <c r="H1380" s="9">
        <v>-2.3999999999999998E-3</v>
      </c>
      <c r="I1380" s="9">
        <v>4.0000000000000002E-4</v>
      </c>
    </row>
    <row r="1381" spans="1:11">
      <c r="A1381" s="1" t="s">
        <v>1539</v>
      </c>
      <c r="B1381" s="1">
        <v>505</v>
      </c>
      <c r="C1381" s="2">
        <v>51.9</v>
      </c>
      <c r="D1381" s="3">
        <v>43</v>
      </c>
      <c r="E1381" s="4">
        <v>12.35</v>
      </c>
      <c r="F1381" s="1">
        <v>11.75</v>
      </c>
      <c r="G1381" s="9">
        <v>-3.5000000000000001E-3</v>
      </c>
      <c r="H1381" s="9">
        <v>-2.5000000000000001E-3</v>
      </c>
      <c r="I1381" s="9">
        <v>4.0000000000000002E-4</v>
      </c>
    </row>
    <row r="1382" spans="1:11">
      <c r="A1382" s="1" t="s">
        <v>1540</v>
      </c>
      <c r="B1382" s="1">
        <v>510</v>
      </c>
      <c r="C1382" s="2">
        <v>52.1</v>
      </c>
      <c r="D1382" s="3">
        <v>43.2</v>
      </c>
      <c r="E1382" s="4">
        <v>12.42</v>
      </c>
      <c r="F1382" s="1">
        <v>11.81</v>
      </c>
      <c r="G1382" s="9">
        <v>-3.3999999999999998E-3</v>
      </c>
      <c r="H1382" s="9">
        <v>-2.5000000000000001E-3</v>
      </c>
      <c r="I1382" s="9">
        <v>4.0000000000000002E-4</v>
      </c>
    </row>
    <row r="1383" spans="1:11">
      <c r="A1383" s="1" t="s">
        <v>1541</v>
      </c>
      <c r="B1383" s="1">
        <v>510</v>
      </c>
      <c r="C1383" s="2">
        <v>40.6</v>
      </c>
      <c r="D1383" s="3">
        <v>33.700000000000003</v>
      </c>
      <c r="E1383" s="4">
        <v>15.93</v>
      </c>
      <c r="F1383" s="1">
        <v>15.14</v>
      </c>
      <c r="G1383" s="9">
        <v>-2.8999999999999998E-3</v>
      </c>
      <c r="H1383" s="9">
        <v>-2.5000000000000001E-3</v>
      </c>
      <c r="I1383" s="9">
        <v>4.0000000000000002E-4</v>
      </c>
    </row>
    <row r="1384" spans="1:11">
      <c r="A1384" s="1" t="s">
        <v>1542</v>
      </c>
      <c r="B1384" s="1">
        <v>535</v>
      </c>
      <c r="C1384" s="2">
        <v>37.5</v>
      </c>
      <c r="D1384" s="3">
        <v>31.2</v>
      </c>
      <c r="E1384" s="4">
        <v>18.239999999999998</v>
      </c>
      <c r="F1384" s="1">
        <v>17.16</v>
      </c>
      <c r="G1384" s="9">
        <v>-3.3999999999999998E-3</v>
      </c>
      <c r="H1384" s="9">
        <v>-2.5000000000000001E-3</v>
      </c>
      <c r="I1384" s="9">
        <v>4.0000000000000002E-4</v>
      </c>
    </row>
    <row r="1385" spans="1:11">
      <c r="A1385" s="1" t="s">
        <v>1543</v>
      </c>
      <c r="B1385" s="1">
        <v>540</v>
      </c>
      <c r="C1385" s="2">
        <v>37.5</v>
      </c>
      <c r="D1385" s="3">
        <v>31.2</v>
      </c>
      <c r="E1385" s="4">
        <v>18.41</v>
      </c>
      <c r="F1385" s="1">
        <v>17.329999999999998</v>
      </c>
      <c r="G1385" s="9">
        <v>-3.3999999999999998E-3</v>
      </c>
      <c r="H1385" s="9">
        <v>-2.5000000000000001E-3</v>
      </c>
      <c r="I1385" s="9">
        <v>4.0000000000000002E-4</v>
      </c>
    </row>
    <row r="1386" spans="1:11">
      <c r="A1386" s="1" t="s">
        <v>1544</v>
      </c>
      <c r="B1386" s="1">
        <v>545</v>
      </c>
      <c r="C1386" s="2">
        <v>37.700000000000003</v>
      </c>
      <c r="D1386" s="3">
        <v>31.4</v>
      </c>
      <c r="E1386" s="4">
        <v>18.47</v>
      </c>
      <c r="F1386" s="1">
        <v>17.37</v>
      </c>
      <c r="G1386" s="9">
        <v>-3.3999999999999998E-3</v>
      </c>
      <c r="H1386" s="9">
        <v>-2.5000000000000001E-3</v>
      </c>
      <c r="I1386" s="9">
        <v>4.0000000000000002E-4</v>
      </c>
    </row>
    <row r="1387" spans="1:11">
      <c r="A1387" s="1" t="s">
        <v>1545</v>
      </c>
      <c r="B1387" s="1">
        <v>545</v>
      </c>
      <c r="C1387" s="2">
        <v>37.9</v>
      </c>
      <c r="D1387" s="3">
        <v>31.6</v>
      </c>
      <c r="E1387" s="4">
        <v>18.350000000000001</v>
      </c>
      <c r="F1387" s="1">
        <v>17.239999999999998</v>
      </c>
      <c r="G1387" s="9">
        <v>-3.3999999999999998E-3</v>
      </c>
      <c r="H1387" s="9">
        <v>-2.5000000000000001E-3</v>
      </c>
      <c r="I1387" s="9">
        <v>4.0000000000000002E-4</v>
      </c>
      <c r="J1387" s="9">
        <v>0.2</v>
      </c>
    </row>
    <row r="1388" spans="1:11">
      <c r="A1388" s="1" t="s">
        <v>1546</v>
      </c>
      <c r="B1388" s="1">
        <f>B1387*(1+J1387)</f>
        <v>654</v>
      </c>
      <c r="C1388" s="2">
        <f>C1387</f>
        <v>37.9</v>
      </c>
      <c r="D1388" s="3">
        <f>D1387</f>
        <v>31.6</v>
      </c>
      <c r="E1388" s="4">
        <f>E1387*(1+J1387)</f>
        <v>22.02</v>
      </c>
      <c r="F1388" s="1">
        <f>F1387*(1+J1387)</f>
        <v>20.687999999999999</v>
      </c>
      <c r="G1388" s="9">
        <f>G1387</f>
        <v>-3.3999999999999998E-3</v>
      </c>
      <c r="H1388" s="9">
        <f>H1387</f>
        <v>-2.5000000000000001E-3</v>
      </c>
      <c r="I1388" s="9">
        <f>I1387</f>
        <v>4.0000000000000002E-4</v>
      </c>
      <c r="K1388" s="5">
        <v>2</v>
      </c>
    </row>
    <row r="1389" spans="1:11">
      <c r="A1389" s="1" t="s">
        <v>1547</v>
      </c>
      <c r="B1389" s="1">
        <v>555</v>
      </c>
      <c r="C1389" s="2">
        <v>38.1</v>
      </c>
      <c r="D1389" s="3">
        <v>31.8</v>
      </c>
      <c r="E1389" s="4">
        <v>18.559999999999999</v>
      </c>
      <c r="F1389" s="1">
        <v>17.45</v>
      </c>
      <c r="G1389" s="9">
        <v>-3.3999999999999998E-3</v>
      </c>
      <c r="H1389" s="9">
        <v>-2.5000000000000001E-3</v>
      </c>
      <c r="I1389" s="9">
        <v>4.0000000000000002E-4</v>
      </c>
    </row>
    <row r="1390" spans="1:11">
      <c r="A1390" s="1" t="s">
        <v>1548</v>
      </c>
      <c r="B1390" s="1">
        <v>555</v>
      </c>
      <c r="C1390" s="2">
        <v>44.8</v>
      </c>
      <c r="D1390" s="3">
        <v>37.200000000000003</v>
      </c>
      <c r="E1390" s="4">
        <v>15.91</v>
      </c>
      <c r="F1390" s="1">
        <v>14.92</v>
      </c>
      <c r="G1390" s="9">
        <v>-3.3999999999999998E-3</v>
      </c>
      <c r="H1390" s="9">
        <v>-2.5000000000000001E-3</v>
      </c>
      <c r="I1390" s="9">
        <v>4.0000000000000002E-4</v>
      </c>
      <c r="K1390" s="5">
        <v>2</v>
      </c>
    </row>
    <row r="1391" spans="1:11">
      <c r="A1391" s="1" t="s">
        <v>1549</v>
      </c>
      <c r="B1391" s="1">
        <v>560</v>
      </c>
      <c r="C1391" s="2">
        <v>45</v>
      </c>
      <c r="D1391" s="3">
        <v>37.4</v>
      </c>
      <c r="E1391" s="4">
        <v>15.95</v>
      </c>
      <c r="F1391" s="1">
        <v>14.96</v>
      </c>
      <c r="G1391" s="9">
        <v>-3.3999999999999998E-3</v>
      </c>
      <c r="H1391" s="9">
        <v>-2.5000000000000001E-3</v>
      </c>
      <c r="I1391" s="9">
        <v>4.0000000000000002E-4</v>
      </c>
    </row>
    <row r="1392" spans="1:11">
      <c r="A1392" s="1" t="s">
        <v>1550</v>
      </c>
      <c r="B1392" s="1">
        <v>565</v>
      </c>
      <c r="C1392" s="2">
        <v>45.2</v>
      </c>
      <c r="D1392" s="3">
        <v>37.700000000000003</v>
      </c>
      <c r="E1392" s="4">
        <v>16</v>
      </c>
      <c r="F1392" s="1">
        <v>14.99</v>
      </c>
      <c r="G1392" s="9">
        <v>-3.3999999999999998E-3</v>
      </c>
      <c r="H1392" s="9">
        <v>-2.5000000000000001E-3</v>
      </c>
      <c r="I1392" s="9">
        <v>4.0000000000000002E-4</v>
      </c>
      <c r="K1392" s="5">
        <v>2</v>
      </c>
    </row>
    <row r="1393" spans="1:11">
      <c r="A1393" s="1" t="s">
        <v>1551</v>
      </c>
      <c r="B1393" s="1">
        <v>570</v>
      </c>
      <c r="C1393" s="2">
        <v>45.5</v>
      </c>
      <c r="D1393" s="3">
        <v>37.9</v>
      </c>
      <c r="E1393" s="4">
        <v>16.05</v>
      </c>
      <c r="F1393" s="1">
        <v>15.03</v>
      </c>
      <c r="G1393" s="9">
        <v>-3.3999999999999998E-3</v>
      </c>
      <c r="H1393" s="9">
        <v>-2.5000000000000001E-3</v>
      </c>
      <c r="I1393" s="9">
        <v>4.0000000000000002E-4</v>
      </c>
    </row>
    <row r="1394" spans="1:11">
      <c r="A1394" s="1" t="s">
        <v>1552</v>
      </c>
      <c r="B1394" s="1">
        <v>575</v>
      </c>
      <c r="C1394" s="2">
        <v>45.7</v>
      </c>
      <c r="D1394" s="3">
        <v>38.200000000000003</v>
      </c>
      <c r="E1394" s="4">
        <v>16.079999999999998</v>
      </c>
      <c r="F1394" s="1">
        <v>15.07</v>
      </c>
      <c r="G1394" s="9">
        <v>-3.3999999999999998E-3</v>
      </c>
      <c r="H1394" s="9">
        <v>-2.5000000000000001E-3</v>
      </c>
      <c r="I1394" s="9">
        <v>4.0000000000000002E-4</v>
      </c>
      <c r="K1394" s="5">
        <v>2</v>
      </c>
    </row>
    <row r="1395" spans="1:11">
      <c r="A1395" s="1" t="s">
        <v>1553</v>
      </c>
      <c r="B1395" s="1">
        <v>580</v>
      </c>
      <c r="C1395" s="2">
        <v>46</v>
      </c>
      <c r="D1395" s="3">
        <v>38.4</v>
      </c>
      <c r="E1395" s="4">
        <v>16.11</v>
      </c>
      <c r="F1395" s="1">
        <v>15.1</v>
      </c>
      <c r="G1395" s="9">
        <v>-3.3999999999999998E-3</v>
      </c>
      <c r="H1395" s="9">
        <v>-2.5000000000000001E-3</v>
      </c>
      <c r="I1395" s="9">
        <v>4.0000000000000002E-4</v>
      </c>
    </row>
    <row r="1396" spans="1:11">
      <c r="A1396" s="1" t="s">
        <v>1554</v>
      </c>
      <c r="B1396" s="1">
        <v>580</v>
      </c>
      <c r="C1396" s="2">
        <v>47.2</v>
      </c>
      <c r="D1396" s="3">
        <v>39.200000000000003</v>
      </c>
      <c r="E1396" s="4">
        <v>15.65</v>
      </c>
      <c r="F1396" s="1">
        <v>14.79</v>
      </c>
      <c r="G1396" s="9">
        <v>-3.0000000000000001E-3</v>
      </c>
      <c r="H1396" s="9">
        <v>-2.3999999999999998E-3</v>
      </c>
      <c r="I1396" s="9">
        <v>4.0000000000000002E-4</v>
      </c>
    </row>
    <row r="1397" spans="1:11">
      <c r="A1397" s="1" t="s">
        <v>1555</v>
      </c>
      <c r="B1397" s="1">
        <f>B1396*(1+J1397)</f>
        <v>725</v>
      </c>
      <c r="C1397" s="2">
        <f>C1396</f>
        <v>47.2</v>
      </c>
      <c r="D1397" s="3">
        <f>D1396</f>
        <v>39.200000000000003</v>
      </c>
      <c r="E1397" s="4">
        <f>E1396*(1+J1397)</f>
        <v>19.5625</v>
      </c>
      <c r="F1397" s="1">
        <f>F1396*(1+J1397)</f>
        <v>18.487499999999997</v>
      </c>
      <c r="G1397" s="9">
        <f>G1396</f>
        <v>-3.0000000000000001E-3</v>
      </c>
      <c r="H1397" s="9">
        <f>H1396</f>
        <v>-2.3999999999999998E-3</v>
      </c>
      <c r="I1397" s="9">
        <f>I1396</f>
        <v>4.0000000000000002E-4</v>
      </c>
      <c r="J1397" s="9">
        <v>0.25</v>
      </c>
    </row>
    <row r="1398" spans="1:11">
      <c r="A1398" s="1" t="s">
        <v>1556</v>
      </c>
      <c r="B1398" s="1">
        <v>585</v>
      </c>
      <c r="C1398" s="2">
        <v>47.5</v>
      </c>
      <c r="D1398" s="3">
        <v>39.5</v>
      </c>
      <c r="E1398" s="4">
        <v>15.68</v>
      </c>
      <c r="F1398" s="1">
        <v>14.82</v>
      </c>
      <c r="G1398" s="9">
        <v>-3.0000000000000001E-3</v>
      </c>
      <c r="H1398" s="9">
        <v>-2.3999999999999998E-3</v>
      </c>
      <c r="I1398" s="9">
        <v>4.0000000000000002E-4</v>
      </c>
    </row>
    <row r="1399" spans="1:11">
      <c r="A1399" s="1" t="s">
        <v>1557</v>
      </c>
      <c r="B1399" s="1">
        <f>B1398*(1+J1399)</f>
        <v>731.25</v>
      </c>
      <c r="C1399" s="2">
        <f>C1398</f>
        <v>47.5</v>
      </c>
      <c r="D1399" s="3">
        <f>D1398</f>
        <v>39.5</v>
      </c>
      <c r="E1399" s="4">
        <f>E1398*(1+J1399)</f>
        <v>19.600000000000001</v>
      </c>
      <c r="F1399" s="1">
        <f>F1398*(1+J1399)</f>
        <v>18.524999999999999</v>
      </c>
      <c r="G1399" s="9">
        <f>G1398</f>
        <v>-3.0000000000000001E-3</v>
      </c>
      <c r="H1399" s="9">
        <f>H1398</f>
        <v>-2.3999999999999998E-3</v>
      </c>
      <c r="I1399" s="9">
        <f>I1398</f>
        <v>4.0000000000000002E-4</v>
      </c>
      <c r="J1399" s="9">
        <v>0.25</v>
      </c>
    </row>
    <row r="1400" spans="1:11">
      <c r="A1400" s="1" t="s">
        <v>1558</v>
      </c>
      <c r="B1400" s="1">
        <v>600</v>
      </c>
      <c r="C1400" s="2">
        <v>41.5</v>
      </c>
      <c r="D1400" s="3">
        <v>34.4</v>
      </c>
      <c r="E1400" s="4">
        <v>18.52</v>
      </c>
      <c r="F1400" s="1">
        <v>17.440000000000001</v>
      </c>
      <c r="G1400" s="9">
        <v>-3.3999999999999998E-3</v>
      </c>
      <c r="H1400" s="9">
        <v>-2.5000000000000001E-3</v>
      </c>
      <c r="I1400" s="9">
        <v>4.0000000000000002E-4</v>
      </c>
    </row>
    <row r="1401" spans="1:11">
      <c r="A1401" s="1" t="s">
        <v>1559</v>
      </c>
      <c r="B1401" s="1">
        <v>600</v>
      </c>
      <c r="C1401" s="2">
        <v>48.4</v>
      </c>
      <c r="D1401" s="3">
        <v>40.299999999999997</v>
      </c>
      <c r="E1401" s="4">
        <v>15.8</v>
      </c>
      <c r="F1401" s="1">
        <v>14.91</v>
      </c>
      <c r="G1401" s="9">
        <v>-3.0000000000000001E-3</v>
      </c>
      <c r="H1401" s="9">
        <v>-2.3999999999999998E-3</v>
      </c>
      <c r="I1401" s="9">
        <v>4.0000000000000002E-4</v>
      </c>
    </row>
    <row r="1402" spans="1:11">
      <c r="A1402" s="1" t="s">
        <v>1560</v>
      </c>
      <c r="B1402" s="1">
        <f>B1401*(1+J1402)</f>
        <v>750</v>
      </c>
      <c r="C1402" s="2">
        <f>C1401</f>
        <v>48.4</v>
      </c>
      <c r="D1402" s="3">
        <f>D1401</f>
        <v>40.299999999999997</v>
      </c>
      <c r="E1402" s="4">
        <f>E1401*(1+J1402)</f>
        <v>19.75</v>
      </c>
      <c r="F1402" s="1">
        <f>F1401*(1+J1402)</f>
        <v>18.637499999999999</v>
      </c>
      <c r="G1402" s="9">
        <f>G1401</f>
        <v>-3.0000000000000001E-3</v>
      </c>
      <c r="H1402" s="9">
        <f>H1401</f>
        <v>-2.3999999999999998E-3</v>
      </c>
      <c r="I1402" s="9">
        <f>I1401</f>
        <v>4.0000000000000002E-4</v>
      </c>
      <c r="J1402" s="9">
        <v>0.25</v>
      </c>
    </row>
    <row r="1403" spans="1:11">
      <c r="A1403" s="1" t="s">
        <v>1561</v>
      </c>
      <c r="B1403" s="1">
        <v>605</v>
      </c>
      <c r="C1403" s="2">
        <v>41.7</v>
      </c>
      <c r="D1403" s="3">
        <v>34.6</v>
      </c>
      <c r="E1403" s="4">
        <v>18.62</v>
      </c>
      <c r="F1403" s="1">
        <v>17.53</v>
      </c>
      <c r="G1403" s="9">
        <v>-3.3999999999999998E-3</v>
      </c>
      <c r="H1403" s="9">
        <v>-2.5000000000000001E-3</v>
      </c>
      <c r="I1403" s="9">
        <v>4.0000000000000002E-4</v>
      </c>
    </row>
    <row r="1404" spans="1:11">
      <c r="A1404" s="1" t="s">
        <v>1562</v>
      </c>
      <c r="B1404" s="1">
        <v>605</v>
      </c>
      <c r="C1404" s="2">
        <v>48.7</v>
      </c>
      <c r="D1404" s="3">
        <v>40.5</v>
      </c>
      <c r="E1404" s="4">
        <v>15.83</v>
      </c>
      <c r="F1404" s="1">
        <v>14.94</v>
      </c>
      <c r="G1404" s="9">
        <v>-2.8999999999999998E-3</v>
      </c>
      <c r="H1404" s="9">
        <v>-2.3999999999999998E-3</v>
      </c>
      <c r="I1404" s="9">
        <v>4.0000000000000002E-4</v>
      </c>
    </row>
    <row r="1405" spans="1:11">
      <c r="A1405" s="1" t="s">
        <v>1563</v>
      </c>
      <c r="B1405" s="1">
        <v>605</v>
      </c>
      <c r="C1405" s="2">
        <v>48.7</v>
      </c>
      <c r="D1405" s="3">
        <v>40.5</v>
      </c>
      <c r="E1405" s="4">
        <v>15.83</v>
      </c>
      <c r="F1405" s="1">
        <v>14.94</v>
      </c>
      <c r="G1405" s="9">
        <v>-3.0000000000000001E-3</v>
      </c>
      <c r="H1405" s="9">
        <v>-2.3999999999999998E-3</v>
      </c>
      <c r="I1405" s="9">
        <v>4.0000000000000002E-4</v>
      </c>
    </row>
    <row r="1406" spans="1:11">
      <c r="A1406" s="1" t="s">
        <v>1564</v>
      </c>
      <c r="B1406" s="1">
        <f>B1405*(1+J1406)</f>
        <v>756.25</v>
      </c>
      <c r="C1406" s="2">
        <f>C1405</f>
        <v>48.7</v>
      </c>
      <c r="D1406" s="3">
        <f>D1405</f>
        <v>40.5</v>
      </c>
      <c r="E1406" s="4">
        <f>E1405*(1+J1406)</f>
        <v>19.787500000000001</v>
      </c>
      <c r="F1406" s="1">
        <f>F1405*(1+J1406)</f>
        <v>18.675000000000001</v>
      </c>
      <c r="G1406" s="9">
        <f>G1405</f>
        <v>-3.0000000000000001E-3</v>
      </c>
      <c r="H1406" s="9">
        <f>H1405</f>
        <v>-2.3999999999999998E-3</v>
      </c>
      <c r="I1406" s="9">
        <f>I1405</f>
        <v>4.0000000000000002E-4</v>
      </c>
      <c r="J1406" s="9">
        <v>0.25</v>
      </c>
    </row>
    <row r="1407" spans="1:11">
      <c r="A1407" s="1" t="s">
        <v>1565</v>
      </c>
      <c r="B1407" s="1">
        <v>605</v>
      </c>
      <c r="C1407" s="2">
        <v>48.7</v>
      </c>
      <c r="D1407" s="3">
        <v>40.5</v>
      </c>
      <c r="E1407" s="4">
        <v>15.8</v>
      </c>
      <c r="F1407" s="1">
        <v>14.91</v>
      </c>
      <c r="G1407" s="9">
        <v>-3.0000000000000001E-3</v>
      </c>
      <c r="H1407" s="9">
        <v>-2.3999999999999998E-3</v>
      </c>
      <c r="I1407" s="9">
        <v>4.0000000000000002E-4</v>
      </c>
    </row>
    <row r="1408" spans="1:11">
      <c r="A1408" s="1" t="s">
        <v>1566</v>
      </c>
      <c r="B1408" s="1">
        <f>B1407*(1+J1408)</f>
        <v>756.25</v>
      </c>
      <c r="C1408" s="2">
        <f>C1407</f>
        <v>48.7</v>
      </c>
      <c r="D1408" s="3">
        <f>D1407</f>
        <v>40.5</v>
      </c>
      <c r="E1408" s="4">
        <f>E1407*(1+J1408)</f>
        <v>19.75</v>
      </c>
      <c r="F1408" s="1">
        <f>F1407*(1+J1408)</f>
        <v>18.637499999999999</v>
      </c>
      <c r="G1408" s="9">
        <f>G1407</f>
        <v>-3.0000000000000001E-3</v>
      </c>
      <c r="H1408" s="9">
        <f>H1407</f>
        <v>-2.3999999999999998E-3</v>
      </c>
      <c r="I1408" s="9">
        <f>I1407</f>
        <v>4.0000000000000002E-4</v>
      </c>
      <c r="J1408" s="9">
        <v>0.25</v>
      </c>
    </row>
    <row r="1409" spans="1:10">
      <c r="A1409" s="1" t="s">
        <v>1567</v>
      </c>
      <c r="B1409" s="1">
        <v>610</v>
      </c>
      <c r="C1409" s="2">
        <v>41.9</v>
      </c>
      <c r="D1409" s="3">
        <v>34.799999999999997</v>
      </c>
      <c r="E1409" s="4">
        <v>18.57</v>
      </c>
      <c r="F1409" s="1">
        <v>17.489999999999998</v>
      </c>
      <c r="G1409" s="9">
        <v>-3.3999999999999998E-3</v>
      </c>
      <c r="H1409" s="9">
        <v>-2.5000000000000001E-3</v>
      </c>
      <c r="I1409" s="9">
        <v>4.0000000000000002E-4</v>
      </c>
    </row>
    <row r="1410" spans="1:10">
      <c r="A1410" s="1" t="s">
        <v>1568</v>
      </c>
      <c r="B1410" s="1">
        <v>615</v>
      </c>
      <c r="C1410" s="2">
        <v>43</v>
      </c>
      <c r="D1410" s="3">
        <v>35.9</v>
      </c>
      <c r="E1410" s="4">
        <v>18.14</v>
      </c>
      <c r="F1410" s="1">
        <v>17.12</v>
      </c>
      <c r="G1410" s="9">
        <v>-3.0000000000000001E-3</v>
      </c>
      <c r="H1410" s="9">
        <v>-2.3999999999999998E-3</v>
      </c>
      <c r="I1410" s="9">
        <v>4.0000000000000002E-4</v>
      </c>
    </row>
    <row r="1411" spans="1:10">
      <c r="A1411" s="1" t="s">
        <v>1569</v>
      </c>
      <c r="B1411" s="1">
        <f>B1410*(1+J1411)</f>
        <v>768.75</v>
      </c>
      <c r="C1411" s="2">
        <f>C1410</f>
        <v>43</v>
      </c>
      <c r="D1411" s="3">
        <f>D1410</f>
        <v>35.9</v>
      </c>
      <c r="E1411" s="4">
        <f>E1410*(1+J1411)</f>
        <v>22.675000000000001</v>
      </c>
      <c r="F1411" s="1">
        <f>F1410*(1+J1411)</f>
        <v>21.400000000000002</v>
      </c>
      <c r="G1411" s="9">
        <f>G1410</f>
        <v>-3.0000000000000001E-3</v>
      </c>
      <c r="H1411" s="9">
        <f>H1410</f>
        <v>-2.3999999999999998E-3</v>
      </c>
      <c r="I1411" s="9">
        <f>I1410</f>
        <v>4.0000000000000002E-4</v>
      </c>
      <c r="J1411" s="9">
        <v>0.25</v>
      </c>
    </row>
    <row r="1412" spans="1:10">
      <c r="A1412" s="1" t="s">
        <v>1570</v>
      </c>
      <c r="B1412" s="1">
        <v>650</v>
      </c>
      <c r="C1412" s="2">
        <v>45.3</v>
      </c>
      <c r="D1412" s="3">
        <v>37.4</v>
      </c>
      <c r="E1412" s="4">
        <v>18.440000000000001</v>
      </c>
      <c r="F1412" s="1">
        <v>17.39</v>
      </c>
      <c r="G1412" s="9">
        <v>-3.3999999999999998E-3</v>
      </c>
      <c r="H1412" s="9">
        <v>-2.5000000000000001E-3</v>
      </c>
      <c r="I1412" s="9">
        <v>4.0000000000000002E-4</v>
      </c>
    </row>
    <row r="1413" spans="1:10">
      <c r="A1413" s="1" t="s">
        <v>1571</v>
      </c>
      <c r="B1413" s="1">
        <v>650</v>
      </c>
      <c r="C1413" s="2">
        <v>45.1</v>
      </c>
      <c r="D1413" s="3">
        <v>37.4</v>
      </c>
      <c r="E1413" s="4">
        <v>18.36</v>
      </c>
      <c r="F1413" s="1">
        <v>17.38</v>
      </c>
      <c r="G1413" s="9">
        <v>-2.8999999999999998E-3</v>
      </c>
      <c r="H1413" s="9">
        <v>-2.3999999999999998E-3</v>
      </c>
      <c r="I1413" s="9">
        <v>4.0000000000000002E-4</v>
      </c>
      <c r="J1413" s="9">
        <v>0.1</v>
      </c>
    </row>
    <row r="1414" spans="1:10">
      <c r="A1414" s="1" t="s">
        <v>1572</v>
      </c>
      <c r="B1414" s="1">
        <f>B1413*(1+J1414)</f>
        <v>812.5</v>
      </c>
      <c r="C1414" s="2">
        <f>C1413</f>
        <v>45.1</v>
      </c>
      <c r="D1414" s="3">
        <f>D1413</f>
        <v>37.4</v>
      </c>
      <c r="E1414" s="4">
        <f>E1413*(1+J1414)</f>
        <v>22.95</v>
      </c>
      <c r="F1414" s="1">
        <f>F1413*(1+J1414)</f>
        <v>21.724999999999998</v>
      </c>
      <c r="G1414" s="9">
        <f>G1413</f>
        <v>-2.8999999999999998E-3</v>
      </c>
      <c r="H1414" s="9">
        <f>H1413</f>
        <v>-2.3999999999999998E-3</v>
      </c>
      <c r="I1414" s="9">
        <f>I1413</f>
        <v>4.0000000000000002E-4</v>
      </c>
      <c r="J1414" s="9">
        <v>0.25</v>
      </c>
    </row>
    <row r="1415" spans="1:10">
      <c r="A1415" s="1" t="s">
        <v>1573</v>
      </c>
      <c r="B1415" s="1">
        <v>655</v>
      </c>
      <c r="C1415" s="2">
        <v>45.5</v>
      </c>
      <c r="D1415" s="3">
        <v>37.6</v>
      </c>
      <c r="E1415" s="4">
        <v>18.48</v>
      </c>
      <c r="F1415" s="1">
        <v>17.43</v>
      </c>
      <c r="G1415" s="9">
        <v>-3.3999999999999998E-3</v>
      </c>
      <c r="H1415" s="9">
        <v>-2.5000000000000001E-3</v>
      </c>
      <c r="I1415" s="9">
        <v>4.0000000000000002E-4</v>
      </c>
    </row>
    <row r="1416" spans="1:10">
      <c r="A1416" s="1" t="s">
        <v>1574</v>
      </c>
      <c r="B1416" s="1">
        <v>655</v>
      </c>
      <c r="C1416" s="2">
        <v>45.7</v>
      </c>
      <c r="D1416" s="3">
        <v>37.9</v>
      </c>
      <c r="E1416" s="4">
        <v>18.399999999999999</v>
      </c>
      <c r="F1416" s="1">
        <v>17.309999999999999</v>
      </c>
      <c r="G1416" s="9">
        <v>-3.3999999999999998E-3</v>
      </c>
      <c r="H1416" s="9">
        <v>-2.5000000000000001E-3</v>
      </c>
      <c r="I1416" s="9">
        <v>4.0000000000000002E-4</v>
      </c>
      <c r="J1416" s="9">
        <v>0.25</v>
      </c>
    </row>
    <row r="1417" spans="1:10">
      <c r="A1417" s="1" t="s">
        <v>1575</v>
      </c>
      <c r="B1417" s="1">
        <f>B1416*(1+J1416)</f>
        <v>818.75</v>
      </c>
      <c r="C1417" s="2">
        <f>C1416</f>
        <v>45.7</v>
      </c>
      <c r="D1417" s="3">
        <f>D1416</f>
        <v>37.9</v>
      </c>
      <c r="E1417" s="4">
        <f>E1416*(1+J1416)</f>
        <v>23</v>
      </c>
      <c r="F1417" s="1">
        <f>F1416*(1+J1416)</f>
        <v>21.637499999999999</v>
      </c>
      <c r="G1417" s="9">
        <f>G1416</f>
        <v>-3.3999999999999998E-3</v>
      </c>
      <c r="H1417" s="9">
        <f>H1416</f>
        <v>-2.5000000000000001E-3</v>
      </c>
      <c r="I1417" s="9">
        <f>I1416</f>
        <v>4.0000000000000002E-4</v>
      </c>
    </row>
    <row r="1418" spans="1:10">
      <c r="A1418" s="1" t="s">
        <v>1576</v>
      </c>
      <c r="B1418" s="1">
        <v>660</v>
      </c>
      <c r="C1418" s="2">
        <v>45.7</v>
      </c>
      <c r="D1418" s="3">
        <v>37.799999999999997</v>
      </c>
      <c r="E1418" s="4">
        <v>18.53</v>
      </c>
      <c r="F1418" s="1">
        <v>17.47</v>
      </c>
      <c r="G1418" s="9">
        <v>-3.3999999999999998E-3</v>
      </c>
      <c r="H1418" s="9">
        <v>-2.5000000000000001E-3</v>
      </c>
      <c r="I1418" s="9">
        <v>4.0000000000000002E-4</v>
      </c>
    </row>
    <row r="1419" spans="1:10">
      <c r="A1419" s="1" t="s">
        <v>1577</v>
      </c>
      <c r="B1419" s="1">
        <v>665</v>
      </c>
      <c r="C1419" s="2">
        <v>45.9</v>
      </c>
      <c r="D1419" s="3">
        <v>38</v>
      </c>
      <c r="E1419" s="4">
        <v>18.57</v>
      </c>
      <c r="F1419" s="1">
        <v>17.510000000000002</v>
      </c>
      <c r="G1419" s="9">
        <v>-3.3999999999999998E-3</v>
      </c>
      <c r="H1419" s="9">
        <v>-2.5000000000000001E-3</v>
      </c>
      <c r="I1419" s="9">
        <v>4.0000000000000002E-4</v>
      </c>
    </row>
    <row r="1420" spans="1:10">
      <c r="A1420" s="1" t="s">
        <v>1578</v>
      </c>
      <c r="B1420" s="1">
        <v>665</v>
      </c>
      <c r="C1420" s="2">
        <v>46.1</v>
      </c>
      <c r="D1420" s="3">
        <v>38.299999999999997</v>
      </c>
      <c r="E1420" s="4">
        <v>18.5</v>
      </c>
      <c r="F1420" s="1">
        <v>17.39</v>
      </c>
      <c r="G1420" s="9">
        <v>-3.3999999999999998E-3</v>
      </c>
      <c r="H1420" s="9">
        <v>-2.5000000000000001E-3</v>
      </c>
      <c r="I1420" s="9">
        <v>4.0000000000000002E-4</v>
      </c>
      <c r="J1420" s="9">
        <v>0.2</v>
      </c>
    </row>
    <row r="1421" spans="1:10">
      <c r="A1421" s="1" t="s">
        <v>1579</v>
      </c>
      <c r="B1421" s="1">
        <f>B1420*(1+J1420)</f>
        <v>798</v>
      </c>
      <c r="C1421" s="2">
        <f>C1420</f>
        <v>46.1</v>
      </c>
      <c r="D1421" s="3">
        <f>D1420</f>
        <v>38.299999999999997</v>
      </c>
      <c r="E1421" s="4">
        <f>E1420*(1+J1420)</f>
        <v>22.2</v>
      </c>
      <c r="F1421" s="1">
        <f>F1420*(1+J1420)</f>
        <v>20.867999999999999</v>
      </c>
      <c r="G1421" s="9">
        <f>G1420</f>
        <v>-3.3999999999999998E-3</v>
      </c>
      <c r="H1421" s="9">
        <f>H1420</f>
        <v>-2.5000000000000001E-3</v>
      </c>
      <c r="I1421" s="9">
        <f>I1420</f>
        <v>4.0000000000000002E-4</v>
      </c>
    </row>
    <row r="1422" spans="1:10">
      <c r="A1422" s="1" t="s">
        <v>1580</v>
      </c>
      <c r="B1422" s="1">
        <v>670</v>
      </c>
      <c r="C1422" s="2">
        <v>46.1</v>
      </c>
      <c r="D1422" s="3">
        <v>38.200000000000003</v>
      </c>
      <c r="E1422" s="4">
        <v>18.62</v>
      </c>
      <c r="F1422" s="1">
        <v>17.55</v>
      </c>
      <c r="G1422" s="9">
        <v>-3.3999999999999998E-3</v>
      </c>
      <c r="H1422" s="9">
        <v>-2.5000000000000001E-3</v>
      </c>
      <c r="I1422" s="9">
        <v>4.0000000000000002E-4</v>
      </c>
    </row>
    <row r="1423" spans="1:10">
      <c r="A1423" s="1" t="s">
        <v>1581</v>
      </c>
      <c r="B1423" s="1">
        <v>670</v>
      </c>
      <c r="C1423" s="2">
        <v>46.3</v>
      </c>
      <c r="D1423" s="3">
        <v>38.51</v>
      </c>
      <c r="E1423" s="4">
        <v>18.55</v>
      </c>
      <c r="F1423" s="1">
        <v>17.43</v>
      </c>
      <c r="G1423" s="9">
        <v>-3.3999999999999998E-3</v>
      </c>
      <c r="H1423" s="9">
        <v>-2.5000000000000001E-3</v>
      </c>
      <c r="I1423" s="9">
        <v>4.0000000000000002E-4</v>
      </c>
      <c r="J1423" s="9">
        <v>0.1</v>
      </c>
    </row>
    <row r="1424" spans="1:10">
      <c r="A1424" s="1" t="s">
        <v>1582</v>
      </c>
      <c r="B1424" s="1">
        <f>B1423*(1+J1423)</f>
        <v>737.00000000000011</v>
      </c>
      <c r="C1424" s="2">
        <f>C1423</f>
        <v>46.3</v>
      </c>
      <c r="D1424" s="3">
        <f>D1423</f>
        <v>38.51</v>
      </c>
      <c r="E1424" s="4">
        <f>E1423*(1+J1423)</f>
        <v>20.405000000000001</v>
      </c>
      <c r="F1424" s="1">
        <f>F1423*(1+J1423)</f>
        <v>19.173000000000002</v>
      </c>
      <c r="G1424" s="9">
        <f>G1423</f>
        <v>-3.3999999999999998E-3</v>
      </c>
      <c r="H1424" s="9">
        <f>H1423</f>
        <v>-2.5000000000000001E-3</v>
      </c>
      <c r="I1424" s="9">
        <f>I1423</f>
        <v>4.0000000000000002E-4</v>
      </c>
    </row>
    <row r="1425" spans="1:11">
      <c r="A1425" s="1" t="s">
        <v>1583</v>
      </c>
      <c r="B1425" s="1">
        <v>680</v>
      </c>
      <c r="C1425" s="2">
        <v>47.4</v>
      </c>
      <c r="D1425" s="3">
        <v>39.6</v>
      </c>
      <c r="E1425" s="4">
        <v>18.18</v>
      </c>
      <c r="F1425" s="1">
        <v>17.16</v>
      </c>
      <c r="G1425" s="9">
        <v>-3.0000000000000001E-3</v>
      </c>
      <c r="H1425" s="9">
        <v>-2.3999999999999998E-3</v>
      </c>
      <c r="I1425" s="9">
        <v>4.0000000000000002E-4</v>
      </c>
      <c r="J1425" s="9">
        <v>0.1</v>
      </c>
    </row>
    <row r="1426" spans="1:11">
      <c r="A1426" s="1" t="s">
        <v>1584</v>
      </c>
      <c r="B1426" s="1">
        <f>B1425*(1+J1425)</f>
        <v>748.00000000000011</v>
      </c>
      <c r="C1426" s="2">
        <f>C1425</f>
        <v>47.4</v>
      </c>
      <c r="D1426" s="3">
        <f>D1425</f>
        <v>39.6</v>
      </c>
      <c r="E1426" s="4">
        <f>E1425*(1+J1425)</f>
        <v>19.998000000000001</v>
      </c>
      <c r="F1426" s="1">
        <f>F1425*(1+J1425)</f>
        <v>18.876000000000001</v>
      </c>
      <c r="G1426" s="9">
        <f>G1425</f>
        <v>-3.0000000000000001E-3</v>
      </c>
      <c r="H1426" s="9">
        <f>H1425</f>
        <v>-2.3999999999999998E-3</v>
      </c>
      <c r="I1426" s="9">
        <f>I1425</f>
        <v>4.0000000000000002E-4</v>
      </c>
    </row>
    <row r="1427" spans="1:11">
      <c r="A1427" s="1" t="s">
        <v>1585</v>
      </c>
      <c r="B1427" s="1">
        <v>690</v>
      </c>
      <c r="C1427" s="2">
        <v>47.9</v>
      </c>
      <c r="D1427" s="3">
        <v>40.1</v>
      </c>
      <c r="E1427" s="4">
        <v>18.25</v>
      </c>
      <c r="F1427" s="1">
        <v>17.23</v>
      </c>
      <c r="G1427" s="9">
        <v>-3.0000000000000001E-3</v>
      </c>
      <c r="H1427" s="9">
        <v>-2.3999999999999998E-3</v>
      </c>
      <c r="I1427" s="9">
        <v>4.0000000000000002E-4</v>
      </c>
      <c r="J1427" s="9">
        <v>0.1</v>
      </c>
    </row>
    <row r="1428" spans="1:11">
      <c r="A1428" s="1" t="s">
        <v>1586</v>
      </c>
      <c r="B1428" s="1">
        <f>B1427*(1+J1427)</f>
        <v>759.00000000000011</v>
      </c>
      <c r="C1428" s="2">
        <v>47.9</v>
      </c>
      <c r="D1428" s="3">
        <f>D1427</f>
        <v>40.1</v>
      </c>
      <c r="E1428" s="4">
        <f>E1427*(1+J1427)</f>
        <v>20.075000000000003</v>
      </c>
      <c r="F1428" s="1">
        <f>F1427*(1+J1427)</f>
        <v>18.953000000000003</v>
      </c>
      <c r="G1428" s="9">
        <f>G1427</f>
        <v>-3.0000000000000001E-3</v>
      </c>
      <c r="H1428" s="9">
        <f>H1427</f>
        <v>-2.3999999999999998E-3</v>
      </c>
      <c r="I1428" s="9">
        <f>I1427</f>
        <v>4.0000000000000002E-4</v>
      </c>
    </row>
    <row r="1429" spans="1:11">
      <c r="A1429" s="1" t="s">
        <v>1587</v>
      </c>
      <c r="B1429" s="1">
        <v>310</v>
      </c>
      <c r="C1429" s="2">
        <v>40.200000000000003</v>
      </c>
      <c r="D1429" s="3">
        <v>33.1</v>
      </c>
      <c r="E1429" s="4">
        <v>9.94</v>
      </c>
      <c r="F1429" s="1">
        <v>9.3699999999999992</v>
      </c>
      <c r="G1429" s="9">
        <v>-3.8999999999999998E-3</v>
      </c>
      <c r="H1429" s="9">
        <v>-2.8999999999999998E-3</v>
      </c>
      <c r="I1429" s="9">
        <v>5.0000000000000001E-4</v>
      </c>
    </row>
    <row r="1430" spans="1:11">
      <c r="A1430" s="1" t="s">
        <v>1588</v>
      </c>
      <c r="B1430" s="1">
        <v>340</v>
      </c>
      <c r="C1430" s="2">
        <v>41.1</v>
      </c>
      <c r="D1430" s="3">
        <v>34.200000000000003</v>
      </c>
      <c r="E1430" s="4">
        <v>10.55</v>
      </c>
      <c r="F1430" s="1">
        <v>9.94</v>
      </c>
      <c r="G1430" s="9">
        <v>-3.5999999999999999E-3</v>
      </c>
      <c r="H1430" s="9">
        <v>-2.5999999999999999E-3</v>
      </c>
      <c r="I1430" s="9">
        <v>4.0000000000000002E-4</v>
      </c>
    </row>
    <row r="1431" spans="1:11">
      <c r="A1431" s="1" t="s">
        <v>1589</v>
      </c>
      <c r="B1431" s="1">
        <v>345</v>
      </c>
      <c r="C1431" s="2">
        <v>41.2</v>
      </c>
      <c r="D1431" s="3">
        <v>34.5</v>
      </c>
      <c r="E1431" s="4">
        <v>10.56</v>
      </c>
      <c r="F1431" s="1">
        <v>10</v>
      </c>
      <c r="G1431" s="9">
        <v>-3.5999999999999999E-3</v>
      </c>
      <c r="H1431" s="9">
        <v>-2.5999999999999999E-3</v>
      </c>
      <c r="I1431" s="9">
        <v>4.0000000000000002E-4</v>
      </c>
    </row>
    <row r="1432" spans="1:11">
      <c r="A1432" s="1" t="s">
        <v>1590</v>
      </c>
      <c r="B1432" s="1">
        <v>375</v>
      </c>
      <c r="C1432" s="2">
        <v>41.6</v>
      </c>
      <c r="D1432" s="3">
        <v>34.4</v>
      </c>
      <c r="E1432" s="4">
        <v>11.45</v>
      </c>
      <c r="F1432" s="1">
        <v>10.89</v>
      </c>
      <c r="G1432" s="9">
        <v>-3.3999999999999998E-3</v>
      </c>
      <c r="H1432" s="9">
        <v>-2.5000000000000001E-3</v>
      </c>
      <c r="I1432" s="9">
        <v>4.0000000000000002E-4</v>
      </c>
    </row>
    <row r="1433" spans="1:11">
      <c r="A1433" s="1" t="s">
        <v>1591</v>
      </c>
      <c r="B1433" s="1">
        <v>375</v>
      </c>
      <c r="C1433" s="2">
        <v>41.6</v>
      </c>
      <c r="D1433" s="3">
        <v>34.4</v>
      </c>
      <c r="E1433" s="4">
        <v>11.45</v>
      </c>
      <c r="F1433" s="1">
        <v>10.89</v>
      </c>
      <c r="G1433" s="9">
        <v>-3.5999999999999999E-3</v>
      </c>
      <c r="H1433" s="9">
        <v>-2.5999999999999999E-3</v>
      </c>
      <c r="I1433" s="9">
        <v>4.0000000000000002E-4</v>
      </c>
    </row>
    <row r="1434" spans="1:11">
      <c r="A1434" s="1" t="s">
        <v>1592</v>
      </c>
      <c r="B1434" s="1">
        <v>380</v>
      </c>
      <c r="C1434" s="2">
        <v>41.9</v>
      </c>
      <c r="D1434" s="3">
        <v>34.700000000000003</v>
      </c>
      <c r="E1434" s="4">
        <v>11.52</v>
      </c>
      <c r="F1434" s="1">
        <v>10.96</v>
      </c>
      <c r="G1434" s="9">
        <v>-3.5999999999999999E-3</v>
      </c>
      <c r="H1434" s="9">
        <v>-2.5999999999999999E-3</v>
      </c>
      <c r="I1434" s="9">
        <v>4.0000000000000002E-4</v>
      </c>
    </row>
    <row r="1435" spans="1:11">
      <c r="A1435" s="1" t="s">
        <v>1593</v>
      </c>
      <c r="B1435" s="1">
        <v>400</v>
      </c>
      <c r="C1435" s="2">
        <v>41.2</v>
      </c>
      <c r="D1435" s="3">
        <v>34.200000000000003</v>
      </c>
      <c r="E1435" s="4">
        <v>12.34</v>
      </c>
      <c r="F1435" s="1">
        <v>11.7</v>
      </c>
      <c r="G1435" s="9">
        <v>-3.3999999999999998E-3</v>
      </c>
      <c r="H1435" s="9">
        <v>-2.5000000000000001E-3</v>
      </c>
      <c r="I1435" s="9">
        <v>4.0000000000000002E-4</v>
      </c>
    </row>
    <row r="1436" spans="1:11">
      <c r="A1436" s="1" t="s">
        <v>1594</v>
      </c>
      <c r="B1436" s="1">
        <v>500</v>
      </c>
      <c r="C1436" s="2">
        <v>51.7</v>
      </c>
      <c r="D1436" s="3">
        <v>42.8</v>
      </c>
      <c r="E1436" s="4">
        <v>12.28</v>
      </c>
      <c r="F1436" s="1">
        <v>11.69</v>
      </c>
      <c r="G1436" s="9">
        <v>-3.3999999999999998E-3</v>
      </c>
      <c r="H1436" s="9">
        <v>-2.5000000000000001E-3</v>
      </c>
      <c r="I1436" s="9">
        <v>4.0000000000000002E-4</v>
      </c>
    </row>
    <row r="1437" spans="1:11">
      <c r="A1437" s="1" t="s">
        <v>1595</v>
      </c>
      <c r="B1437" s="1">
        <v>405</v>
      </c>
      <c r="C1437" s="2">
        <v>41.4</v>
      </c>
      <c r="D1437" s="3">
        <v>34.4</v>
      </c>
      <c r="E1437" s="4">
        <v>12.34</v>
      </c>
      <c r="F1437" s="1">
        <v>11.77</v>
      </c>
      <c r="G1437" s="9">
        <v>-3.3999999999999998E-3</v>
      </c>
      <c r="H1437" s="9">
        <v>-2.5000000000000001E-3</v>
      </c>
      <c r="I1437" s="9">
        <v>4.0000000000000002E-4</v>
      </c>
    </row>
    <row r="1438" spans="1:11">
      <c r="A1438" s="1" t="s">
        <v>1596</v>
      </c>
      <c r="B1438" s="1">
        <v>380</v>
      </c>
      <c r="C1438" s="2">
        <v>44.5</v>
      </c>
      <c r="D1438" s="3">
        <v>37</v>
      </c>
      <c r="G1438" s="9">
        <v>-3.8999999999999998E-3</v>
      </c>
      <c r="H1438" s="9">
        <v>-2.8999999999999998E-3</v>
      </c>
    </row>
    <row r="1439" spans="1:11">
      <c r="A1439" s="1" t="s">
        <v>1597</v>
      </c>
      <c r="B1439" s="1">
        <v>405</v>
      </c>
      <c r="C1439" s="2">
        <v>49.2</v>
      </c>
      <c r="D1439" s="3">
        <v>40.5</v>
      </c>
      <c r="E1439" s="4">
        <v>10.52</v>
      </c>
      <c r="F1439" s="1">
        <v>10</v>
      </c>
      <c r="G1439" s="9">
        <v>-3.7000000000000002E-3</v>
      </c>
      <c r="H1439" s="9">
        <v>-2.8999999999999998E-3</v>
      </c>
      <c r="I1439" s="9">
        <v>5.0000000000000001E-4</v>
      </c>
    </row>
    <row r="1440" spans="1:11">
      <c r="A1440" s="1" t="s">
        <v>1598</v>
      </c>
      <c r="B1440" s="1">
        <v>455</v>
      </c>
      <c r="C1440" s="2">
        <v>49.4</v>
      </c>
      <c r="D1440" s="3">
        <v>40.799999999999997</v>
      </c>
      <c r="E1440" s="4">
        <v>11.46</v>
      </c>
      <c r="F1440" s="1">
        <v>10.9</v>
      </c>
      <c r="G1440" s="9">
        <v>-3.5999999999999999E-3</v>
      </c>
      <c r="H1440" s="9">
        <v>-2.5999999999999999E-3</v>
      </c>
      <c r="I1440" s="9">
        <v>4.0000000000000002E-4</v>
      </c>
      <c r="K1440" s="1"/>
    </row>
    <row r="1441" spans="1:11">
      <c r="A1441" s="1" t="s">
        <v>1599</v>
      </c>
      <c r="B1441" s="1">
        <v>505</v>
      </c>
      <c r="C1441" s="2">
        <v>51.9</v>
      </c>
      <c r="D1441" s="3">
        <v>43</v>
      </c>
      <c r="E1441" s="4">
        <v>12.35</v>
      </c>
      <c r="F1441" s="1">
        <v>11.75</v>
      </c>
      <c r="G1441" s="9">
        <v>-3.5999999999999999E-3</v>
      </c>
      <c r="H1441" s="9">
        <v>-2.5999999999999999E-3</v>
      </c>
      <c r="I1441" s="9">
        <v>4.0000000000000002E-4</v>
      </c>
    </row>
    <row r="1442" spans="1:11">
      <c r="A1442" s="1" t="s">
        <v>1600</v>
      </c>
      <c r="B1442" s="1">
        <v>510</v>
      </c>
      <c r="C1442" s="2">
        <v>52.1</v>
      </c>
      <c r="D1442" s="3">
        <v>43.2</v>
      </c>
      <c r="E1442" s="4">
        <v>12.42</v>
      </c>
      <c r="F1442" s="1">
        <v>11.81</v>
      </c>
      <c r="G1442" s="9">
        <v>-3.3999999999999998E-3</v>
      </c>
      <c r="H1442" s="9">
        <v>-2.5000000000000001E-3</v>
      </c>
      <c r="I1442" s="9">
        <v>4.0000000000000002E-4</v>
      </c>
    </row>
    <row r="1443" spans="1:11">
      <c r="A1443" s="1" t="s">
        <v>1601</v>
      </c>
      <c r="B1443" s="1">
        <v>515</v>
      </c>
      <c r="C1443" s="2">
        <v>52.3</v>
      </c>
      <c r="D1443" s="3">
        <v>43.4</v>
      </c>
      <c r="E1443" s="4">
        <v>12.49</v>
      </c>
      <c r="F1443" s="1">
        <v>11.87</v>
      </c>
      <c r="G1443" s="9">
        <v>-3.3999999999999998E-3</v>
      </c>
      <c r="H1443" s="9">
        <v>-2.5000000000000001E-3</v>
      </c>
      <c r="I1443" s="9">
        <v>4.0000000000000002E-4</v>
      </c>
    </row>
    <row r="1444" spans="1:11">
      <c r="A1444" s="1" t="s">
        <v>1602</v>
      </c>
      <c r="B1444" s="1">
        <v>550</v>
      </c>
      <c r="C1444" s="2">
        <v>37.9</v>
      </c>
      <c r="D1444" s="3">
        <v>31.6</v>
      </c>
      <c r="E1444" s="4">
        <v>18.52</v>
      </c>
      <c r="F1444" s="1">
        <v>17.399999999999999</v>
      </c>
      <c r="G1444" s="9">
        <v>-3.3999999999999998E-3</v>
      </c>
      <c r="H1444" s="9">
        <v>-2.5000000000000001E-3</v>
      </c>
      <c r="I1444" s="9">
        <v>4.0000000000000002E-4</v>
      </c>
    </row>
    <row r="1445" spans="1:11">
      <c r="A1445" s="1" t="s">
        <v>1603</v>
      </c>
      <c r="B1445" s="1">
        <v>600</v>
      </c>
      <c r="C1445" s="2">
        <v>41.5</v>
      </c>
      <c r="D1445" s="3">
        <v>34.4</v>
      </c>
      <c r="E1445" s="4">
        <v>18.52</v>
      </c>
      <c r="F1445" s="1">
        <v>17.440000000000001</v>
      </c>
      <c r="G1445" s="9">
        <v>-3.3999999999999998E-3</v>
      </c>
      <c r="H1445" s="9">
        <v>-2.5000000000000001E-3</v>
      </c>
      <c r="I1445" s="9">
        <v>4.0000000000000002E-4</v>
      </c>
    </row>
    <row r="1446" spans="1:11">
      <c r="A1446" s="1" t="s">
        <v>1604</v>
      </c>
      <c r="B1446" s="1">
        <v>650</v>
      </c>
      <c r="C1446" s="2">
        <v>45.3</v>
      </c>
      <c r="D1446" s="3">
        <v>37.47</v>
      </c>
      <c r="E1446" s="4">
        <v>18.440000000000001</v>
      </c>
      <c r="F1446" s="1">
        <v>17.39</v>
      </c>
      <c r="G1446" s="9">
        <v>-3.3999999999999998E-3</v>
      </c>
      <c r="H1446" s="9">
        <v>-2.5000000000000001E-3</v>
      </c>
      <c r="I1446" s="9">
        <v>4.0000000000000002E-4</v>
      </c>
      <c r="K1446" s="5">
        <v>4</v>
      </c>
    </row>
    <row r="1447" spans="1:11">
      <c r="A1447" s="1" t="s">
        <v>1605</v>
      </c>
      <c r="B1447" s="1">
        <v>655</v>
      </c>
      <c r="C1447" s="2">
        <v>45.5</v>
      </c>
      <c r="D1447" s="3">
        <v>37.6</v>
      </c>
      <c r="E1447" s="4">
        <v>18.48</v>
      </c>
      <c r="F1447" s="1">
        <v>17.43</v>
      </c>
      <c r="G1447" s="9">
        <v>-3.3999999999999998E-3</v>
      </c>
      <c r="H1447" s="9">
        <v>-2.5000000000000001E-3</v>
      </c>
      <c r="I1447" s="9">
        <v>4.0000000000000002E-4</v>
      </c>
    </row>
    <row r="1448" spans="1:11">
      <c r="A1448" s="1" t="s">
        <v>1606</v>
      </c>
      <c r="B1448" s="1">
        <v>660</v>
      </c>
      <c r="C1448" s="2">
        <v>45.7</v>
      </c>
      <c r="D1448" s="3">
        <v>37.799999999999997</v>
      </c>
      <c r="E1448" s="4">
        <v>18.53</v>
      </c>
      <c r="F1448" s="1">
        <v>17.47</v>
      </c>
      <c r="G1448" s="9">
        <v>-3.3999999999999998E-3</v>
      </c>
      <c r="H1448" s="9">
        <v>-2.5000000000000001E-3</v>
      </c>
      <c r="I1448" s="9">
        <v>4.0000000000000002E-4</v>
      </c>
    </row>
    <row r="1449" spans="1:11">
      <c r="A1449" s="1" t="s">
        <v>1607</v>
      </c>
      <c r="B1449" s="1">
        <v>405</v>
      </c>
      <c r="C1449" s="2">
        <v>49.2</v>
      </c>
      <c r="D1449" s="3">
        <v>40.5</v>
      </c>
      <c r="E1449" s="4">
        <v>10.52</v>
      </c>
      <c r="F1449" s="1">
        <v>10</v>
      </c>
      <c r="G1449" s="9">
        <v>-3.7000000000000002E-3</v>
      </c>
      <c r="H1449" s="9">
        <v>-2.8999999999999998E-3</v>
      </c>
      <c r="I1449" s="9">
        <v>5.0000000000000001E-4</v>
      </c>
    </row>
    <row r="1450" spans="1:11">
      <c r="A1450" s="1" t="s">
        <v>1608</v>
      </c>
      <c r="B1450" s="1">
        <v>430</v>
      </c>
      <c r="C1450" s="2">
        <v>48.7</v>
      </c>
      <c r="D1450" s="3">
        <v>40.5</v>
      </c>
      <c r="E1450" s="4">
        <v>11.2</v>
      </c>
      <c r="F1450" s="1">
        <v>10.62</v>
      </c>
      <c r="G1450" s="9">
        <v>-3.3999999999999998E-3</v>
      </c>
      <c r="H1450" s="9">
        <v>-2.5000000000000001E-3</v>
      </c>
      <c r="I1450" s="9">
        <v>4.0000000000000002E-4</v>
      </c>
    </row>
    <row r="1451" spans="1:11">
      <c r="A1451" s="1" t="s">
        <v>1609</v>
      </c>
      <c r="B1451" s="1">
        <v>430</v>
      </c>
      <c r="C1451" s="2">
        <v>48.7</v>
      </c>
      <c r="D1451" s="3">
        <v>40.5</v>
      </c>
      <c r="E1451" s="4">
        <v>11.2</v>
      </c>
      <c r="F1451" s="1">
        <v>10.63</v>
      </c>
      <c r="G1451" s="9">
        <v>-3.3999999999999998E-3</v>
      </c>
      <c r="H1451" s="9">
        <v>-2.5000000000000001E-3</v>
      </c>
      <c r="I1451" s="9">
        <v>4.0000000000000002E-4</v>
      </c>
      <c r="J1451" s="9">
        <v>0.25</v>
      </c>
    </row>
    <row r="1452" spans="1:11">
      <c r="A1452" s="1" t="s">
        <v>1610</v>
      </c>
      <c r="B1452" s="1">
        <f>B1451*(1+J1451)</f>
        <v>537.5</v>
      </c>
      <c r="C1452" s="2">
        <f>C1451</f>
        <v>48.7</v>
      </c>
      <c r="D1452" s="3">
        <f>D1451</f>
        <v>40.5</v>
      </c>
      <c r="E1452" s="4">
        <f>E1451*(1+J1451)</f>
        <v>14</v>
      </c>
      <c r="F1452" s="1">
        <f>F1451*(1+J1451)</f>
        <v>13.287500000000001</v>
      </c>
      <c r="G1452" s="9">
        <f t="shared" ref="G1452:I1453" si="3">G1451</f>
        <v>-3.3999999999999998E-3</v>
      </c>
      <c r="H1452" s="9">
        <f t="shared" si="3"/>
        <v>-2.5000000000000001E-3</v>
      </c>
      <c r="I1452" s="9">
        <f t="shared" si="3"/>
        <v>4.0000000000000002E-4</v>
      </c>
      <c r="J1452" s="9">
        <v>0.25</v>
      </c>
    </row>
    <row r="1453" spans="1:11">
      <c r="A1453" s="1" t="s">
        <v>1611</v>
      </c>
      <c r="B1453" s="1">
        <f>B1452*(1+J1452)</f>
        <v>671.875</v>
      </c>
      <c r="C1453" s="2">
        <f>C1452</f>
        <v>48.7</v>
      </c>
      <c r="D1453" s="3">
        <f>D1452</f>
        <v>40.5</v>
      </c>
      <c r="E1453" s="4">
        <f>E1452*(1+J1452)</f>
        <v>17.5</v>
      </c>
      <c r="F1453" s="1">
        <f>F1452*(1+J1452)</f>
        <v>16.609375</v>
      </c>
      <c r="G1453" s="9">
        <f t="shared" si="3"/>
        <v>-3.3999999999999998E-3</v>
      </c>
      <c r="H1453" s="9">
        <f t="shared" si="3"/>
        <v>-2.5000000000000001E-3</v>
      </c>
      <c r="I1453" s="9">
        <f t="shared" si="3"/>
        <v>4.0000000000000002E-4</v>
      </c>
    </row>
    <row r="1454" spans="1:11">
      <c r="A1454" s="1" t="s">
        <v>1612</v>
      </c>
      <c r="B1454" s="1">
        <v>450</v>
      </c>
      <c r="C1454" s="2">
        <v>49.5</v>
      </c>
      <c r="D1454" s="3">
        <v>41.7</v>
      </c>
      <c r="E1454" s="4">
        <v>11.36</v>
      </c>
      <c r="F1454" s="1">
        <v>10.8</v>
      </c>
      <c r="G1454" s="9">
        <v>-3.5000000000000001E-3</v>
      </c>
      <c r="H1454" s="9">
        <v>-2.5000000000000001E-3</v>
      </c>
      <c r="I1454" s="9">
        <v>4.0000000000000002E-4</v>
      </c>
    </row>
    <row r="1455" spans="1:11">
      <c r="A1455" s="1" t="s">
        <v>1613</v>
      </c>
      <c r="B1455" s="1">
        <v>450</v>
      </c>
      <c r="C1455" s="2">
        <v>49.5</v>
      </c>
      <c r="D1455" s="3">
        <v>41.7</v>
      </c>
      <c r="E1455" s="4">
        <v>11.36</v>
      </c>
      <c r="F1455" s="1">
        <v>10.8</v>
      </c>
      <c r="G1455" s="9">
        <v>-3.3999999999999998E-3</v>
      </c>
      <c r="H1455" s="9">
        <v>-2.5000000000000001E-3</v>
      </c>
      <c r="I1455" s="9">
        <v>4.0000000000000002E-4</v>
      </c>
      <c r="J1455" s="9">
        <v>0.25</v>
      </c>
    </row>
    <row r="1456" spans="1:11">
      <c r="A1456" s="1" t="s">
        <v>1614</v>
      </c>
      <c r="B1456" s="1">
        <f>B1455*(1+J1455)</f>
        <v>562.5</v>
      </c>
      <c r="C1456" s="2">
        <f>C1455</f>
        <v>49.5</v>
      </c>
      <c r="D1456" s="3">
        <f>D1455</f>
        <v>41.7</v>
      </c>
      <c r="E1456" s="4">
        <f>E1455*(1+J1455)</f>
        <v>14.2</v>
      </c>
      <c r="F1456" s="1">
        <f>F1455*(1+J1455)</f>
        <v>13.5</v>
      </c>
      <c r="G1456" s="9">
        <f t="shared" ref="G1456:I1457" si="4">G1455</f>
        <v>-3.3999999999999998E-3</v>
      </c>
      <c r="H1456" s="9">
        <f t="shared" si="4"/>
        <v>-2.5000000000000001E-3</v>
      </c>
      <c r="I1456" s="9">
        <f t="shared" si="4"/>
        <v>4.0000000000000002E-4</v>
      </c>
      <c r="J1456" s="9">
        <v>0.25</v>
      </c>
    </row>
    <row r="1457" spans="1:10">
      <c r="A1457" s="1" t="s">
        <v>1615</v>
      </c>
      <c r="B1457" s="1">
        <f>B1456*(1+J1456)</f>
        <v>703.125</v>
      </c>
      <c r="C1457" s="2">
        <f>C1456</f>
        <v>49.5</v>
      </c>
      <c r="D1457" s="3">
        <f>D1456</f>
        <v>41.7</v>
      </c>
      <c r="E1457" s="4">
        <f>E1456*(1+J1456)</f>
        <v>17.75</v>
      </c>
      <c r="F1457" s="1">
        <f>F1456*(1+J1456)</f>
        <v>16.875</v>
      </c>
      <c r="G1457" s="9">
        <f t="shared" si="4"/>
        <v>-3.3999999999999998E-3</v>
      </c>
      <c r="H1457" s="9">
        <f t="shared" si="4"/>
        <v>-2.5000000000000001E-3</v>
      </c>
      <c r="I1457" s="9">
        <f t="shared" si="4"/>
        <v>4.0000000000000002E-4</v>
      </c>
    </row>
    <row r="1458" spans="1:10">
      <c r="A1458" s="1" t="s">
        <v>1616</v>
      </c>
      <c r="B1458" s="1">
        <v>550</v>
      </c>
      <c r="C1458" s="2">
        <v>51.5</v>
      </c>
      <c r="D1458" s="3">
        <v>43.4</v>
      </c>
      <c r="E1458" s="4">
        <v>13.34</v>
      </c>
      <c r="F1458" s="1">
        <v>12.68</v>
      </c>
      <c r="G1458" s="9">
        <v>-3.5000000000000001E-3</v>
      </c>
      <c r="H1458" s="9">
        <v>-2.5000000000000001E-3</v>
      </c>
      <c r="I1458" s="9">
        <v>4.0000000000000002E-4</v>
      </c>
      <c r="J1458" s="9">
        <v>0.25</v>
      </c>
    </row>
    <row r="1459" spans="1:10">
      <c r="A1459" s="1" t="s">
        <v>1617</v>
      </c>
      <c r="B1459" s="1">
        <f>B1458*(1+J1458)</f>
        <v>687.5</v>
      </c>
      <c r="C1459" s="2">
        <f>C1458</f>
        <v>51.5</v>
      </c>
      <c r="D1459" s="3">
        <f>D1458</f>
        <v>43.4</v>
      </c>
      <c r="E1459" s="4">
        <f>E1458*(1+J1458)</f>
        <v>16.675000000000001</v>
      </c>
      <c r="F1459" s="1">
        <f>F1458*(1+J1458)</f>
        <v>15.85</v>
      </c>
      <c r="G1459" s="9">
        <f>G1458</f>
        <v>-3.5000000000000001E-3</v>
      </c>
      <c r="H1459" s="9">
        <f>H1458</f>
        <v>-2.5000000000000001E-3</v>
      </c>
      <c r="I1459" s="9">
        <f>I1458</f>
        <v>4.0000000000000002E-4</v>
      </c>
    </row>
    <row r="1460" spans="1:10">
      <c r="A1460" s="1" t="s">
        <v>1618</v>
      </c>
      <c r="B1460" s="1">
        <v>545</v>
      </c>
      <c r="C1460" s="2">
        <v>37.9</v>
      </c>
      <c r="D1460" s="3">
        <v>31.6</v>
      </c>
      <c r="E1460" s="4">
        <v>18.350000000000001</v>
      </c>
      <c r="F1460" s="1">
        <v>17.239999999999998</v>
      </c>
      <c r="G1460" s="9">
        <v>-3.3999999999999998E-3</v>
      </c>
      <c r="H1460" s="9">
        <v>-2.5000000000000001E-3</v>
      </c>
      <c r="I1460" s="9">
        <v>4.0000000000000002E-4</v>
      </c>
      <c r="J1460" s="9">
        <v>0.2</v>
      </c>
    </row>
    <row r="1461" spans="1:10">
      <c r="A1461" s="1" t="s">
        <v>1619</v>
      </c>
      <c r="B1461" s="1">
        <f>B1460*(1+J1460)</f>
        <v>654</v>
      </c>
      <c r="C1461" s="2">
        <f>C1460</f>
        <v>37.9</v>
      </c>
      <c r="D1461" s="3">
        <f>D1460</f>
        <v>31.6</v>
      </c>
      <c r="E1461" s="4">
        <f>E1460*(1+J1460)</f>
        <v>22.02</v>
      </c>
      <c r="F1461" s="1">
        <f>F1460*(1+J1460)</f>
        <v>20.687999999999999</v>
      </c>
      <c r="G1461" s="9">
        <f>G1460</f>
        <v>-3.3999999999999998E-3</v>
      </c>
      <c r="H1461" s="9">
        <f>H1460</f>
        <v>-2.5000000000000001E-3</v>
      </c>
      <c r="I1461" s="9">
        <f>I1460</f>
        <v>4.0000000000000002E-4</v>
      </c>
    </row>
    <row r="1462" spans="1:10">
      <c r="A1462" s="1" t="s">
        <v>1620</v>
      </c>
      <c r="B1462" s="1">
        <v>550</v>
      </c>
      <c r="C1462" s="2">
        <v>38.1</v>
      </c>
      <c r="D1462" s="3">
        <v>31.8</v>
      </c>
      <c r="E1462" s="4">
        <v>18.39</v>
      </c>
      <c r="F1462" s="1">
        <v>17.29</v>
      </c>
      <c r="G1462" s="9">
        <v>-3.3999999999999998E-3</v>
      </c>
      <c r="H1462" s="9">
        <v>-2.5000000000000001E-3</v>
      </c>
      <c r="I1462" s="9">
        <v>4.0000000000000002E-4</v>
      </c>
      <c r="J1462" s="9">
        <v>0.1</v>
      </c>
    </row>
    <row r="1463" spans="1:10">
      <c r="A1463" s="1" t="s">
        <v>1621</v>
      </c>
      <c r="B1463" s="1">
        <f>B1462*(1+J1462)</f>
        <v>605</v>
      </c>
      <c r="C1463" s="2">
        <f>C1462</f>
        <v>38.1</v>
      </c>
      <c r="D1463" s="3">
        <f>D1462</f>
        <v>31.8</v>
      </c>
      <c r="E1463" s="4">
        <f>E1462*(1+J1462)</f>
        <v>20.229000000000003</v>
      </c>
      <c r="F1463" s="1">
        <f>F1462*(1+J1462)</f>
        <v>19.019000000000002</v>
      </c>
      <c r="G1463" s="9">
        <f>G1462</f>
        <v>-3.3999999999999998E-3</v>
      </c>
      <c r="H1463" s="9">
        <f>H1462</f>
        <v>-2.5000000000000001E-3</v>
      </c>
      <c r="I1463" s="9">
        <f>I1462</f>
        <v>4.0000000000000002E-4</v>
      </c>
    </row>
    <row r="1464" spans="1:10">
      <c r="A1464" s="1" t="s">
        <v>1622</v>
      </c>
      <c r="B1464" s="1">
        <v>595</v>
      </c>
      <c r="C1464" s="2">
        <v>41.5</v>
      </c>
      <c r="D1464" s="3">
        <v>34.4</v>
      </c>
      <c r="E1464" s="4">
        <v>18.36</v>
      </c>
      <c r="F1464" s="1">
        <v>17.3</v>
      </c>
      <c r="G1464" s="9">
        <v>-3.3999999999999998E-3</v>
      </c>
      <c r="H1464" s="9">
        <v>-2.5000000000000001E-3</v>
      </c>
      <c r="I1464" s="9">
        <v>4.0000000000000002E-4</v>
      </c>
    </row>
    <row r="1465" spans="1:10">
      <c r="A1465" s="1" t="s">
        <v>1623</v>
      </c>
      <c r="B1465" s="1">
        <v>650</v>
      </c>
      <c r="C1465" s="2">
        <v>45.5</v>
      </c>
      <c r="D1465" s="3">
        <v>37.700000000000003</v>
      </c>
      <c r="E1465" s="4">
        <v>18.350000000000001</v>
      </c>
      <c r="F1465" s="1">
        <v>17.27</v>
      </c>
      <c r="G1465" s="9">
        <v>-3.3999999999999998E-3</v>
      </c>
      <c r="H1465" s="9">
        <v>-2.5000000000000001E-3</v>
      </c>
      <c r="I1465" s="9">
        <v>4.0000000000000002E-4</v>
      </c>
      <c r="J1465" s="9">
        <v>0.2</v>
      </c>
    </row>
    <row r="1466" spans="1:10">
      <c r="A1466" s="1" t="s">
        <v>1624</v>
      </c>
      <c r="B1466" s="1">
        <f>B1465*(1+J1465)</f>
        <v>780</v>
      </c>
      <c r="C1466" s="2">
        <f>C1465</f>
        <v>45.5</v>
      </c>
      <c r="D1466" s="3">
        <f>D1465</f>
        <v>37.700000000000003</v>
      </c>
      <c r="E1466" s="4">
        <f>E1465*(1+J1465)</f>
        <v>22.02</v>
      </c>
      <c r="F1466" s="1">
        <f>F1465*(1+J1465)</f>
        <v>20.724</v>
      </c>
      <c r="G1466" s="9">
        <f>G1465</f>
        <v>-3.3999999999999998E-3</v>
      </c>
      <c r="H1466" s="9">
        <f>H1465</f>
        <v>-2.5000000000000001E-3</v>
      </c>
      <c r="I1466" s="9">
        <f>I1465</f>
        <v>4.0000000000000002E-4</v>
      </c>
    </row>
    <row r="1467" spans="1:10">
      <c r="A1467" s="1" t="s">
        <v>1625</v>
      </c>
      <c r="B1467" s="1">
        <v>660</v>
      </c>
      <c r="C1467" s="2">
        <v>45.9</v>
      </c>
      <c r="D1467" s="3">
        <v>38.1</v>
      </c>
      <c r="E1467" s="4">
        <v>18.45</v>
      </c>
      <c r="F1467" s="1">
        <v>17.350000000000001</v>
      </c>
      <c r="G1467" s="9">
        <v>-3.3999999999999998E-3</v>
      </c>
      <c r="H1467" s="9">
        <v>-2.5000000000000001E-3</v>
      </c>
      <c r="I1467" s="9">
        <v>4.0000000000000002E-4</v>
      </c>
      <c r="J1467" s="9">
        <v>0.2</v>
      </c>
    </row>
    <row r="1468" spans="1:10">
      <c r="A1468" s="1" t="s">
        <v>1626</v>
      </c>
      <c r="B1468" s="1">
        <f>B1467*(1+J1467)</f>
        <v>792</v>
      </c>
      <c r="C1468" s="2">
        <f>C1467</f>
        <v>45.9</v>
      </c>
      <c r="D1468" s="3">
        <f>D1467</f>
        <v>38.1</v>
      </c>
      <c r="E1468" s="4">
        <f>E1467*(1+J1467)</f>
        <v>22.139999999999997</v>
      </c>
      <c r="F1468" s="1">
        <f>F1467*(1+J1467)</f>
        <v>20.82</v>
      </c>
      <c r="G1468" s="9">
        <f>G1467</f>
        <v>-3.3999999999999998E-3</v>
      </c>
      <c r="H1468" s="9">
        <f>H1467</f>
        <v>-2.5000000000000001E-3</v>
      </c>
      <c r="I1468" s="9">
        <f>I1467</f>
        <v>4.0000000000000002E-4</v>
      </c>
    </row>
    <row r="1469" spans="1:10">
      <c r="A1469" s="1" t="s">
        <v>1627</v>
      </c>
      <c r="B1469" s="1">
        <v>665</v>
      </c>
      <c r="C1469" s="2">
        <v>46.1</v>
      </c>
      <c r="D1469" s="3">
        <v>38.299999999999997</v>
      </c>
      <c r="E1469" s="4">
        <v>18.5</v>
      </c>
      <c r="F1469" s="1">
        <v>17.39</v>
      </c>
      <c r="G1469" s="9">
        <v>-3.3999999999999998E-3</v>
      </c>
      <c r="H1469" s="9">
        <v>-2.5000000000000001E-3</v>
      </c>
      <c r="I1469" s="9">
        <v>4.0000000000000002E-4</v>
      </c>
      <c r="J1469" s="9">
        <v>0.2</v>
      </c>
    </row>
    <row r="1470" spans="1:10">
      <c r="A1470" s="1" t="s">
        <v>1628</v>
      </c>
      <c r="B1470" s="1">
        <f>B1469*(1+J1469)</f>
        <v>798</v>
      </c>
      <c r="C1470" s="2">
        <f>C1469</f>
        <v>46.1</v>
      </c>
      <c r="D1470" s="3">
        <f>D1469</f>
        <v>38.299999999999997</v>
      </c>
      <c r="E1470" s="4">
        <f>E1469*(1+J1469)</f>
        <v>22.2</v>
      </c>
      <c r="F1470" s="1">
        <f>F1469*(1+J1469)</f>
        <v>20.867999999999999</v>
      </c>
      <c r="G1470" s="9">
        <f>G1469</f>
        <v>-3.3999999999999998E-3</v>
      </c>
      <c r="H1470" s="9">
        <f>H1469</f>
        <v>-2.5000000000000001E-3</v>
      </c>
      <c r="I1470" s="9">
        <f>I1469</f>
        <v>4.0000000000000002E-4</v>
      </c>
    </row>
    <row r="1471" spans="1:10">
      <c r="A1471" s="1" t="s">
        <v>1629</v>
      </c>
      <c r="B1471" s="1">
        <v>665</v>
      </c>
      <c r="C1471" s="2">
        <v>45.6</v>
      </c>
      <c r="D1471" s="3">
        <v>38.5</v>
      </c>
      <c r="E1471" s="4">
        <v>18.510000000000002</v>
      </c>
      <c r="F1471" s="1">
        <v>17.28</v>
      </c>
      <c r="G1471" s="9">
        <v>-3.3999999999999998E-3</v>
      </c>
      <c r="H1471" s="9">
        <v>-2.5999999999999999E-3</v>
      </c>
      <c r="I1471" s="9">
        <v>5.0000000000000001E-4</v>
      </c>
    </row>
    <row r="1472" spans="1:10">
      <c r="A1472" s="1" t="s">
        <v>1630</v>
      </c>
      <c r="B1472" s="1">
        <v>660</v>
      </c>
      <c r="C1472" s="2">
        <v>45.9</v>
      </c>
      <c r="D1472" s="3">
        <v>38.1</v>
      </c>
      <c r="E1472" s="4">
        <v>18.45</v>
      </c>
      <c r="F1472" s="1">
        <v>17.350000000000001</v>
      </c>
      <c r="G1472" s="9">
        <v>-3.3999999999999998E-3</v>
      </c>
      <c r="H1472" s="9">
        <v>-2.5000000000000001E-3</v>
      </c>
      <c r="I1472" s="9">
        <v>4.0000000000000002E-4</v>
      </c>
      <c r="J1472" s="9">
        <v>0.25</v>
      </c>
    </row>
    <row r="1473" spans="1:10">
      <c r="A1473" s="1" t="s">
        <v>1631</v>
      </c>
      <c r="B1473" s="1">
        <f>B1472*(1+J1472)</f>
        <v>825</v>
      </c>
      <c r="C1473" s="2">
        <f>C1472</f>
        <v>45.9</v>
      </c>
      <c r="D1473" s="3">
        <f>D1472</f>
        <v>38.1</v>
      </c>
      <c r="E1473" s="4">
        <f>E1472*(1+J1472)</f>
        <v>23.0625</v>
      </c>
      <c r="F1473" s="1">
        <f>F1472*(1+J1472)</f>
        <v>21.6875</v>
      </c>
      <c r="G1473" s="9">
        <f>G1472</f>
        <v>-3.3999999999999998E-3</v>
      </c>
      <c r="H1473" s="9">
        <f>H1472</f>
        <v>-2.5000000000000001E-3</v>
      </c>
      <c r="I1473" s="9">
        <f>I1472</f>
        <v>4.0000000000000002E-4</v>
      </c>
    </row>
    <row r="1474" spans="1:10">
      <c r="A1474" s="1" t="s">
        <v>1632</v>
      </c>
      <c r="B1474" s="1">
        <v>645</v>
      </c>
      <c r="C1474" s="2">
        <v>45.3</v>
      </c>
      <c r="D1474" s="3">
        <v>37.5</v>
      </c>
      <c r="E1474" s="4">
        <v>18.309999999999999</v>
      </c>
      <c r="F1474" s="1">
        <v>17.23</v>
      </c>
      <c r="G1474" s="9">
        <v>-3.3999999999999998E-3</v>
      </c>
      <c r="H1474" s="9">
        <v>-2.5000000000000001E-3</v>
      </c>
      <c r="I1474" s="9">
        <v>4.0000000000000002E-4</v>
      </c>
      <c r="J1474" s="9">
        <v>0.15</v>
      </c>
    </row>
    <row r="1475" spans="1:10">
      <c r="A1475" s="1" t="s">
        <v>1633</v>
      </c>
      <c r="B1475" s="1">
        <f>B1474*(1+J1474)</f>
        <v>741.74999999999989</v>
      </c>
      <c r="C1475" s="2">
        <f>C1474</f>
        <v>45.3</v>
      </c>
      <c r="D1475" s="3">
        <f>D1474</f>
        <v>37.5</v>
      </c>
      <c r="E1475" s="4">
        <f>E1474*(1+J1474)</f>
        <v>21.056499999999996</v>
      </c>
      <c r="F1475" s="1">
        <f>F1474*(1+J1474)</f>
        <v>19.814499999999999</v>
      </c>
      <c r="G1475" s="9">
        <f>G1474</f>
        <v>-3.3999999999999998E-3</v>
      </c>
      <c r="H1475" s="9">
        <f>H1474</f>
        <v>-2.5000000000000001E-3</v>
      </c>
      <c r="I1475" s="9">
        <f>I1474</f>
        <v>4.0000000000000002E-4</v>
      </c>
    </row>
    <row r="1476" spans="1:10">
      <c r="A1476" s="1" t="s">
        <v>1634</v>
      </c>
      <c r="B1476" s="1">
        <v>595</v>
      </c>
      <c r="C1476" s="2">
        <v>48.1</v>
      </c>
      <c r="D1476" s="3">
        <v>40</v>
      </c>
      <c r="E1476" s="4">
        <v>15.76</v>
      </c>
      <c r="F1476" s="1">
        <v>14.89</v>
      </c>
      <c r="G1476" s="9">
        <v>-2.8999999999999998E-3</v>
      </c>
      <c r="H1476" s="9">
        <v>-2.3999999999999998E-3</v>
      </c>
      <c r="I1476" s="9">
        <v>4.0000000000000002E-4</v>
      </c>
    </row>
    <row r="1477" spans="1:10">
      <c r="A1477" s="1" t="s">
        <v>1635</v>
      </c>
      <c r="B1477" s="1">
        <v>600</v>
      </c>
      <c r="C1477" s="2">
        <v>48.4</v>
      </c>
      <c r="D1477" s="3">
        <v>40.299999999999997</v>
      </c>
      <c r="E1477" s="4">
        <v>15.8</v>
      </c>
      <c r="F1477" s="1">
        <v>14.91</v>
      </c>
      <c r="G1477" s="9">
        <v>-2.8999999999999998E-3</v>
      </c>
      <c r="H1477" s="9">
        <v>-2.3999999999999998E-3</v>
      </c>
      <c r="I1477" s="9">
        <v>4.0000000000000002E-4</v>
      </c>
    </row>
    <row r="1478" spans="1:10">
      <c r="A1478" s="1" t="s">
        <v>1636</v>
      </c>
      <c r="B1478" s="1">
        <v>605</v>
      </c>
      <c r="C1478" s="2">
        <v>48.7</v>
      </c>
      <c r="D1478" s="3">
        <v>40.5</v>
      </c>
      <c r="E1478" s="4">
        <v>15.83</v>
      </c>
      <c r="F1478" s="1">
        <v>14.94</v>
      </c>
      <c r="G1478" s="9">
        <v>-2.8999999999999998E-3</v>
      </c>
      <c r="H1478" s="9">
        <v>-2.3999999999999998E-3</v>
      </c>
      <c r="I1478" s="9">
        <v>4.0000000000000002E-4</v>
      </c>
    </row>
    <row r="1479" spans="1:10">
      <c r="A1479" s="1" t="s">
        <v>1637</v>
      </c>
      <c r="B1479" s="1">
        <v>610</v>
      </c>
      <c r="C1479" s="2">
        <v>49</v>
      </c>
      <c r="D1479" s="3">
        <v>40.799999999999997</v>
      </c>
      <c r="E1479" s="4">
        <v>15.86</v>
      </c>
      <c r="F1479" s="1">
        <v>14.96</v>
      </c>
      <c r="G1479" s="9">
        <v>-2.8999999999999998E-3</v>
      </c>
      <c r="H1479" s="9">
        <v>-2.3999999999999998E-3</v>
      </c>
      <c r="I1479" s="9">
        <v>4.0000000000000002E-4</v>
      </c>
    </row>
    <row r="1480" spans="1:10">
      <c r="A1480" s="1" t="s">
        <v>1638</v>
      </c>
      <c r="B1480" s="1">
        <v>610</v>
      </c>
      <c r="C1480" s="2">
        <v>49.3</v>
      </c>
      <c r="D1480" s="3">
        <v>41.1</v>
      </c>
      <c r="E1480" s="4">
        <v>15.89</v>
      </c>
      <c r="F1480" s="1">
        <v>14.98</v>
      </c>
      <c r="G1480" s="9">
        <v>-2.8999999999999998E-3</v>
      </c>
      <c r="H1480" s="9">
        <v>-2.3999999999999998E-3</v>
      </c>
      <c r="I1480" s="9">
        <v>4.0000000000000002E-4</v>
      </c>
    </row>
    <row r="1481" spans="1:10">
      <c r="A1481" s="1" t="s">
        <v>1639</v>
      </c>
      <c r="B1481" s="1">
        <v>620</v>
      </c>
      <c r="C1481" s="2">
        <v>49.6</v>
      </c>
      <c r="D1481" s="3">
        <v>41.4</v>
      </c>
      <c r="E1481" s="4">
        <v>15.91</v>
      </c>
      <c r="F1481" s="1">
        <v>14.99</v>
      </c>
      <c r="G1481" s="9">
        <v>-2.8999999999999998E-3</v>
      </c>
      <c r="H1481" s="9">
        <v>-2.3999999999999998E-3</v>
      </c>
      <c r="I1481" s="9">
        <v>4.0000000000000002E-4</v>
      </c>
    </row>
    <row r="1482" spans="1:10">
      <c r="A1482" s="1" t="s">
        <v>1640</v>
      </c>
      <c r="B1482" s="1">
        <v>625</v>
      </c>
      <c r="C1482" s="2">
        <v>49.8</v>
      </c>
      <c r="D1482" s="3">
        <v>41.6</v>
      </c>
      <c r="E1482" s="4">
        <v>15.93</v>
      </c>
      <c r="F1482" s="1">
        <v>15</v>
      </c>
      <c r="G1482" s="9">
        <v>-2.8999999999999998E-3</v>
      </c>
      <c r="H1482" s="9">
        <v>-2.3999999999999998E-3</v>
      </c>
      <c r="I1482" s="9">
        <v>4.0000000000000002E-4</v>
      </c>
    </row>
    <row r="1483" spans="1:10">
      <c r="A1483" s="1" t="s">
        <v>1641</v>
      </c>
      <c r="B1483" s="1">
        <v>630</v>
      </c>
      <c r="C1483" s="2">
        <v>50.3</v>
      </c>
      <c r="D1483" s="3">
        <v>42</v>
      </c>
      <c r="E1483" s="4">
        <v>15.94</v>
      </c>
      <c r="F1483" s="1">
        <v>15.01</v>
      </c>
      <c r="G1483" s="9">
        <v>-2.8999999999999998E-3</v>
      </c>
      <c r="H1483" s="9">
        <v>-2.3999999999999998E-3</v>
      </c>
      <c r="I1483" s="9">
        <v>4.0000000000000002E-4</v>
      </c>
    </row>
    <row r="1484" spans="1:10">
      <c r="A1484" s="1" t="s">
        <v>1642</v>
      </c>
      <c r="B1484" s="1">
        <v>695</v>
      </c>
      <c r="C1484" s="2">
        <v>48.3</v>
      </c>
      <c r="D1484" s="3">
        <v>40.299999999999997</v>
      </c>
      <c r="E1484" s="4">
        <v>18.28</v>
      </c>
      <c r="F1484" s="1">
        <v>17.25</v>
      </c>
      <c r="G1484" s="9">
        <v>-2.8999999999999998E-3</v>
      </c>
      <c r="H1484" s="9">
        <v>-2.3999999999999998E-3</v>
      </c>
      <c r="I1484" s="9">
        <v>4.0000000000000002E-4</v>
      </c>
    </row>
    <row r="1485" spans="1:10">
      <c r="A1485" s="1" t="s">
        <v>1643</v>
      </c>
      <c r="B1485" s="1">
        <v>700</v>
      </c>
      <c r="C1485" s="2">
        <v>48.6</v>
      </c>
      <c r="D1485" s="3">
        <v>40.5</v>
      </c>
      <c r="E1485" s="4">
        <v>18.32</v>
      </c>
      <c r="F1485" s="1">
        <v>17.29</v>
      </c>
      <c r="G1485" s="9">
        <v>-2.8999999999999998E-3</v>
      </c>
      <c r="H1485" s="9">
        <v>-2.3999999999999998E-3</v>
      </c>
      <c r="I1485" s="9">
        <v>4.0000000000000002E-4</v>
      </c>
    </row>
    <row r="1486" spans="1:10">
      <c r="A1486" s="1" t="s">
        <v>1644</v>
      </c>
      <c r="B1486" s="1">
        <v>705</v>
      </c>
      <c r="C1486" s="2">
        <v>48.8</v>
      </c>
      <c r="D1486" s="3">
        <v>40.700000000000003</v>
      </c>
      <c r="E1486" s="4">
        <v>18.36</v>
      </c>
      <c r="F1486" s="1">
        <v>17.329999999999998</v>
      </c>
      <c r="G1486" s="9">
        <v>-2.8999999999999998E-3</v>
      </c>
      <c r="H1486" s="9">
        <v>-2.3999999999999998E-3</v>
      </c>
      <c r="I1486" s="9">
        <v>4.0000000000000002E-4</v>
      </c>
    </row>
    <row r="1487" spans="1:10">
      <c r="A1487" s="1" t="s">
        <v>1645</v>
      </c>
      <c r="B1487" s="1">
        <v>710</v>
      </c>
      <c r="C1487" s="2">
        <v>49</v>
      </c>
      <c r="D1487" s="3">
        <v>40.9</v>
      </c>
      <c r="E1487" s="4">
        <v>18.399999999999999</v>
      </c>
      <c r="F1487" s="1">
        <v>17.36</v>
      </c>
      <c r="G1487" s="9">
        <v>-2.8999999999999998E-3</v>
      </c>
      <c r="H1487" s="9">
        <v>-2.3999999999999998E-3</v>
      </c>
      <c r="I1487" s="9">
        <v>4.0000000000000002E-4</v>
      </c>
    </row>
    <row r="1488" spans="1:10">
      <c r="A1488" s="1" t="s">
        <v>1646</v>
      </c>
      <c r="B1488" s="1">
        <v>715</v>
      </c>
      <c r="C1488" s="2">
        <v>49.2</v>
      </c>
      <c r="D1488" s="3">
        <v>41.1</v>
      </c>
      <c r="E1488" s="4">
        <v>18.440000000000001</v>
      </c>
      <c r="F1488" s="1">
        <v>17.399999999999999</v>
      </c>
      <c r="G1488" s="9">
        <v>-2.8999999999999998E-3</v>
      </c>
      <c r="H1488" s="9">
        <v>-2.3999999999999998E-3</v>
      </c>
      <c r="I1488" s="9">
        <v>4.0000000000000002E-4</v>
      </c>
    </row>
    <row r="1489" spans="1:10">
      <c r="A1489" s="1" t="s">
        <v>1647</v>
      </c>
      <c r="B1489" s="1">
        <v>720</v>
      </c>
      <c r="C1489" s="2">
        <v>49.4</v>
      </c>
      <c r="D1489" s="3">
        <v>41.3</v>
      </c>
      <c r="E1489" s="4">
        <v>18.489999999999998</v>
      </c>
      <c r="F1489" s="1">
        <v>17.440000000000001</v>
      </c>
      <c r="G1489" s="9">
        <v>-2.8999999999999998E-3</v>
      </c>
      <c r="H1489" s="9">
        <v>-2.3999999999999998E-3</v>
      </c>
      <c r="I1489" s="9">
        <v>4.0000000000000002E-4</v>
      </c>
    </row>
    <row r="1490" spans="1:10">
      <c r="A1490" s="1" t="s">
        <v>1648</v>
      </c>
      <c r="B1490" s="1">
        <v>425</v>
      </c>
      <c r="C1490" s="2">
        <v>50.2</v>
      </c>
      <c r="D1490" s="3">
        <v>42.5</v>
      </c>
      <c r="E1490" s="4">
        <v>10.54</v>
      </c>
      <c r="F1490" s="1">
        <v>10</v>
      </c>
      <c r="G1490" s="9">
        <v>-3.5000000000000001E-3</v>
      </c>
      <c r="H1490" s="9">
        <v>-2.5000000000000001E-3</v>
      </c>
      <c r="I1490" s="9">
        <v>4.0000000000000002E-4</v>
      </c>
      <c r="J1490" s="9">
        <v>0.2</v>
      </c>
    </row>
    <row r="1491" spans="1:10">
      <c r="A1491" s="1" t="s">
        <v>1649</v>
      </c>
      <c r="B1491" s="1">
        <f>B1490*(1+J1490)</f>
        <v>510</v>
      </c>
      <c r="C1491" s="2">
        <f>C1490</f>
        <v>50.2</v>
      </c>
      <c r="D1491" s="3">
        <f>D1490</f>
        <v>42.5</v>
      </c>
      <c r="E1491" s="4">
        <f>E1490*(1+J1490)</f>
        <v>12.647999999999998</v>
      </c>
      <c r="F1491" s="1">
        <f>F1490*(1+J1490)</f>
        <v>12</v>
      </c>
      <c r="G1491" s="9">
        <f>G1490</f>
        <v>-3.5000000000000001E-3</v>
      </c>
      <c r="H1491" s="9">
        <f>H1490</f>
        <v>-2.5000000000000001E-3</v>
      </c>
      <c r="I1491" s="9">
        <f>I1490</f>
        <v>4.0000000000000002E-4</v>
      </c>
    </row>
    <row r="1492" spans="1:10">
      <c r="A1492" s="1" t="s">
        <v>1650</v>
      </c>
      <c r="B1492" s="1">
        <v>475</v>
      </c>
      <c r="C1492" s="2">
        <v>39</v>
      </c>
      <c r="D1492" s="3">
        <v>32.299999999999997</v>
      </c>
      <c r="E1492" s="4">
        <v>15.68</v>
      </c>
      <c r="F1492" s="1">
        <v>14.72</v>
      </c>
      <c r="G1492" s="9">
        <v>-2.8999999999999998E-3</v>
      </c>
      <c r="H1492" s="9">
        <v>-2.3999999999999998E-3</v>
      </c>
      <c r="I1492" s="9">
        <v>4.0000000000000002E-4</v>
      </c>
    </row>
    <row r="1493" spans="1:10">
      <c r="A1493" s="1" t="s">
        <v>1651</v>
      </c>
      <c r="B1493" s="1">
        <v>480</v>
      </c>
      <c r="C1493" s="2">
        <v>39.200000000000003</v>
      </c>
      <c r="D1493" s="3">
        <v>32.5</v>
      </c>
      <c r="E1493" s="4">
        <v>15.72</v>
      </c>
      <c r="F1493" s="1">
        <v>14.77</v>
      </c>
      <c r="G1493" s="9">
        <v>-2.8999999999999998E-3</v>
      </c>
      <c r="H1493" s="9">
        <v>-2.3999999999999998E-3</v>
      </c>
      <c r="I1493" s="9">
        <v>4.0000000000000002E-4</v>
      </c>
    </row>
    <row r="1494" spans="1:10">
      <c r="A1494" s="1" t="s">
        <v>1652</v>
      </c>
      <c r="B1494" s="1">
        <v>485</v>
      </c>
      <c r="C1494" s="2">
        <v>39.4</v>
      </c>
      <c r="D1494" s="3">
        <v>32.700000000000003</v>
      </c>
      <c r="E1494" s="4">
        <v>15.76</v>
      </c>
      <c r="F1494" s="1">
        <v>14.84</v>
      </c>
      <c r="G1494" s="9">
        <v>-2.8999999999999998E-3</v>
      </c>
      <c r="H1494" s="9">
        <v>-2.3999999999999998E-3</v>
      </c>
      <c r="I1494" s="9">
        <v>4.0000000000000002E-4</v>
      </c>
    </row>
    <row r="1495" spans="1:10">
      <c r="A1495" s="1" t="s">
        <v>1653</v>
      </c>
      <c r="B1495" s="1">
        <v>490</v>
      </c>
      <c r="C1495" s="2">
        <v>39.6</v>
      </c>
      <c r="D1495" s="3">
        <v>32.9</v>
      </c>
      <c r="E1495" s="4">
        <v>15.8</v>
      </c>
      <c r="F1495" s="1">
        <v>14.91</v>
      </c>
      <c r="G1495" s="9">
        <v>-2.8999999999999998E-3</v>
      </c>
      <c r="H1495" s="9">
        <v>-2.3999999999999998E-3</v>
      </c>
      <c r="I1495" s="9">
        <v>4.0000000000000002E-4</v>
      </c>
    </row>
    <row r="1496" spans="1:10">
      <c r="A1496" s="1" t="s">
        <v>1654</v>
      </c>
      <c r="B1496" s="1">
        <v>495</v>
      </c>
      <c r="C1496" s="2">
        <v>39.799999999999997</v>
      </c>
      <c r="D1496" s="3">
        <v>33.1</v>
      </c>
      <c r="E1496" s="4">
        <v>15.83</v>
      </c>
      <c r="F1496" s="1">
        <v>14.97</v>
      </c>
      <c r="G1496" s="9">
        <v>-2.8999999999999998E-3</v>
      </c>
      <c r="H1496" s="9">
        <v>-2.3999999999999998E-3</v>
      </c>
      <c r="I1496" s="9">
        <v>4.0000000000000002E-4</v>
      </c>
    </row>
    <row r="1497" spans="1:10">
      <c r="A1497" s="1" t="s">
        <v>1655</v>
      </c>
      <c r="B1497" s="1">
        <v>500</v>
      </c>
      <c r="C1497" s="2">
        <v>40</v>
      </c>
      <c r="D1497" s="3">
        <v>33.299999999999997</v>
      </c>
      <c r="E1497" s="4">
        <v>15.86</v>
      </c>
      <c r="F1497" s="1">
        <v>15.03</v>
      </c>
      <c r="G1497" s="9">
        <v>-2.8999999999999998E-3</v>
      </c>
      <c r="H1497" s="9">
        <v>-2.3999999999999998E-3</v>
      </c>
      <c r="I1497" s="9">
        <v>4.0000000000000002E-4</v>
      </c>
    </row>
    <row r="1498" spans="1:10">
      <c r="A1498" s="1" t="s">
        <v>1656</v>
      </c>
      <c r="B1498" s="1">
        <v>505</v>
      </c>
      <c r="C1498" s="2">
        <v>40.299999999999997</v>
      </c>
      <c r="D1498" s="3">
        <v>33.5</v>
      </c>
      <c r="E1498" s="4">
        <v>15.9</v>
      </c>
      <c r="F1498" s="1">
        <v>15.09</v>
      </c>
      <c r="G1498" s="9">
        <v>-2.8999999999999998E-3</v>
      </c>
      <c r="H1498" s="9">
        <v>-2.3999999999999998E-3</v>
      </c>
      <c r="I1498" s="9">
        <v>4.0000000000000002E-4</v>
      </c>
    </row>
    <row r="1499" spans="1:10">
      <c r="A1499" s="1" t="s">
        <v>1657</v>
      </c>
      <c r="B1499" s="1">
        <v>510</v>
      </c>
      <c r="C1499" s="2">
        <v>40.6</v>
      </c>
      <c r="D1499" s="3">
        <v>33.700000000000003</v>
      </c>
      <c r="E1499" s="4">
        <v>15.93</v>
      </c>
      <c r="F1499" s="1">
        <v>15.14</v>
      </c>
      <c r="G1499" s="9">
        <v>-2.8999999999999998E-3</v>
      </c>
      <c r="H1499" s="9">
        <v>-2.3999999999999998E-3</v>
      </c>
      <c r="I1499" s="9">
        <v>4.0000000000000002E-4</v>
      </c>
    </row>
    <row r="1500" spans="1:10">
      <c r="A1500" s="1" t="s">
        <v>1658</v>
      </c>
      <c r="B1500" s="1">
        <v>515</v>
      </c>
      <c r="C1500" s="2">
        <v>40.9</v>
      </c>
      <c r="D1500" s="3">
        <v>33.9</v>
      </c>
      <c r="E1500" s="4">
        <v>15.96</v>
      </c>
      <c r="F1500" s="1">
        <v>15.2</v>
      </c>
      <c r="G1500" s="9">
        <v>-2.8999999999999998E-3</v>
      </c>
      <c r="H1500" s="9">
        <v>-2.3999999999999998E-3</v>
      </c>
      <c r="I1500" s="9">
        <v>4.0000000000000002E-4</v>
      </c>
    </row>
    <row r="1501" spans="1:10">
      <c r="A1501" s="1" t="s">
        <v>1659</v>
      </c>
      <c r="B1501" s="1">
        <v>580</v>
      </c>
      <c r="C1501" s="2">
        <v>47.2</v>
      </c>
      <c r="D1501" s="3">
        <v>39.200000000000003</v>
      </c>
      <c r="E1501" s="4">
        <v>15.66</v>
      </c>
      <c r="F1501" s="1">
        <v>14.79</v>
      </c>
      <c r="G1501" s="9">
        <v>-2.8999999999999998E-3</v>
      </c>
      <c r="H1501" s="9">
        <v>-2.3999999999999998E-3</v>
      </c>
      <c r="I1501" s="9">
        <v>4.0000000000000002E-4</v>
      </c>
      <c r="J1501" s="9">
        <v>0.1</v>
      </c>
    </row>
    <row r="1502" spans="1:10">
      <c r="A1502" s="1" t="s">
        <v>1660</v>
      </c>
      <c r="B1502" s="1">
        <v>585</v>
      </c>
      <c r="C1502" s="2">
        <v>47.5</v>
      </c>
      <c r="D1502" s="3">
        <v>39.5</v>
      </c>
      <c r="E1502" s="4">
        <v>15.69</v>
      </c>
      <c r="F1502" s="1">
        <v>14.82</v>
      </c>
      <c r="G1502" s="9">
        <v>-2.8999999999999998E-3</v>
      </c>
      <c r="H1502" s="9">
        <v>-2.3999999999999998E-3</v>
      </c>
      <c r="I1502" s="9">
        <v>4.0000000000000002E-4</v>
      </c>
      <c r="J1502" s="9">
        <v>0.1</v>
      </c>
    </row>
    <row r="1503" spans="1:10">
      <c r="A1503" s="1" t="s">
        <v>1661</v>
      </c>
      <c r="B1503" s="1">
        <v>590</v>
      </c>
      <c r="C1503" s="2">
        <v>47.8</v>
      </c>
      <c r="D1503" s="3">
        <v>39.700000000000003</v>
      </c>
      <c r="E1503" s="4">
        <v>15.73</v>
      </c>
      <c r="F1503" s="1">
        <v>14.86</v>
      </c>
      <c r="G1503" s="9">
        <v>-2.8999999999999998E-3</v>
      </c>
      <c r="H1503" s="9">
        <v>-2.3999999999999998E-3</v>
      </c>
      <c r="I1503" s="9">
        <v>4.0000000000000002E-4</v>
      </c>
      <c r="J1503" s="9">
        <v>0.1</v>
      </c>
    </row>
    <row r="1504" spans="1:10">
      <c r="A1504" s="1" t="s">
        <v>1662</v>
      </c>
      <c r="B1504" s="1">
        <v>595</v>
      </c>
      <c r="C1504" s="2">
        <v>48.1</v>
      </c>
      <c r="D1504" s="3">
        <v>40</v>
      </c>
      <c r="E1504" s="4">
        <v>15.76</v>
      </c>
      <c r="F1504" s="1">
        <v>14.89</v>
      </c>
      <c r="G1504" s="9">
        <v>-2.8999999999999998E-3</v>
      </c>
      <c r="H1504" s="9">
        <v>-2.3999999999999998E-3</v>
      </c>
      <c r="I1504" s="9">
        <v>4.0000000000000002E-4</v>
      </c>
      <c r="J1504" s="9">
        <v>0.1</v>
      </c>
    </row>
    <row r="1505" spans="1:10">
      <c r="A1505" s="1" t="s">
        <v>1663</v>
      </c>
      <c r="B1505" s="1">
        <v>600</v>
      </c>
      <c r="C1505" s="2">
        <v>48.4</v>
      </c>
      <c r="D1505" s="3">
        <v>40.299999999999997</v>
      </c>
      <c r="E1505" s="4">
        <v>15.8</v>
      </c>
      <c r="F1505" s="1">
        <v>14.91</v>
      </c>
      <c r="G1505" s="9">
        <v>-2.8999999999999998E-3</v>
      </c>
      <c r="H1505" s="9">
        <v>-2.3999999999999998E-3</v>
      </c>
      <c r="I1505" s="9">
        <v>4.0000000000000002E-4</v>
      </c>
      <c r="J1505" s="9">
        <v>0.1</v>
      </c>
    </row>
    <row r="1506" spans="1:10">
      <c r="A1506" s="1" t="s">
        <v>1664</v>
      </c>
      <c r="B1506" s="1">
        <v>605</v>
      </c>
      <c r="C1506" s="2">
        <v>47.89</v>
      </c>
      <c r="D1506" s="3">
        <v>39.57</v>
      </c>
      <c r="E1506" s="4">
        <v>16.079999999999998</v>
      </c>
      <c r="F1506" s="1">
        <v>15.29</v>
      </c>
      <c r="G1506" s="9">
        <v>-2.8999999999999998E-3</v>
      </c>
      <c r="H1506" s="9">
        <v>-2.3999999999999998E-3</v>
      </c>
      <c r="I1506" s="9">
        <v>4.0000000000000002E-4</v>
      </c>
      <c r="J1506" s="9">
        <v>0.1</v>
      </c>
    </row>
    <row r="1507" spans="1:10">
      <c r="A1507" s="1" t="s">
        <v>1665</v>
      </c>
      <c r="B1507" s="1">
        <v>610</v>
      </c>
      <c r="C1507" s="2">
        <v>48.09</v>
      </c>
      <c r="D1507" s="3">
        <v>39.79</v>
      </c>
      <c r="E1507" s="4">
        <v>16.14</v>
      </c>
      <c r="F1507" s="1">
        <v>15.33</v>
      </c>
      <c r="G1507" s="9">
        <v>-2.8999999999999998E-3</v>
      </c>
      <c r="H1507" s="9">
        <v>-2.3999999999999998E-3</v>
      </c>
      <c r="I1507" s="9">
        <v>4.0000000000000002E-4</v>
      </c>
      <c r="J1507" s="9">
        <v>0.1</v>
      </c>
    </row>
    <row r="1508" spans="1:10">
      <c r="A1508" s="1" t="s">
        <v>1666</v>
      </c>
      <c r="B1508" s="1">
        <v>615</v>
      </c>
      <c r="C1508" s="2">
        <v>48.29</v>
      </c>
      <c r="D1508" s="3">
        <v>39.97</v>
      </c>
      <c r="E1508" s="4">
        <v>16.2</v>
      </c>
      <c r="F1508" s="1">
        <v>15.39</v>
      </c>
      <c r="G1508" s="9">
        <v>-2.8999999999999998E-3</v>
      </c>
      <c r="H1508" s="9">
        <v>-2.3999999999999998E-3</v>
      </c>
      <c r="I1508" s="9">
        <v>4.0000000000000002E-4</v>
      </c>
      <c r="J1508" s="9">
        <v>0.1</v>
      </c>
    </row>
    <row r="1509" spans="1:10">
      <c r="A1509" s="1" t="s">
        <v>1667</v>
      </c>
      <c r="B1509" s="1">
        <v>620</v>
      </c>
      <c r="C1509" s="2">
        <v>48.5</v>
      </c>
      <c r="D1509" s="3">
        <v>40.24</v>
      </c>
      <c r="E1509" s="4">
        <v>16.260000000000002</v>
      </c>
      <c r="F1509" s="1">
        <v>15.41</v>
      </c>
      <c r="G1509" s="9">
        <v>-2.8999999999999998E-3</v>
      </c>
      <c r="H1509" s="9">
        <v>-2.3999999999999998E-3</v>
      </c>
      <c r="I1509" s="9">
        <v>4.0000000000000002E-4</v>
      </c>
      <c r="J1509" s="9">
        <v>0.1</v>
      </c>
    </row>
    <row r="1510" spans="1:10">
      <c r="A1510" s="1" t="s">
        <v>1668</v>
      </c>
      <c r="B1510" s="1">
        <v>625</v>
      </c>
      <c r="C1510" s="2">
        <v>48.7</v>
      </c>
      <c r="D1510" s="3">
        <v>40.46</v>
      </c>
      <c r="E1510" s="4">
        <v>16.32</v>
      </c>
      <c r="F1510" s="1">
        <v>15.45</v>
      </c>
      <c r="G1510" s="9">
        <v>-2.8999999999999998E-3</v>
      </c>
      <c r="H1510" s="9">
        <v>-2.3999999999999998E-3</v>
      </c>
      <c r="I1510" s="9">
        <v>4.0000000000000002E-4</v>
      </c>
      <c r="J1510" s="9">
        <v>0.1</v>
      </c>
    </row>
    <row r="1511" spans="1:10">
      <c r="A1511" s="1" t="s">
        <v>1669</v>
      </c>
      <c r="B1511" s="1">
        <v>630</v>
      </c>
      <c r="C1511" s="2">
        <v>48.9</v>
      </c>
      <c r="D1511" s="3">
        <v>40.68</v>
      </c>
      <c r="E1511" s="4">
        <v>16.38</v>
      </c>
      <c r="F1511" s="1">
        <v>15.49</v>
      </c>
      <c r="G1511" s="9">
        <v>-2.8999999999999998E-3</v>
      </c>
      <c r="H1511" s="9">
        <v>-2.3999999999999998E-3</v>
      </c>
      <c r="I1511" s="9">
        <v>4.0000000000000002E-4</v>
      </c>
      <c r="J1511" s="9">
        <v>0.1</v>
      </c>
    </row>
    <row r="1512" spans="1:10">
      <c r="A1512" s="1" t="s">
        <v>1670</v>
      </c>
      <c r="B1512" s="1">
        <v>640</v>
      </c>
      <c r="C1512" s="2">
        <v>49.3</v>
      </c>
      <c r="D1512" s="3">
        <v>41.1</v>
      </c>
      <c r="E1512" s="4">
        <v>16.510000000000002</v>
      </c>
      <c r="F1512" s="1">
        <v>15.6</v>
      </c>
      <c r="G1512" s="9">
        <v>-2.8999999999999998E-3</v>
      </c>
      <c r="H1512" s="9">
        <v>-2.3999999999999998E-3</v>
      </c>
      <c r="I1512" s="9">
        <v>4.0000000000000002E-4</v>
      </c>
      <c r="J1512" s="9">
        <v>0.1</v>
      </c>
    </row>
    <row r="1513" spans="1:10">
      <c r="A1513" s="1" t="s">
        <v>1671</v>
      </c>
      <c r="B1513" s="1">
        <v>645</v>
      </c>
      <c r="C1513" s="2">
        <v>49.5</v>
      </c>
      <c r="D1513" s="3">
        <v>41.2</v>
      </c>
      <c r="E1513" s="4">
        <v>16.55</v>
      </c>
      <c r="F1513" s="1">
        <v>15.65</v>
      </c>
      <c r="G1513" s="9">
        <v>-2.8999999999999998E-3</v>
      </c>
      <c r="H1513" s="9">
        <v>-2.3999999999999998E-3</v>
      </c>
      <c r="I1513" s="9">
        <v>4.0000000000000002E-4</v>
      </c>
      <c r="J1513" s="9">
        <v>0.1</v>
      </c>
    </row>
    <row r="1514" spans="1:10">
      <c r="A1514" s="1" t="s">
        <v>1672</v>
      </c>
      <c r="B1514" s="1">
        <v>650</v>
      </c>
      <c r="C1514" s="2">
        <v>49.7</v>
      </c>
      <c r="D1514" s="3">
        <v>41.4</v>
      </c>
      <c r="E1514" s="4">
        <v>16.62</v>
      </c>
      <c r="F1514" s="1">
        <v>15.69</v>
      </c>
      <c r="G1514" s="9">
        <v>-2.8999999999999998E-3</v>
      </c>
      <c r="H1514" s="9">
        <v>-2.3999999999999998E-3</v>
      </c>
      <c r="I1514" s="9">
        <v>4.0000000000000002E-4</v>
      </c>
      <c r="J1514" s="9">
        <v>0.1</v>
      </c>
    </row>
    <row r="1515" spans="1:10">
      <c r="A1515" s="1" t="s">
        <v>1673</v>
      </c>
      <c r="B1515" s="1">
        <v>655</v>
      </c>
      <c r="C1515" s="2">
        <v>49.9</v>
      </c>
      <c r="D1515" s="3">
        <v>41.6</v>
      </c>
      <c r="E1515" s="4">
        <v>16.68</v>
      </c>
      <c r="F1515" s="1">
        <v>15.73</v>
      </c>
      <c r="G1515" s="9">
        <v>-2.8999999999999998E-3</v>
      </c>
      <c r="H1515" s="9">
        <v>-2.3999999999999998E-3</v>
      </c>
      <c r="I1515" s="9">
        <v>4.0000000000000002E-4</v>
      </c>
      <c r="J1515" s="9">
        <v>0.1</v>
      </c>
    </row>
    <row r="1516" spans="1:10">
      <c r="A1516" s="1" t="s">
        <v>1674</v>
      </c>
      <c r="B1516" s="1">
        <v>660</v>
      </c>
      <c r="C1516" s="2">
        <v>50.1</v>
      </c>
      <c r="D1516" s="3">
        <v>41.8</v>
      </c>
      <c r="E1516" s="4">
        <v>16.739999999999998</v>
      </c>
      <c r="F1516" s="1">
        <v>15.77</v>
      </c>
      <c r="G1516" s="9">
        <v>-2.8999999999999998E-3</v>
      </c>
      <c r="H1516" s="9">
        <v>-2.3999999999999998E-3</v>
      </c>
      <c r="I1516" s="9">
        <v>4.0000000000000002E-4</v>
      </c>
      <c r="J1516" s="9">
        <v>0.1</v>
      </c>
    </row>
    <row r="1517" spans="1:10">
      <c r="A1517" s="1" t="s">
        <v>1675</v>
      </c>
      <c r="B1517" s="1">
        <v>665</v>
      </c>
      <c r="C1517" s="2">
        <v>50.3</v>
      </c>
      <c r="D1517" s="3">
        <v>42</v>
      </c>
      <c r="E1517" s="4">
        <v>16.8</v>
      </c>
      <c r="F1517" s="1">
        <v>15.82</v>
      </c>
      <c r="G1517" s="9">
        <v>-2.8999999999999998E-3</v>
      </c>
      <c r="H1517" s="9">
        <v>-2.3999999999999998E-3</v>
      </c>
      <c r="I1517" s="9">
        <v>4.0000000000000002E-4</v>
      </c>
      <c r="J1517" s="9">
        <v>0.1</v>
      </c>
    </row>
    <row r="1518" spans="1:10">
      <c r="A1518" s="1" t="s">
        <v>1676</v>
      </c>
      <c r="B1518" s="1">
        <v>615</v>
      </c>
      <c r="C1518" s="2">
        <v>43</v>
      </c>
      <c r="D1518" s="3">
        <v>35.9</v>
      </c>
      <c r="E1518" s="4">
        <v>18.14</v>
      </c>
      <c r="F1518" s="1">
        <v>17.12</v>
      </c>
      <c r="G1518" s="9">
        <v>-2.8999999999999998E-3</v>
      </c>
      <c r="H1518" s="9">
        <v>-2.3999999999999998E-3</v>
      </c>
      <c r="I1518" s="9">
        <v>4.0000000000000002E-4</v>
      </c>
      <c r="J1518" s="9">
        <v>0.1</v>
      </c>
    </row>
    <row r="1519" spans="1:10">
      <c r="A1519" s="1" t="s">
        <v>1677</v>
      </c>
      <c r="B1519" s="1">
        <v>620</v>
      </c>
      <c r="C1519" s="2">
        <v>43.2</v>
      </c>
      <c r="D1519" s="3">
        <v>36.1</v>
      </c>
      <c r="E1519" s="4">
        <v>18.18</v>
      </c>
      <c r="F1519" s="1">
        <v>17.16</v>
      </c>
      <c r="G1519" s="9">
        <v>-2.8999999999999998E-3</v>
      </c>
      <c r="H1519" s="9">
        <v>-2.3999999999999998E-3</v>
      </c>
      <c r="I1519" s="9">
        <v>4.0000000000000002E-4</v>
      </c>
      <c r="J1519" s="9">
        <v>0.1</v>
      </c>
    </row>
    <row r="1520" spans="1:10">
      <c r="A1520" s="1" t="s">
        <v>1678</v>
      </c>
      <c r="B1520" s="1">
        <v>625</v>
      </c>
      <c r="C1520" s="2">
        <v>43.5</v>
      </c>
      <c r="D1520" s="3">
        <v>36.4</v>
      </c>
      <c r="E1520" s="4">
        <v>18.21</v>
      </c>
      <c r="F1520" s="1">
        <v>17.190000000000001</v>
      </c>
      <c r="G1520" s="9">
        <v>-2.8999999999999998E-3</v>
      </c>
      <c r="H1520" s="9">
        <v>-2.3999999999999998E-3</v>
      </c>
      <c r="I1520" s="9">
        <v>4.0000000000000002E-4</v>
      </c>
      <c r="J1520" s="9">
        <v>0.1</v>
      </c>
    </row>
    <row r="1521" spans="1:10">
      <c r="A1521" s="1" t="s">
        <v>1679</v>
      </c>
      <c r="B1521" s="1">
        <v>630</v>
      </c>
      <c r="C1521" s="2">
        <v>43.9</v>
      </c>
      <c r="D1521" s="3">
        <v>36.6</v>
      </c>
      <c r="E1521" s="4">
        <v>18.239999999999998</v>
      </c>
      <c r="F1521" s="1">
        <v>17.22</v>
      </c>
      <c r="G1521" s="9">
        <v>-2.8999999999999998E-3</v>
      </c>
      <c r="H1521" s="9">
        <v>-2.3999999999999998E-3</v>
      </c>
      <c r="I1521" s="9">
        <v>4.0000000000000002E-4</v>
      </c>
      <c r="J1521" s="9">
        <v>0.1</v>
      </c>
    </row>
    <row r="1522" spans="1:10">
      <c r="A1522" s="1" t="s">
        <v>1680</v>
      </c>
      <c r="B1522" s="1">
        <v>635</v>
      </c>
      <c r="C1522" s="2">
        <v>44.2</v>
      </c>
      <c r="D1522" s="3">
        <v>36.799999999999997</v>
      </c>
      <c r="E1522" s="4">
        <v>18.27</v>
      </c>
      <c r="F1522" s="1">
        <v>17.260000000000002</v>
      </c>
      <c r="G1522" s="9">
        <v>-2.8999999999999998E-3</v>
      </c>
      <c r="H1522" s="9">
        <v>-2.3999999999999998E-3</v>
      </c>
      <c r="I1522" s="9">
        <v>4.0000000000000002E-4</v>
      </c>
      <c r="J1522" s="9">
        <v>0.1</v>
      </c>
    </row>
    <row r="1523" spans="1:10">
      <c r="A1523" s="1" t="s">
        <v>1681</v>
      </c>
      <c r="B1523" s="1">
        <v>640</v>
      </c>
      <c r="C1523" s="2">
        <v>44.5</v>
      </c>
      <c r="D1523" s="3">
        <v>37</v>
      </c>
      <c r="E1523" s="4">
        <v>18.3</v>
      </c>
      <c r="F1523" s="1">
        <v>17.3</v>
      </c>
      <c r="G1523" s="9">
        <v>-2.8999999999999998E-3</v>
      </c>
      <c r="H1523" s="9">
        <v>-2.3999999999999998E-3</v>
      </c>
      <c r="I1523" s="9">
        <v>4.0000000000000002E-4</v>
      </c>
      <c r="J1523" s="9">
        <v>0.1</v>
      </c>
    </row>
    <row r="1524" spans="1:10">
      <c r="A1524" s="1" t="s">
        <v>1682</v>
      </c>
      <c r="B1524" s="1">
        <v>645</v>
      </c>
      <c r="C1524" s="2">
        <v>44.8</v>
      </c>
      <c r="D1524" s="3">
        <v>37.200000000000003</v>
      </c>
      <c r="E1524" s="4">
        <v>18.329999999999998</v>
      </c>
      <c r="F1524" s="1">
        <v>17.34</v>
      </c>
      <c r="G1524" s="9">
        <v>-2.8999999999999998E-3</v>
      </c>
      <c r="H1524" s="9">
        <v>-2.3999999999999998E-3</v>
      </c>
      <c r="I1524" s="9">
        <v>4.0000000000000002E-4</v>
      </c>
      <c r="J1524" s="9">
        <v>0.1</v>
      </c>
    </row>
    <row r="1525" spans="1:10">
      <c r="A1525" s="1" t="s">
        <v>1683</v>
      </c>
      <c r="B1525" s="1">
        <v>650</v>
      </c>
      <c r="C1525" s="2">
        <v>45.1</v>
      </c>
      <c r="D1525" s="3">
        <v>37.4</v>
      </c>
      <c r="E1525" s="4">
        <v>18.36</v>
      </c>
      <c r="F1525" s="1">
        <v>17.38</v>
      </c>
      <c r="G1525" s="9">
        <v>-2.8999999999999998E-3</v>
      </c>
      <c r="H1525" s="9">
        <v>-2.3999999999999998E-3</v>
      </c>
      <c r="I1525" s="9">
        <v>4.0000000000000002E-4</v>
      </c>
      <c r="J1525" s="9">
        <v>0.1</v>
      </c>
    </row>
    <row r="1526" spans="1:10">
      <c r="A1526" s="1" t="s">
        <v>1684</v>
      </c>
      <c r="B1526" s="1">
        <v>655</v>
      </c>
      <c r="C1526" s="2">
        <v>45.4</v>
      </c>
      <c r="D1526" s="3">
        <v>37.6</v>
      </c>
      <c r="E1526" s="4">
        <v>18.39</v>
      </c>
      <c r="F1526" s="1">
        <v>17.43</v>
      </c>
      <c r="G1526" s="9">
        <v>-2.8999999999999998E-3</v>
      </c>
      <c r="H1526" s="9">
        <v>-2.3999999999999998E-3</v>
      </c>
      <c r="I1526" s="9">
        <v>4.0000000000000002E-4</v>
      </c>
      <c r="J1526" s="9">
        <v>0.1</v>
      </c>
    </row>
    <row r="1527" spans="1:10">
      <c r="A1527" s="1" t="s">
        <v>1685</v>
      </c>
      <c r="B1527" s="1">
        <v>695</v>
      </c>
      <c r="C1527" s="2">
        <v>48.3</v>
      </c>
      <c r="D1527" s="3">
        <v>40.299999999999997</v>
      </c>
      <c r="E1527" s="4">
        <v>18.28</v>
      </c>
      <c r="F1527" s="1">
        <v>17.25</v>
      </c>
      <c r="G1527" s="9">
        <v>-2.8999999999999998E-3</v>
      </c>
      <c r="H1527" s="9">
        <v>-2.3999999999999998E-3</v>
      </c>
      <c r="I1527" s="9">
        <v>4.0000000000000002E-4</v>
      </c>
      <c r="J1527" s="9">
        <v>0.1</v>
      </c>
    </row>
    <row r="1528" spans="1:10">
      <c r="A1528" s="1" t="s">
        <v>1686</v>
      </c>
      <c r="B1528" s="1">
        <v>700</v>
      </c>
      <c r="C1528" s="2">
        <v>48.6</v>
      </c>
      <c r="D1528" s="3">
        <v>40.5</v>
      </c>
      <c r="E1528" s="4">
        <v>18.32</v>
      </c>
      <c r="F1528" s="1">
        <v>17.29</v>
      </c>
      <c r="G1528" s="9">
        <v>-2.8999999999999998E-3</v>
      </c>
      <c r="H1528" s="9">
        <v>-2.3999999999999998E-3</v>
      </c>
      <c r="I1528" s="9">
        <v>4.0000000000000002E-4</v>
      </c>
      <c r="J1528" s="9">
        <v>0.1</v>
      </c>
    </row>
    <row r="1529" spans="1:10">
      <c r="A1529" s="1" t="s">
        <v>1687</v>
      </c>
      <c r="B1529" s="1">
        <v>705</v>
      </c>
      <c r="C1529" s="2">
        <v>48.8</v>
      </c>
      <c r="D1529" s="3">
        <v>40.700000000000003</v>
      </c>
      <c r="E1529" s="4">
        <v>18.36</v>
      </c>
      <c r="F1529" s="1">
        <v>17.329999999999998</v>
      </c>
      <c r="G1529" s="9">
        <v>-2.8999999999999998E-3</v>
      </c>
      <c r="H1529" s="9">
        <v>-2.3999999999999998E-3</v>
      </c>
      <c r="I1529" s="9">
        <v>4.0000000000000002E-4</v>
      </c>
      <c r="J1529" s="9">
        <v>0.1</v>
      </c>
    </row>
    <row r="1530" spans="1:10">
      <c r="A1530" s="1" t="s">
        <v>1688</v>
      </c>
      <c r="B1530" s="1">
        <v>710</v>
      </c>
      <c r="C1530" s="2">
        <v>49</v>
      </c>
      <c r="D1530" s="3">
        <v>40.9</v>
      </c>
      <c r="E1530" s="4">
        <v>18.399999999999999</v>
      </c>
      <c r="F1530" s="1">
        <v>17.36</v>
      </c>
      <c r="G1530" s="9">
        <v>-2.8999999999999998E-3</v>
      </c>
      <c r="H1530" s="9">
        <v>-2.3999999999999998E-3</v>
      </c>
      <c r="I1530" s="9">
        <v>4.0000000000000002E-4</v>
      </c>
      <c r="J1530" s="9">
        <v>0.1</v>
      </c>
    </row>
    <row r="1531" spans="1:10">
      <c r="A1531" s="1" t="s">
        <v>1689</v>
      </c>
      <c r="B1531" s="1">
        <v>715</v>
      </c>
      <c r="C1531" s="2">
        <v>49.2</v>
      </c>
      <c r="D1531" s="3">
        <v>41.1</v>
      </c>
      <c r="E1531" s="4">
        <v>18.440000000000001</v>
      </c>
      <c r="F1531" s="1">
        <v>17.399999999999999</v>
      </c>
      <c r="G1531" s="9">
        <v>-2.8999999999999998E-3</v>
      </c>
      <c r="H1531" s="9">
        <v>-2.3999999999999998E-3</v>
      </c>
      <c r="I1531" s="9">
        <v>4.0000000000000002E-4</v>
      </c>
      <c r="J1531" s="9">
        <v>0.1</v>
      </c>
    </row>
    <row r="1532" spans="1:10">
      <c r="A1532" s="1" t="s">
        <v>1690</v>
      </c>
      <c r="B1532" s="1">
        <v>720</v>
      </c>
      <c r="C1532" s="2">
        <v>49.4</v>
      </c>
      <c r="D1532" s="3">
        <v>41.3</v>
      </c>
      <c r="E1532" s="4">
        <v>18.489999999999998</v>
      </c>
      <c r="F1532" s="1">
        <v>17.440000000000001</v>
      </c>
      <c r="G1532" s="9">
        <v>-2.8999999999999998E-3</v>
      </c>
      <c r="H1532" s="9">
        <v>-2.3999999999999998E-3</v>
      </c>
      <c r="I1532" s="9">
        <v>4.0000000000000002E-4</v>
      </c>
      <c r="J1532" s="9">
        <v>0.1</v>
      </c>
    </row>
    <row r="1533" spans="1:10">
      <c r="A1533" s="1" t="s">
        <v>1691</v>
      </c>
      <c r="B1533" s="1">
        <v>725</v>
      </c>
      <c r="C1533" s="2">
        <v>49.6</v>
      </c>
      <c r="D1533" s="3">
        <v>41.5</v>
      </c>
      <c r="E1533" s="4">
        <v>18.54</v>
      </c>
      <c r="F1533" s="1">
        <v>17.47</v>
      </c>
      <c r="G1533" s="9">
        <v>-2.8999999999999998E-3</v>
      </c>
      <c r="H1533" s="9">
        <v>-2.3999999999999998E-3</v>
      </c>
      <c r="I1533" s="9">
        <v>4.0000000000000002E-4</v>
      </c>
      <c r="J1533" s="9">
        <v>0.1</v>
      </c>
    </row>
    <row r="1534" spans="1:10">
      <c r="A1534" s="1" t="s">
        <v>1692</v>
      </c>
      <c r="B1534" s="1">
        <v>730</v>
      </c>
      <c r="C1534" s="2">
        <v>49.8</v>
      </c>
      <c r="D1534" s="3">
        <v>41.7</v>
      </c>
      <c r="E1534" s="4">
        <v>18.59</v>
      </c>
      <c r="F1534" s="1">
        <v>17.510000000000002</v>
      </c>
      <c r="G1534" s="9">
        <v>-2.8999999999999998E-3</v>
      </c>
      <c r="H1534" s="9">
        <v>-2.3999999999999998E-3</v>
      </c>
      <c r="I1534" s="9">
        <v>4.0000000000000002E-4</v>
      </c>
      <c r="J1534" s="9">
        <v>0.1</v>
      </c>
    </row>
    <row r="1535" spans="1:10">
      <c r="A1535" s="1" t="s">
        <v>1693</v>
      </c>
      <c r="B1535" s="1">
        <v>735</v>
      </c>
      <c r="C1535" s="2">
        <v>50.1</v>
      </c>
      <c r="D1535" s="3">
        <v>41.9</v>
      </c>
      <c r="E1535" s="4">
        <v>18.62</v>
      </c>
      <c r="F1535" s="1">
        <v>17.55</v>
      </c>
      <c r="G1535" s="9">
        <v>-2.8999999999999998E-3</v>
      </c>
      <c r="H1535" s="9">
        <v>-2.3999999999999998E-3</v>
      </c>
      <c r="I1535" s="9">
        <v>4.0000000000000002E-4</v>
      </c>
      <c r="J1535" s="9">
        <v>0.1</v>
      </c>
    </row>
    <row r="1536" spans="1:10">
      <c r="A1536" s="1" t="s">
        <v>1694</v>
      </c>
      <c r="B1536" s="1">
        <v>740</v>
      </c>
      <c r="C1536" s="2">
        <v>50.3</v>
      </c>
      <c r="D1536" s="3">
        <v>42.1</v>
      </c>
      <c r="E1536" s="4">
        <v>18.66</v>
      </c>
      <c r="F1536" s="1">
        <v>17.579999999999998</v>
      </c>
      <c r="G1536" s="9">
        <v>-2.8999999999999998E-3</v>
      </c>
      <c r="H1536" s="9">
        <v>-2.3999999999999998E-3</v>
      </c>
      <c r="I1536" s="9">
        <v>4.0000000000000002E-4</v>
      </c>
      <c r="J1536" s="9">
        <v>0.1</v>
      </c>
    </row>
    <row r="1537" spans="1:10">
      <c r="A1537" s="1" t="s">
        <v>1695</v>
      </c>
      <c r="B1537" s="1">
        <v>430</v>
      </c>
      <c r="C1537" s="2">
        <v>51.4</v>
      </c>
      <c r="D1537" s="3">
        <v>43.2</v>
      </c>
      <c r="E1537" s="4">
        <v>10.59</v>
      </c>
      <c r="F1537" s="1">
        <v>9.9600000000000009</v>
      </c>
      <c r="G1537" s="9">
        <v>-2.8999999999999998E-3</v>
      </c>
      <c r="H1537" s="9">
        <v>-2.3999999999999998E-3</v>
      </c>
      <c r="I1537" s="9">
        <v>4.0000000000000002E-4</v>
      </c>
    </row>
    <row r="1538" spans="1:10">
      <c r="A1538" s="1" t="s">
        <v>1696</v>
      </c>
      <c r="B1538" s="1">
        <v>435</v>
      </c>
      <c r="C1538" s="2">
        <v>51.8</v>
      </c>
      <c r="D1538" s="3">
        <v>43.6</v>
      </c>
      <c r="E1538" s="4">
        <v>10.64</v>
      </c>
      <c r="F1538" s="1">
        <v>9.99</v>
      </c>
      <c r="G1538" s="9">
        <v>-2.8999999999999998E-3</v>
      </c>
      <c r="H1538" s="9">
        <v>-2.3999999999999998E-3</v>
      </c>
      <c r="I1538" s="9">
        <v>4.0000000000000002E-4</v>
      </c>
    </row>
    <row r="1539" spans="1:10">
      <c r="A1539" s="1" t="s">
        <v>1697</v>
      </c>
      <c r="B1539" s="1">
        <v>440</v>
      </c>
      <c r="C1539" s="2">
        <v>52.2</v>
      </c>
      <c r="D1539" s="3">
        <v>44</v>
      </c>
      <c r="E1539" s="4">
        <v>10.67</v>
      </c>
      <c r="F1539" s="1">
        <v>10.01</v>
      </c>
      <c r="G1539" s="9">
        <v>-2.8999999999999998E-3</v>
      </c>
      <c r="H1539" s="9">
        <v>-2.3999999999999998E-3</v>
      </c>
      <c r="I1539" s="9">
        <v>4.0000000000000002E-4</v>
      </c>
    </row>
    <row r="1540" spans="1:10">
      <c r="A1540" s="1" t="s">
        <v>1698</v>
      </c>
      <c r="B1540" s="1">
        <v>445</v>
      </c>
      <c r="C1540" s="2">
        <v>52.6</v>
      </c>
      <c r="D1540" s="3">
        <v>44.3</v>
      </c>
      <c r="E1540" s="4">
        <v>10.71</v>
      </c>
      <c r="F1540" s="1">
        <v>10.050000000000001</v>
      </c>
      <c r="G1540" s="9">
        <v>-2.8999999999999998E-3</v>
      </c>
      <c r="H1540" s="9">
        <v>-2.3999999999999998E-3</v>
      </c>
      <c r="I1540" s="9">
        <v>4.0000000000000002E-4</v>
      </c>
    </row>
    <row r="1541" spans="1:10">
      <c r="A1541" s="1" t="s">
        <v>1699</v>
      </c>
      <c r="B1541" s="1">
        <v>450</v>
      </c>
      <c r="C1541" s="2">
        <v>52.9</v>
      </c>
      <c r="D1541" s="3">
        <v>44.6</v>
      </c>
      <c r="E1541" s="4">
        <v>10.74</v>
      </c>
      <c r="F1541" s="1">
        <v>10.09</v>
      </c>
      <c r="G1541" s="9">
        <v>-2.8999999999999998E-3</v>
      </c>
      <c r="H1541" s="9">
        <v>-2.3999999999999998E-3</v>
      </c>
      <c r="I1541" s="9">
        <v>4.0000000000000002E-4</v>
      </c>
    </row>
    <row r="1542" spans="1:10">
      <c r="A1542" s="1" t="s">
        <v>1700</v>
      </c>
      <c r="B1542" s="1">
        <v>455</v>
      </c>
      <c r="C1542" s="2">
        <v>53.4</v>
      </c>
      <c r="D1542" s="3">
        <v>45</v>
      </c>
      <c r="E1542" s="4">
        <v>10.77</v>
      </c>
      <c r="F1542" s="1">
        <v>10.11</v>
      </c>
      <c r="G1542" s="9">
        <v>-2.8999999999999998E-3</v>
      </c>
      <c r="H1542" s="9">
        <v>-2.3999999999999998E-3</v>
      </c>
      <c r="I1542" s="9">
        <v>4.0000000000000002E-4</v>
      </c>
    </row>
    <row r="1543" spans="1:10">
      <c r="A1543" s="1" t="s">
        <v>1701</v>
      </c>
      <c r="B1543" s="1">
        <v>460</v>
      </c>
      <c r="C1543" s="2">
        <v>53.8</v>
      </c>
      <c r="D1543" s="3">
        <v>45.4</v>
      </c>
      <c r="E1543" s="4">
        <v>10.81</v>
      </c>
      <c r="F1543" s="1">
        <v>10.14</v>
      </c>
      <c r="G1543" s="9">
        <v>-2.8999999999999998E-3</v>
      </c>
      <c r="H1543" s="9">
        <v>-2.3999999999999998E-3</v>
      </c>
      <c r="I1543" s="9">
        <v>4.0000000000000002E-4</v>
      </c>
    </row>
    <row r="1544" spans="1:10">
      <c r="A1544" s="1" t="s">
        <v>1702</v>
      </c>
      <c r="B1544" s="1">
        <v>465</v>
      </c>
      <c r="C1544" s="2">
        <v>54.2</v>
      </c>
      <c r="D1544" s="3">
        <v>45.7</v>
      </c>
      <c r="E1544" s="4">
        <v>10.85</v>
      </c>
      <c r="F1544" s="1">
        <v>10.16</v>
      </c>
      <c r="G1544" s="9">
        <v>-2.8999999999999998E-3</v>
      </c>
      <c r="H1544" s="9">
        <v>-2.3999999999999998E-3</v>
      </c>
      <c r="I1544" s="9">
        <v>4.0000000000000002E-4</v>
      </c>
    </row>
    <row r="1545" spans="1:10">
      <c r="A1545" s="1" t="s">
        <v>1703</v>
      </c>
      <c r="B1545" s="1">
        <v>470</v>
      </c>
      <c r="C1545" s="2">
        <v>54.5</v>
      </c>
      <c r="D1545" s="3">
        <v>46.1</v>
      </c>
      <c r="E1545" s="4">
        <v>10.89</v>
      </c>
      <c r="F1545" s="1">
        <v>10.19</v>
      </c>
      <c r="G1545" s="9">
        <v>-2.8999999999999998E-3</v>
      </c>
      <c r="H1545" s="9">
        <v>-2.3999999999999998E-3</v>
      </c>
      <c r="I1545" s="9">
        <v>4.0000000000000002E-4</v>
      </c>
    </row>
    <row r="1546" spans="1:10">
      <c r="A1546" s="1" t="s">
        <v>1704</v>
      </c>
      <c r="B1546" s="1">
        <v>475</v>
      </c>
      <c r="C1546" s="2">
        <v>54.9</v>
      </c>
      <c r="D1546" s="3">
        <v>46.4</v>
      </c>
      <c r="E1546" s="4">
        <v>10.92</v>
      </c>
      <c r="F1546" s="1">
        <v>10.220000000000001</v>
      </c>
      <c r="G1546" s="9">
        <v>-2.8999999999999998E-3</v>
      </c>
      <c r="H1546" s="9">
        <v>-2.3999999999999998E-3</v>
      </c>
      <c r="I1546" s="9">
        <v>4.0000000000000002E-4</v>
      </c>
    </row>
    <row r="1547" spans="1:10">
      <c r="A1547" s="1" t="s">
        <v>1705</v>
      </c>
      <c r="B1547" s="1">
        <v>480</v>
      </c>
      <c r="C1547" s="2">
        <v>55.3</v>
      </c>
      <c r="D1547" s="3">
        <v>46.8</v>
      </c>
      <c r="E1547" s="4">
        <v>10.96</v>
      </c>
      <c r="F1547" s="1">
        <v>10.25</v>
      </c>
      <c r="G1547" s="9">
        <v>-2.8999999999999998E-3</v>
      </c>
      <c r="H1547" s="9">
        <v>-2.3999999999999998E-3</v>
      </c>
      <c r="I1547" s="9">
        <v>4.0000000000000002E-4</v>
      </c>
    </row>
    <row r="1548" spans="1:10">
      <c r="A1548" s="1" t="s">
        <v>1706</v>
      </c>
      <c r="B1548" s="1">
        <v>485</v>
      </c>
      <c r="C1548" s="2">
        <v>55.7</v>
      </c>
      <c r="D1548" s="3">
        <v>47.1</v>
      </c>
      <c r="E1548" s="4">
        <v>10.99</v>
      </c>
      <c r="F1548" s="1">
        <v>10.29</v>
      </c>
      <c r="G1548" s="9">
        <v>-2.8999999999999998E-3</v>
      </c>
      <c r="H1548" s="9">
        <v>-2.3999999999999998E-3</v>
      </c>
      <c r="I1548" s="9">
        <v>4.0000000000000002E-4</v>
      </c>
    </row>
    <row r="1549" spans="1:10">
      <c r="A1549" s="1" t="s">
        <v>1707</v>
      </c>
      <c r="B1549" s="1">
        <v>490</v>
      </c>
      <c r="C1549" s="2">
        <v>56.1</v>
      </c>
      <c r="D1549" s="3">
        <v>47.5</v>
      </c>
      <c r="E1549" s="4">
        <v>11.03</v>
      </c>
      <c r="F1549" s="1">
        <v>10.32</v>
      </c>
      <c r="G1549" s="9">
        <v>-2.8999999999999998E-3</v>
      </c>
      <c r="H1549" s="9">
        <v>-2.3999999999999998E-3</v>
      </c>
      <c r="I1549" s="9">
        <v>4.0000000000000002E-4</v>
      </c>
    </row>
    <row r="1550" spans="1:10">
      <c r="A1550" s="1" t="s">
        <v>1708</v>
      </c>
      <c r="B1550" s="1">
        <v>495</v>
      </c>
      <c r="C1550" s="2">
        <v>56.5</v>
      </c>
      <c r="D1550" s="3">
        <v>47.8</v>
      </c>
      <c r="E1550" s="4">
        <v>11.07</v>
      </c>
      <c r="F1550" s="1">
        <v>10.35</v>
      </c>
      <c r="G1550" s="9">
        <v>-2.8999999999999998E-3</v>
      </c>
      <c r="H1550" s="9">
        <v>-2.3999999999999998E-3</v>
      </c>
      <c r="I1550" s="9">
        <v>4.0000000000000002E-4</v>
      </c>
    </row>
    <row r="1551" spans="1:10">
      <c r="A1551" s="1" t="s">
        <v>1709</v>
      </c>
      <c r="B1551" s="1">
        <v>420</v>
      </c>
      <c r="C1551" s="2">
        <v>50.5</v>
      </c>
      <c r="D1551" s="3">
        <v>42.5</v>
      </c>
      <c r="E1551" s="4">
        <v>10.53</v>
      </c>
      <c r="F1551" s="1">
        <v>9.89</v>
      </c>
      <c r="G1551" s="9">
        <v>-2.8999999999999998E-3</v>
      </c>
      <c r="H1551" s="9">
        <v>-2.3999999999999998E-3</v>
      </c>
      <c r="I1551" s="9">
        <v>4.0000000000000002E-4</v>
      </c>
      <c r="J1551" s="9">
        <v>0.1</v>
      </c>
    </row>
    <row r="1552" spans="1:10">
      <c r="A1552" s="1" t="s">
        <v>1710</v>
      </c>
      <c r="B1552" s="1">
        <v>425</v>
      </c>
      <c r="C1552" s="2">
        <v>50.9</v>
      </c>
      <c r="D1552" s="3">
        <v>42.9</v>
      </c>
      <c r="E1552" s="4">
        <v>10.56</v>
      </c>
      <c r="F1552" s="1">
        <v>9.92</v>
      </c>
      <c r="G1552" s="9">
        <v>-2.8999999999999998E-3</v>
      </c>
      <c r="H1552" s="9">
        <v>-2.3999999999999998E-3</v>
      </c>
      <c r="I1552" s="9">
        <v>4.0000000000000002E-4</v>
      </c>
      <c r="J1552" s="9">
        <v>0.1</v>
      </c>
    </row>
    <row r="1553" spans="1:11">
      <c r="A1553" s="1" t="s">
        <v>1711</v>
      </c>
      <c r="B1553" s="1">
        <v>430</v>
      </c>
      <c r="C1553" s="2">
        <v>51.4</v>
      </c>
      <c r="D1553" s="3">
        <v>43.2</v>
      </c>
      <c r="E1553" s="4">
        <v>10.59</v>
      </c>
      <c r="F1553" s="1">
        <v>9.9600000000000009</v>
      </c>
      <c r="G1553" s="9">
        <v>-2.8999999999999998E-3</v>
      </c>
      <c r="H1553" s="9">
        <v>-2.3999999999999998E-3</v>
      </c>
      <c r="I1553" s="9">
        <v>4.0000000000000002E-4</v>
      </c>
      <c r="J1553" s="9">
        <v>0.1</v>
      </c>
    </row>
    <row r="1554" spans="1:11">
      <c r="A1554" s="1" t="s">
        <v>1712</v>
      </c>
      <c r="B1554" s="1">
        <v>435</v>
      </c>
      <c r="C1554" s="2">
        <v>51.8</v>
      </c>
      <c r="D1554" s="3">
        <v>43.6</v>
      </c>
      <c r="E1554" s="4">
        <v>10.64</v>
      </c>
      <c r="F1554" s="1">
        <v>9.99</v>
      </c>
      <c r="G1554" s="9">
        <v>-2.8999999999999998E-3</v>
      </c>
      <c r="H1554" s="9">
        <v>-2.3999999999999998E-3</v>
      </c>
      <c r="I1554" s="9">
        <v>4.0000000000000002E-4</v>
      </c>
      <c r="J1554" s="9">
        <v>0.1</v>
      </c>
    </row>
    <row r="1555" spans="1:11">
      <c r="A1555" s="1" t="s">
        <v>1713</v>
      </c>
      <c r="B1555" s="1">
        <v>440</v>
      </c>
      <c r="C1555" s="2">
        <v>52.2</v>
      </c>
      <c r="D1555" s="3">
        <v>44</v>
      </c>
      <c r="E1555" s="4">
        <v>10.67</v>
      </c>
      <c r="F1555" s="1">
        <v>10.01</v>
      </c>
      <c r="G1555" s="9">
        <v>-2.8999999999999998E-3</v>
      </c>
      <c r="H1555" s="9">
        <v>-2.3999999999999998E-3</v>
      </c>
      <c r="I1555" s="9">
        <v>4.0000000000000002E-4</v>
      </c>
      <c r="J1555" s="9">
        <v>0.1</v>
      </c>
    </row>
    <row r="1556" spans="1:11">
      <c r="A1556" s="1" t="s">
        <v>1714</v>
      </c>
      <c r="B1556" s="1">
        <v>445</v>
      </c>
      <c r="C1556" s="2">
        <v>52.6</v>
      </c>
      <c r="D1556" s="3">
        <v>44.3</v>
      </c>
      <c r="E1556" s="4">
        <v>10.71</v>
      </c>
      <c r="F1556" s="1">
        <v>10.050000000000001</v>
      </c>
      <c r="G1556" s="9">
        <v>-2.8999999999999998E-3</v>
      </c>
      <c r="H1556" s="9">
        <v>-2.3999999999999998E-3</v>
      </c>
      <c r="I1556" s="9">
        <v>4.0000000000000002E-4</v>
      </c>
      <c r="J1556" s="9">
        <v>0.1</v>
      </c>
    </row>
    <row r="1557" spans="1:11">
      <c r="A1557" s="1" t="s">
        <v>1715</v>
      </c>
      <c r="B1557" s="1">
        <v>450</v>
      </c>
      <c r="C1557" s="2">
        <v>52.9</v>
      </c>
      <c r="D1557" s="3">
        <v>44.6</v>
      </c>
      <c r="E1557" s="4">
        <v>10.74</v>
      </c>
      <c r="F1557" s="1">
        <v>10.09</v>
      </c>
      <c r="G1557" s="9">
        <v>-2.8999999999999998E-3</v>
      </c>
      <c r="H1557" s="9">
        <v>-2.3999999999999998E-3</v>
      </c>
      <c r="I1557" s="9">
        <v>4.0000000000000002E-4</v>
      </c>
      <c r="J1557" s="9">
        <v>0.1</v>
      </c>
    </row>
    <row r="1558" spans="1:11">
      <c r="A1558" s="1" t="s">
        <v>1716</v>
      </c>
      <c r="B1558" s="1">
        <v>275</v>
      </c>
      <c r="C1558" s="2">
        <v>38.1</v>
      </c>
      <c r="D1558" s="3">
        <v>31.1</v>
      </c>
      <c r="E1558" s="4">
        <v>9.32</v>
      </c>
      <c r="F1558" s="1">
        <v>8.84</v>
      </c>
      <c r="G1558" s="9">
        <v>-4.1000000000000003E-3</v>
      </c>
      <c r="H1558" s="9">
        <v>-3.2000000000000002E-3</v>
      </c>
      <c r="I1558" s="9">
        <v>5.0000000000000001E-4</v>
      </c>
    </row>
    <row r="1559" spans="1:11">
      <c r="A1559" s="1" t="s">
        <v>1717</v>
      </c>
      <c r="B1559" s="1">
        <v>325</v>
      </c>
      <c r="C1559" s="2">
        <v>45.9</v>
      </c>
      <c r="D1559" s="3">
        <v>37.200000000000003</v>
      </c>
      <c r="G1559" s="9">
        <v>-4.1000000000000003E-3</v>
      </c>
      <c r="H1559" s="9">
        <v>-3.2000000000000002E-3</v>
      </c>
    </row>
    <row r="1560" spans="1:11">
      <c r="A1560" s="1" t="s">
        <v>1718</v>
      </c>
      <c r="B1560" s="1">
        <v>330</v>
      </c>
      <c r="C1560" s="2">
        <v>46.1</v>
      </c>
      <c r="D1560" s="3">
        <v>37.6</v>
      </c>
      <c r="E1560" s="4">
        <v>9.3800000000000008</v>
      </c>
      <c r="F1560" s="1">
        <v>8.8699999999999992</v>
      </c>
      <c r="G1560" s="9">
        <v>-4.1000000000000003E-3</v>
      </c>
      <c r="H1560" s="9">
        <v>-3.2000000000000002E-3</v>
      </c>
      <c r="I1560" s="9">
        <v>5.0000000000000001E-4</v>
      </c>
    </row>
    <row r="1561" spans="1:11">
      <c r="A1561" s="1" t="s">
        <v>1719</v>
      </c>
      <c r="B1561" s="1">
        <v>195</v>
      </c>
      <c r="C1561" s="2">
        <v>36.9</v>
      </c>
      <c r="D1561" s="3">
        <v>31.1</v>
      </c>
      <c r="E1561" s="4">
        <v>6.7</v>
      </c>
      <c r="F1561" s="1">
        <v>6.27</v>
      </c>
      <c r="G1561" s="9">
        <v>-3.5999999999999999E-3</v>
      </c>
      <c r="H1561" s="9">
        <v>-2.8999999999999998E-3</v>
      </c>
      <c r="I1561" s="9">
        <v>4.8000000000000001E-4</v>
      </c>
      <c r="K1561" s="5">
        <v>10</v>
      </c>
    </row>
    <row r="1562" spans="1:11">
      <c r="A1562" s="1" t="s">
        <v>1720</v>
      </c>
      <c r="B1562" s="1">
        <f>B1561*K1561</f>
        <v>1950</v>
      </c>
      <c r="C1562" s="2">
        <f>C1561</f>
        <v>36.9</v>
      </c>
      <c r="D1562" s="3">
        <f>D1561</f>
        <v>31.1</v>
      </c>
      <c r="E1562" s="4">
        <f>E1561*K1561</f>
        <v>67</v>
      </c>
      <c r="F1562" s="1">
        <f>F1561*K1561</f>
        <v>62.699999999999996</v>
      </c>
      <c r="G1562" s="9">
        <f>G1561</f>
        <v>-3.5999999999999999E-3</v>
      </c>
      <c r="H1562" s="9">
        <f>H1561</f>
        <v>-2.8999999999999998E-3</v>
      </c>
      <c r="I1562" s="9">
        <f>I1561</f>
        <v>4.8000000000000001E-4</v>
      </c>
    </row>
    <row r="1563" spans="1:11">
      <c r="A1563" s="1" t="s">
        <v>1721</v>
      </c>
      <c r="B1563" s="1">
        <v>200</v>
      </c>
      <c r="C1563" s="2">
        <v>37.1</v>
      </c>
      <c r="D1563" s="3">
        <v>31.4</v>
      </c>
      <c r="E1563" s="4">
        <v>6.81</v>
      </c>
      <c r="F1563" s="1">
        <v>6.38</v>
      </c>
      <c r="G1563" s="9">
        <v>-3.5999999999999999E-3</v>
      </c>
      <c r="H1563" s="9">
        <v>-2.8999999999999998E-3</v>
      </c>
      <c r="I1563" s="9">
        <v>4.8000000000000001E-4</v>
      </c>
    </row>
    <row r="1564" spans="1:11">
      <c r="A1564" s="1" t="s">
        <v>1722</v>
      </c>
      <c r="B1564" s="1">
        <f>B1563*K1563</f>
        <v>0</v>
      </c>
      <c r="C1564" s="2">
        <f>C1563</f>
        <v>37.1</v>
      </c>
      <c r="D1564" s="3">
        <f>D1563</f>
        <v>31.4</v>
      </c>
      <c r="E1564" s="4">
        <f>E1563*K1563</f>
        <v>0</v>
      </c>
      <c r="F1564" s="1">
        <f>F1563*K1563</f>
        <v>0</v>
      </c>
      <c r="G1564" s="9">
        <f>G1563</f>
        <v>-3.5999999999999999E-3</v>
      </c>
      <c r="H1564" s="9">
        <f>H1563</f>
        <v>-2.8999999999999998E-3</v>
      </c>
      <c r="I1564" s="9">
        <f>I1563</f>
        <v>4.8000000000000001E-4</v>
      </c>
    </row>
    <row r="1565" spans="1:11">
      <c r="A1565" s="1" t="s">
        <v>1723</v>
      </c>
      <c r="B1565" s="1">
        <v>205</v>
      </c>
      <c r="C1565" s="2">
        <v>37.299999999999997</v>
      </c>
      <c r="D1565" s="3">
        <v>31.6</v>
      </c>
      <c r="E1565" s="4">
        <v>6.92</v>
      </c>
      <c r="F1565" s="1">
        <v>6.49</v>
      </c>
      <c r="G1565" s="9">
        <v>-3.5999999999999999E-3</v>
      </c>
      <c r="H1565" s="9">
        <v>-2.8999999999999998E-3</v>
      </c>
      <c r="I1565" s="9">
        <v>4.8000000000000001E-4</v>
      </c>
    </row>
    <row r="1566" spans="1:11">
      <c r="A1566" s="1" t="s">
        <v>1724</v>
      </c>
      <c r="B1566" s="1">
        <f>B1565*K1565</f>
        <v>0</v>
      </c>
      <c r="C1566" s="2">
        <f>C1565</f>
        <v>37.299999999999997</v>
      </c>
      <c r="D1566" s="3">
        <f>D1565</f>
        <v>31.6</v>
      </c>
      <c r="E1566" s="4">
        <f>E1565*K1565</f>
        <v>0</v>
      </c>
      <c r="F1566" s="1">
        <f>F1565*K1565</f>
        <v>0</v>
      </c>
      <c r="G1566" s="9">
        <f>G1565</f>
        <v>-3.5999999999999999E-3</v>
      </c>
      <c r="H1566" s="9">
        <f>H1565</f>
        <v>-2.8999999999999998E-3</v>
      </c>
      <c r="I1566" s="9">
        <f>I1565</f>
        <v>4.8000000000000001E-4</v>
      </c>
    </row>
    <row r="1567" spans="1:11">
      <c r="A1567" s="1" t="s">
        <v>1725</v>
      </c>
      <c r="B1567" s="1">
        <v>210</v>
      </c>
      <c r="C1567" s="2">
        <v>37.5</v>
      </c>
      <c r="D1567" s="3">
        <v>31.8</v>
      </c>
      <c r="E1567" s="4">
        <v>7.03</v>
      </c>
      <c r="F1567" s="1">
        <v>6.6</v>
      </c>
      <c r="G1567" s="9">
        <v>-3.5999999999999999E-3</v>
      </c>
      <c r="H1567" s="9">
        <v>-2.8999999999999998E-3</v>
      </c>
      <c r="I1567" s="9">
        <v>4.8000000000000001E-4</v>
      </c>
    </row>
    <row r="1568" spans="1:11">
      <c r="A1568" s="1" t="s">
        <v>1726</v>
      </c>
      <c r="B1568" s="1">
        <f>B1567*K1567</f>
        <v>0</v>
      </c>
      <c r="C1568" s="2">
        <f>C1567</f>
        <v>37.5</v>
      </c>
      <c r="D1568" s="3">
        <f>D1567</f>
        <v>31.8</v>
      </c>
      <c r="E1568" s="4">
        <f>E1567*K1567</f>
        <v>0</v>
      </c>
      <c r="F1568" s="1">
        <f>F1567*K1567</f>
        <v>0</v>
      </c>
      <c r="G1568" s="9">
        <f>G1567</f>
        <v>-3.5999999999999999E-3</v>
      </c>
      <c r="H1568" s="9">
        <f>H1567</f>
        <v>-2.8999999999999998E-3</v>
      </c>
      <c r="I1568" s="9">
        <f>I1567</f>
        <v>4.8000000000000001E-4</v>
      </c>
    </row>
    <row r="1569" spans="1:11">
      <c r="A1569" s="1" t="s">
        <v>1727</v>
      </c>
      <c r="B1569" s="1">
        <v>405</v>
      </c>
      <c r="C1569" s="2">
        <v>37.299999999999997</v>
      </c>
      <c r="D1569" s="3">
        <v>31.2</v>
      </c>
      <c r="E1569" s="4">
        <v>13.87</v>
      </c>
      <c r="F1569" s="1">
        <v>12.97</v>
      </c>
      <c r="G1569" s="9">
        <v>-4.1000000000000003E-3</v>
      </c>
      <c r="H1569" s="9">
        <v>-3.8999999999999998E-3</v>
      </c>
      <c r="I1569" s="9">
        <v>2.9999999999999997E-4</v>
      </c>
    </row>
    <row r="1570" spans="1:11">
      <c r="A1570" s="1" t="s">
        <v>1728</v>
      </c>
      <c r="B1570" s="1">
        <v>410</v>
      </c>
      <c r="C1570" s="2">
        <v>37.5</v>
      </c>
      <c r="D1570" s="3">
        <v>31.4</v>
      </c>
      <c r="E1570" s="4">
        <v>13.94</v>
      </c>
      <c r="F1570" s="1">
        <v>13.04</v>
      </c>
      <c r="G1570" s="9">
        <v>-3.5999999999999999E-3</v>
      </c>
      <c r="H1570" s="9">
        <v>-2.7000000000000001E-3</v>
      </c>
      <c r="I1570" s="9">
        <v>4.6000000000000001E-4</v>
      </c>
    </row>
    <row r="1571" spans="1:11">
      <c r="A1571" s="1" t="s">
        <v>1729</v>
      </c>
      <c r="B1571" s="1">
        <v>530</v>
      </c>
      <c r="C1571" s="2">
        <v>49.6</v>
      </c>
      <c r="D1571" s="3">
        <v>41.3</v>
      </c>
      <c r="E1571" s="4">
        <v>13.66</v>
      </c>
      <c r="F1571" s="1">
        <v>12.84</v>
      </c>
      <c r="G1571" s="9">
        <v>-3.5400000000000002E-3</v>
      </c>
      <c r="H1571" s="9">
        <v>-2.66E-3</v>
      </c>
      <c r="I1571" s="9">
        <v>4.6000000000000001E-4</v>
      </c>
    </row>
    <row r="1572" spans="1:11">
      <c r="A1572" s="1" t="s">
        <v>1730</v>
      </c>
      <c r="B1572" s="1">
        <v>535</v>
      </c>
      <c r="C1572" s="2">
        <v>49.9</v>
      </c>
      <c r="D1572" s="3">
        <v>41.5</v>
      </c>
      <c r="E1572" s="4">
        <v>13.72</v>
      </c>
      <c r="F1572" s="1">
        <v>12.89</v>
      </c>
      <c r="G1572" s="9">
        <v>-3.5400000000000002E-3</v>
      </c>
      <c r="H1572" s="9">
        <v>-2.66E-3</v>
      </c>
      <c r="I1572" s="9">
        <v>4.6000000000000001E-4</v>
      </c>
    </row>
    <row r="1573" spans="1:11">
      <c r="A1573" s="1" t="s">
        <v>1731</v>
      </c>
      <c r="B1573" s="1">
        <v>540</v>
      </c>
      <c r="C1573" s="2">
        <v>50</v>
      </c>
      <c r="D1573" s="3">
        <v>41.7</v>
      </c>
      <c r="E1573" s="4">
        <v>13.78</v>
      </c>
      <c r="F1573" s="1">
        <v>12.95</v>
      </c>
      <c r="G1573" s="9">
        <v>-3.5400000000000002E-3</v>
      </c>
      <c r="H1573" s="9">
        <v>-2.66E-3</v>
      </c>
      <c r="I1573" s="9">
        <v>4.6000000000000001E-4</v>
      </c>
    </row>
    <row r="1574" spans="1:11">
      <c r="A1574" s="1" t="s">
        <v>1732</v>
      </c>
      <c r="B1574" s="1">
        <v>545</v>
      </c>
      <c r="C1574" s="2">
        <v>50.2</v>
      </c>
      <c r="D1574" s="3">
        <v>41.9</v>
      </c>
      <c r="E1574" s="4">
        <v>13.84</v>
      </c>
      <c r="F1574" s="1">
        <v>13</v>
      </c>
      <c r="G1574" s="9">
        <v>-4.1000000000000003E-3</v>
      </c>
      <c r="H1574" s="9">
        <v>-3.8999999999999998E-3</v>
      </c>
      <c r="I1574" s="9">
        <v>2.9999999999999997E-4</v>
      </c>
      <c r="K1574" s="5">
        <v>8</v>
      </c>
    </row>
    <row r="1575" spans="1:11">
      <c r="A1575" s="1" t="s">
        <v>1733</v>
      </c>
      <c r="B1575" s="1">
        <v>545</v>
      </c>
      <c r="C1575" s="2">
        <v>50.1</v>
      </c>
      <c r="D1575" s="3">
        <v>41.9</v>
      </c>
      <c r="E1575" s="4">
        <v>13.84</v>
      </c>
      <c r="F1575" s="1">
        <v>13</v>
      </c>
      <c r="G1575" s="9">
        <v>-3.5400000000000002E-3</v>
      </c>
      <c r="H1575" s="9">
        <v>-2.66E-3</v>
      </c>
      <c r="I1575" s="9">
        <v>4.6000000000000001E-4</v>
      </c>
    </row>
    <row r="1576" spans="1:11">
      <c r="A1576" s="1" t="s">
        <v>1734</v>
      </c>
      <c r="B1576" s="1">
        <v>550</v>
      </c>
      <c r="C1576" s="2">
        <v>50.3</v>
      </c>
      <c r="D1576" s="3">
        <v>42.1</v>
      </c>
      <c r="E1576" s="4">
        <v>13.9</v>
      </c>
      <c r="F1576" s="1">
        <v>13.06</v>
      </c>
      <c r="G1576" s="9">
        <v>-3.5300000000000002E-3</v>
      </c>
      <c r="H1576" s="9">
        <v>-2.7200000000000002E-3</v>
      </c>
      <c r="I1576" s="9">
        <v>2.5999999999999998E-4</v>
      </c>
      <c r="J1576" s="1"/>
    </row>
    <row r="1577" spans="1:11">
      <c r="A1577" s="1" t="s">
        <v>1735</v>
      </c>
      <c r="B1577" s="1">
        <v>550</v>
      </c>
      <c r="C1577" s="2">
        <v>50.4</v>
      </c>
      <c r="D1577" s="3">
        <v>42.1</v>
      </c>
      <c r="E1577" s="4">
        <v>13.9</v>
      </c>
      <c r="F1577" s="1">
        <v>13.06</v>
      </c>
      <c r="G1577" s="9">
        <v>-3.5999999999999999E-3</v>
      </c>
      <c r="H1577" s="9">
        <v>-2.7000000000000001E-3</v>
      </c>
      <c r="I1577" s="9">
        <v>2.9999999999999997E-4</v>
      </c>
    </row>
    <row r="1578" spans="1:11">
      <c r="A1578" s="1" t="s">
        <v>1736</v>
      </c>
      <c r="B1578" s="1">
        <v>550</v>
      </c>
      <c r="C1578" s="2">
        <v>50.3</v>
      </c>
      <c r="D1578" s="3">
        <v>42.1</v>
      </c>
      <c r="E1578" s="4">
        <v>13.9</v>
      </c>
      <c r="F1578" s="1">
        <v>13.06</v>
      </c>
      <c r="G1578" s="9">
        <v>-3.5400000000000002E-3</v>
      </c>
      <c r="H1578" s="9">
        <v>-2.66E-3</v>
      </c>
      <c r="I1578" s="9">
        <v>4.6000000000000001E-4</v>
      </c>
    </row>
    <row r="1579" spans="1:11">
      <c r="A1579" s="1" t="s">
        <v>1737</v>
      </c>
      <c r="B1579" s="1">
        <v>590</v>
      </c>
      <c r="C1579" s="2">
        <v>51.02</v>
      </c>
      <c r="D1579" s="3">
        <v>43.48</v>
      </c>
      <c r="E1579" s="4">
        <v>14.57</v>
      </c>
      <c r="F1579" s="1">
        <v>13.57</v>
      </c>
      <c r="G1579" s="9">
        <v>-3.5999999999999999E-3</v>
      </c>
      <c r="H1579" s="9">
        <v>-2.8E-3</v>
      </c>
      <c r="I1579" s="9">
        <v>5.0000000000000001E-4</v>
      </c>
      <c r="K1579" s="5">
        <v>18</v>
      </c>
    </row>
    <row r="1580" spans="1:11">
      <c r="A1580" s="1" t="s">
        <v>1738</v>
      </c>
      <c r="B1580" s="1">
        <v>620</v>
      </c>
      <c r="C1580" s="2">
        <v>55.64</v>
      </c>
      <c r="D1580" s="3">
        <v>46.03</v>
      </c>
      <c r="E1580" s="4">
        <v>14.18</v>
      </c>
      <c r="F1580" s="1">
        <v>13.47</v>
      </c>
      <c r="G1580" s="9">
        <v>-3.5999999999999999E-3</v>
      </c>
      <c r="H1580" s="9">
        <v>-2.8E-3</v>
      </c>
      <c r="I1580" s="9">
        <v>5.0000000000000001E-4</v>
      </c>
    </row>
    <row r="1581" spans="1:11">
      <c r="A1581" s="1" t="s">
        <v>1739</v>
      </c>
      <c r="B1581" s="1">
        <f>B1580*(1+J1581)</f>
        <v>775</v>
      </c>
      <c r="C1581" s="2">
        <f>C1580</f>
        <v>55.64</v>
      </c>
      <c r="D1581" s="3">
        <f>D1580</f>
        <v>46.03</v>
      </c>
      <c r="E1581" s="4">
        <f>E1580*(1+J1581)</f>
        <v>17.725000000000001</v>
      </c>
      <c r="F1581" s="1">
        <f>F1580*(1+J1581)</f>
        <v>16.837500000000002</v>
      </c>
      <c r="G1581" s="9">
        <f>G1580</f>
        <v>-3.5999999999999999E-3</v>
      </c>
      <c r="H1581" s="9">
        <f>H1580</f>
        <v>-2.8E-3</v>
      </c>
      <c r="I1581" s="9">
        <f>I1580</f>
        <v>5.0000000000000001E-4</v>
      </c>
      <c r="J1581" s="9">
        <v>0.25</v>
      </c>
    </row>
    <row r="1582" spans="1:11">
      <c r="A1582" s="5" t="s">
        <v>1740</v>
      </c>
      <c r="B1582" s="1">
        <v>315</v>
      </c>
      <c r="C1582" s="2">
        <v>40.6</v>
      </c>
      <c r="D1582" s="3">
        <v>33.1</v>
      </c>
      <c r="E1582" s="4">
        <v>9.93</v>
      </c>
      <c r="F1582" s="1">
        <v>9.52</v>
      </c>
      <c r="G1582" s="9">
        <v>-3.9500000000000004E-3</v>
      </c>
      <c r="H1582" s="9">
        <v>-3.2000000000000002E-3</v>
      </c>
      <c r="I1582" s="9">
        <v>4.4999999999999999E-4</v>
      </c>
    </row>
    <row r="1583" spans="1:11">
      <c r="A1583" s="1" t="s">
        <v>1741</v>
      </c>
      <c r="B1583" s="1">
        <v>375</v>
      </c>
      <c r="C1583" s="2">
        <v>48.4</v>
      </c>
      <c r="D1583" s="3">
        <v>39.5</v>
      </c>
      <c r="E1583" s="4">
        <v>9.9600000000000009</v>
      </c>
      <c r="F1583" s="1">
        <v>9.49</v>
      </c>
      <c r="G1583" s="9">
        <v>-3.8999999999999998E-3</v>
      </c>
      <c r="H1583" s="9">
        <v>-2.8999999999999998E-3</v>
      </c>
      <c r="I1583" s="9">
        <v>4.8999999999999998E-4</v>
      </c>
    </row>
    <row r="1584" spans="1:11">
      <c r="A1584" s="1" t="s">
        <v>1742</v>
      </c>
      <c r="B1584" s="1">
        <v>445</v>
      </c>
      <c r="C1584" s="2">
        <v>49.7</v>
      </c>
      <c r="D1584" s="3">
        <v>40.9</v>
      </c>
      <c r="E1584" s="4">
        <v>11.45</v>
      </c>
      <c r="F1584" s="1">
        <v>10.88</v>
      </c>
      <c r="G1584" s="9">
        <v>-3.5999999999999999E-3</v>
      </c>
      <c r="H1584" s="9">
        <v>-2.8999999999999998E-3</v>
      </c>
      <c r="I1584" s="9">
        <v>4.8999999999999998E-4</v>
      </c>
    </row>
    <row r="1585" spans="1:9">
      <c r="A1585" s="1" t="s">
        <v>1743</v>
      </c>
      <c r="B1585" s="1">
        <v>550</v>
      </c>
      <c r="C1585" s="2">
        <v>50</v>
      </c>
      <c r="D1585" s="3">
        <v>41.9</v>
      </c>
      <c r="E1585" s="4">
        <v>13.75</v>
      </c>
      <c r="F1585" s="1">
        <v>13.13</v>
      </c>
      <c r="G1585" s="9">
        <v>-3.5000000000000001E-3</v>
      </c>
      <c r="H1585" s="9">
        <v>-2.7499999999999998E-3</v>
      </c>
      <c r="I1585" s="9">
        <v>4.4999999999999999E-4</v>
      </c>
    </row>
    <row r="1586" spans="1:9">
      <c r="A1586" s="1" t="s">
        <v>1744</v>
      </c>
      <c r="B1586" s="1">
        <v>230</v>
      </c>
      <c r="C1586" s="2">
        <v>51.2</v>
      </c>
      <c r="D1586" s="3">
        <v>42.3</v>
      </c>
      <c r="E1586" s="4">
        <v>5.83</v>
      </c>
      <c r="F1586" s="1">
        <v>5.45</v>
      </c>
      <c r="G1586" s="9">
        <v>-4.0000000000000001E-3</v>
      </c>
      <c r="H1586" s="9">
        <v>-3.3E-3</v>
      </c>
    </row>
    <row r="1587" spans="1:9">
      <c r="A1587" s="1" t="s">
        <v>1745</v>
      </c>
      <c r="B1587" s="1">
        <v>70</v>
      </c>
      <c r="C1587" s="2">
        <v>15.2</v>
      </c>
      <c r="D1587" s="3">
        <v>12.4</v>
      </c>
      <c r="E1587" s="4">
        <v>6.04</v>
      </c>
      <c r="F1587" s="1">
        <v>5.66</v>
      </c>
      <c r="G1587" s="9">
        <v>-4.0000000000000001E-3</v>
      </c>
      <c r="H1587" s="9">
        <v>-3.3E-3</v>
      </c>
    </row>
    <row r="1588" spans="1:9">
      <c r="A1588" s="1" t="s">
        <v>1746</v>
      </c>
      <c r="B1588" s="1">
        <v>120</v>
      </c>
      <c r="C1588" s="2">
        <v>26.2</v>
      </c>
      <c r="D1588" s="3">
        <v>21.3</v>
      </c>
      <c r="E1588" s="4">
        <v>6.04</v>
      </c>
      <c r="F1588" s="1">
        <v>5.66</v>
      </c>
      <c r="G1588" s="9">
        <v>-4.0000000000000001E-3</v>
      </c>
      <c r="H1588" s="9">
        <v>-3.3E-3</v>
      </c>
    </row>
    <row r="1589" spans="1:9">
      <c r="A1589" s="1" t="s">
        <v>1747</v>
      </c>
      <c r="B1589" s="1">
        <v>233</v>
      </c>
      <c r="C1589" s="2">
        <v>51.6</v>
      </c>
      <c r="D1589" s="3">
        <v>42.7</v>
      </c>
      <c r="E1589" s="4">
        <v>5.84</v>
      </c>
      <c r="F1589" s="1">
        <v>5.47</v>
      </c>
      <c r="G1589" s="9">
        <v>-4.4000000000000003E-3</v>
      </c>
      <c r="H1589" s="9">
        <v>-3.3E-3</v>
      </c>
    </row>
    <row r="1590" spans="1:9">
      <c r="A1590" s="1" t="s">
        <v>1748</v>
      </c>
      <c r="B1590" s="1">
        <v>240</v>
      </c>
      <c r="C1590" s="2">
        <v>52.4</v>
      </c>
      <c r="D1590" s="3">
        <v>43.6</v>
      </c>
      <c r="E1590" s="4">
        <v>5.85</v>
      </c>
      <c r="F1590" s="1">
        <v>5.51</v>
      </c>
      <c r="G1590" s="9">
        <v>-4.0000000000000001E-3</v>
      </c>
      <c r="H1590" s="9">
        <v>-3.3E-3</v>
      </c>
    </row>
    <row r="1591" spans="1:9">
      <c r="A1591" s="1" t="s">
        <v>1749</v>
      </c>
      <c r="B1591" s="1">
        <v>244</v>
      </c>
      <c r="C1591" s="2">
        <v>52.9</v>
      </c>
      <c r="D1591" s="3">
        <v>43.5</v>
      </c>
      <c r="E1591" s="4">
        <v>6.01</v>
      </c>
      <c r="F1591" s="1">
        <v>5.61</v>
      </c>
      <c r="G1591" s="9">
        <v>-4.0000000000000001E-3</v>
      </c>
      <c r="H1591" s="9">
        <v>-3.3E-3</v>
      </c>
    </row>
    <row r="1592" spans="1:9">
      <c r="A1592" s="1" t="s">
        <v>1750</v>
      </c>
      <c r="B1592" s="1">
        <v>245</v>
      </c>
      <c r="C1592" s="2">
        <v>53</v>
      </c>
      <c r="D1592" s="3">
        <v>43.6</v>
      </c>
      <c r="E1592" s="4">
        <v>6.01</v>
      </c>
      <c r="F1592" s="1">
        <v>5.62</v>
      </c>
      <c r="G1592" s="9">
        <v>-4.0000000000000001E-3</v>
      </c>
      <c r="H1592" s="9">
        <v>-3.3E-3</v>
      </c>
    </row>
    <row r="1593" spans="1:9">
      <c r="A1593" s="1" t="s">
        <v>1751</v>
      </c>
      <c r="B1593" s="1">
        <v>245</v>
      </c>
      <c r="C1593" s="2">
        <v>53</v>
      </c>
      <c r="D1593" s="3">
        <v>43.6</v>
      </c>
      <c r="E1593" s="4">
        <v>5.94</v>
      </c>
      <c r="F1593" s="1">
        <v>5.63</v>
      </c>
      <c r="G1593" s="9">
        <v>-4.0000000000000001E-3</v>
      </c>
      <c r="H1593" s="9">
        <v>-3.3E-3</v>
      </c>
    </row>
    <row r="1594" spans="1:9">
      <c r="A1594" s="1" t="s">
        <v>1752</v>
      </c>
      <c r="B1594" s="1">
        <v>247</v>
      </c>
      <c r="C1594" s="2">
        <v>53.1</v>
      </c>
      <c r="D1594" s="3">
        <v>43.8</v>
      </c>
      <c r="E1594" s="4">
        <v>5.97</v>
      </c>
      <c r="F1594" s="1">
        <v>5.65</v>
      </c>
      <c r="G1594" s="9">
        <v>-4.0000000000000001E-3</v>
      </c>
      <c r="H1594" s="9">
        <v>-3.3E-3</v>
      </c>
    </row>
    <row r="1595" spans="1:9">
      <c r="A1595" s="1" t="s">
        <v>1753</v>
      </c>
      <c r="B1595" s="1">
        <v>248</v>
      </c>
      <c r="C1595" s="2">
        <v>53.1</v>
      </c>
      <c r="D1595" s="3">
        <v>44</v>
      </c>
      <c r="E1595" s="4">
        <v>6.02</v>
      </c>
      <c r="F1595" s="1">
        <v>5.64</v>
      </c>
      <c r="G1595" s="9">
        <v>-4.0000000000000001E-3</v>
      </c>
      <c r="H1595" s="9">
        <v>-3.3E-3</v>
      </c>
    </row>
    <row r="1596" spans="1:9">
      <c r="A1596" s="1" t="s">
        <v>1754</v>
      </c>
      <c r="B1596" s="1">
        <v>250</v>
      </c>
      <c r="C1596" s="2">
        <v>53.2</v>
      </c>
      <c r="D1596" s="3">
        <v>44.3</v>
      </c>
      <c r="E1596" s="4">
        <v>6.03</v>
      </c>
      <c r="F1596" s="1">
        <v>5.65</v>
      </c>
      <c r="G1596" s="9">
        <v>-4.0000000000000001E-3</v>
      </c>
      <c r="H1596" s="9">
        <v>-3.3E-3</v>
      </c>
    </row>
    <row r="1597" spans="1:9">
      <c r="A1597" s="1" t="s">
        <v>1755</v>
      </c>
      <c r="B1597" s="1">
        <v>250</v>
      </c>
      <c r="C1597" s="2">
        <v>53.2</v>
      </c>
      <c r="D1597" s="3">
        <v>44.3</v>
      </c>
      <c r="E1597" s="4">
        <v>6.03</v>
      </c>
      <c r="F1597" s="1">
        <v>5.65</v>
      </c>
      <c r="G1597" s="9">
        <v>-4.0000000000000001E-3</v>
      </c>
      <c r="H1597" s="9">
        <v>-3.3E-3</v>
      </c>
    </row>
    <row r="1598" spans="1:9">
      <c r="A1598" s="1" t="s">
        <v>1756</v>
      </c>
      <c r="B1598" s="1">
        <v>250</v>
      </c>
      <c r="C1598" s="2">
        <v>53.2</v>
      </c>
      <c r="D1598" s="3">
        <v>44.1</v>
      </c>
      <c r="E1598" s="4">
        <v>6.01</v>
      </c>
      <c r="F1598" s="1">
        <v>5.68</v>
      </c>
      <c r="G1598" s="9">
        <v>-4.0000000000000001E-3</v>
      </c>
      <c r="H1598" s="9">
        <v>-3.3E-3</v>
      </c>
    </row>
    <row r="1599" spans="1:9">
      <c r="A1599" s="1" t="s">
        <v>1757</v>
      </c>
      <c r="B1599" s="1">
        <v>252</v>
      </c>
      <c r="C1599" s="2">
        <v>53.2</v>
      </c>
      <c r="D1599" s="3">
        <v>44.3</v>
      </c>
      <c r="E1599" s="4">
        <v>6.04</v>
      </c>
      <c r="F1599" s="1">
        <v>5.7</v>
      </c>
      <c r="G1599" s="9">
        <v>-4.0000000000000001E-3</v>
      </c>
      <c r="H1599" s="9">
        <v>-3.3E-3</v>
      </c>
    </row>
    <row r="1600" spans="1:9">
      <c r="A1600" s="1" t="s">
        <v>1758</v>
      </c>
      <c r="B1600" s="1">
        <v>250</v>
      </c>
      <c r="C1600" s="2">
        <v>27.3</v>
      </c>
      <c r="D1600" s="3">
        <v>22.9</v>
      </c>
      <c r="E1600" s="4">
        <v>11.61</v>
      </c>
      <c r="F1600" s="1">
        <v>10.94</v>
      </c>
      <c r="G1600" s="9">
        <v>-3.5000000000000001E-3</v>
      </c>
      <c r="H1600" s="9">
        <v>-3.0000000000000001E-3</v>
      </c>
      <c r="I1600" s="9">
        <v>4.0000000000000002E-4</v>
      </c>
    </row>
    <row r="1601" spans="1:11">
      <c r="A1601" s="1" t="s">
        <v>1759</v>
      </c>
      <c r="B1601" s="1">
        <v>300</v>
      </c>
      <c r="C1601" s="2">
        <v>32.799999999999997</v>
      </c>
      <c r="D1601" s="3">
        <v>27.4</v>
      </c>
      <c r="E1601" s="4">
        <v>11.61</v>
      </c>
      <c r="F1601" s="1">
        <v>10.94</v>
      </c>
      <c r="G1601" s="9">
        <v>-3.5000000000000001E-3</v>
      </c>
      <c r="H1601" s="9">
        <v>-3.0000000000000001E-3</v>
      </c>
      <c r="I1601" s="9">
        <v>4.0000000000000002E-4</v>
      </c>
    </row>
    <row r="1602" spans="1:11">
      <c r="A1602" s="1" t="s">
        <v>1760</v>
      </c>
      <c r="B1602" s="1">
        <v>375</v>
      </c>
      <c r="C1602" s="2">
        <v>41</v>
      </c>
      <c r="D1602" s="3">
        <v>34.299999999999997</v>
      </c>
      <c r="E1602" s="4">
        <v>11.61</v>
      </c>
      <c r="F1602" s="1">
        <v>10.94</v>
      </c>
      <c r="G1602" s="9">
        <v>-3.3999999999999998E-3</v>
      </c>
      <c r="H1602" s="9">
        <v>-2.5999999999999999E-3</v>
      </c>
      <c r="I1602" s="9">
        <v>5.0000000000000001E-4</v>
      </c>
    </row>
    <row r="1603" spans="1:11">
      <c r="A1603" s="1" t="s">
        <v>1761</v>
      </c>
      <c r="B1603" s="1">
        <v>375</v>
      </c>
      <c r="C1603" s="2">
        <v>41</v>
      </c>
      <c r="D1603" s="3">
        <v>34.299999999999997</v>
      </c>
      <c r="E1603" s="4">
        <v>11.61</v>
      </c>
      <c r="F1603" s="1">
        <v>10.94</v>
      </c>
      <c r="G1603" s="9">
        <v>-3.3999999999999998E-3</v>
      </c>
      <c r="H1603" s="9">
        <v>-2.5999999999999999E-3</v>
      </c>
      <c r="I1603" s="9">
        <v>5.0000000000000001E-4</v>
      </c>
    </row>
    <row r="1604" spans="1:11">
      <c r="A1604" s="1" t="s">
        <v>1762</v>
      </c>
      <c r="B1604" s="1">
        <v>245</v>
      </c>
      <c r="C1604" s="2">
        <v>37.1</v>
      </c>
      <c r="D1604" s="3">
        <v>30.1</v>
      </c>
      <c r="E1604" s="4">
        <v>8.8000000000000007</v>
      </c>
      <c r="F1604" s="1">
        <v>8.23</v>
      </c>
      <c r="G1604" s="9">
        <v>-4.4000000000000003E-3</v>
      </c>
      <c r="H1604" s="9">
        <v>-3.29E-3</v>
      </c>
      <c r="I1604" s="9">
        <v>3.8000000000000002E-4</v>
      </c>
    </row>
    <row r="1605" spans="1:11">
      <c r="A1605" s="1" t="s">
        <v>1763</v>
      </c>
      <c r="B1605" s="1">
        <f>B1604*K1605</f>
        <v>2450</v>
      </c>
      <c r="C1605" s="2">
        <f>C1604</f>
        <v>37.1</v>
      </c>
      <c r="D1605" s="3">
        <f>D1604</f>
        <v>30.1</v>
      </c>
      <c r="E1605" s="4">
        <f>E1604*K1605</f>
        <v>88</v>
      </c>
      <c r="F1605" s="1">
        <f>F1604*K1605</f>
        <v>82.300000000000011</v>
      </c>
      <c r="G1605" s="9">
        <f>G1604</f>
        <v>-4.4000000000000003E-3</v>
      </c>
      <c r="H1605" s="9">
        <f>H1604</f>
        <v>-3.29E-3</v>
      </c>
      <c r="I1605" s="9">
        <f>I1604</f>
        <v>3.8000000000000002E-4</v>
      </c>
      <c r="K1605" s="5">
        <v>10</v>
      </c>
    </row>
    <row r="1606" spans="1:11">
      <c r="A1606" s="1" t="s">
        <v>1764</v>
      </c>
      <c r="B1606" s="1">
        <v>595</v>
      </c>
      <c r="C1606" s="2">
        <v>41.7</v>
      </c>
      <c r="D1606" s="3">
        <v>34.6</v>
      </c>
      <c r="E1606" s="4">
        <v>18.57</v>
      </c>
      <c r="F1606" s="1">
        <v>17.489999999999998</v>
      </c>
      <c r="G1606" s="9">
        <v>-3.3999999999999998E-3</v>
      </c>
      <c r="H1606" s="9">
        <v>-2.5000000000000001E-3</v>
      </c>
      <c r="I1606" s="9">
        <v>4.0000000000000002E-4</v>
      </c>
    </row>
    <row r="1607" spans="1:11">
      <c r="A1607" s="1" t="s">
        <v>1765</v>
      </c>
      <c r="B1607" s="1">
        <v>375</v>
      </c>
      <c r="C1607" s="2">
        <v>41.1</v>
      </c>
      <c r="D1607" s="3">
        <v>34.6</v>
      </c>
      <c r="E1607" s="4">
        <v>11.6</v>
      </c>
      <c r="F1607" s="1">
        <v>10.84</v>
      </c>
      <c r="G1607" s="9">
        <v>-3.5000000000000001E-3</v>
      </c>
      <c r="H1607" s="9">
        <v>-2.7000000000000001E-3</v>
      </c>
      <c r="I1607" s="9">
        <v>4.8000000000000001E-4</v>
      </c>
    </row>
    <row r="1608" spans="1:11">
      <c r="A1608" s="1" t="s">
        <v>1766</v>
      </c>
      <c r="B1608" s="1">
        <v>545</v>
      </c>
      <c r="C1608" s="2">
        <v>49.81</v>
      </c>
      <c r="D1608" s="3">
        <v>41.8</v>
      </c>
      <c r="E1608" s="4">
        <v>13.92</v>
      </c>
      <c r="F1608" s="1">
        <v>13.04</v>
      </c>
      <c r="G1608" s="9">
        <v>-3.2000000000000002E-3</v>
      </c>
      <c r="H1608" s="9">
        <v>-2.7000000000000001E-3</v>
      </c>
      <c r="I1608" s="9">
        <v>4.8000000000000001E-4</v>
      </c>
      <c r="J1608" s="9">
        <v>0.15</v>
      </c>
    </row>
    <row r="1609" spans="1:11">
      <c r="A1609" s="1" t="s">
        <v>1767</v>
      </c>
      <c r="B1609" s="1">
        <f>B1608*(1+J1608)</f>
        <v>626.75</v>
      </c>
      <c r="C1609" s="2">
        <f>C1608</f>
        <v>49.81</v>
      </c>
      <c r="D1609" s="3">
        <f>D1608</f>
        <v>41.8</v>
      </c>
      <c r="E1609" s="4">
        <f>E1608*(1+J1608)</f>
        <v>16.007999999999999</v>
      </c>
      <c r="F1609" s="1">
        <f>F1608*(1+J1608)</f>
        <v>14.995999999999999</v>
      </c>
      <c r="G1609" s="9">
        <f>G1608</f>
        <v>-3.2000000000000002E-3</v>
      </c>
      <c r="H1609" s="9">
        <f>H1608</f>
        <v>-2.7000000000000001E-3</v>
      </c>
      <c r="I1609" s="9">
        <f>I1608</f>
        <v>4.8000000000000001E-4</v>
      </c>
    </row>
    <row r="1610" spans="1:11">
      <c r="A1610" s="1" t="s">
        <v>1768</v>
      </c>
      <c r="B1610" s="1">
        <v>205</v>
      </c>
      <c r="C1610" s="2">
        <v>45.74</v>
      </c>
      <c r="D1610" s="3">
        <v>37.5</v>
      </c>
      <c r="E1610" s="4">
        <v>5.69</v>
      </c>
      <c r="F1610" s="1">
        <v>5.46</v>
      </c>
      <c r="G1610" s="9">
        <v>-4.4000000000000003E-3</v>
      </c>
      <c r="H1610" s="9">
        <v>-3.0000000000000001E-3</v>
      </c>
      <c r="I1610" s="9">
        <v>4.0000000000000002E-4</v>
      </c>
    </row>
    <row r="1611" spans="1:11">
      <c r="A1611" s="1" t="s">
        <v>1769</v>
      </c>
      <c r="B1611" s="1">
        <v>200</v>
      </c>
      <c r="C1611" s="2">
        <v>22</v>
      </c>
      <c r="D1611" s="3">
        <v>17.899999999999999</v>
      </c>
      <c r="E1611" s="4">
        <v>11.97</v>
      </c>
      <c r="F1611" s="1">
        <v>11.19</v>
      </c>
      <c r="G1611" s="9">
        <v>-4.4999999999999997E-3</v>
      </c>
      <c r="H1611" s="9">
        <v>-3.5000000000000001E-3</v>
      </c>
      <c r="I1611" s="9">
        <v>5.9999999999999995E-4</v>
      </c>
    </row>
    <row r="1612" spans="1:11">
      <c r="A1612" s="1" t="s">
        <v>1770</v>
      </c>
      <c r="B1612" s="1">
        <v>250</v>
      </c>
      <c r="C1612" s="2">
        <v>22.27</v>
      </c>
      <c r="D1612" s="3">
        <v>18.78</v>
      </c>
      <c r="E1612" s="4">
        <v>14.13</v>
      </c>
      <c r="F1612" s="1">
        <v>13.32</v>
      </c>
      <c r="G1612" s="9">
        <v>-3.5000000000000001E-3</v>
      </c>
      <c r="H1612" s="9">
        <v>-2.7000000000000001E-3</v>
      </c>
      <c r="I1612" s="9">
        <v>4.8000000000000001E-4</v>
      </c>
    </row>
    <row r="1613" spans="1:11">
      <c r="A1613" s="1" t="s">
        <v>1771</v>
      </c>
      <c r="B1613" s="1">
        <v>280</v>
      </c>
      <c r="C1613" s="2">
        <v>50.1</v>
      </c>
      <c r="D1613" s="3">
        <v>42.26</v>
      </c>
      <c r="E1613" s="4">
        <v>7.07</v>
      </c>
      <c r="F1613" s="1">
        <v>6.63</v>
      </c>
      <c r="G1613" s="9">
        <v>-3.5000000000000001E-3</v>
      </c>
      <c r="H1613" s="9">
        <v>-2.7000000000000001E-3</v>
      </c>
      <c r="I1613" s="9">
        <v>4.8000000000000001E-4</v>
      </c>
    </row>
    <row r="1614" spans="1:11">
      <c r="A1614" s="1" t="s">
        <v>1772</v>
      </c>
      <c r="B1614" s="1">
        <v>300</v>
      </c>
      <c r="C1614" s="2">
        <v>39.799999999999997</v>
      </c>
      <c r="D1614" s="3">
        <v>32.200000000000003</v>
      </c>
      <c r="E1614" s="4">
        <v>9.6</v>
      </c>
      <c r="F1614" s="1">
        <v>9.31</v>
      </c>
      <c r="G1614" s="9">
        <v>-4.4999999999999997E-3</v>
      </c>
      <c r="H1614" s="9">
        <v>-3.5000000000000001E-3</v>
      </c>
      <c r="I1614" s="9">
        <v>5.9999999999999995E-4</v>
      </c>
      <c r="K1614" s="5">
        <v>15</v>
      </c>
    </row>
    <row r="1615" spans="1:11">
      <c r="A1615" s="1" t="s">
        <v>1773</v>
      </c>
      <c r="B1615" s="1">
        <v>420</v>
      </c>
      <c r="C1615" s="2">
        <v>37.75</v>
      </c>
      <c r="D1615" s="3">
        <v>31.73</v>
      </c>
      <c r="E1615" s="4">
        <v>14.01</v>
      </c>
      <c r="F1615" s="1">
        <v>13.24</v>
      </c>
      <c r="G1615" s="9">
        <v>-3.3999999999999998E-3</v>
      </c>
      <c r="H1615" s="9">
        <v>-2.65E-3</v>
      </c>
      <c r="I1615" s="9">
        <v>5.0000000000000001E-4</v>
      </c>
    </row>
    <row r="1616" spans="1:11">
      <c r="A1616" s="1" t="s">
        <v>1774</v>
      </c>
      <c r="B1616" s="1">
        <v>455</v>
      </c>
      <c r="C1616" s="2">
        <v>49.5</v>
      </c>
      <c r="D1616" s="3">
        <v>41.7</v>
      </c>
      <c r="E1616" s="4">
        <v>11.66</v>
      </c>
      <c r="F1616" s="1">
        <v>10.92</v>
      </c>
      <c r="G1616" s="9">
        <v>-3.3999999999999998E-3</v>
      </c>
      <c r="H1616" s="9">
        <v>-2.65E-3</v>
      </c>
      <c r="I1616" s="9">
        <v>5.0000000000000001E-4</v>
      </c>
    </row>
    <row r="1617" spans="1:11">
      <c r="A1617" s="1" t="s">
        <v>1775</v>
      </c>
      <c r="B1617" s="1">
        <v>380</v>
      </c>
      <c r="C1617" s="4">
        <v>41.7</v>
      </c>
      <c r="D1617" s="1">
        <v>34.6</v>
      </c>
      <c r="E1617" s="4">
        <v>11.98</v>
      </c>
      <c r="F1617" s="1">
        <v>10.99</v>
      </c>
      <c r="G1617" s="9">
        <v>-3.5000000000000001E-3</v>
      </c>
      <c r="H1617" s="9">
        <v>-2.7000000000000001E-3</v>
      </c>
      <c r="I1617" s="9">
        <v>4.8000000000000001E-4</v>
      </c>
      <c r="J1617" s="9">
        <v>0.2</v>
      </c>
    </row>
    <row r="1618" spans="1:11">
      <c r="A1618" s="1" t="s">
        <v>1776</v>
      </c>
      <c r="B1618" s="1">
        <f>B1617*(1+J1617)</f>
        <v>456</v>
      </c>
      <c r="C1618" s="2">
        <f>C1617</f>
        <v>41.7</v>
      </c>
      <c r="D1618" s="3">
        <f>D1617</f>
        <v>34.6</v>
      </c>
      <c r="E1618" s="4">
        <f>E1617*(1+J1617)</f>
        <v>14.375999999999999</v>
      </c>
      <c r="F1618" s="1">
        <f>F1617*(1+J1617)</f>
        <v>13.188000000000001</v>
      </c>
      <c r="G1618" s="9">
        <f>G1617</f>
        <v>-3.5000000000000001E-3</v>
      </c>
      <c r="H1618" s="9">
        <f>H1617</f>
        <v>-2.7000000000000001E-3</v>
      </c>
      <c r="I1618" s="9">
        <f>I1617</f>
        <v>4.8000000000000001E-4</v>
      </c>
    </row>
    <row r="1619" spans="1:11">
      <c r="A1619" s="1" t="s">
        <v>1777</v>
      </c>
      <c r="B1619" s="1">
        <v>270</v>
      </c>
      <c r="C1619" s="2">
        <v>38.799999999999997</v>
      </c>
      <c r="D1619" s="3">
        <v>31.7</v>
      </c>
      <c r="E1619" s="4">
        <v>9.09</v>
      </c>
      <c r="F1619" s="1">
        <v>8.52</v>
      </c>
      <c r="G1619" s="9">
        <v>-4.0000000000000001E-3</v>
      </c>
      <c r="H1619" s="9">
        <v>-3.0000000000000001E-3</v>
      </c>
      <c r="I1619" s="9">
        <v>5.9999999999999995E-4</v>
      </c>
    </row>
    <row r="1620" spans="1:11">
      <c r="A1620" s="1" t="s">
        <v>1778</v>
      </c>
      <c r="B1620" s="1">
        <v>235</v>
      </c>
      <c r="C1620" s="2">
        <v>39.799999999999997</v>
      </c>
      <c r="D1620" s="3">
        <v>33.5</v>
      </c>
      <c r="E1620" s="4">
        <v>7.47</v>
      </c>
      <c r="F1620" s="1">
        <v>7.03</v>
      </c>
      <c r="G1620" s="9">
        <v>-3.0999999999999999E-3</v>
      </c>
      <c r="H1620" s="9">
        <v>-2.5000000000000001E-3</v>
      </c>
      <c r="I1620" s="9">
        <v>4.6000000000000001E-4</v>
      </c>
    </row>
    <row r="1621" spans="1:11">
      <c r="A1621" s="1" t="s">
        <v>1779</v>
      </c>
      <c r="B1621" s="1">
        <v>410</v>
      </c>
      <c r="C1621" s="2">
        <v>37.14</v>
      </c>
      <c r="D1621" s="3">
        <v>30.62</v>
      </c>
      <c r="E1621" s="4">
        <v>13.92</v>
      </c>
      <c r="F1621" s="1">
        <v>13.39</v>
      </c>
      <c r="G1621" s="9">
        <v>-3.5000000000000001E-3</v>
      </c>
      <c r="H1621" s="9">
        <v>-2.8E-3</v>
      </c>
      <c r="I1621" s="9">
        <v>4.8000000000000001E-4</v>
      </c>
    </row>
    <row r="1622" spans="1:11">
      <c r="A1622" s="1" t="s">
        <v>1780</v>
      </c>
      <c r="B1622" s="1">
        <v>415</v>
      </c>
      <c r="C1622" s="2">
        <v>37.31</v>
      </c>
      <c r="D1622" s="3">
        <v>30.79</v>
      </c>
      <c r="E1622" s="4">
        <v>14.01</v>
      </c>
      <c r="F1622" s="1">
        <v>13.48</v>
      </c>
      <c r="G1622" s="9">
        <v>-3.5000000000000001E-3</v>
      </c>
      <c r="H1622" s="9">
        <v>-2.8E-3</v>
      </c>
      <c r="I1622" s="9">
        <v>4.8000000000000001E-4</v>
      </c>
      <c r="K1622" s="5">
        <v>32</v>
      </c>
    </row>
    <row r="1623" spans="1:11">
      <c r="A1623" s="1" t="s">
        <v>1781</v>
      </c>
      <c r="B1623" s="1">
        <f>B1622*K1623</f>
        <v>0</v>
      </c>
      <c r="C1623" s="2">
        <f>C1622</f>
        <v>37.31</v>
      </c>
      <c r="D1623" s="3">
        <f>D1622</f>
        <v>30.79</v>
      </c>
      <c r="E1623" s="4">
        <f>E1622*K1623</f>
        <v>0</v>
      </c>
      <c r="F1623" s="1">
        <f>F1622*K1623</f>
        <v>0</v>
      </c>
      <c r="G1623" s="9">
        <f>G1622</f>
        <v>-3.5000000000000001E-3</v>
      </c>
      <c r="H1623" s="9">
        <f>H1622</f>
        <v>-2.8E-3</v>
      </c>
      <c r="I1623" s="9">
        <f>I1622</f>
        <v>4.8000000000000001E-4</v>
      </c>
    </row>
    <row r="1624" spans="1:11">
      <c r="A1624" s="1" t="s">
        <v>1782</v>
      </c>
      <c r="B1624" s="1">
        <v>330</v>
      </c>
      <c r="C1624" s="2">
        <v>41.3</v>
      </c>
      <c r="D1624" s="3">
        <v>33.799999999999997</v>
      </c>
      <c r="E1624" s="4">
        <v>10.31</v>
      </c>
      <c r="F1624" s="1">
        <v>9.77</v>
      </c>
      <c r="G1624" s="9">
        <v>-3.5999999999999999E-3</v>
      </c>
      <c r="H1624" s="9">
        <v>-2.8E-3</v>
      </c>
      <c r="I1624" s="9">
        <v>4.8000000000000001E-4</v>
      </c>
    </row>
    <row r="1625" spans="1:11">
      <c r="A1625" s="1" t="s">
        <v>1783</v>
      </c>
      <c r="B1625" s="1">
        <v>355</v>
      </c>
      <c r="C1625" s="2">
        <v>40.700000000000003</v>
      </c>
      <c r="D1625" s="3">
        <v>33.5</v>
      </c>
      <c r="E1625" s="4">
        <v>11.1</v>
      </c>
      <c r="F1625" s="1">
        <v>10.6</v>
      </c>
      <c r="G1625" s="9">
        <v>-3.7000000000000002E-3</v>
      </c>
      <c r="H1625" s="9">
        <v>-2.8600000000000001E-3</v>
      </c>
      <c r="I1625" s="9">
        <v>5.6999999999999998E-4</v>
      </c>
    </row>
    <row r="1626" spans="1:11">
      <c r="A1626" s="1" t="s">
        <v>1784</v>
      </c>
      <c r="B1626" s="1">
        <v>380</v>
      </c>
      <c r="C1626" s="2">
        <v>41.3</v>
      </c>
      <c r="D1626" s="3">
        <v>34.799999999999997</v>
      </c>
      <c r="E1626" s="4">
        <v>11.69</v>
      </c>
      <c r="F1626" s="1">
        <v>10.92</v>
      </c>
      <c r="G1626" s="9">
        <v>-3.5000000000000001E-3</v>
      </c>
      <c r="H1626" s="9">
        <v>-2.7000000000000001E-3</v>
      </c>
      <c r="I1626" s="9">
        <v>4.8000000000000001E-4</v>
      </c>
    </row>
    <row r="1627" spans="1:11">
      <c r="A1627" s="1" t="s">
        <v>1785</v>
      </c>
      <c r="B1627" s="1">
        <v>435</v>
      </c>
      <c r="C1627" s="2">
        <v>49.4</v>
      </c>
      <c r="D1627" s="3">
        <v>40.799999999999997</v>
      </c>
      <c r="E1627" s="4">
        <v>11.26</v>
      </c>
      <c r="F1627" s="1">
        <v>10.37</v>
      </c>
      <c r="G1627" s="9">
        <v>-3.7000000000000002E-3</v>
      </c>
      <c r="H1627" s="9">
        <v>-2.8600000000000001E-3</v>
      </c>
      <c r="I1627" s="9">
        <v>5.7000000000000002E-3</v>
      </c>
    </row>
    <row r="1628" spans="1:11">
      <c r="A1628" s="1" t="s">
        <v>1786</v>
      </c>
      <c r="B1628" s="1">
        <v>450</v>
      </c>
      <c r="C1628" s="2">
        <v>49.3</v>
      </c>
      <c r="D1628" s="3">
        <v>41.5</v>
      </c>
      <c r="E1628" s="4">
        <v>11.6</v>
      </c>
      <c r="F1628" s="1">
        <v>10.85</v>
      </c>
      <c r="G1628" s="9">
        <v>-3.5000000000000001E-3</v>
      </c>
      <c r="H1628" s="9">
        <v>-2.7000000000000001E-3</v>
      </c>
      <c r="I1628" s="9">
        <v>4.8000000000000001E-4</v>
      </c>
    </row>
    <row r="1629" spans="1:11">
      <c r="A1629" s="1" t="s">
        <v>1787</v>
      </c>
      <c r="B1629" s="1">
        <v>460</v>
      </c>
      <c r="C1629" s="2">
        <v>49.7</v>
      </c>
      <c r="D1629" s="3">
        <v>41.9</v>
      </c>
      <c r="E1629" s="4">
        <v>11.78</v>
      </c>
      <c r="F1629" s="1">
        <v>10.99</v>
      </c>
      <c r="G1629" s="9">
        <v>-3.5000000000000001E-3</v>
      </c>
      <c r="H1629" s="9">
        <v>-2.7000000000000001E-3</v>
      </c>
      <c r="I1629" s="9">
        <v>4.8000000000000001E-4</v>
      </c>
    </row>
    <row r="1630" spans="1:11">
      <c r="A1630" s="1" t="s">
        <v>1788</v>
      </c>
      <c r="B1630" s="1">
        <v>550</v>
      </c>
      <c r="C1630" s="2">
        <v>46.84</v>
      </c>
      <c r="D1630" s="3">
        <v>38.42</v>
      </c>
      <c r="E1630" s="4">
        <v>11.35</v>
      </c>
      <c r="F1630" s="1">
        <v>10.65</v>
      </c>
      <c r="G1630" s="9">
        <v>-3.5000000000000001E-3</v>
      </c>
      <c r="H1630" s="9">
        <v>-2.8E-3</v>
      </c>
      <c r="I1630" s="9">
        <v>4.8000000000000001E-4</v>
      </c>
    </row>
    <row r="1631" spans="1:11">
      <c r="A1631" s="1" t="s">
        <v>1789</v>
      </c>
      <c r="B1631" s="1">
        <v>275</v>
      </c>
      <c r="C1631" s="2">
        <v>49.8</v>
      </c>
      <c r="D1631" s="3">
        <v>41.96</v>
      </c>
      <c r="E1631" s="4">
        <v>7</v>
      </c>
      <c r="F1631" s="1">
        <v>6.56</v>
      </c>
      <c r="G1631" s="9">
        <v>-3.3E-3</v>
      </c>
      <c r="H1631" s="9">
        <v>-2.5999999999999999E-3</v>
      </c>
      <c r="I1631" s="9">
        <v>4.2000000000000002E-4</v>
      </c>
    </row>
    <row r="1632" spans="1:11">
      <c r="A1632" s="1" t="s">
        <v>1790</v>
      </c>
      <c r="B1632" s="1">
        <v>400</v>
      </c>
      <c r="C1632" s="2">
        <v>44</v>
      </c>
      <c r="D1632" s="3">
        <v>36.200000000000003</v>
      </c>
      <c r="E1632" s="4">
        <v>11.8</v>
      </c>
      <c r="F1632" s="1">
        <v>11.05</v>
      </c>
      <c r="G1632" s="9">
        <v>-3.7000000000000002E-3</v>
      </c>
      <c r="H1632" s="9">
        <v>-2.8600000000000001E-3</v>
      </c>
      <c r="I1632" s="9">
        <v>5.6999999999999998E-4</v>
      </c>
    </row>
    <row r="1633" spans="1:11">
      <c r="A1633" s="1" t="s">
        <v>1791</v>
      </c>
      <c r="B1633" s="1">
        <v>445</v>
      </c>
      <c r="C1633" s="2">
        <v>38.700000000000003</v>
      </c>
      <c r="D1633" s="3">
        <v>32.4</v>
      </c>
      <c r="E1633" s="4">
        <v>14.47</v>
      </c>
      <c r="F1633" s="1">
        <v>13.76</v>
      </c>
      <c r="G1633" s="9">
        <v>-3.0999999999999999E-3</v>
      </c>
      <c r="H1633" s="9">
        <v>-2.5000000000000001E-3</v>
      </c>
      <c r="I1633" s="9">
        <v>4.6000000000000001E-4</v>
      </c>
    </row>
    <row r="1634" spans="1:11">
      <c r="A1634" s="1" t="s">
        <v>1792</v>
      </c>
      <c r="B1634" s="1">
        <v>480</v>
      </c>
      <c r="C1634" s="2">
        <v>42.71</v>
      </c>
      <c r="D1634" s="3">
        <v>35.380000000000003</v>
      </c>
      <c r="E1634" s="4">
        <v>14.31</v>
      </c>
      <c r="F1634" s="1">
        <v>13.57</v>
      </c>
      <c r="G1634" s="9">
        <v>-2.8999999999999998E-3</v>
      </c>
      <c r="H1634" s="9">
        <v>-2.5000000000000001E-3</v>
      </c>
      <c r="I1634" s="9">
        <v>4.4999999999999999E-4</v>
      </c>
    </row>
    <row r="1635" spans="1:11">
      <c r="A1635" s="1" t="s">
        <v>1793</v>
      </c>
      <c r="B1635" s="1">
        <v>550</v>
      </c>
      <c r="C1635" s="2">
        <v>50.01</v>
      </c>
      <c r="D1635" s="3">
        <v>41.04</v>
      </c>
      <c r="E1635" s="4">
        <v>13.42</v>
      </c>
      <c r="F1635" s="1">
        <v>13.82</v>
      </c>
      <c r="G1635" s="9">
        <v>-3.3E-3</v>
      </c>
      <c r="H1635" s="9">
        <v>-2.4599999999999999E-3</v>
      </c>
      <c r="I1635" s="9">
        <v>4.4799999999999999E-4</v>
      </c>
    </row>
    <row r="1636" spans="1:11">
      <c r="A1636" s="1" t="s">
        <v>1794</v>
      </c>
      <c r="B1636" s="1">
        <v>255</v>
      </c>
      <c r="C1636" s="2">
        <v>37.700000000000003</v>
      </c>
      <c r="D1636" s="3">
        <v>30</v>
      </c>
      <c r="E1636" s="4">
        <v>9.01</v>
      </c>
      <c r="F1636" s="1">
        <v>8.49</v>
      </c>
      <c r="G1636" s="9">
        <v>-4.1999999999999997E-3</v>
      </c>
      <c r="H1636" s="9">
        <v>-3.2000000000000002E-3</v>
      </c>
      <c r="I1636" s="9">
        <v>5.0000000000000001E-4</v>
      </c>
    </row>
    <row r="1637" spans="1:11">
      <c r="A1637" s="1" t="s">
        <v>1795</v>
      </c>
      <c r="B1637" s="1">
        <f>B1636*K1637</f>
        <v>2805</v>
      </c>
      <c r="C1637" s="2">
        <f>C1636</f>
        <v>37.700000000000003</v>
      </c>
      <c r="D1637" s="3">
        <f>D1636</f>
        <v>30</v>
      </c>
      <c r="E1637" s="4">
        <f>E1636*K1637</f>
        <v>99.11</v>
      </c>
      <c r="F1637" s="1">
        <f>F1636*K1637</f>
        <v>93.39</v>
      </c>
      <c r="G1637" s="9">
        <f>G1636</f>
        <v>-4.1999999999999997E-3</v>
      </c>
      <c r="H1637" s="9">
        <f>H1636</f>
        <v>-3.2000000000000002E-3</v>
      </c>
      <c r="I1637" s="9">
        <f>I1636</f>
        <v>5.0000000000000001E-4</v>
      </c>
      <c r="K1637" s="5">
        <v>11</v>
      </c>
    </row>
    <row r="1638" spans="1:11">
      <c r="A1638" s="1" t="s">
        <v>1796</v>
      </c>
      <c r="B1638" s="1">
        <v>270</v>
      </c>
      <c r="C1638" s="2">
        <v>37.9</v>
      </c>
      <c r="D1638" s="3">
        <v>30.7</v>
      </c>
      <c r="E1638" s="4">
        <v>9.27</v>
      </c>
      <c r="F1638" s="1">
        <v>8.8000000000000007</v>
      </c>
      <c r="G1638" s="9">
        <v>-4.1999999999999997E-3</v>
      </c>
      <c r="H1638" s="9">
        <v>-3.2000000000000002E-3</v>
      </c>
      <c r="I1638" s="9">
        <v>5.0000000000000001E-4</v>
      </c>
      <c r="K1638" s="5">
        <v>15</v>
      </c>
    </row>
    <row r="1639" spans="1:11">
      <c r="A1639" s="1" t="s">
        <v>1797</v>
      </c>
      <c r="B1639" s="1">
        <v>325</v>
      </c>
      <c r="C1639" s="2">
        <v>39.200000000000003</v>
      </c>
      <c r="D1639" s="3">
        <v>32.299999999999997</v>
      </c>
      <c r="E1639" s="4">
        <v>10.46</v>
      </c>
      <c r="F1639" s="1">
        <v>10.06</v>
      </c>
      <c r="G1639" s="9">
        <v>-3.8E-3</v>
      </c>
      <c r="H1639" s="9">
        <v>-3.0000000000000001E-3</v>
      </c>
    </row>
    <row r="1640" spans="1:11">
      <c r="A1640" s="1" t="s">
        <v>1798</v>
      </c>
      <c r="B1640" s="1">
        <v>255</v>
      </c>
      <c r="C1640" s="2">
        <v>37.700000000000003</v>
      </c>
      <c r="D1640" s="3">
        <v>30</v>
      </c>
      <c r="E1640" s="4">
        <v>9.01</v>
      </c>
      <c r="F1640" s="1">
        <v>8.49</v>
      </c>
      <c r="G1640" s="9">
        <v>-4.1999999999999997E-3</v>
      </c>
      <c r="H1640" s="9">
        <v>-3.2000000000000002E-3</v>
      </c>
      <c r="I1640" s="9">
        <v>5.0000000000000001E-4</v>
      </c>
      <c r="K1640" s="5">
        <v>16</v>
      </c>
    </row>
    <row r="1641" spans="1:11">
      <c r="A1641" s="1" t="s">
        <v>1799</v>
      </c>
      <c r="B1641" s="1">
        <f>B1640*K1641</f>
        <v>3825</v>
      </c>
      <c r="C1641" s="2">
        <f>C1640</f>
        <v>37.700000000000003</v>
      </c>
      <c r="D1641" s="3">
        <f>D1640</f>
        <v>30</v>
      </c>
      <c r="E1641" s="4">
        <f>E1640*K1641</f>
        <v>135.15</v>
      </c>
      <c r="F1641" s="1">
        <f>F1640*K1641</f>
        <v>127.35000000000001</v>
      </c>
      <c r="G1641" s="9">
        <f>G1640</f>
        <v>-4.1999999999999997E-3</v>
      </c>
      <c r="H1641" s="9">
        <f>H1640</f>
        <v>-3.2000000000000002E-3</v>
      </c>
      <c r="I1641" s="9">
        <f>I1640</f>
        <v>5.0000000000000001E-4</v>
      </c>
      <c r="K1641" s="5">
        <v>15</v>
      </c>
    </row>
    <row r="1642" spans="1:11">
      <c r="A1642" s="1" t="s">
        <v>1800</v>
      </c>
      <c r="B1642" s="1">
        <v>265</v>
      </c>
      <c r="C1642" s="2">
        <v>37.799999999999997</v>
      </c>
      <c r="D1642" s="3">
        <v>30.5</v>
      </c>
      <c r="E1642" s="4">
        <v>9.18</v>
      </c>
      <c r="F1642" s="1">
        <v>8.6999999999999993</v>
      </c>
      <c r="G1642" s="9">
        <v>-4.1999999999999997E-3</v>
      </c>
      <c r="H1642" s="9">
        <v>-3.2000000000000002E-3</v>
      </c>
      <c r="I1642" s="9">
        <v>5.0000000000000001E-4</v>
      </c>
      <c r="K1642" s="5">
        <v>16</v>
      </c>
    </row>
    <row r="1643" spans="1:11">
      <c r="A1643" s="1" t="s">
        <v>1801</v>
      </c>
      <c r="B1643" s="1">
        <f>B1642*K1643</f>
        <v>4240</v>
      </c>
      <c r="C1643" s="2">
        <f>C1642</f>
        <v>37.799999999999997</v>
      </c>
      <c r="D1643" s="3">
        <f>D1642</f>
        <v>30.5</v>
      </c>
      <c r="E1643" s="4">
        <f>E1642*K1643</f>
        <v>146.88</v>
      </c>
      <c r="F1643" s="1">
        <f>F1642*K1643</f>
        <v>139.19999999999999</v>
      </c>
      <c r="G1643" s="9">
        <f>G1642</f>
        <v>-4.1999999999999997E-3</v>
      </c>
      <c r="H1643" s="9">
        <f>H1642</f>
        <v>-3.2000000000000002E-3</v>
      </c>
      <c r="I1643" s="9">
        <f>I1642</f>
        <v>5.0000000000000001E-4</v>
      </c>
      <c r="K1643" s="5">
        <v>16</v>
      </c>
    </row>
    <row r="1644" spans="1:11">
      <c r="A1644" s="1" t="s">
        <v>1802</v>
      </c>
      <c r="B1644" s="1">
        <v>270</v>
      </c>
      <c r="C1644" s="2">
        <v>37.9</v>
      </c>
      <c r="D1644" s="3">
        <v>30.7</v>
      </c>
      <c r="E1644" s="4">
        <v>9.27</v>
      </c>
      <c r="F1644" s="1">
        <v>8.8000000000000007</v>
      </c>
      <c r="G1644" s="9">
        <v>-4.1999999999999997E-3</v>
      </c>
      <c r="H1644" s="9">
        <v>-3.2000000000000002E-3</v>
      </c>
      <c r="I1644" s="9">
        <v>5.0000000000000001E-4</v>
      </c>
    </row>
    <row r="1645" spans="1:11">
      <c r="A1645" s="1" t="s">
        <v>1803</v>
      </c>
      <c r="B1645" s="1">
        <v>275</v>
      </c>
      <c r="C1645" s="2">
        <v>38.799999999999997</v>
      </c>
      <c r="D1645" s="3">
        <v>30.9</v>
      </c>
      <c r="E1645" s="4">
        <v>9.4700000000000006</v>
      </c>
      <c r="F1645" s="1">
        <v>8.91</v>
      </c>
      <c r="G1645" s="9">
        <v>-3.8E-3</v>
      </c>
      <c r="H1645" s="9">
        <v>-3.0000000000000001E-3</v>
      </c>
      <c r="I1645" s="9">
        <v>4.0000000000000002E-4</v>
      </c>
    </row>
    <row r="1646" spans="1:11">
      <c r="A1646" s="1" t="s">
        <v>1804</v>
      </c>
      <c r="B1646" s="1">
        <v>295</v>
      </c>
      <c r="C1646" s="2">
        <v>45</v>
      </c>
      <c r="D1646" s="3">
        <v>35.6</v>
      </c>
      <c r="E1646" s="4">
        <v>8.7899999999999991</v>
      </c>
      <c r="F1646" s="1">
        <v>8.2899999999999991</v>
      </c>
      <c r="G1646" s="9">
        <v>-4.1999999999999997E-3</v>
      </c>
      <c r="H1646" s="9">
        <v>-3.2000000000000002E-3</v>
      </c>
      <c r="I1646" s="9">
        <v>5.0000000000000001E-4</v>
      </c>
    </row>
    <row r="1647" spans="1:11">
      <c r="A1647" s="1" t="s">
        <v>1805</v>
      </c>
      <c r="B1647" s="1">
        <f>B1646*K1647</f>
        <v>4720</v>
      </c>
      <c r="C1647" s="2">
        <f>C1646</f>
        <v>45</v>
      </c>
      <c r="D1647" s="3">
        <f>D1646</f>
        <v>35.6</v>
      </c>
      <c r="E1647" s="4">
        <f>E1646*K1647</f>
        <v>140.63999999999999</v>
      </c>
      <c r="F1647" s="1">
        <f>F1646*K1647</f>
        <v>132.63999999999999</v>
      </c>
      <c r="G1647" s="9">
        <f>G1646</f>
        <v>-4.1999999999999997E-3</v>
      </c>
      <c r="H1647" s="9">
        <f>H1646</f>
        <v>-3.2000000000000002E-3</v>
      </c>
      <c r="I1647" s="9">
        <f>I1646</f>
        <v>5.0000000000000001E-4</v>
      </c>
      <c r="K1647" s="5">
        <v>16</v>
      </c>
    </row>
    <row r="1648" spans="1:11">
      <c r="A1648" s="1" t="s">
        <v>1806</v>
      </c>
      <c r="B1648" s="1">
        <v>295</v>
      </c>
      <c r="C1648" s="2">
        <v>45.4</v>
      </c>
      <c r="D1648" s="3">
        <v>36.299999999999997</v>
      </c>
      <c r="E1648" s="4">
        <v>8.6300000000000008</v>
      </c>
      <c r="F1648" s="1">
        <v>8.1199999999999992</v>
      </c>
      <c r="G1648" s="9">
        <v>-4.4999999999999997E-3</v>
      </c>
      <c r="H1648" s="9">
        <v>-3.3E-3</v>
      </c>
      <c r="I1648" s="9">
        <v>5.0000000000000001E-4</v>
      </c>
    </row>
    <row r="1649" spans="1:11">
      <c r="A1649" s="1" t="s">
        <v>1807</v>
      </c>
      <c r="B1649" s="1">
        <v>310</v>
      </c>
      <c r="C1649" s="2">
        <v>45.6</v>
      </c>
      <c r="D1649" s="3">
        <v>36.299999999999997</v>
      </c>
      <c r="E1649" s="4">
        <v>8.93</v>
      </c>
      <c r="F1649" s="1">
        <v>8.4499999999999993</v>
      </c>
      <c r="G1649" s="9">
        <v>-4.4999999999999997E-3</v>
      </c>
      <c r="H1649" s="9">
        <v>-3.3E-3</v>
      </c>
      <c r="I1649" s="9">
        <v>5.0000000000000001E-4</v>
      </c>
    </row>
    <row r="1650" spans="1:11">
      <c r="A1650" s="1" t="s">
        <v>1808</v>
      </c>
      <c r="B1650" s="1">
        <v>310</v>
      </c>
      <c r="C1650" s="2">
        <v>46.4</v>
      </c>
      <c r="D1650" s="3">
        <v>36.9</v>
      </c>
      <c r="E1650" s="4">
        <v>8.98</v>
      </c>
      <c r="F1650" s="1">
        <v>8.41</v>
      </c>
      <c r="G1650" s="9">
        <v>-4.4999999999999997E-3</v>
      </c>
      <c r="H1650" s="9">
        <v>-3.3E-3</v>
      </c>
      <c r="I1650" s="9">
        <v>5.0000000000000001E-4</v>
      </c>
      <c r="K1650" s="5">
        <v>15</v>
      </c>
    </row>
    <row r="1651" spans="1:11">
      <c r="A1651" s="1" t="s">
        <v>1809</v>
      </c>
      <c r="B1651" s="1">
        <v>320</v>
      </c>
      <c r="C1651" s="2">
        <v>46</v>
      </c>
      <c r="D1651" s="3">
        <v>37</v>
      </c>
      <c r="E1651" s="4">
        <v>9.18</v>
      </c>
      <c r="F1651" s="1">
        <v>8.64</v>
      </c>
      <c r="G1651" s="9">
        <v>-4.1999999999999997E-3</v>
      </c>
      <c r="H1651" s="9">
        <v>-3.2000000000000002E-3</v>
      </c>
      <c r="I1651" s="9">
        <v>5.0000000000000001E-4</v>
      </c>
    </row>
    <row r="1652" spans="1:11">
      <c r="A1652" s="1" t="s">
        <v>1810</v>
      </c>
      <c r="B1652" s="1">
        <v>330</v>
      </c>
      <c r="C1652" s="2">
        <v>25.6</v>
      </c>
      <c r="D1652" s="3">
        <v>37.299999999999997</v>
      </c>
      <c r="E1652" s="4">
        <v>9.33</v>
      </c>
      <c r="F1652" s="1">
        <v>8.85</v>
      </c>
      <c r="G1652" s="9">
        <v>-3.8999999999999998E-3</v>
      </c>
      <c r="H1652" s="9">
        <v>-3.0000000000000001E-3</v>
      </c>
      <c r="I1652" s="9">
        <v>5.0000000000000001E-4</v>
      </c>
    </row>
    <row r="1653" spans="1:11">
      <c r="A1653" s="1" t="s">
        <v>1811</v>
      </c>
      <c r="B1653" s="1">
        <v>270</v>
      </c>
      <c r="C1653" s="2">
        <v>60.4</v>
      </c>
      <c r="D1653" s="3">
        <v>49.5</v>
      </c>
      <c r="E1653" s="4">
        <v>5.83</v>
      </c>
      <c r="F1653" s="1">
        <v>5.45</v>
      </c>
      <c r="G1653" s="9">
        <v>-4.1999999999999997E-3</v>
      </c>
      <c r="H1653" s="9">
        <v>-2.8999999999999998E-3</v>
      </c>
      <c r="I1653" s="9">
        <v>4.0000000000000002E-4</v>
      </c>
    </row>
    <row r="1654" spans="1:11">
      <c r="A1654" s="1" t="s">
        <v>1812</v>
      </c>
      <c r="B1654" s="1">
        <f>B1653*K1654</f>
        <v>4050</v>
      </c>
      <c r="C1654" s="2">
        <f>C1653</f>
        <v>60.4</v>
      </c>
      <c r="D1654" s="3">
        <f>D1653</f>
        <v>49.5</v>
      </c>
      <c r="E1654" s="4">
        <f>E1653*K1654</f>
        <v>87.45</v>
      </c>
      <c r="F1654" s="1">
        <f>F1653*K1654</f>
        <v>81.75</v>
      </c>
      <c r="G1654" s="9">
        <f>G1653</f>
        <v>-4.1999999999999997E-3</v>
      </c>
      <c r="H1654" s="9">
        <f>H1653</f>
        <v>-2.8999999999999998E-3</v>
      </c>
      <c r="I1654" s="9">
        <f>I1653</f>
        <v>4.0000000000000002E-4</v>
      </c>
      <c r="K1654" s="5">
        <v>15</v>
      </c>
    </row>
    <row r="1655" spans="1:11">
      <c r="A1655" s="1" t="s">
        <v>1813</v>
      </c>
      <c r="B1655" s="1">
        <v>270</v>
      </c>
      <c r="C1655" s="2">
        <v>38.229999999999997</v>
      </c>
      <c r="D1655" s="3">
        <v>30.89</v>
      </c>
      <c r="E1655" s="4">
        <v>9.1300000000000008</v>
      </c>
      <c r="F1655" s="1">
        <v>8.74</v>
      </c>
      <c r="G1655" s="9">
        <v>-4.1999999999999997E-3</v>
      </c>
      <c r="H1655" s="9">
        <v>-3.3E-3</v>
      </c>
    </row>
  </sheetData>
  <autoFilter ref="A1:J1" xr:uid="{00000000-0009-0000-0000-000005000000}">
    <sortState xmlns:xlrd2="http://schemas.microsoft.com/office/spreadsheetml/2017/richdata2" ref="A2:J1433">
      <sortCondition ref="A1"/>
    </sortState>
  </autoFilter>
  <phoneticPr fontId="1" type="noConversion"/>
  <conditionalFormatting sqref="A1656:A1048576">
    <cfRule type="duplicateValues" dxfId="1007" priority="2568"/>
  </conditionalFormatting>
  <conditionalFormatting sqref="A1656:A1048576">
    <cfRule type="duplicateValues" dxfId="1006" priority="2482"/>
  </conditionalFormatting>
  <conditionalFormatting sqref="L1297:XFD1297">
    <cfRule type="duplicateValues" dxfId="1005" priority="1895"/>
  </conditionalFormatting>
  <conditionalFormatting sqref="A1">
    <cfRule type="duplicateValues" dxfId="1004" priority="1708"/>
  </conditionalFormatting>
  <conditionalFormatting sqref="A1">
    <cfRule type="duplicateValues" dxfId="1003" priority="1661"/>
  </conditionalFormatting>
  <conditionalFormatting sqref="A2 A4">
    <cfRule type="duplicateValues" dxfId="1002" priority="1186"/>
  </conditionalFormatting>
  <conditionalFormatting sqref="A2 A4">
    <cfRule type="duplicateValues" dxfId="1001" priority="1185"/>
  </conditionalFormatting>
  <conditionalFormatting sqref="A3">
    <cfRule type="duplicateValues" dxfId="1000" priority="1184"/>
  </conditionalFormatting>
  <conditionalFormatting sqref="A3">
    <cfRule type="duplicateValues" dxfId="999" priority="1183"/>
  </conditionalFormatting>
  <conditionalFormatting sqref="A482">
    <cfRule type="duplicateValues" dxfId="998" priority="931"/>
  </conditionalFormatting>
  <conditionalFormatting sqref="A1273">
    <cfRule type="duplicateValues" dxfId="997" priority="930"/>
  </conditionalFormatting>
  <conditionalFormatting sqref="A546">
    <cfRule type="duplicateValues" dxfId="996" priority="929"/>
  </conditionalFormatting>
  <conditionalFormatting sqref="A851">
    <cfRule type="duplicateValues" dxfId="995" priority="928"/>
  </conditionalFormatting>
  <conditionalFormatting sqref="A1239">
    <cfRule type="duplicateValues" dxfId="994" priority="927"/>
  </conditionalFormatting>
  <conditionalFormatting sqref="A89">
    <cfRule type="duplicateValues" dxfId="993" priority="926"/>
  </conditionalFormatting>
  <conditionalFormatting sqref="A238">
    <cfRule type="duplicateValues" dxfId="992" priority="925"/>
  </conditionalFormatting>
  <conditionalFormatting sqref="A240">
    <cfRule type="duplicateValues" dxfId="991" priority="924"/>
  </conditionalFormatting>
  <conditionalFormatting sqref="A205">
    <cfRule type="duplicateValues" dxfId="990" priority="923"/>
  </conditionalFormatting>
  <conditionalFormatting sqref="A917">
    <cfRule type="duplicateValues" dxfId="989" priority="922"/>
  </conditionalFormatting>
  <conditionalFormatting sqref="A964">
    <cfRule type="duplicateValues" dxfId="988" priority="921"/>
  </conditionalFormatting>
  <conditionalFormatting sqref="A1275">
    <cfRule type="duplicateValues" dxfId="987" priority="920"/>
  </conditionalFormatting>
  <conditionalFormatting sqref="A758">
    <cfRule type="duplicateValues" dxfId="986" priority="919"/>
  </conditionalFormatting>
  <conditionalFormatting sqref="A754:A755">
    <cfRule type="duplicateValues" dxfId="985" priority="918"/>
  </conditionalFormatting>
  <conditionalFormatting sqref="A792">
    <cfRule type="duplicateValues" dxfId="984" priority="917"/>
  </conditionalFormatting>
  <conditionalFormatting sqref="A854">
    <cfRule type="duplicateValues" dxfId="983" priority="916"/>
  </conditionalFormatting>
  <conditionalFormatting sqref="A857">
    <cfRule type="duplicateValues" dxfId="982" priority="915"/>
  </conditionalFormatting>
  <conditionalFormatting sqref="A1269">
    <cfRule type="duplicateValues" dxfId="981" priority="914"/>
  </conditionalFormatting>
  <conditionalFormatting sqref="A1304">
    <cfRule type="duplicateValues" dxfId="980" priority="913"/>
  </conditionalFormatting>
  <conditionalFormatting sqref="A1173">
    <cfRule type="duplicateValues" dxfId="979" priority="912"/>
  </conditionalFormatting>
  <conditionalFormatting sqref="A853">
    <cfRule type="duplicateValues" dxfId="978" priority="911"/>
  </conditionalFormatting>
  <conditionalFormatting sqref="A848">
    <cfRule type="duplicateValues" dxfId="977" priority="910"/>
  </conditionalFormatting>
  <conditionalFormatting sqref="A1316">
    <cfRule type="duplicateValues" dxfId="976" priority="909"/>
  </conditionalFormatting>
  <conditionalFormatting sqref="A791">
    <cfRule type="duplicateValues" dxfId="975" priority="908"/>
  </conditionalFormatting>
  <conditionalFormatting sqref="A741">
    <cfRule type="duplicateValues" dxfId="974" priority="907"/>
  </conditionalFormatting>
  <conditionalFormatting sqref="A866">
    <cfRule type="duplicateValues" dxfId="973" priority="906"/>
  </conditionalFormatting>
  <conditionalFormatting sqref="A1254">
    <cfRule type="duplicateValues" dxfId="972" priority="905"/>
  </conditionalFormatting>
  <conditionalFormatting sqref="A1326">
    <cfRule type="duplicateValues" dxfId="971" priority="904"/>
  </conditionalFormatting>
  <conditionalFormatting sqref="A1327">
    <cfRule type="duplicateValues" dxfId="970" priority="903"/>
  </conditionalFormatting>
  <conditionalFormatting sqref="A1067">
    <cfRule type="duplicateValues" dxfId="969" priority="902"/>
  </conditionalFormatting>
  <conditionalFormatting sqref="A1328">
    <cfRule type="duplicateValues" dxfId="968" priority="901"/>
  </conditionalFormatting>
  <conditionalFormatting sqref="A242">
    <cfRule type="duplicateValues" dxfId="967" priority="900"/>
  </conditionalFormatting>
  <conditionalFormatting sqref="A1284">
    <cfRule type="duplicateValues" dxfId="966" priority="899"/>
  </conditionalFormatting>
  <conditionalFormatting sqref="A914">
    <cfRule type="duplicateValues" dxfId="965" priority="898"/>
  </conditionalFormatting>
  <conditionalFormatting sqref="A1287">
    <cfRule type="duplicateValues" dxfId="964" priority="897"/>
  </conditionalFormatting>
  <conditionalFormatting sqref="A1026">
    <cfRule type="duplicateValues" dxfId="963" priority="896"/>
  </conditionalFormatting>
  <conditionalFormatting sqref="A1643 A1485:A1486 A1475:A1476 A1454 A1432 A1417:A1418 A1413 A1364 A1347:A1348 A1338:A1339 A1330 A1305:A1307 A663 A649 A1274 A483:A495 A856 A1243 A90:A117 A243:A248 A206:A209 A922 A965:A971 A1276 A759:A764 A756:A757 A793:A800 A859 A1270:A1272 A1174 A1317 A746:A751 A1259:A1261 A1068 A1285:A1286 A1288 A1027 A653 A655 A657 A659 A665 A667 A671 A636 A638 A640 A642 A644 A673 A948 A5:A6 A1266:A1268 A868:A875 A351:A366 A1281:A1283 A1158:A1163 A928 A946 A1350:A1351 A1245 A809:A810 A498:A513 A999 A1333:A1334 A885:A886 A31:A32 A1071:A1072 A8:A28 A307:A313 A316:A318 A585 A847 A877:A881 A1367:A1369 A1177:A1178 A790 A1319:A1320 A73 A1066 A1372 A435:A479 A1037 A1040 A592:A594 A1221 A1228:A1236 A1217:A1219 A906 A582 A828:A831 A819:A820 A137:A139 A1303 A615 A626:A630 A59:A63 A288:A299 A518:A545 A1082:A1091 A1001:A1012 A70:A71 A897:A904 A119:A120 A861:A865 A1344 A1404 A260:A273 A988:A989 A991:A993 A1322:A1323 A372:A393 A779:A780 A549:A561 A568:A575 A956:A959 A598:A604 A564:A565 A1166:A1171 A1356 A825 A995:A996 A1353:A1354 A890:A891 A930 A1115 A191:A204 A1074 A1420:A1421 A783:A787 A254 A1428 A950:A954 A961:A963 A1015 A1017:A1025 A1093:A1099 A1135:A1137 A145:A151 A334:A338 A1033:A1035 A75:A76 A171:A175 A1247:A1253 A1077:A1078 A722:A726 A729:A740 A276:A285 A1140:A1153 A178:A186 A766:A777 A368:A370 A1438 A1042:A1043 A908:A912 A717:A720 A588:A590 A813:A815 A1046:A1054 A481 A34:A57 A974:A981 A817 A154 A250:A252 A79:A84 A1056:A1062 A706:A715 A1441:A1442 A1125:A1130 A125:A128 A838:A842 A651 A1456 A1458 A617 A1121:A1123 A1195:A1199 A1202:A1206 A413:A431 A395:A408 A1225:A1226 A256 A1461 A1463:A1464 A325:A330 A1467:A1468 A1029:A1031 A122 A1472 A1117:A1119 A803:A807 A163 A1180:A1193 A693:A703 A301:A305 A984:A986 A227:A237 A1480:A1481 A676:A690 A1491:A1493 A159:A161 A211:A224 A321:A323 A1495:A1499 A340:A348 A1504:A1505 A1507:A1516 A1520:A1606 A86:A88 A932:A942 A1102:A1112 A1648 A1650:A1652 A1263">
    <cfRule type="duplicateValues" dxfId="962" priority="932"/>
  </conditionalFormatting>
  <conditionalFormatting sqref="A646">
    <cfRule type="duplicateValues" dxfId="961" priority="895"/>
  </conditionalFormatting>
  <conditionalFormatting sqref="A652">
    <cfRule type="duplicateValues" dxfId="960" priority="894"/>
  </conditionalFormatting>
  <conditionalFormatting sqref="A654">
    <cfRule type="duplicateValues" dxfId="959" priority="893"/>
  </conditionalFormatting>
  <conditionalFormatting sqref="A656">
    <cfRule type="duplicateValues" dxfId="958" priority="892"/>
  </conditionalFormatting>
  <conditionalFormatting sqref="A658">
    <cfRule type="duplicateValues" dxfId="957" priority="891"/>
  </conditionalFormatting>
  <conditionalFormatting sqref="A662">
    <cfRule type="duplicateValues" dxfId="956" priority="890"/>
  </conditionalFormatting>
  <conditionalFormatting sqref="A666">
    <cfRule type="duplicateValues" dxfId="955" priority="889"/>
  </conditionalFormatting>
  <conditionalFormatting sqref="A670">
    <cfRule type="duplicateValues" dxfId="954" priority="888"/>
  </conditionalFormatting>
  <conditionalFormatting sqref="A672">
    <cfRule type="duplicateValues" dxfId="953" priority="887"/>
  </conditionalFormatting>
  <conditionalFormatting sqref="A1337">
    <cfRule type="duplicateValues" dxfId="952" priority="886"/>
  </conditionalFormatting>
  <conditionalFormatting sqref="A1643 A1485:A1486 A1475:A1476 A1454 A1432 A1417:A1418 A1413 A1364 A1347:A1348 A1330 A1266:A1276 A646 A636 A638 A640 A642 A644 A665:A667 A5:A6 A948 A1239 A351:A366 A1281:A1288 A1158:A1163 A928 A946 A1350:A1351 A1245 A809:A810 A498:A513 A999 A1333:A1334 A885:A886 A856:A857 A31:A32 A242:A248 A240 A1071:A1072 A754:A764 A8:A28 A1243 A307:A313 A316:A318 A585 A914 A847:A848 A877:A881 A1367:A1369 A1177:A1178 A1173:A1174 A853:A854 A851 A790:A800 A1319:A1320 A73 A1066:A1068 A1372 A435:A479 A1037 A1040 A592:A594 A1221 A1228:A1236 A1217:A1219 A906 A582 A828:A831 A819:A820 A137:A139 A1303:A1307 A615 A626:A630 A59:A63 A288:A299 A518:A546 A1082:A1091 A1001:A1012 A70:A71 A897:A904 A119:A120 A859 A861:A866 A1344 A1404 A260:A273 A988:A989 A991:A993 A1322:A1323 A372:A393 A779:A780 A549:A561 A568:A575 A956:A959 A598:A604 A564:A565 A1166:A1171 A1356 A825 A995:A996 A1337:A1339 A1353:A1354 A890:A891 A922 A930 A1115 A191:A209 A1074 A868:A875 A1420:A1421 A783:A787 A254 A1428 A950:A954 A961:A971 A1015 A1017:A1027 A1093:A1099 A1135:A1137 A145:A151 A334:A338 A1033:A1035 A75:A76 A171:A175 A1247:A1254 A1077:A1078 A722:A726 A729:A741 A1316:A1317 A276:A285 A1140:A1153 A178:A186 A917 A766:A777 A368:A370 A1438 A1042:A1043 A908:A912 A717:A720 A588:A590 A813:A815 A1046:A1054 A481:A495 A1259:A1261 A34:A57 A974:A981 A670:A673 A817 A154 A250:A252 A79:A84 A1056:A1062 A706:A715 A1441:A1442 A1125:A1130 A125:A128 A838:A842 A662:A663 A649 A651:A659 A1456 A1458 A617 A1121:A1123 A1195:A1199 A1202:A1206 A413:A431 A395:A408 A1225:A1226 A256 A1461 A1463:A1464 A325:A330 A1467:A1468 A1029:A1031 A122 A1472 A1117:A1119 A803:A807 A163 A1180:A1193 A693:A703 A301:A305 A984:A986 A746:A751 A227:A238 A1480:A1481 A676:A690 A1491:A1493 A159:A161 A211:A224 A321:A323 A1495:A1499 A340:A348 A1504:A1505 A1507:A1516 A1520:A1606 A86:A117 A932:A942 A1326:A1328 A1102:A1112 A1648 A1650:A1652 A1263">
    <cfRule type="duplicateValues" dxfId="951" priority="885"/>
  </conditionalFormatting>
  <conditionalFormatting sqref="A631">
    <cfRule type="duplicateValues" dxfId="950" priority="884"/>
  </conditionalFormatting>
  <conditionalFormatting sqref="A631">
    <cfRule type="duplicateValues" dxfId="949" priority="883"/>
  </conditionalFormatting>
  <conditionalFormatting sqref="A635">
    <cfRule type="duplicateValues" dxfId="948" priority="882"/>
  </conditionalFormatting>
  <conditionalFormatting sqref="A635">
    <cfRule type="duplicateValues" dxfId="947" priority="881"/>
  </conditionalFormatting>
  <conditionalFormatting sqref="A637">
    <cfRule type="duplicateValues" dxfId="946" priority="880"/>
  </conditionalFormatting>
  <conditionalFormatting sqref="A637">
    <cfRule type="duplicateValues" dxfId="945" priority="879"/>
  </conditionalFormatting>
  <conditionalFormatting sqref="A639">
    <cfRule type="duplicateValues" dxfId="944" priority="878"/>
  </conditionalFormatting>
  <conditionalFormatting sqref="A639">
    <cfRule type="duplicateValues" dxfId="943" priority="877"/>
  </conditionalFormatting>
  <conditionalFormatting sqref="A641">
    <cfRule type="duplicateValues" dxfId="942" priority="876"/>
  </conditionalFormatting>
  <conditionalFormatting sqref="A641">
    <cfRule type="duplicateValues" dxfId="941" priority="875"/>
  </conditionalFormatting>
  <conditionalFormatting sqref="A643">
    <cfRule type="duplicateValues" dxfId="940" priority="874"/>
  </conditionalFormatting>
  <conditionalFormatting sqref="A643">
    <cfRule type="duplicateValues" dxfId="939" priority="873"/>
  </conditionalFormatting>
  <conditionalFormatting sqref="A645">
    <cfRule type="duplicateValues" dxfId="938" priority="872"/>
  </conditionalFormatting>
  <conditionalFormatting sqref="A645">
    <cfRule type="duplicateValues" dxfId="937" priority="871"/>
  </conditionalFormatting>
  <conditionalFormatting sqref="A664">
    <cfRule type="duplicateValues" dxfId="936" priority="870"/>
  </conditionalFormatting>
  <conditionalFormatting sqref="A664">
    <cfRule type="duplicateValues" dxfId="935" priority="869"/>
  </conditionalFormatting>
  <conditionalFormatting sqref="A947">
    <cfRule type="duplicateValues" dxfId="934" priority="868"/>
  </conditionalFormatting>
  <conditionalFormatting sqref="A947">
    <cfRule type="duplicateValues" dxfId="933" priority="867"/>
  </conditionalFormatting>
  <conditionalFormatting sqref="A1265">
    <cfRule type="duplicateValues" dxfId="932" priority="866"/>
  </conditionalFormatting>
  <conditionalFormatting sqref="A1265">
    <cfRule type="duplicateValues" dxfId="931" priority="865"/>
  </conditionalFormatting>
  <conditionalFormatting sqref="A1329">
    <cfRule type="duplicateValues" dxfId="930" priority="864"/>
  </conditionalFormatting>
  <conditionalFormatting sqref="A1329">
    <cfRule type="duplicateValues" dxfId="929" priority="863"/>
  </conditionalFormatting>
  <conditionalFormatting sqref="A1238">
    <cfRule type="duplicateValues" dxfId="928" priority="862"/>
  </conditionalFormatting>
  <conditionalFormatting sqref="A1238">
    <cfRule type="duplicateValues" dxfId="927" priority="861"/>
  </conditionalFormatting>
  <conditionalFormatting sqref="A350">
    <cfRule type="duplicateValues" dxfId="926" priority="860"/>
  </conditionalFormatting>
  <conditionalFormatting sqref="A350">
    <cfRule type="duplicateValues" dxfId="925" priority="859"/>
  </conditionalFormatting>
  <conditionalFormatting sqref="A349">
    <cfRule type="duplicateValues" dxfId="924" priority="858"/>
  </conditionalFormatting>
  <conditionalFormatting sqref="A349">
    <cfRule type="duplicateValues" dxfId="923" priority="857"/>
  </conditionalFormatting>
  <conditionalFormatting sqref="A1279">
    <cfRule type="duplicateValues" dxfId="922" priority="856"/>
  </conditionalFormatting>
  <conditionalFormatting sqref="A1279">
    <cfRule type="duplicateValues" dxfId="921" priority="855"/>
  </conditionalFormatting>
  <conditionalFormatting sqref="A1154">
    <cfRule type="duplicateValues" dxfId="920" priority="854"/>
  </conditionalFormatting>
  <conditionalFormatting sqref="A1154">
    <cfRule type="duplicateValues" dxfId="919" priority="853"/>
  </conditionalFormatting>
  <conditionalFormatting sqref="A923">
    <cfRule type="duplicateValues" dxfId="918" priority="852"/>
  </conditionalFormatting>
  <conditionalFormatting sqref="A923">
    <cfRule type="duplicateValues" dxfId="917" priority="851"/>
  </conditionalFormatting>
  <conditionalFormatting sqref="A927">
    <cfRule type="duplicateValues" dxfId="916" priority="850"/>
  </conditionalFormatting>
  <conditionalFormatting sqref="A927">
    <cfRule type="duplicateValues" dxfId="915" priority="849"/>
  </conditionalFormatting>
  <conditionalFormatting sqref="A926">
    <cfRule type="duplicateValues" dxfId="914" priority="848"/>
  </conditionalFormatting>
  <conditionalFormatting sqref="A926">
    <cfRule type="duplicateValues" dxfId="913" priority="847"/>
  </conditionalFormatting>
  <conditionalFormatting sqref="A1277">
    <cfRule type="duplicateValues" dxfId="912" priority="846"/>
  </conditionalFormatting>
  <conditionalFormatting sqref="A1277">
    <cfRule type="duplicateValues" dxfId="911" priority="845"/>
  </conditionalFormatting>
  <conditionalFormatting sqref="A1278">
    <cfRule type="duplicateValues" dxfId="910" priority="844"/>
  </conditionalFormatting>
  <conditionalFormatting sqref="A1278">
    <cfRule type="duplicateValues" dxfId="909" priority="843"/>
  </conditionalFormatting>
  <conditionalFormatting sqref="A1345">
    <cfRule type="duplicateValues" dxfId="908" priority="842"/>
  </conditionalFormatting>
  <conditionalFormatting sqref="A945">
    <cfRule type="duplicateValues" dxfId="907" priority="841"/>
  </conditionalFormatting>
  <conditionalFormatting sqref="A945">
    <cfRule type="duplicateValues" dxfId="906" priority="840"/>
  </conditionalFormatting>
  <conditionalFormatting sqref="A944">
    <cfRule type="duplicateValues" dxfId="905" priority="839"/>
  </conditionalFormatting>
  <conditionalFormatting sqref="A944">
    <cfRule type="duplicateValues" dxfId="904" priority="838"/>
  </conditionalFormatting>
  <conditionalFormatting sqref="A1346">
    <cfRule type="duplicateValues" dxfId="903" priority="837"/>
  </conditionalFormatting>
  <conditionalFormatting sqref="A1349">
    <cfRule type="duplicateValues" dxfId="902" priority="836"/>
  </conditionalFormatting>
  <conditionalFormatting sqref="A1349">
    <cfRule type="duplicateValues" dxfId="901" priority="835"/>
  </conditionalFormatting>
  <conditionalFormatting sqref="A1244">
    <cfRule type="duplicateValues" dxfId="900" priority="834"/>
  </conditionalFormatting>
  <conditionalFormatting sqref="A1244">
    <cfRule type="duplicateValues" dxfId="899" priority="833"/>
  </conditionalFormatting>
  <conditionalFormatting sqref="A808">
    <cfRule type="duplicateValues" dxfId="898" priority="832"/>
  </conditionalFormatting>
  <conditionalFormatting sqref="A808">
    <cfRule type="duplicateValues" dxfId="897" priority="831"/>
  </conditionalFormatting>
  <conditionalFormatting sqref="A496">
    <cfRule type="duplicateValues" dxfId="896" priority="830"/>
  </conditionalFormatting>
  <conditionalFormatting sqref="A496">
    <cfRule type="duplicateValues" dxfId="895" priority="829"/>
  </conditionalFormatting>
  <conditionalFormatting sqref="A1264">
    <cfRule type="duplicateValues" dxfId="894" priority="828"/>
  </conditionalFormatting>
  <conditionalFormatting sqref="A1264">
    <cfRule type="duplicateValues" dxfId="893" priority="827"/>
  </conditionalFormatting>
  <conditionalFormatting sqref="A998">
    <cfRule type="duplicateValues" dxfId="892" priority="826"/>
  </conditionalFormatting>
  <conditionalFormatting sqref="A998">
    <cfRule type="duplicateValues" dxfId="891" priority="825"/>
  </conditionalFormatting>
  <conditionalFormatting sqref="A1332">
    <cfRule type="duplicateValues" dxfId="890" priority="824"/>
  </conditionalFormatting>
  <conditionalFormatting sqref="A1332">
    <cfRule type="duplicateValues" dxfId="889" priority="823"/>
  </conditionalFormatting>
  <conditionalFormatting sqref="A883">
    <cfRule type="duplicateValues" dxfId="888" priority="822"/>
  </conditionalFormatting>
  <conditionalFormatting sqref="A883">
    <cfRule type="duplicateValues" dxfId="887" priority="821"/>
  </conditionalFormatting>
  <conditionalFormatting sqref="A855">
    <cfRule type="duplicateValues" dxfId="886" priority="820"/>
  </conditionalFormatting>
  <conditionalFormatting sqref="A855">
    <cfRule type="duplicateValues" dxfId="885" priority="819"/>
  </conditionalFormatting>
  <conditionalFormatting sqref="A29">
    <cfRule type="duplicateValues" dxfId="884" priority="818"/>
  </conditionalFormatting>
  <conditionalFormatting sqref="A29">
    <cfRule type="duplicateValues" dxfId="883" priority="817"/>
  </conditionalFormatting>
  <conditionalFormatting sqref="A1237">
    <cfRule type="duplicateValues" dxfId="882" priority="816"/>
  </conditionalFormatting>
  <conditionalFormatting sqref="A1237">
    <cfRule type="duplicateValues" dxfId="881" priority="815"/>
  </conditionalFormatting>
  <conditionalFormatting sqref="A497">
    <cfRule type="duplicateValues" dxfId="880" priority="814"/>
  </conditionalFormatting>
  <conditionalFormatting sqref="A497">
    <cfRule type="duplicateValues" dxfId="879" priority="813"/>
  </conditionalFormatting>
  <conditionalFormatting sqref="A241">
    <cfRule type="duplicateValues" dxfId="878" priority="812"/>
  </conditionalFormatting>
  <conditionalFormatting sqref="A241">
    <cfRule type="duplicateValues" dxfId="877" priority="811"/>
  </conditionalFormatting>
  <conditionalFormatting sqref="A239">
    <cfRule type="duplicateValues" dxfId="876" priority="810"/>
  </conditionalFormatting>
  <conditionalFormatting sqref="A239">
    <cfRule type="duplicateValues" dxfId="875" priority="809"/>
  </conditionalFormatting>
  <conditionalFormatting sqref="A997">
    <cfRule type="duplicateValues" dxfId="874" priority="808"/>
  </conditionalFormatting>
  <conditionalFormatting sqref="A997">
    <cfRule type="duplicateValues" dxfId="873" priority="807"/>
  </conditionalFormatting>
  <conditionalFormatting sqref="A1280">
    <cfRule type="duplicateValues" dxfId="872" priority="806"/>
  </conditionalFormatting>
  <conditionalFormatting sqref="A1280">
    <cfRule type="duplicateValues" dxfId="871" priority="805"/>
  </conditionalFormatting>
  <conditionalFormatting sqref="A752">
    <cfRule type="duplicateValues" dxfId="870" priority="804"/>
  </conditionalFormatting>
  <conditionalFormatting sqref="A752">
    <cfRule type="duplicateValues" dxfId="869" priority="803"/>
  </conditionalFormatting>
  <conditionalFormatting sqref="A753">
    <cfRule type="duplicateValues" dxfId="868" priority="802"/>
  </conditionalFormatting>
  <conditionalFormatting sqref="A753">
    <cfRule type="duplicateValues" dxfId="867" priority="801"/>
  </conditionalFormatting>
  <conditionalFormatting sqref="A7">
    <cfRule type="duplicateValues" dxfId="866" priority="800"/>
  </conditionalFormatting>
  <conditionalFormatting sqref="A7">
    <cfRule type="duplicateValues" dxfId="865" priority="799"/>
  </conditionalFormatting>
  <conditionalFormatting sqref="A1241">
    <cfRule type="duplicateValues" dxfId="864" priority="798"/>
  </conditionalFormatting>
  <conditionalFormatting sqref="A1241">
    <cfRule type="duplicateValues" dxfId="863" priority="797"/>
  </conditionalFormatting>
  <conditionalFormatting sqref="A1240">
    <cfRule type="duplicateValues" dxfId="862" priority="796"/>
  </conditionalFormatting>
  <conditionalFormatting sqref="A1240">
    <cfRule type="duplicateValues" dxfId="861" priority="795"/>
  </conditionalFormatting>
  <conditionalFormatting sqref="A1357">
    <cfRule type="duplicateValues" dxfId="860" priority="794"/>
  </conditionalFormatting>
  <conditionalFormatting sqref="A306">
    <cfRule type="duplicateValues" dxfId="859" priority="793"/>
  </conditionalFormatting>
  <conditionalFormatting sqref="A306">
    <cfRule type="duplicateValues" dxfId="858" priority="792"/>
  </conditionalFormatting>
  <conditionalFormatting sqref="A314">
    <cfRule type="duplicateValues" dxfId="857" priority="791"/>
  </conditionalFormatting>
  <conditionalFormatting sqref="A314">
    <cfRule type="duplicateValues" dxfId="856" priority="790"/>
  </conditionalFormatting>
  <conditionalFormatting sqref="A315">
    <cfRule type="duplicateValues" dxfId="855" priority="789"/>
  </conditionalFormatting>
  <conditionalFormatting sqref="A315">
    <cfRule type="duplicateValues" dxfId="854" priority="788"/>
  </conditionalFormatting>
  <conditionalFormatting sqref="A584">
    <cfRule type="duplicateValues" dxfId="853" priority="787"/>
  </conditionalFormatting>
  <conditionalFormatting sqref="A584">
    <cfRule type="duplicateValues" dxfId="852" priority="786"/>
  </conditionalFormatting>
  <conditionalFormatting sqref="A913">
    <cfRule type="duplicateValues" dxfId="851" priority="785"/>
  </conditionalFormatting>
  <conditionalFormatting sqref="A913">
    <cfRule type="duplicateValues" dxfId="850" priority="784"/>
  </conditionalFormatting>
  <conditionalFormatting sqref="A843">
    <cfRule type="duplicateValues" dxfId="849" priority="783"/>
  </conditionalFormatting>
  <conditionalFormatting sqref="A843">
    <cfRule type="duplicateValues" dxfId="848" priority="782"/>
  </conditionalFormatting>
  <conditionalFormatting sqref="A882">
    <cfRule type="duplicateValues" dxfId="847" priority="781"/>
  </conditionalFormatting>
  <conditionalFormatting sqref="A882">
    <cfRule type="duplicateValues" dxfId="846" priority="780"/>
  </conditionalFormatting>
  <conditionalFormatting sqref="A1358:A1359 A1361">
    <cfRule type="duplicateValues" dxfId="845" priority="779"/>
  </conditionalFormatting>
  <conditionalFormatting sqref="A1363">
    <cfRule type="duplicateValues" dxfId="844" priority="778"/>
  </conditionalFormatting>
  <conditionalFormatting sqref="A876">
    <cfRule type="duplicateValues" dxfId="843" priority="777"/>
  </conditionalFormatting>
  <conditionalFormatting sqref="A876">
    <cfRule type="duplicateValues" dxfId="842" priority="776"/>
  </conditionalFormatting>
  <conditionalFormatting sqref="A1242">
    <cfRule type="duplicateValues" dxfId="841" priority="775"/>
  </conditionalFormatting>
  <conditionalFormatting sqref="A1242">
    <cfRule type="duplicateValues" dxfId="840" priority="774"/>
  </conditionalFormatting>
  <conditionalFormatting sqref="A1365">
    <cfRule type="duplicateValues" dxfId="839" priority="773"/>
  </conditionalFormatting>
  <conditionalFormatting sqref="A1155">
    <cfRule type="duplicateValues" dxfId="838" priority="772"/>
  </conditionalFormatting>
  <conditionalFormatting sqref="A1155">
    <cfRule type="duplicateValues" dxfId="837" priority="771"/>
  </conditionalFormatting>
  <conditionalFormatting sqref="A1156">
    <cfRule type="duplicateValues" dxfId="836" priority="770"/>
  </conditionalFormatting>
  <conditionalFormatting sqref="A1156">
    <cfRule type="duplicateValues" dxfId="835" priority="769"/>
  </conditionalFormatting>
  <conditionalFormatting sqref="A1157">
    <cfRule type="duplicateValues" dxfId="834" priority="768"/>
  </conditionalFormatting>
  <conditionalFormatting sqref="A1157">
    <cfRule type="duplicateValues" dxfId="833" priority="767"/>
  </conditionalFormatting>
  <conditionalFormatting sqref="A1175">
    <cfRule type="duplicateValues" dxfId="832" priority="766"/>
  </conditionalFormatting>
  <conditionalFormatting sqref="A1175">
    <cfRule type="duplicateValues" dxfId="831" priority="765"/>
  </conditionalFormatting>
  <conditionalFormatting sqref="A1172">
    <cfRule type="duplicateValues" dxfId="830" priority="764"/>
  </conditionalFormatting>
  <conditionalFormatting sqref="A1172">
    <cfRule type="duplicateValues" dxfId="829" priority="763"/>
  </conditionalFormatting>
  <conditionalFormatting sqref="A852">
    <cfRule type="duplicateValues" dxfId="828" priority="762"/>
  </conditionalFormatting>
  <conditionalFormatting sqref="A852">
    <cfRule type="duplicateValues" dxfId="827" priority="761"/>
  </conditionalFormatting>
  <conditionalFormatting sqref="A849">
    <cfRule type="duplicateValues" dxfId="826" priority="760"/>
  </conditionalFormatting>
  <conditionalFormatting sqref="A849">
    <cfRule type="duplicateValues" dxfId="825" priority="759"/>
  </conditionalFormatting>
  <conditionalFormatting sqref="A789">
    <cfRule type="duplicateValues" dxfId="824" priority="758"/>
  </conditionalFormatting>
  <conditionalFormatting sqref="A789">
    <cfRule type="duplicateValues" dxfId="823" priority="757"/>
  </conditionalFormatting>
  <conditionalFormatting sqref="A1318">
    <cfRule type="duplicateValues" dxfId="822" priority="756"/>
  </conditionalFormatting>
  <conditionalFormatting sqref="A1318">
    <cfRule type="duplicateValues" dxfId="821" priority="755"/>
  </conditionalFormatting>
  <conditionalFormatting sqref="A1069">
    <cfRule type="duplicateValues" dxfId="820" priority="754"/>
  </conditionalFormatting>
  <conditionalFormatting sqref="A1069">
    <cfRule type="duplicateValues" dxfId="819" priority="753"/>
  </conditionalFormatting>
  <conditionalFormatting sqref="A1070">
    <cfRule type="duplicateValues" dxfId="818" priority="752"/>
  </conditionalFormatting>
  <conditionalFormatting sqref="A1070">
    <cfRule type="duplicateValues" dxfId="817" priority="751"/>
  </conditionalFormatting>
  <conditionalFormatting sqref="A788">
    <cfRule type="duplicateValues" dxfId="816" priority="750"/>
  </conditionalFormatting>
  <conditionalFormatting sqref="A788">
    <cfRule type="duplicateValues" dxfId="815" priority="749"/>
  </conditionalFormatting>
  <conditionalFormatting sqref="A547">
    <cfRule type="duplicateValues" dxfId="814" priority="748"/>
  </conditionalFormatting>
  <conditionalFormatting sqref="A547">
    <cfRule type="duplicateValues" dxfId="813" priority="747"/>
  </conditionalFormatting>
  <conditionalFormatting sqref="A30">
    <cfRule type="duplicateValues" dxfId="812" priority="746"/>
  </conditionalFormatting>
  <conditionalFormatting sqref="A30">
    <cfRule type="duplicateValues" dxfId="811" priority="745"/>
  </conditionalFormatting>
  <conditionalFormatting sqref="A72">
    <cfRule type="duplicateValues" dxfId="810" priority="744"/>
  </conditionalFormatting>
  <conditionalFormatting sqref="A72">
    <cfRule type="duplicateValues" dxfId="809" priority="743"/>
  </conditionalFormatting>
  <conditionalFormatting sqref="A1366">
    <cfRule type="duplicateValues" dxfId="808" priority="742"/>
  </conditionalFormatting>
  <conditionalFormatting sqref="A1063">
    <cfRule type="duplicateValues" dxfId="807" priority="741"/>
  </conditionalFormatting>
  <conditionalFormatting sqref="A1063">
    <cfRule type="duplicateValues" dxfId="806" priority="740"/>
  </conditionalFormatting>
  <conditionalFormatting sqref="A1370">
    <cfRule type="duplicateValues" dxfId="805" priority="739"/>
  </conditionalFormatting>
  <conditionalFormatting sqref="A434">
    <cfRule type="duplicateValues" dxfId="804" priority="738"/>
  </conditionalFormatting>
  <conditionalFormatting sqref="A434">
    <cfRule type="duplicateValues" dxfId="803" priority="737"/>
  </conditionalFormatting>
  <conditionalFormatting sqref="A432">
    <cfRule type="duplicateValues" dxfId="802" priority="736"/>
  </conditionalFormatting>
  <conditionalFormatting sqref="A432">
    <cfRule type="duplicateValues" dxfId="801" priority="735"/>
  </conditionalFormatting>
  <conditionalFormatting sqref="A433">
    <cfRule type="duplicateValues" dxfId="800" priority="734"/>
  </conditionalFormatting>
  <conditionalFormatting sqref="A433">
    <cfRule type="duplicateValues" dxfId="799" priority="733"/>
  </conditionalFormatting>
  <conditionalFormatting sqref="A1036">
    <cfRule type="duplicateValues" dxfId="798" priority="732"/>
  </conditionalFormatting>
  <conditionalFormatting sqref="A1036">
    <cfRule type="duplicateValues" dxfId="797" priority="731"/>
  </conditionalFormatting>
  <conditionalFormatting sqref="A548">
    <cfRule type="duplicateValues" dxfId="796" priority="730"/>
  </conditionalFormatting>
  <conditionalFormatting sqref="A548">
    <cfRule type="duplicateValues" dxfId="795" priority="729"/>
  </conditionalFormatting>
  <conditionalFormatting sqref="A1038">
    <cfRule type="duplicateValues" dxfId="794" priority="728"/>
  </conditionalFormatting>
  <conditionalFormatting sqref="A1038">
    <cfRule type="duplicateValues" dxfId="793" priority="727"/>
  </conditionalFormatting>
  <conditionalFormatting sqref="A591">
    <cfRule type="duplicateValues" dxfId="792" priority="726"/>
  </conditionalFormatting>
  <conditionalFormatting sqref="A591">
    <cfRule type="duplicateValues" dxfId="791" priority="725"/>
  </conditionalFormatting>
  <conditionalFormatting sqref="A1371">
    <cfRule type="duplicateValues" dxfId="790" priority="724"/>
  </conditionalFormatting>
  <conditionalFormatting sqref="A1220">
    <cfRule type="duplicateValues" dxfId="789" priority="723"/>
  </conditionalFormatting>
  <conditionalFormatting sqref="A1220">
    <cfRule type="duplicateValues" dxfId="788" priority="722"/>
  </conditionalFormatting>
  <conditionalFormatting sqref="A1227">
    <cfRule type="duplicateValues" dxfId="787" priority="721"/>
  </conditionalFormatting>
  <conditionalFormatting sqref="A1227">
    <cfRule type="duplicateValues" dxfId="786" priority="720"/>
  </conditionalFormatting>
  <conditionalFormatting sqref="A1215">
    <cfRule type="duplicateValues" dxfId="785" priority="719"/>
  </conditionalFormatting>
  <conditionalFormatting sqref="A1215">
    <cfRule type="duplicateValues" dxfId="784" priority="718"/>
  </conditionalFormatting>
  <conditionalFormatting sqref="A1207">
    <cfRule type="duplicateValues" dxfId="783" priority="717"/>
  </conditionalFormatting>
  <conditionalFormatting sqref="A1207">
    <cfRule type="duplicateValues" dxfId="782" priority="716"/>
  </conditionalFormatting>
  <conditionalFormatting sqref="A1208">
    <cfRule type="duplicateValues" dxfId="781" priority="715"/>
  </conditionalFormatting>
  <conditionalFormatting sqref="A1208">
    <cfRule type="duplicateValues" dxfId="780" priority="714"/>
  </conditionalFormatting>
  <conditionalFormatting sqref="A1214">
    <cfRule type="duplicateValues" dxfId="779" priority="713"/>
  </conditionalFormatting>
  <conditionalFormatting sqref="A1214">
    <cfRule type="duplicateValues" dxfId="778" priority="712"/>
  </conditionalFormatting>
  <conditionalFormatting sqref="A1216">
    <cfRule type="duplicateValues" dxfId="777" priority="711"/>
  </conditionalFormatting>
  <conditionalFormatting sqref="A1216">
    <cfRule type="duplicateValues" dxfId="776" priority="710"/>
  </conditionalFormatting>
  <conditionalFormatting sqref="A905">
    <cfRule type="duplicateValues" dxfId="775" priority="709"/>
  </conditionalFormatting>
  <conditionalFormatting sqref="A905">
    <cfRule type="duplicateValues" dxfId="774" priority="708"/>
  </conditionalFormatting>
  <conditionalFormatting sqref="A907">
    <cfRule type="duplicateValues" dxfId="773" priority="707"/>
  </conditionalFormatting>
  <conditionalFormatting sqref="A907">
    <cfRule type="duplicateValues" dxfId="772" priority="706"/>
  </conditionalFormatting>
  <conditionalFormatting sqref="A576">
    <cfRule type="duplicateValues" dxfId="771" priority="705"/>
  </conditionalFormatting>
  <conditionalFormatting sqref="A576">
    <cfRule type="duplicateValues" dxfId="770" priority="704"/>
  </conditionalFormatting>
  <conditionalFormatting sqref="A581">
    <cfRule type="duplicateValues" dxfId="769" priority="703"/>
  </conditionalFormatting>
  <conditionalFormatting sqref="A581">
    <cfRule type="duplicateValues" dxfId="768" priority="702"/>
  </conditionalFormatting>
  <conditionalFormatting sqref="A826">
    <cfRule type="duplicateValues" dxfId="767" priority="701"/>
  </conditionalFormatting>
  <conditionalFormatting sqref="A826">
    <cfRule type="duplicateValues" dxfId="766" priority="700"/>
  </conditionalFormatting>
  <conditionalFormatting sqref="A818">
    <cfRule type="duplicateValues" dxfId="765" priority="699"/>
  </conditionalFormatting>
  <conditionalFormatting sqref="A818">
    <cfRule type="duplicateValues" dxfId="764" priority="698"/>
  </conditionalFormatting>
  <conditionalFormatting sqref="A132">
    <cfRule type="duplicateValues" dxfId="763" priority="697"/>
  </conditionalFormatting>
  <conditionalFormatting sqref="A132">
    <cfRule type="duplicateValues" dxfId="762" priority="696"/>
  </conditionalFormatting>
  <conditionalFormatting sqref="A136">
    <cfRule type="duplicateValues" dxfId="761" priority="695"/>
  </conditionalFormatting>
  <conditionalFormatting sqref="A136">
    <cfRule type="duplicateValues" dxfId="760" priority="694"/>
  </conditionalFormatting>
  <conditionalFormatting sqref="A1289">
    <cfRule type="duplicateValues" dxfId="759" priority="693"/>
  </conditionalFormatting>
  <conditionalFormatting sqref="A1289">
    <cfRule type="duplicateValues" dxfId="758" priority="692"/>
  </conditionalFormatting>
  <conditionalFormatting sqref="A1298">
    <cfRule type="duplicateValues" dxfId="757" priority="691"/>
  </conditionalFormatting>
  <conditionalFormatting sqref="A1298">
    <cfRule type="duplicateValues" dxfId="756" priority="690"/>
  </conditionalFormatting>
  <conditionalFormatting sqref="A1299">
    <cfRule type="duplicateValues" dxfId="755" priority="689"/>
  </conditionalFormatting>
  <conditionalFormatting sqref="A1299">
    <cfRule type="duplicateValues" dxfId="754" priority="688"/>
  </conditionalFormatting>
  <conditionalFormatting sqref="A1300">
    <cfRule type="duplicateValues" dxfId="753" priority="687"/>
  </conditionalFormatting>
  <conditionalFormatting sqref="A1300">
    <cfRule type="duplicateValues" dxfId="752" priority="686"/>
  </conditionalFormatting>
  <conditionalFormatting sqref="A1301">
    <cfRule type="duplicateValues" dxfId="751" priority="685"/>
  </conditionalFormatting>
  <conditionalFormatting sqref="A1301">
    <cfRule type="duplicateValues" dxfId="750" priority="684"/>
  </conditionalFormatting>
  <conditionalFormatting sqref="A1290">
    <cfRule type="duplicateValues" dxfId="749" priority="683"/>
  </conditionalFormatting>
  <conditionalFormatting sqref="A1290">
    <cfRule type="duplicateValues" dxfId="748" priority="682"/>
  </conditionalFormatting>
  <conditionalFormatting sqref="A1291">
    <cfRule type="duplicateValues" dxfId="747" priority="681"/>
  </conditionalFormatting>
  <conditionalFormatting sqref="A1291">
    <cfRule type="duplicateValues" dxfId="746" priority="680"/>
  </conditionalFormatting>
  <conditionalFormatting sqref="A1292">
    <cfRule type="duplicateValues" dxfId="745" priority="679"/>
  </conditionalFormatting>
  <conditionalFormatting sqref="A1292">
    <cfRule type="duplicateValues" dxfId="744" priority="678"/>
  </conditionalFormatting>
  <conditionalFormatting sqref="A1293">
    <cfRule type="duplicateValues" dxfId="743" priority="677"/>
  </conditionalFormatting>
  <conditionalFormatting sqref="A1293">
    <cfRule type="duplicateValues" dxfId="742" priority="676"/>
  </conditionalFormatting>
  <conditionalFormatting sqref="A1294">
    <cfRule type="duplicateValues" dxfId="741" priority="675"/>
  </conditionalFormatting>
  <conditionalFormatting sqref="A1294">
    <cfRule type="duplicateValues" dxfId="740" priority="674"/>
  </conditionalFormatting>
  <conditionalFormatting sqref="A1295">
    <cfRule type="duplicateValues" dxfId="739" priority="673"/>
  </conditionalFormatting>
  <conditionalFormatting sqref="A1295">
    <cfRule type="duplicateValues" dxfId="738" priority="672"/>
  </conditionalFormatting>
  <conditionalFormatting sqref="A1296">
    <cfRule type="duplicateValues" dxfId="737" priority="671"/>
  </conditionalFormatting>
  <conditionalFormatting sqref="A1296">
    <cfRule type="duplicateValues" dxfId="736" priority="670"/>
  </conditionalFormatting>
  <conditionalFormatting sqref="A1297">
    <cfRule type="duplicateValues" dxfId="735" priority="669"/>
  </conditionalFormatting>
  <conditionalFormatting sqref="A1297">
    <cfRule type="duplicateValues" dxfId="734" priority="668"/>
  </conditionalFormatting>
  <conditionalFormatting sqref="A621">
    <cfRule type="duplicateValues" dxfId="733" priority="667"/>
  </conditionalFormatting>
  <conditionalFormatting sqref="A621">
    <cfRule type="duplicateValues" dxfId="732" priority="666"/>
  </conditionalFormatting>
  <conditionalFormatting sqref="A583">
    <cfRule type="duplicateValues" dxfId="731" priority="665"/>
  </conditionalFormatting>
  <conditionalFormatting sqref="A583">
    <cfRule type="duplicateValues" dxfId="730" priority="664"/>
  </conditionalFormatting>
  <conditionalFormatting sqref="A58">
    <cfRule type="duplicateValues" dxfId="729" priority="663"/>
  </conditionalFormatting>
  <conditionalFormatting sqref="A58">
    <cfRule type="duplicateValues" dxfId="728" priority="662"/>
  </conditionalFormatting>
  <conditionalFormatting sqref="A286">
    <cfRule type="duplicateValues" dxfId="727" priority="661"/>
  </conditionalFormatting>
  <conditionalFormatting sqref="A286">
    <cfRule type="duplicateValues" dxfId="726" priority="660"/>
  </conditionalFormatting>
  <conditionalFormatting sqref="A287">
    <cfRule type="duplicateValues" dxfId="725" priority="659"/>
  </conditionalFormatting>
  <conditionalFormatting sqref="A287">
    <cfRule type="duplicateValues" dxfId="724" priority="658"/>
  </conditionalFormatting>
  <conditionalFormatting sqref="A514">
    <cfRule type="duplicateValues" dxfId="723" priority="657"/>
  </conditionalFormatting>
  <conditionalFormatting sqref="A514">
    <cfRule type="duplicateValues" dxfId="722" priority="656"/>
  </conditionalFormatting>
  <conditionalFormatting sqref="A1302">
    <cfRule type="duplicateValues" dxfId="721" priority="655"/>
  </conditionalFormatting>
  <conditionalFormatting sqref="A1302">
    <cfRule type="duplicateValues" dxfId="720" priority="654"/>
  </conditionalFormatting>
  <conditionalFormatting sqref="A1079 A1081">
    <cfRule type="duplicateValues" dxfId="719" priority="653"/>
  </conditionalFormatting>
  <conditionalFormatting sqref="A1000">
    <cfRule type="duplicateValues" dxfId="718" priority="652"/>
  </conditionalFormatting>
  <conditionalFormatting sqref="A1000">
    <cfRule type="duplicateValues" dxfId="717" priority="651"/>
  </conditionalFormatting>
  <conditionalFormatting sqref="A64">
    <cfRule type="duplicateValues" dxfId="716" priority="650"/>
  </conditionalFormatting>
  <conditionalFormatting sqref="A64">
    <cfRule type="duplicateValues" dxfId="715" priority="649"/>
  </conditionalFormatting>
  <conditionalFormatting sqref="A69">
    <cfRule type="duplicateValues" dxfId="714" priority="648"/>
  </conditionalFormatting>
  <conditionalFormatting sqref="A69">
    <cfRule type="duplicateValues" dxfId="713" priority="647"/>
  </conditionalFormatting>
  <conditionalFormatting sqref="A896">
    <cfRule type="duplicateValues" dxfId="712" priority="646"/>
  </conditionalFormatting>
  <conditionalFormatting sqref="A896">
    <cfRule type="duplicateValues" dxfId="711" priority="645"/>
  </conditionalFormatting>
  <conditionalFormatting sqref="A118">
    <cfRule type="duplicateValues" dxfId="710" priority="644"/>
  </conditionalFormatting>
  <conditionalFormatting sqref="A118">
    <cfRule type="duplicateValues" dxfId="709" priority="643"/>
  </conditionalFormatting>
  <conditionalFormatting sqref="A858">
    <cfRule type="duplicateValues" dxfId="708" priority="642"/>
  </conditionalFormatting>
  <conditionalFormatting sqref="A858">
    <cfRule type="duplicateValues" dxfId="707" priority="641"/>
  </conditionalFormatting>
  <conditionalFormatting sqref="A860">
    <cfRule type="duplicateValues" dxfId="706" priority="640"/>
  </conditionalFormatting>
  <conditionalFormatting sqref="A860">
    <cfRule type="duplicateValues" dxfId="705" priority="639"/>
  </conditionalFormatting>
  <conditionalFormatting sqref="A1343">
    <cfRule type="duplicateValues" dxfId="704" priority="638"/>
  </conditionalFormatting>
  <conditionalFormatting sqref="A1343">
    <cfRule type="duplicateValues" dxfId="703" priority="637"/>
  </conditionalFormatting>
  <conditionalFormatting sqref="A1373">
    <cfRule type="duplicateValues" dxfId="702" priority="636"/>
  </conditionalFormatting>
  <conditionalFormatting sqref="A1374:A1380 A1390:A1393 A1382:A1388">
    <cfRule type="duplicateValues" dxfId="701" priority="635"/>
  </conditionalFormatting>
  <conditionalFormatting sqref="A1396:A1397 A1402:A1403">
    <cfRule type="duplicateValues" dxfId="700" priority="634"/>
  </conditionalFormatting>
  <conditionalFormatting sqref="A259">
    <cfRule type="duplicateValues" dxfId="699" priority="633"/>
  </conditionalFormatting>
  <conditionalFormatting sqref="A259">
    <cfRule type="duplicateValues" dxfId="698" priority="632"/>
  </conditionalFormatting>
  <conditionalFormatting sqref="A987">
    <cfRule type="duplicateValues" dxfId="697" priority="631"/>
  </conditionalFormatting>
  <conditionalFormatting sqref="A987">
    <cfRule type="duplicateValues" dxfId="696" priority="630"/>
  </conditionalFormatting>
  <conditionalFormatting sqref="A990">
    <cfRule type="duplicateValues" dxfId="695" priority="629"/>
  </conditionalFormatting>
  <conditionalFormatting sqref="A990">
    <cfRule type="duplicateValues" dxfId="694" priority="628"/>
  </conditionalFormatting>
  <conditionalFormatting sqref="A129">
    <cfRule type="duplicateValues" dxfId="693" priority="627"/>
  </conditionalFormatting>
  <conditionalFormatting sqref="A129">
    <cfRule type="duplicateValues" dxfId="692" priority="626"/>
  </conditionalFormatting>
  <conditionalFormatting sqref="A65">
    <cfRule type="duplicateValues" dxfId="691" priority="625"/>
  </conditionalFormatting>
  <conditionalFormatting sqref="A65">
    <cfRule type="duplicateValues" dxfId="690" priority="624"/>
  </conditionalFormatting>
  <conditionalFormatting sqref="A1321">
    <cfRule type="duplicateValues" dxfId="689" priority="623"/>
  </conditionalFormatting>
  <conditionalFormatting sqref="A1321">
    <cfRule type="duplicateValues" dxfId="688" priority="622"/>
  </conditionalFormatting>
  <conditionalFormatting sqref="A371">
    <cfRule type="duplicateValues" dxfId="687" priority="621"/>
  </conditionalFormatting>
  <conditionalFormatting sqref="A371">
    <cfRule type="duplicateValues" dxfId="686" priority="620"/>
  </conditionalFormatting>
  <conditionalFormatting sqref="A943">
    <cfRule type="duplicateValues" dxfId="685" priority="619"/>
  </conditionalFormatting>
  <conditionalFormatting sqref="A943">
    <cfRule type="duplicateValues" dxfId="684" priority="618"/>
  </conditionalFormatting>
  <conditionalFormatting sqref="A778">
    <cfRule type="duplicateValues" dxfId="683" priority="617"/>
  </conditionalFormatting>
  <conditionalFormatting sqref="A778">
    <cfRule type="duplicateValues" dxfId="682" priority="616"/>
  </conditionalFormatting>
  <conditionalFormatting sqref="A567">
    <cfRule type="duplicateValues" dxfId="681" priority="615"/>
  </conditionalFormatting>
  <conditionalFormatting sqref="A567">
    <cfRule type="duplicateValues" dxfId="680" priority="614"/>
  </conditionalFormatting>
  <conditionalFormatting sqref="A566">
    <cfRule type="duplicateValues" dxfId="679" priority="613"/>
  </conditionalFormatting>
  <conditionalFormatting sqref="A566">
    <cfRule type="duplicateValues" dxfId="678" priority="612"/>
  </conditionalFormatting>
  <conditionalFormatting sqref="A955">
    <cfRule type="duplicateValues" dxfId="677" priority="611"/>
  </conditionalFormatting>
  <conditionalFormatting sqref="A955">
    <cfRule type="duplicateValues" dxfId="676" priority="610"/>
  </conditionalFormatting>
  <conditionalFormatting sqref="A515">
    <cfRule type="duplicateValues" dxfId="675" priority="609"/>
  </conditionalFormatting>
  <conditionalFormatting sqref="A515">
    <cfRule type="duplicateValues" dxfId="674" priority="608"/>
  </conditionalFormatting>
  <conditionalFormatting sqref="A597">
    <cfRule type="duplicateValues" dxfId="673" priority="607"/>
  </conditionalFormatting>
  <conditionalFormatting sqref="A597">
    <cfRule type="duplicateValues" dxfId="672" priority="606"/>
  </conditionalFormatting>
  <conditionalFormatting sqref="A1213">
    <cfRule type="duplicateValues" dxfId="671" priority="605"/>
  </conditionalFormatting>
  <conditionalFormatting sqref="A1213">
    <cfRule type="duplicateValues" dxfId="670" priority="604"/>
  </conditionalFormatting>
  <conditionalFormatting sqref="A1405">
    <cfRule type="duplicateValues" dxfId="669" priority="603"/>
  </conditionalFormatting>
  <conditionalFormatting sqref="A1212">
    <cfRule type="duplicateValues" dxfId="668" priority="602"/>
  </conditionalFormatting>
  <conditionalFormatting sqref="A1212">
    <cfRule type="duplicateValues" dxfId="667" priority="601"/>
  </conditionalFormatting>
  <conditionalFormatting sqref="A131">
    <cfRule type="duplicateValues" dxfId="666" priority="600"/>
  </conditionalFormatting>
  <conditionalFormatting sqref="A605">
    <cfRule type="duplicateValues" dxfId="665" priority="599"/>
  </conditionalFormatting>
  <conditionalFormatting sqref="A605">
    <cfRule type="duplicateValues" dxfId="664" priority="598"/>
  </conditionalFormatting>
  <conditionalFormatting sqref="A68">
    <cfRule type="duplicateValues" dxfId="663" priority="597"/>
  </conditionalFormatting>
  <conditionalFormatting sqref="A68">
    <cfRule type="duplicateValues" dxfId="662" priority="596"/>
  </conditionalFormatting>
  <conditionalFormatting sqref="A1211">
    <cfRule type="duplicateValues" dxfId="661" priority="595"/>
  </conditionalFormatting>
  <conditionalFormatting sqref="A1211">
    <cfRule type="duplicateValues" dxfId="660" priority="594"/>
  </conditionalFormatting>
  <conditionalFormatting sqref="A562:A563">
    <cfRule type="duplicateValues" dxfId="659" priority="593"/>
  </conditionalFormatting>
  <conditionalFormatting sqref="A562:A563">
    <cfRule type="duplicateValues" dxfId="658" priority="592"/>
  </conditionalFormatting>
  <conditionalFormatting sqref="A578">
    <cfRule type="duplicateValues" dxfId="657" priority="591"/>
  </conditionalFormatting>
  <conditionalFormatting sqref="A578">
    <cfRule type="duplicateValues" dxfId="656" priority="590"/>
  </conditionalFormatting>
  <conditionalFormatting sqref="A577">
    <cfRule type="duplicateValues" dxfId="655" priority="589"/>
  </conditionalFormatting>
  <conditionalFormatting sqref="A577">
    <cfRule type="duplicateValues" dxfId="654" priority="588"/>
  </conditionalFormatting>
  <conditionalFormatting sqref="A895">
    <cfRule type="duplicateValues" dxfId="653" priority="587"/>
  </conditionalFormatting>
  <conditionalFormatting sqref="A1406">
    <cfRule type="duplicateValues" dxfId="652" priority="586"/>
  </conditionalFormatting>
  <conditionalFormatting sqref="A1164">
    <cfRule type="duplicateValues" dxfId="651" priority="585"/>
  </conditionalFormatting>
  <conditionalFormatting sqref="A1164">
    <cfRule type="duplicateValues" dxfId="650" priority="584"/>
  </conditionalFormatting>
  <conditionalFormatting sqref="A1165">
    <cfRule type="duplicateValues" dxfId="649" priority="583"/>
  </conditionalFormatting>
  <conditionalFormatting sqref="A1165">
    <cfRule type="duplicateValues" dxfId="648" priority="582"/>
  </conditionalFormatting>
  <conditionalFormatting sqref="A1355">
    <cfRule type="duplicateValues" dxfId="647" priority="581"/>
  </conditionalFormatting>
  <conditionalFormatting sqref="A1355">
    <cfRule type="duplicateValues" dxfId="646" priority="580"/>
  </conditionalFormatting>
  <conditionalFormatting sqref="A822">
    <cfRule type="duplicateValues" dxfId="645" priority="579"/>
  </conditionalFormatting>
  <conditionalFormatting sqref="A822">
    <cfRule type="duplicateValues" dxfId="644" priority="578"/>
  </conditionalFormatting>
  <conditionalFormatting sqref="A994">
    <cfRule type="duplicateValues" dxfId="643" priority="577"/>
  </conditionalFormatting>
  <conditionalFormatting sqref="A994">
    <cfRule type="duplicateValues" dxfId="642" priority="576"/>
  </conditionalFormatting>
  <conditionalFormatting sqref="A1335">
    <cfRule type="duplicateValues" dxfId="641" priority="575"/>
  </conditionalFormatting>
  <conditionalFormatting sqref="A1335">
    <cfRule type="duplicateValues" dxfId="640" priority="574"/>
  </conditionalFormatting>
  <conditionalFormatting sqref="A1352">
    <cfRule type="duplicateValues" dxfId="639" priority="573"/>
  </conditionalFormatting>
  <conditionalFormatting sqref="A1352">
    <cfRule type="duplicateValues" dxfId="638" priority="572"/>
  </conditionalFormatting>
  <conditionalFormatting sqref="A887">
    <cfRule type="duplicateValues" dxfId="637" priority="571"/>
  </conditionalFormatting>
  <conditionalFormatting sqref="A887">
    <cfRule type="duplicateValues" dxfId="636" priority="570"/>
  </conditionalFormatting>
  <conditionalFormatting sqref="A1411">
    <cfRule type="duplicateValues" dxfId="635" priority="569"/>
  </conditionalFormatting>
  <conditionalFormatting sqref="A1412">
    <cfRule type="duplicateValues" dxfId="634" priority="568"/>
  </conditionalFormatting>
  <conditionalFormatting sqref="A921">
    <cfRule type="duplicateValues" dxfId="633" priority="567"/>
  </conditionalFormatting>
  <conditionalFormatting sqref="A921">
    <cfRule type="duplicateValues" dxfId="632" priority="566"/>
  </conditionalFormatting>
  <conditionalFormatting sqref="A1362">
    <cfRule type="duplicateValues" dxfId="631" priority="565"/>
  </conditionalFormatting>
  <conditionalFormatting sqref="A929">
    <cfRule type="duplicateValues" dxfId="630" priority="564"/>
  </conditionalFormatting>
  <conditionalFormatting sqref="A929">
    <cfRule type="duplicateValues" dxfId="629" priority="563"/>
  </conditionalFormatting>
  <conditionalFormatting sqref="A1408">
    <cfRule type="duplicateValues" dxfId="628" priority="562"/>
  </conditionalFormatting>
  <conditionalFormatting sqref="A1410">
    <cfRule type="duplicateValues" dxfId="627" priority="561"/>
  </conditionalFormatting>
  <conditionalFormatting sqref="A1414">
    <cfRule type="duplicateValues" dxfId="626" priority="560"/>
  </conditionalFormatting>
  <conditionalFormatting sqref="A1414">
    <cfRule type="duplicateValues" dxfId="625" priority="559"/>
  </conditionalFormatting>
  <conditionalFormatting sqref="A1113">
    <cfRule type="duplicateValues" dxfId="624" priority="558"/>
  </conditionalFormatting>
  <conditionalFormatting sqref="A1113">
    <cfRule type="duplicateValues" dxfId="623" priority="557"/>
  </conditionalFormatting>
  <conditionalFormatting sqref="A187">
    <cfRule type="duplicateValues" dxfId="622" priority="556"/>
  </conditionalFormatting>
  <conditionalFormatting sqref="A187">
    <cfRule type="duplicateValues" dxfId="621" priority="555"/>
  </conditionalFormatting>
  <conditionalFormatting sqref="A66">
    <cfRule type="duplicateValues" dxfId="620" priority="554"/>
  </conditionalFormatting>
  <conditionalFormatting sqref="A66">
    <cfRule type="duplicateValues" dxfId="619" priority="553"/>
  </conditionalFormatting>
  <conditionalFormatting sqref="A1073">
    <cfRule type="duplicateValues" dxfId="618" priority="552"/>
  </conditionalFormatting>
  <conditionalFormatting sqref="A1073">
    <cfRule type="duplicateValues" dxfId="617" priority="551"/>
  </conditionalFormatting>
  <conditionalFormatting sqref="A130">
    <cfRule type="duplicateValues" dxfId="616" priority="550"/>
  </conditionalFormatting>
  <conditionalFormatting sqref="A867">
    <cfRule type="duplicateValues" dxfId="615" priority="549"/>
  </conditionalFormatting>
  <conditionalFormatting sqref="A867">
    <cfRule type="duplicateValues" dxfId="614" priority="548"/>
  </conditionalFormatting>
  <conditionalFormatting sqref="A1419">
    <cfRule type="duplicateValues" dxfId="613" priority="547"/>
  </conditionalFormatting>
  <conditionalFormatting sqref="A781">
    <cfRule type="duplicateValues" dxfId="612" priority="546"/>
  </conditionalFormatting>
  <conditionalFormatting sqref="A781">
    <cfRule type="duplicateValues" dxfId="611" priority="545"/>
  </conditionalFormatting>
  <conditionalFormatting sqref="A253">
    <cfRule type="duplicateValues" dxfId="610" priority="544"/>
  </conditionalFormatting>
  <conditionalFormatting sqref="A253">
    <cfRule type="duplicateValues" dxfId="609" priority="543"/>
  </conditionalFormatting>
  <conditionalFormatting sqref="A1422">
    <cfRule type="duplicateValues" dxfId="608" priority="542"/>
  </conditionalFormatting>
  <conditionalFormatting sqref="A1422">
    <cfRule type="duplicateValues" dxfId="607" priority="541"/>
  </conditionalFormatting>
  <conditionalFormatting sqref="A1423">
    <cfRule type="duplicateValues" dxfId="606" priority="540"/>
  </conditionalFormatting>
  <conditionalFormatting sqref="A949">
    <cfRule type="duplicateValues" dxfId="605" priority="539"/>
  </conditionalFormatting>
  <conditionalFormatting sqref="A949">
    <cfRule type="duplicateValues" dxfId="604" priority="538"/>
  </conditionalFormatting>
  <conditionalFormatting sqref="A960">
    <cfRule type="duplicateValues" dxfId="603" priority="537"/>
  </conditionalFormatting>
  <conditionalFormatting sqref="A960">
    <cfRule type="duplicateValues" dxfId="602" priority="536"/>
  </conditionalFormatting>
  <conditionalFormatting sqref="A924">
    <cfRule type="duplicateValues" dxfId="601" priority="535"/>
  </conditionalFormatting>
  <conditionalFormatting sqref="A924">
    <cfRule type="duplicateValues" dxfId="600" priority="534"/>
  </conditionalFormatting>
  <conditionalFormatting sqref="A925">
    <cfRule type="duplicateValues" dxfId="599" priority="533"/>
  </conditionalFormatting>
  <conditionalFormatting sqref="A925">
    <cfRule type="duplicateValues" dxfId="598" priority="532"/>
  </conditionalFormatting>
  <conditionalFormatting sqref="A1424">
    <cfRule type="duplicateValues" dxfId="597" priority="531"/>
  </conditionalFormatting>
  <conditionalFormatting sqref="A1013">
    <cfRule type="duplicateValues" dxfId="596" priority="530"/>
  </conditionalFormatting>
  <conditionalFormatting sqref="A1013">
    <cfRule type="duplicateValues" dxfId="595" priority="529"/>
  </conditionalFormatting>
  <conditionalFormatting sqref="A1016">
    <cfRule type="duplicateValues" dxfId="594" priority="528"/>
  </conditionalFormatting>
  <conditionalFormatting sqref="A1016">
    <cfRule type="duplicateValues" dxfId="593" priority="527"/>
  </conditionalFormatting>
  <conditionalFormatting sqref="A1092">
    <cfRule type="duplicateValues" dxfId="592" priority="526"/>
  </conditionalFormatting>
  <conditionalFormatting sqref="A1092">
    <cfRule type="duplicateValues" dxfId="591" priority="525"/>
  </conditionalFormatting>
  <conditionalFormatting sqref="A1131">
    <cfRule type="duplicateValues" dxfId="590" priority="524"/>
  </conditionalFormatting>
  <conditionalFormatting sqref="A1131">
    <cfRule type="duplicateValues" dxfId="589" priority="523"/>
  </conditionalFormatting>
  <conditionalFormatting sqref="A142">
    <cfRule type="duplicateValues" dxfId="588" priority="522"/>
  </conditionalFormatting>
  <conditionalFormatting sqref="A142">
    <cfRule type="duplicateValues" dxfId="587" priority="521"/>
  </conditionalFormatting>
  <conditionalFormatting sqref="A133">
    <cfRule type="duplicateValues" dxfId="586" priority="520"/>
  </conditionalFormatting>
  <conditionalFormatting sqref="A133">
    <cfRule type="duplicateValues" dxfId="585" priority="519"/>
  </conditionalFormatting>
  <conditionalFormatting sqref="A517">
    <cfRule type="duplicateValues" dxfId="584" priority="518"/>
  </conditionalFormatting>
  <conditionalFormatting sqref="A517">
    <cfRule type="duplicateValues" dxfId="583" priority="517"/>
  </conditionalFormatting>
  <conditionalFormatting sqref="A1425">
    <cfRule type="duplicateValues" dxfId="582" priority="516"/>
  </conditionalFormatting>
  <conditionalFormatting sqref="A893">
    <cfRule type="duplicateValues" dxfId="581" priority="515"/>
  </conditionalFormatting>
  <conditionalFormatting sqref="A257">
    <cfRule type="duplicateValues" dxfId="580" priority="514"/>
  </conditionalFormatting>
  <conditionalFormatting sqref="A257">
    <cfRule type="duplicateValues" dxfId="579" priority="513"/>
  </conditionalFormatting>
  <conditionalFormatting sqref="A258">
    <cfRule type="duplicateValues" dxfId="578" priority="512"/>
  </conditionalFormatting>
  <conditionalFormatting sqref="A920">
    <cfRule type="duplicateValues" dxfId="577" priority="511"/>
  </conditionalFormatting>
  <conditionalFormatting sqref="A920">
    <cfRule type="duplicateValues" dxfId="576" priority="510"/>
  </conditionalFormatting>
  <conditionalFormatting sqref="A332">
    <cfRule type="duplicateValues" dxfId="575" priority="509"/>
  </conditionalFormatting>
  <conditionalFormatting sqref="A332">
    <cfRule type="duplicateValues" dxfId="574" priority="508"/>
  </conditionalFormatting>
  <conditionalFormatting sqref="A333">
    <cfRule type="duplicateValues" dxfId="573" priority="507"/>
  </conditionalFormatting>
  <conditionalFormatting sqref="A333">
    <cfRule type="duplicateValues" dxfId="572" priority="506"/>
  </conditionalFormatting>
  <conditionalFormatting sqref="A620">
    <cfRule type="duplicateValues" dxfId="571" priority="505"/>
  </conditionalFormatting>
  <conditionalFormatting sqref="A620">
    <cfRule type="duplicateValues" dxfId="570" priority="504"/>
  </conditionalFormatting>
  <conditionalFormatting sqref="A618">
    <cfRule type="duplicateValues" dxfId="569" priority="503"/>
  </conditionalFormatting>
  <conditionalFormatting sqref="A618">
    <cfRule type="duplicateValues" dxfId="568" priority="502"/>
  </conditionalFormatting>
  <conditionalFormatting sqref="A619">
    <cfRule type="duplicateValues" dxfId="567" priority="501"/>
  </conditionalFormatting>
  <conditionalFormatting sqref="A619">
    <cfRule type="duplicateValues" dxfId="566" priority="500"/>
  </conditionalFormatting>
  <conditionalFormatting sqref="A1032">
    <cfRule type="duplicateValues" dxfId="565" priority="499"/>
  </conditionalFormatting>
  <conditionalFormatting sqref="A1032">
    <cfRule type="duplicateValues" dxfId="564" priority="498"/>
  </conditionalFormatting>
  <conditionalFormatting sqref="A74">
    <cfRule type="duplicateValues" dxfId="563" priority="497"/>
  </conditionalFormatting>
  <conditionalFormatting sqref="A74">
    <cfRule type="duplicateValues" dxfId="562" priority="496"/>
  </conditionalFormatting>
  <conditionalFormatting sqref="A1360">
    <cfRule type="duplicateValues" dxfId="561" priority="495"/>
  </conditionalFormatting>
  <conditionalFormatting sqref="A165">
    <cfRule type="duplicateValues" dxfId="560" priority="494"/>
  </conditionalFormatting>
  <conditionalFormatting sqref="A165">
    <cfRule type="duplicateValues" dxfId="559" priority="493"/>
  </conditionalFormatting>
  <conditionalFormatting sqref="A166">
    <cfRule type="duplicateValues" dxfId="558" priority="492"/>
  </conditionalFormatting>
  <conditionalFormatting sqref="A166">
    <cfRule type="duplicateValues" dxfId="557" priority="491"/>
  </conditionalFormatting>
  <conditionalFormatting sqref="A1429">
    <cfRule type="duplicateValues" dxfId="556" priority="490"/>
  </conditionalFormatting>
  <conditionalFormatting sqref="A1429">
    <cfRule type="duplicateValues" dxfId="555" priority="489"/>
  </conditionalFormatting>
  <conditionalFormatting sqref="A1246">
    <cfRule type="duplicateValues" dxfId="554" priority="488"/>
  </conditionalFormatting>
  <conditionalFormatting sqref="A1246">
    <cfRule type="duplicateValues" dxfId="553" priority="487"/>
  </conditionalFormatting>
  <conditionalFormatting sqref="A1080">
    <cfRule type="duplicateValues" dxfId="552" priority="486"/>
  </conditionalFormatting>
  <conditionalFormatting sqref="A1080">
    <cfRule type="duplicateValues" dxfId="551" priority="485"/>
  </conditionalFormatting>
  <conditionalFormatting sqref="A169">
    <cfRule type="duplicateValues" dxfId="550" priority="484"/>
  </conditionalFormatting>
  <conditionalFormatting sqref="A169">
    <cfRule type="duplicateValues" dxfId="549" priority="483"/>
  </conditionalFormatting>
  <conditionalFormatting sqref="A170">
    <cfRule type="duplicateValues" dxfId="548" priority="482"/>
  </conditionalFormatting>
  <conditionalFormatting sqref="A170">
    <cfRule type="duplicateValues" dxfId="547" priority="481"/>
  </conditionalFormatting>
  <conditionalFormatting sqref="A827">
    <cfRule type="duplicateValues" dxfId="546" priority="480"/>
  </conditionalFormatting>
  <conditionalFormatting sqref="A827">
    <cfRule type="duplicateValues" dxfId="545" priority="479"/>
  </conditionalFormatting>
  <conditionalFormatting sqref="A721">
    <cfRule type="duplicateValues" dxfId="544" priority="478"/>
  </conditionalFormatting>
  <conditionalFormatting sqref="A721">
    <cfRule type="duplicateValues" dxfId="543" priority="477"/>
  </conditionalFormatting>
  <conditionalFormatting sqref="A727">
    <cfRule type="duplicateValues" dxfId="542" priority="476"/>
  </conditionalFormatting>
  <conditionalFormatting sqref="A727">
    <cfRule type="duplicateValues" dxfId="541" priority="475"/>
  </conditionalFormatting>
  <conditionalFormatting sqref="A728">
    <cfRule type="duplicateValues" dxfId="540" priority="474"/>
  </conditionalFormatting>
  <conditionalFormatting sqref="A728">
    <cfRule type="duplicateValues" dxfId="539" priority="473"/>
  </conditionalFormatting>
  <conditionalFormatting sqref="A1134">
    <cfRule type="duplicateValues" dxfId="538" priority="472"/>
  </conditionalFormatting>
  <conditionalFormatting sqref="A1134">
    <cfRule type="duplicateValues" dxfId="537" priority="471"/>
  </conditionalFormatting>
  <conditionalFormatting sqref="A1075">
    <cfRule type="duplicateValues" dxfId="536" priority="470"/>
  </conditionalFormatting>
  <conditionalFormatting sqref="A1075">
    <cfRule type="duplicateValues" dxfId="535" priority="469"/>
  </conditionalFormatting>
  <conditionalFormatting sqref="A190">
    <cfRule type="duplicateValues" dxfId="534" priority="468"/>
  </conditionalFormatting>
  <conditionalFormatting sqref="A190">
    <cfRule type="duplicateValues" dxfId="533" priority="467"/>
  </conditionalFormatting>
  <conditionalFormatting sqref="A595:A596">
    <cfRule type="duplicateValues" dxfId="532" priority="466"/>
  </conditionalFormatting>
  <conditionalFormatting sqref="A595:A596">
    <cfRule type="duplicateValues" dxfId="531" priority="465"/>
  </conditionalFormatting>
  <conditionalFormatting sqref="A1314">
    <cfRule type="duplicateValues" dxfId="530" priority="464"/>
  </conditionalFormatting>
  <conditionalFormatting sqref="A1314">
    <cfRule type="duplicateValues" dxfId="529" priority="463"/>
  </conditionalFormatting>
  <conditionalFormatting sqref="A1315">
    <cfRule type="duplicateValues" dxfId="528" priority="462"/>
  </conditionalFormatting>
  <conditionalFormatting sqref="A1315">
    <cfRule type="duplicateValues" dxfId="527" priority="461"/>
  </conditionalFormatting>
  <conditionalFormatting sqref="A1310">
    <cfRule type="duplicateValues" dxfId="526" priority="460"/>
  </conditionalFormatting>
  <conditionalFormatting sqref="A1310">
    <cfRule type="duplicateValues" dxfId="525" priority="459"/>
  </conditionalFormatting>
  <conditionalFormatting sqref="A1311">
    <cfRule type="duplicateValues" dxfId="524" priority="458"/>
  </conditionalFormatting>
  <conditionalFormatting sqref="A1311">
    <cfRule type="duplicateValues" dxfId="523" priority="457"/>
  </conditionalFormatting>
  <conditionalFormatting sqref="A1308">
    <cfRule type="duplicateValues" dxfId="522" priority="456"/>
  </conditionalFormatting>
  <conditionalFormatting sqref="A1308">
    <cfRule type="duplicateValues" dxfId="521" priority="455"/>
  </conditionalFormatting>
  <conditionalFormatting sqref="A1309">
    <cfRule type="duplicateValues" dxfId="520" priority="454"/>
  </conditionalFormatting>
  <conditionalFormatting sqref="A1309">
    <cfRule type="duplicateValues" dxfId="519" priority="453"/>
  </conditionalFormatting>
  <conditionalFormatting sqref="A1389">
    <cfRule type="duplicateValues" dxfId="518" priority="452"/>
  </conditionalFormatting>
  <conditionalFormatting sqref="A274">
    <cfRule type="duplicateValues" dxfId="517" priority="451"/>
  </conditionalFormatting>
  <conditionalFormatting sqref="A274">
    <cfRule type="duplicateValues" dxfId="516" priority="450"/>
  </conditionalFormatting>
  <conditionalFormatting sqref="A1138:A1139">
    <cfRule type="duplicateValues" dxfId="515" priority="449"/>
  </conditionalFormatting>
  <conditionalFormatting sqref="A1138:A1139">
    <cfRule type="duplicateValues" dxfId="514" priority="448"/>
  </conditionalFormatting>
  <conditionalFormatting sqref="A1312">
    <cfRule type="duplicateValues" dxfId="513" priority="447"/>
  </conditionalFormatting>
  <conditionalFormatting sqref="A1312">
    <cfRule type="duplicateValues" dxfId="512" priority="446"/>
  </conditionalFormatting>
  <conditionalFormatting sqref="A1313">
    <cfRule type="duplicateValues" dxfId="511" priority="445"/>
  </conditionalFormatting>
  <conditionalFormatting sqref="A1313">
    <cfRule type="duplicateValues" dxfId="510" priority="444"/>
  </conditionalFormatting>
  <conditionalFormatting sqref="A177">
    <cfRule type="duplicateValues" dxfId="509" priority="443"/>
  </conditionalFormatting>
  <conditionalFormatting sqref="A177">
    <cfRule type="duplicateValues" dxfId="508" priority="442"/>
  </conditionalFormatting>
  <conditionalFormatting sqref="A176">
    <cfRule type="duplicateValues" dxfId="507" priority="441"/>
  </conditionalFormatting>
  <conditionalFormatting sqref="A176">
    <cfRule type="duplicateValues" dxfId="506" priority="440"/>
  </conditionalFormatting>
  <conditionalFormatting sqref="A606">
    <cfRule type="duplicateValues" dxfId="505" priority="439"/>
  </conditionalFormatting>
  <conditionalFormatting sqref="A606">
    <cfRule type="duplicateValues" dxfId="504" priority="438"/>
  </conditionalFormatting>
  <conditionalFormatting sqref="A607">
    <cfRule type="duplicateValues" dxfId="503" priority="437"/>
  </conditionalFormatting>
  <conditionalFormatting sqref="A915">
    <cfRule type="duplicateValues" dxfId="502" priority="436"/>
  </conditionalFormatting>
  <conditionalFormatting sqref="A915">
    <cfRule type="duplicateValues" dxfId="501" priority="435"/>
  </conditionalFormatting>
  <conditionalFormatting sqref="A916">
    <cfRule type="duplicateValues" dxfId="500" priority="434"/>
  </conditionalFormatting>
  <conditionalFormatting sqref="A916">
    <cfRule type="duplicateValues" dxfId="499" priority="433"/>
  </conditionalFormatting>
  <conditionalFormatting sqref="A765">
    <cfRule type="duplicateValues" dxfId="498" priority="432"/>
  </conditionalFormatting>
  <conditionalFormatting sqref="A765">
    <cfRule type="duplicateValues" dxfId="497" priority="431"/>
  </conditionalFormatting>
  <conditionalFormatting sqref="A1114">
    <cfRule type="duplicateValues" dxfId="496" priority="430"/>
  </conditionalFormatting>
  <conditionalFormatting sqref="A1114">
    <cfRule type="duplicateValues" dxfId="495" priority="429"/>
  </conditionalFormatting>
  <conditionalFormatting sqref="A367">
    <cfRule type="duplicateValues" dxfId="494" priority="428"/>
  </conditionalFormatting>
  <conditionalFormatting sqref="A367">
    <cfRule type="duplicateValues" dxfId="493" priority="427"/>
  </conditionalFormatting>
  <conditionalFormatting sqref="A823">
    <cfRule type="duplicateValues" dxfId="492" priority="426"/>
  </conditionalFormatting>
  <conditionalFormatting sqref="A823">
    <cfRule type="duplicateValues" dxfId="491" priority="425"/>
  </conditionalFormatting>
  <conditionalFormatting sqref="A824">
    <cfRule type="duplicateValues" dxfId="490" priority="424"/>
  </conditionalFormatting>
  <conditionalFormatting sqref="A824">
    <cfRule type="duplicateValues" dxfId="489" priority="423"/>
  </conditionalFormatting>
  <conditionalFormatting sqref="A1433:A1434">
    <cfRule type="duplicateValues" dxfId="488" priority="422"/>
  </conditionalFormatting>
  <conditionalFormatting sqref="A1435">
    <cfRule type="duplicateValues" dxfId="487" priority="421"/>
  </conditionalFormatting>
  <conditionalFormatting sqref="A1435">
    <cfRule type="duplicateValues" dxfId="486" priority="420"/>
  </conditionalFormatting>
  <conditionalFormatting sqref="A1436">
    <cfRule type="duplicateValues" dxfId="485" priority="419"/>
  </conditionalFormatting>
  <conditionalFormatting sqref="A1331">
    <cfRule type="duplicateValues" dxfId="484" priority="418"/>
  </conditionalFormatting>
  <conditionalFormatting sqref="A1331">
    <cfRule type="duplicateValues" dxfId="483" priority="417"/>
  </conditionalFormatting>
  <conditionalFormatting sqref="A1041">
    <cfRule type="duplicateValues" dxfId="482" priority="416"/>
  </conditionalFormatting>
  <conditionalFormatting sqref="A1041">
    <cfRule type="duplicateValues" dxfId="481" priority="415"/>
  </conditionalFormatting>
  <conditionalFormatting sqref="A894">
    <cfRule type="duplicateValues" dxfId="480" priority="414"/>
  </conditionalFormatting>
  <conditionalFormatting sqref="A716">
    <cfRule type="duplicateValues" dxfId="479" priority="413"/>
  </conditionalFormatting>
  <conditionalFormatting sqref="A716">
    <cfRule type="duplicateValues" dxfId="478" priority="412"/>
  </conditionalFormatting>
  <conditionalFormatting sqref="A1065">
    <cfRule type="duplicateValues" dxfId="477" priority="411"/>
  </conditionalFormatting>
  <conditionalFormatting sqref="A1065">
    <cfRule type="duplicateValues" dxfId="476" priority="410"/>
  </conditionalFormatting>
  <conditionalFormatting sqref="A1064">
    <cfRule type="duplicateValues" dxfId="475" priority="409"/>
  </conditionalFormatting>
  <conditionalFormatting sqref="A1064">
    <cfRule type="duplicateValues" dxfId="474" priority="408"/>
  </conditionalFormatting>
  <conditionalFormatting sqref="A586">
    <cfRule type="duplicateValues" dxfId="473" priority="407"/>
  </conditionalFormatting>
  <conditionalFormatting sqref="A586">
    <cfRule type="duplicateValues" dxfId="472" priority="406"/>
  </conditionalFormatting>
  <conditionalFormatting sqref="A516">
    <cfRule type="duplicateValues" dxfId="471" priority="405"/>
  </conditionalFormatting>
  <conditionalFormatting sqref="A516">
    <cfRule type="duplicateValues" dxfId="470" priority="404"/>
  </conditionalFormatting>
  <conditionalFormatting sqref="A1340">
    <cfRule type="duplicateValues" dxfId="469" priority="403"/>
  </conditionalFormatting>
  <conditionalFormatting sqref="A1340">
    <cfRule type="duplicateValues" dxfId="468" priority="402"/>
  </conditionalFormatting>
  <conditionalFormatting sqref="A1409">
    <cfRule type="duplicateValues" dxfId="467" priority="401"/>
  </conditionalFormatting>
  <conditionalFormatting sqref="A812">
    <cfRule type="duplicateValues" dxfId="466" priority="400"/>
  </conditionalFormatting>
  <conditionalFormatting sqref="A812">
    <cfRule type="duplicateValues" dxfId="465" priority="399"/>
  </conditionalFormatting>
  <conditionalFormatting sqref="A1044">
    <cfRule type="duplicateValues" dxfId="464" priority="398"/>
  </conditionalFormatting>
  <conditionalFormatting sqref="A1044">
    <cfRule type="duplicateValues" dxfId="463" priority="397"/>
  </conditionalFormatting>
  <conditionalFormatting sqref="A480">
    <cfRule type="duplicateValues" dxfId="462" priority="396"/>
  </conditionalFormatting>
  <conditionalFormatting sqref="A480">
    <cfRule type="duplicateValues" dxfId="461" priority="395"/>
  </conditionalFormatting>
  <conditionalFormatting sqref="A1381">
    <cfRule type="duplicateValues" dxfId="460" priority="394"/>
  </conditionalFormatting>
  <conditionalFormatting sqref="A1255:A1256">
    <cfRule type="duplicateValues" dxfId="459" priority="393"/>
  </conditionalFormatting>
  <conditionalFormatting sqref="A1255:A1256">
    <cfRule type="duplicateValues" dxfId="458" priority="392"/>
  </conditionalFormatting>
  <conditionalFormatting sqref="A134">
    <cfRule type="duplicateValues" dxfId="457" priority="391"/>
  </conditionalFormatting>
  <conditionalFormatting sqref="A134">
    <cfRule type="duplicateValues" dxfId="456" priority="390"/>
  </conditionalFormatting>
  <conditionalFormatting sqref="A135">
    <cfRule type="duplicateValues" dxfId="455" priority="389"/>
  </conditionalFormatting>
  <conditionalFormatting sqref="A135">
    <cfRule type="duplicateValues" dxfId="454" priority="388"/>
  </conditionalFormatting>
  <conditionalFormatting sqref="A33">
    <cfRule type="duplicateValues" dxfId="453" priority="387"/>
  </conditionalFormatting>
  <conditionalFormatting sqref="A33">
    <cfRule type="duplicateValues" dxfId="452" priority="386"/>
  </conditionalFormatting>
  <conditionalFormatting sqref="A972">
    <cfRule type="duplicateValues" dxfId="451" priority="385"/>
  </conditionalFormatting>
  <conditionalFormatting sqref="A972">
    <cfRule type="duplicateValues" dxfId="450" priority="384"/>
  </conditionalFormatting>
  <conditionalFormatting sqref="A587">
    <cfRule type="duplicateValues" dxfId="449" priority="383"/>
  </conditionalFormatting>
  <conditionalFormatting sqref="A587">
    <cfRule type="duplicateValues" dxfId="448" priority="382"/>
  </conditionalFormatting>
  <conditionalFormatting sqref="A669">
    <cfRule type="duplicateValues" dxfId="447" priority="381"/>
  </conditionalFormatting>
  <conditionalFormatting sqref="A668">
    <cfRule type="duplicateValues" dxfId="446" priority="380"/>
  </conditionalFormatting>
  <conditionalFormatting sqref="A668:A669">
    <cfRule type="duplicateValues" dxfId="445" priority="379"/>
  </conditionalFormatting>
  <conditionalFormatting sqref="A1415">
    <cfRule type="duplicateValues" dxfId="444" priority="378"/>
  </conditionalFormatting>
  <conditionalFormatting sqref="A1415">
    <cfRule type="duplicateValues" dxfId="443" priority="377"/>
  </conditionalFormatting>
  <conditionalFormatting sqref="A1416">
    <cfRule type="duplicateValues" dxfId="442" priority="376"/>
  </conditionalFormatting>
  <conditionalFormatting sqref="A1416">
    <cfRule type="duplicateValues" dxfId="441" priority="375"/>
  </conditionalFormatting>
  <conditionalFormatting sqref="A140">
    <cfRule type="duplicateValues" dxfId="440" priority="374"/>
  </conditionalFormatting>
  <conditionalFormatting sqref="A140">
    <cfRule type="duplicateValues" dxfId="439" priority="373"/>
  </conditionalFormatting>
  <conditionalFormatting sqref="A821">
    <cfRule type="duplicateValues" dxfId="438" priority="372"/>
  </conditionalFormatting>
  <conditionalFormatting sqref="A821">
    <cfRule type="duplicateValues" dxfId="437" priority="371"/>
  </conditionalFormatting>
  <conditionalFormatting sqref="A816">
    <cfRule type="duplicateValues" dxfId="436" priority="370"/>
  </conditionalFormatting>
  <conditionalFormatting sqref="A816">
    <cfRule type="duplicateValues" dxfId="435" priority="369"/>
  </conditionalFormatting>
  <conditionalFormatting sqref="A1437">
    <cfRule type="duplicateValues" dxfId="434" priority="368"/>
  </conditionalFormatting>
  <conditionalFormatting sqref="A152:A153">
    <cfRule type="duplicateValues" dxfId="433" priority="367"/>
  </conditionalFormatting>
  <conditionalFormatting sqref="A152:A153">
    <cfRule type="duplicateValues" dxfId="432" priority="366"/>
  </conditionalFormatting>
  <conditionalFormatting sqref="A249">
    <cfRule type="duplicateValues" dxfId="431" priority="365"/>
  </conditionalFormatting>
  <conditionalFormatting sqref="A249">
    <cfRule type="duplicateValues" dxfId="430" priority="364"/>
  </conditionalFormatting>
  <conditionalFormatting sqref="A1039">
    <cfRule type="duplicateValues" dxfId="429" priority="363"/>
  </conditionalFormatting>
  <conditionalFormatting sqref="A1039">
    <cfRule type="duplicateValues" dxfId="428" priority="362"/>
  </conditionalFormatting>
  <conditionalFormatting sqref="A78">
    <cfRule type="duplicateValues" dxfId="427" priority="361"/>
  </conditionalFormatting>
  <conditionalFormatting sqref="A78">
    <cfRule type="duplicateValues" dxfId="426" priority="360"/>
  </conditionalFormatting>
  <conditionalFormatting sqref="A77">
    <cfRule type="duplicateValues" dxfId="425" priority="359"/>
  </conditionalFormatting>
  <conditionalFormatting sqref="A77">
    <cfRule type="duplicateValues" dxfId="424" priority="358"/>
  </conditionalFormatting>
  <conditionalFormatting sqref="A973">
    <cfRule type="duplicateValues" dxfId="423" priority="357"/>
  </conditionalFormatting>
  <conditionalFormatting sqref="A973">
    <cfRule type="duplicateValues" dxfId="422" priority="356"/>
  </conditionalFormatting>
  <conditionalFormatting sqref="A141">
    <cfRule type="duplicateValues" dxfId="421" priority="355"/>
  </conditionalFormatting>
  <conditionalFormatting sqref="A141">
    <cfRule type="duplicateValues" dxfId="420" priority="354"/>
  </conditionalFormatting>
  <conditionalFormatting sqref="A1341:B1341 J1341:K1341">
    <cfRule type="duplicateValues" dxfId="419" priority="353"/>
  </conditionalFormatting>
  <conditionalFormatting sqref="A1341:B1341">
    <cfRule type="duplicateValues" dxfId="418" priority="352"/>
  </conditionalFormatting>
  <conditionalFormatting sqref="A1342">
    <cfRule type="duplicateValues" dxfId="417" priority="351"/>
  </conditionalFormatting>
  <conditionalFormatting sqref="A1342">
    <cfRule type="duplicateValues" dxfId="416" priority="350"/>
  </conditionalFormatting>
  <conditionalFormatting sqref="A1407">
    <cfRule type="duplicateValues" dxfId="415" priority="349"/>
  </conditionalFormatting>
  <conditionalFormatting sqref="A1401">
    <cfRule type="duplicateValues" dxfId="414" priority="348"/>
  </conditionalFormatting>
  <conditionalFormatting sqref="A1399">
    <cfRule type="duplicateValues" dxfId="413" priority="347"/>
  </conditionalFormatting>
  <conditionalFormatting sqref="A1055">
    <cfRule type="duplicateValues" dxfId="412" priority="346"/>
  </conditionalFormatting>
  <conditionalFormatting sqref="A1055">
    <cfRule type="duplicateValues" dxfId="411" priority="345"/>
  </conditionalFormatting>
  <conditionalFormatting sqref="A705">
    <cfRule type="duplicateValues" dxfId="410" priority="344"/>
  </conditionalFormatting>
  <conditionalFormatting sqref="A705">
    <cfRule type="duplicateValues" dxfId="409" priority="343"/>
  </conditionalFormatting>
  <conditionalFormatting sqref="A1439">
    <cfRule type="duplicateValues" dxfId="408" priority="342"/>
  </conditionalFormatting>
  <conditionalFormatting sqref="A1440">
    <cfRule type="duplicateValues" dxfId="407" priority="341"/>
  </conditionalFormatting>
  <conditionalFormatting sqref="A275">
    <cfRule type="duplicateValues" dxfId="406" priority="340"/>
  </conditionalFormatting>
  <conditionalFormatting sqref="A275">
    <cfRule type="duplicateValues" dxfId="405" priority="339"/>
  </conditionalFormatting>
  <conditionalFormatting sqref="A1446">
    <cfRule type="duplicateValues" dxfId="404" priority="338"/>
  </conditionalFormatting>
  <conditionalFormatting sqref="A1446">
    <cfRule type="duplicateValues" dxfId="403" priority="337"/>
  </conditionalFormatting>
  <conditionalFormatting sqref="A1444">
    <cfRule type="duplicateValues" dxfId="402" priority="336"/>
  </conditionalFormatting>
  <conditionalFormatting sqref="A1444">
    <cfRule type="duplicateValues" dxfId="401" priority="335"/>
  </conditionalFormatting>
  <conditionalFormatting sqref="A1443">
    <cfRule type="duplicateValues" dxfId="400" priority="334"/>
  </conditionalFormatting>
  <conditionalFormatting sqref="A1443">
    <cfRule type="duplicateValues" dxfId="399" priority="333"/>
  </conditionalFormatting>
  <conditionalFormatting sqref="A1045">
    <cfRule type="duplicateValues" dxfId="398" priority="332"/>
  </conditionalFormatting>
  <conditionalFormatting sqref="A1045">
    <cfRule type="duplicateValues" dxfId="397" priority="331"/>
  </conditionalFormatting>
  <conditionalFormatting sqref="A888">
    <cfRule type="duplicateValues" dxfId="396" priority="330"/>
  </conditionalFormatting>
  <conditionalFormatting sqref="A888">
    <cfRule type="duplicateValues" dxfId="395" priority="329"/>
  </conditionalFormatting>
  <conditionalFormatting sqref="A889">
    <cfRule type="duplicateValues" dxfId="394" priority="328"/>
  </conditionalFormatting>
  <conditionalFormatting sqref="A889">
    <cfRule type="duplicateValues" dxfId="393" priority="327"/>
  </conditionalFormatting>
  <conditionalFormatting sqref="A1447">
    <cfRule type="duplicateValues" dxfId="392" priority="326"/>
  </conditionalFormatting>
  <conditionalFormatting sqref="A1209">
    <cfRule type="duplicateValues" dxfId="391" priority="325"/>
  </conditionalFormatting>
  <conditionalFormatting sqref="A1209">
    <cfRule type="duplicateValues" dxfId="390" priority="324"/>
  </conditionalFormatting>
  <conditionalFormatting sqref="A1124">
    <cfRule type="duplicateValues" dxfId="389" priority="323"/>
  </conditionalFormatting>
  <conditionalFormatting sqref="A1124">
    <cfRule type="duplicateValues" dxfId="388" priority="322"/>
  </conditionalFormatting>
  <conditionalFormatting sqref="A811">
    <cfRule type="duplicateValues" dxfId="387" priority="321"/>
  </conditionalFormatting>
  <conditionalFormatting sqref="A811">
    <cfRule type="duplicateValues" dxfId="386" priority="320"/>
  </conditionalFormatting>
  <conditionalFormatting sqref="A1395">
    <cfRule type="duplicateValues" dxfId="385" priority="319"/>
  </conditionalFormatting>
  <conditionalFormatting sqref="A892">
    <cfRule type="duplicateValues" dxfId="384" priority="318"/>
  </conditionalFormatting>
  <conditionalFormatting sqref="A1210">
    <cfRule type="duplicateValues" dxfId="383" priority="317"/>
  </conditionalFormatting>
  <conditionalFormatting sqref="A1210">
    <cfRule type="duplicateValues" dxfId="382" priority="316"/>
  </conditionalFormatting>
  <conditionalFormatting sqref="A782">
    <cfRule type="duplicateValues" dxfId="381" priority="315"/>
  </conditionalFormatting>
  <conditionalFormatting sqref="A782">
    <cfRule type="duplicateValues" dxfId="380" priority="314"/>
  </conditionalFormatting>
  <conditionalFormatting sqref="A1451">
    <cfRule type="duplicateValues" dxfId="379" priority="312"/>
  </conditionalFormatting>
  <conditionalFormatting sqref="A1451">
    <cfRule type="duplicateValues" dxfId="378" priority="313"/>
  </conditionalFormatting>
  <conditionalFormatting sqref="A1452">
    <cfRule type="duplicateValues" dxfId="377" priority="311"/>
  </conditionalFormatting>
  <conditionalFormatting sqref="A704">
    <cfRule type="duplicateValues" dxfId="376" priority="310"/>
  </conditionalFormatting>
  <conditionalFormatting sqref="A704">
    <cfRule type="duplicateValues" dxfId="375" priority="309"/>
  </conditionalFormatting>
  <conditionalFormatting sqref="A123">
    <cfRule type="duplicateValues" dxfId="374" priority="308"/>
  </conditionalFormatting>
  <conditionalFormatting sqref="A123">
    <cfRule type="duplicateValues" dxfId="373" priority="307"/>
  </conditionalFormatting>
  <conditionalFormatting sqref="A124">
    <cfRule type="duplicateValues" dxfId="372" priority="306"/>
  </conditionalFormatting>
  <conditionalFormatting sqref="A124">
    <cfRule type="duplicateValues" dxfId="371" priority="305"/>
  </conditionalFormatting>
  <conditionalFormatting sqref="A1430">
    <cfRule type="duplicateValues" dxfId="370" priority="304"/>
  </conditionalFormatting>
  <conditionalFormatting sqref="A1430">
    <cfRule type="duplicateValues" dxfId="369" priority="303"/>
  </conditionalFormatting>
  <conditionalFormatting sqref="A1431">
    <cfRule type="duplicateValues" dxfId="368" priority="302"/>
  </conditionalFormatting>
  <conditionalFormatting sqref="A1431">
    <cfRule type="duplicateValues" dxfId="367" priority="301"/>
  </conditionalFormatting>
  <conditionalFormatting sqref="A188">
    <cfRule type="duplicateValues" dxfId="366" priority="300"/>
  </conditionalFormatting>
  <conditionalFormatting sqref="A188">
    <cfRule type="duplicateValues" dxfId="365" priority="299"/>
  </conditionalFormatting>
  <conditionalFormatting sqref="A837">
    <cfRule type="duplicateValues" dxfId="364" priority="298"/>
  </conditionalFormatting>
  <conditionalFormatting sqref="A837">
    <cfRule type="duplicateValues" dxfId="363" priority="297"/>
  </conditionalFormatting>
  <conditionalFormatting sqref="A834">
    <cfRule type="duplicateValues" dxfId="362" priority="296"/>
  </conditionalFormatting>
  <conditionalFormatting sqref="A834">
    <cfRule type="duplicateValues" dxfId="361" priority="295"/>
  </conditionalFormatting>
  <conditionalFormatting sqref="A835">
    <cfRule type="duplicateValues" dxfId="360" priority="294"/>
  </conditionalFormatting>
  <conditionalFormatting sqref="A835">
    <cfRule type="duplicateValues" dxfId="359" priority="293"/>
  </conditionalFormatting>
  <conditionalFormatting sqref="A836">
    <cfRule type="duplicateValues" dxfId="358" priority="292"/>
  </conditionalFormatting>
  <conditionalFormatting sqref="A836">
    <cfRule type="duplicateValues" dxfId="357" priority="291"/>
  </conditionalFormatting>
  <conditionalFormatting sqref="A1426">
    <cfRule type="duplicateValues" dxfId="356" priority="290"/>
  </conditionalFormatting>
  <conditionalFormatting sqref="A1426">
    <cfRule type="duplicateValues" dxfId="355" priority="289"/>
  </conditionalFormatting>
  <conditionalFormatting sqref="A1427">
    <cfRule type="duplicateValues" dxfId="354" priority="288"/>
  </conditionalFormatting>
  <conditionalFormatting sqref="A1427">
    <cfRule type="duplicateValues" dxfId="353" priority="287"/>
  </conditionalFormatting>
  <conditionalFormatting sqref="A331">
    <cfRule type="duplicateValues" dxfId="352" priority="286"/>
  </conditionalFormatting>
  <conditionalFormatting sqref="A331">
    <cfRule type="duplicateValues" dxfId="351" priority="285"/>
  </conditionalFormatting>
  <conditionalFormatting sqref="A661">
    <cfRule type="duplicateValues" dxfId="350" priority="284"/>
  </conditionalFormatting>
  <conditionalFormatting sqref="A660">
    <cfRule type="duplicateValues" dxfId="349" priority="283"/>
  </conditionalFormatting>
  <conditionalFormatting sqref="A660:A661">
    <cfRule type="duplicateValues" dxfId="348" priority="282"/>
  </conditionalFormatting>
  <conditionalFormatting sqref="A647">
    <cfRule type="duplicateValues" dxfId="347" priority="281"/>
  </conditionalFormatting>
  <conditionalFormatting sqref="A647">
    <cfRule type="duplicateValues" dxfId="346" priority="280"/>
  </conditionalFormatting>
  <conditionalFormatting sqref="A650">
    <cfRule type="duplicateValues" dxfId="345" priority="279"/>
  </conditionalFormatting>
  <conditionalFormatting sqref="A650">
    <cfRule type="duplicateValues" dxfId="344" priority="278"/>
  </conditionalFormatting>
  <conditionalFormatting sqref="A1398">
    <cfRule type="duplicateValues" dxfId="343" priority="277"/>
  </conditionalFormatting>
  <conditionalFormatting sqref="A1400">
    <cfRule type="duplicateValues" dxfId="342" priority="276"/>
  </conditionalFormatting>
  <conditionalFormatting sqref="A1400">
    <cfRule type="duplicateValues" dxfId="341" priority="275"/>
  </conditionalFormatting>
  <conditionalFormatting sqref="A1453">
    <cfRule type="duplicateValues" dxfId="340" priority="274"/>
  </conditionalFormatting>
  <conditionalFormatting sqref="A1455">
    <cfRule type="duplicateValues" dxfId="339" priority="273"/>
  </conditionalFormatting>
  <conditionalFormatting sqref="A1455">
    <cfRule type="duplicateValues" dxfId="338" priority="272"/>
  </conditionalFormatting>
  <conditionalFormatting sqref="A1457">
    <cfRule type="duplicateValues" dxfId="337" priority="271"/>
  </conditionalFormatting>
  <conditionalFormatting sqref="A1457">
    <cfRule type="duplicateValues" dxfId="336" priority="270"/>
  </conditionalFormatting>
  <conditionalFormatting sqref="A616">
    <cfRule type="duplicateValues" dxfId="335" priority="269"/>
  </conditionalFormatting>
  <conditionalFormatting sqref="A616">
    <cfRule type="duplicateValues" dxfId="334" priority="268"/>
  </conditionalFormatting>
  <conditionalFormatting sqref="A1336">
    <cfRule type="duplicateValues" dxfId="333" priority="267"/>
  </conditionalFormatting>
  <conditionalFormatting sqref="A1336">
    <cfRule type="duplicateValues" dxfId="332" priority="266"/>
  </conditionalFormatting>
  <conditionalFormatting sqref="A1120">
    <cfRule type="duplicateValues" dxfId="331" priority="265"/>
  </conditionalFormatting>
  <conditionalFormatting sqref="A1120">
    <cfRule type="duplicateValues" dxfId="330" priority="264"/>
  </conditionalFormatting>
  <conditionalFormatting sqref="A1194">
    <cfRule type="duplicateValues" dxfId="329" priority="263"/>
  </conditionalFormatting>
  <conditionalFormatting sqref="A1194">
    <cfRule type="duplicateValues" dxfId="328" priority="262"/>
  </conditionalFormatting>
  <conditionalFormatting sqref="A1201">
    <cfRule type="duplicateValues" dxfId="327" priority="261"/>
  </conditionalFormatting>
  <conditionalFormatting sqref="A1201">
    <cfRule type="duplicateValues" dxfId="326" priority="260"/>
  </conditionalFormatting>
  <conditionalFormatting sqref="A411">
    <cfRule type="duplicateValues" dxfId="325" priority="259"/>
  </conditionalFormatting>
  <conditionalFormatting sqref="A411">
    <cfRule type="duplicateValues" dxfId="324" priority="258"/>
  </conditionalFormatting>
  <conditionalFormatting sqref="A412">
    <cfRule type="duplicateValues" dxfId="323" priority="257"/>
  </conditionalFormatting>
  <conditionalFormatting sqref="A412">
    <cfRule type="duplicateValues" dxfId="322" priority="256"/>
  </conditionalFormatting>
  <conditionalFormatting sqref="A167">
    <cfRule type="duplicateValues" dxfId="321" priority="255"/>
  </conditionalFormatting>
  <conditionalFormatting sqref="A167">
    <cfRule type="duplicateValues" dxfId="320" priority="254"/>
  </conditionalFormatting>
  <conditionalFormatting sqref="A168">
    <cfRule type="duplicateValues" dxfId="319" priority="253"/>
  </conditionalFormatting>
  <conditionalFormatting sqref="A168">
    <cfRule type="duplicateValues" dxfId="318" priority="252"/>
  </conditionalFormatting>
  <conditionalFormatting sqref="A394">
    <cfRule type="duplicateValues" dxfId="317" priority="251"/>
  </conditionalFormatting>
  <conditionalFormatting sqref="A394">
    <cfRule type="duplicateValues" dxfId="316" priority="250"/>
  </conditionalFormatting>
  <conditionalFormatting sqref="A1222">
    <cfRule type="duplicateValues" dxfId="315" priority="249"/>
  </conditionalFormatting>
  <conditionalFormatting sqref="A1222">
    <cfRule type="duplicateValues" dxfId="314" priority="248"/>
  </conditionalFormatting>
  <conditionalFormatting sqref="A1224">
    <cfRule type="duplicateValues" dxfId="313" priority="247"/>
  </conditionalFormatting>
  <conditionalFormatting sqref="A1224">
    <cfRule type="duplicateValues" dxfId="312" priority="246"/>
  </conditionalFormatting>
  <conditionalFormatting sqref="A255">
    <cfRule type="duplicateValues" dxfId="311" priority="245"/>
  </conditionalFormatting>
  <conditionalFormatting sqref="A255">
    <cfRule type="duplicateValues" dxfId="310" priority="244"/>
  </conditionalFormatting>
  <conditionalFormatting sqref="A1459">
    <cfRule type="duplicateValues" dxfId="309" priority="242"/>
  </conditionalFormatting>
  <conditionalFormatting sqref="A1459">
    <cfRule type="duplicateValues" dxfId="308" priority="243"/>
  </conditionalFormatting>
  <conditionalFormatting sqref="A1460">
    <cfRule type="duplicateValues" dxfId="307" priority="240"/>
  </conditionalFormatting>
  <conditionalFormatting sqref="A1460">
    <cfRule type="duplicateValues" dxfId="306" priority="241"/>
  </conditionalFormatting>
  <conditionalFormatting sqref="A1394">
    <cfRule type="duplicateValues" dxfId="305" priority="239"/>
  </conditionalFormatting>
  <conditionalFormatting sqref="A648">
    <cfRule type="duplicateValues" dxfId="304" priority="238"/>
  </conditionalFormatting>
  <conditionalFormatting sqref="A648">
    <cfRule type="duplicateValues" dxfId="303" priority="237"/>
  </conditionalFormatting>
  <conditionalFormatting sqref="A1462">
    <cfRule type="duplicateValues" dxfId="302" priority="236"/>
  </conditionalFormatting>
  <conditionalFormatting sqref="A1462">
    <cfRule type="duplicateValues" dxfId="301" priority="235"/>
  </conditionalFormatting>
  <conditionalFormatting sqref="A580">
    <cfRule type="duplicateValues" dxfId="300" priority="234"/>
  </conditionalFormatting>
  <conditionalFormatting sqref="A580">
    <cfRule type="duplicateValues" dxfId="299" priority="233"/>
  </conditionalFormatting>
  <conditionalFormatting sqref="A579">
    <cfRule type="duplicateValues" dxfId="298" priority="232"/>
  </conditionalFormatting>
  <conditionalFormatting sqref="A579">
    <cfRule type="duplicateValues" dxfId="297" priority="231"/>
  </conditionalFormatting>
  <conditionalFormatting sqref="A1257:A1258">
    <cfRule type="duplicateValues" dxfId="296" priority="230"/>
  </conditionalFormatting>
  <conditionalFormatting sqref="A1257:A1258">
    <cfRule type="duplicateValues" dxfId="295" priority="229"/>
  </conditionalFormatting>
  <conditionalFormatting sqref="A1223">
    <cfRule type="duplicateValues" dxfId="294" priority="228"/>
  </conditionalFormatting>
  <conditionalFormatting sqref="A1223">
    <cfRule type="duplicateValues" dxfId="293" priority="227"/>
  </conditionalFormatting>
  <conditionalFormatting sqref="A324">
    <cfRule type="duplicateValues" dxfId="292" priority="226"/>
  </conditionalFormatting>
  <conditionalFormatting sqref="A324">
    <cfRule type="duplicateValues" dxfId="291" priority="225"/>
  </conditionalFormatting>
  <conditionalFormatting sqref="A1465">
    <cfRule type="duplicateValues" dxfId="290" priority="224"/>
  </conditionalFormatting>
  <conditionalFormatting sqref="A1465">
    <cfRule type="duplicateValues" dxfId="289" priority="223"/>
  </conditionalFormatting>
  <conditionalFormatting sqref="A1028">
    <cfRule type="duplicateValues" dxfId="288" priority="222"/>
  </conditionalFormatting>
  <conditionalFormatting sqref="A1028">
    <cfRule type="duplicateValues" dxfId="287" priority="221"/>
  </conditionalFormatting>
  <conditionalFormatting sqref="A632">
    <cfRule type="duplicateValues" dxfId="286" priority="220"/>
  </conditionalFormatting>
  <conditionalFormatting sqref="A632">
    <cfRule type="duplicateValues" dxfId="285" priority="219"/>
  </conditionalFormatting>
  <conditionalFormatting sqref="A614">
    <cfRule type="duplicateValues" dxfId="284" priority="218"/>
  </conditionalFormatting>
  <conditionalFormatting sqref="A614">
    <cfRule type="duplicateValues" dxfId="283" priority="217"/>
  </conditionalFormatting>
  <conditionalFormatting sqref="A121">
    <cfRule type="duplicateValues" dxfId="282" priority="216"/>
  </conditionalFormatting>
  <conditionalFormatting sqref="A121">
    <cfRule type="duplicateValues" dxfId="281" priority="215"/>
  </conditionalFormatting>
  <conditionalFormatting sqref="A1469">
    <cfRule type="duplicateValues" dxfId="280" priority="214"/>
  </conditionalFormatting>
  <conditionalFormatting sqref="A1470">
    <cfRule type="duplicateValues" dxfId="279" priority="213"/>
  </conditionalFormatting>
  <conditionalFormatting sqref="A1470">
    <cfRule type="duplicateValues" dxfId="278" priority="212"/>
  </conditionalFormatting>
  <conditionalFormatting sqref="A1471">
    <cfRule type="duplicateValues" dxfId="277" priority="211"/>
  </conditionalFormatting>
  <conditionalFormatting sqref="A1200">
    <cfRule type="duplicateValues" dxfId="276" priority="210"/>
  </conditionalFormatting>
  <conditionalFormatting sqref="A1200">
    <cfRule type="duplicateValues" dxfId="275" priority="209"/>
  </conditionalFormatting>
  <conditionalFormatting sqref="A1132">
    <cfRule type="duplicateValues" dxfId="274" priority="208"/>
  </conditionalFormatting>
  <conditionalFormatting sqref="A1132">
    <cfRule type="duplicateValues" dxfId="273" priority="207"/>
  </conditionalFormatting>
  <conditionalFormatting sqref="A1133">
    <cfRule type="duplicateValues" dxfId="272" priority="206"/>
  </conditionalFormatting>
  <conditionalFormatting sqref="A1133">
    <cfRule type="duplicateValues" dxfId="271" priority="205"/>
  </conditionalFormatting>
  <conditionalFormatting sqref="A833">
    <cfRule type="duplicateValues" dxfId="270" priority="204"/>
  </conditionalFormatting>
  <conditionalFormatting sqref="A833">
    <cfRule type="duplicateValues" dxfId="269" priority="203"/>
  </conditionalFormatting>
  <conditionalFormatting sqref="A1116">
    <cfRule type="duplicateValues" dxfId="268" priority="202"/>
  </conditionalFormatting>
  <conditionalFormatting sqref="A1116">
    <cfRule type="duplicateValues" dxfId="267" priority="201"/>
  </conditionalFormatting>
  <conditionalFormatting sqref="A850">
    <cfRule type="duplicateValues" dxfId="266" priority="200"/>
  </conditionalFormatting>
  <conditionalFormatting sqref="A850">
    <cfRule type="duplicateValues" dxfId="265" priority="199"/>
  </conditionalFormatting>
  <conditionalFormatting sqref="A832">
    <cfRule type="duplicateValues" dxfId="264" priority="198"/>
  </conditionalFormatting>
  <conditionalFormatting sqref="A832">
    <cfRule type="duplicateValues" dxfId="263" priority="197"/>
  </conditionalFormatting>
  <conditionalFormatting sqref="A608">
    <cfRule type="duplicateValues" dxfId="262" priority="196"/>
  </conditionalFormatting>
  <conditionalFormatting sqref="A608">
    <cfRule type="duplicateValues" dxfId="261" priority="195"/>
  </conditionalFormatting>
  <conditionalFormatting sqref="A609">
    <cfRule type="duplicateValues" dxfId="260" priority="194"/>
  </conditionalFormatting>
  <conditionalFormatting sqref="A609">
    <cfRule type="duplicateValues" dxfId="259" priority="193"/>
  </conditionalFormatting>
  <conditionalFormatting sqref="A610">
    <cfRule type="duplicateValues" dxfId="258" priority="192"/>
  </conditionalFormatting>
  <conditionalFormatting sqref="A610">
    <cfRule type="duplicateValues" dxfId="257" priority="191"/>
  </conditionalFormatting>
  <conditionalFormatting sqref="A611">
    <cfRule type="duplicateValues" dxfId="256" priority="190"/>
  </conditionalFormatting>
  <conditionalFormatting sqref="A611">
    <cfRule type="duplicateValues" dxfId="255" priority="189"/>
  </conditionalFormatting>
  <conditionalFormatting sqref="A612">
    <cfRule type="duplicateValues" dxfId="254" priority="188"/>
  </conditionalFormatting>
  <conditionalFormatting sqref="A612">
    <cfRule type="duplicateValues" dxfId="253" priority="187"/>
  </conditionalFormatting>
  <conditionalFormatting sqref="A613">
    <cfRule type="duplicateValues" dxfId="252" priority="186"/>
  </conditionalFormatting>
  <conditionalFormatting sqref="A613">
    <cfRule type="duplicateValues" dxfId="251" priority="185"/>
  </conditionalFormatting>
  <conditionalFormatting sqref="A802">
    <cfRule type="duplicateValues" dxfId="250" priority="184"/>
  </conditionalFormatting>
  <conditionalFormatting sqref="A802">
    <cfRule type="duplicateValues" dxfId="249" priority="183"/>
  </conditionalFormatting>
  <conditionalFormatting sqref="A801">
    <cfRule type="duplicateValues" dxfId="248" priority="182"/>
  </conditionalFormatting>
  <conditionalFormatting sqref="A801">
    <cfRule type="duplicateValues" dxfId="247" priority="181"/>
  </conditionalFormatting>
  <conditionalFormatting sqref="A1450:B1450">
    <cfRule type="duplicateValues" dxfId="246" priority="179"/>
  </conditionalFormatting>
  <conditionalFormatting sqref="A1450:B1450">
    <cfRule type="duplicateValues" dxfId="245" priority="180"/>
  </conditionalFormatting>
  <conditionalFormatting sqref="A1449">
    <cfRule type="duplicateValues" dxfId="244" priority="177"/>
  </conditionalFormatting>
  <conditionalFormatting sqref="A1449">
    <cfRule type="duplicateValues" dxfId="243" priority="178"/>
  </conditionalFormatting>
  <conditionalFormatting sqref="A1448:B1448">
    <cfRule type="duplicateValues" dxfId="242" priority="175"/>
  </conditionalFormatting>
  <conditionalFormatting sqref="A1448:B1448">
    <cfRule type="duplicateValues" dxfId="241" priority="176"/>
  </conditionalFormatting>
  <conditionalFormatting sqref="A162">
    <cfRule type="duplicateValues" dxfId="240" priority="174"/>
  </conditionalFormatting>
  <conditionalFormatting sqref="A162">
    <cfRule type="duplicateValues" dxfId="239" priority="173"/>
  </conditionalFormatting>
  <conditionalFormatting sqref="A1179">
    <cfRule type="duplicateValues" dxfId="238" priority="172"/>
  </conditionalFormatting>
  <conditionalFormatting sqref="A1179">
    <cfRule type="duplicateValues" dxfId="237" priority="171"/>
  </conditionalFormatting>
  <conditionalFormatting sqref="A634">
    <cfRule type="duplicateValues" dxfId="236" priority="170"/>
  </conditionalFormatting>
  <conditionalFormatting sqref="A634">
    <cfRule type="duplicateValues" dxfId="235" priority="169"/>
  </conditionalFormatting>
  <conditionalFormatting sqref="A633">
    <cfRule type="duplicateValues" dxfId="234" priority="168"/>
  </conditionalFormatting>
  <conditionalFormatting sqref="A633">
    <cfRule type="duplicateValues" dxfId="233" priority="167"/>
  </conditionalFormatting>
  <conditionalFormatting sqref="A691">
    <cfRule type="duplicateValues" dxfId="232" priority="166"/>
  </conditionalFormatting>
  <conditionalFormatting sqref="A691">
    <cfRule type="duplicateValues" dxfId="231" priority="165"/>
  </conditionalFormatting>
  <conditionalFormatting sqref="A692">
    <cfRule type="duplicateValues" dxfId="230" priority="164"/>
  </conditionalFormatting>
  <conditionalFormatting sqref="A692">
    <cfRule type="duplicateValues" dxfId="229" priority="163"/>
  </conditionalFormatting>
  <conditionalFormatting sqref="A623">
    <cfRule type="duplicateValues" dxfId="228" priority="162"/>
  </conditionalFormatting>
  <conditionalFormatting sqref="A623">
    <cfRule type="duplicateValues" dxfId="227" priority="161"/>
  </conditionalFormatting>
  <conditionalFormatting sqref="A622">
    <cfRule type="duplicateValues" dxfId="226" priority="160"/>
  </conditionalFormatting>
  <conditionalFormatting sqref="A622">
    <cfRule type="duplicateValues" dxfId="225" priority="159"/>
  </conditionalFormatting>
  <conditionalFormatting sqref="A918">
    <cfRule type="duplicateValues" dxfId="224" priority="158"/>
  </conditionalFormatting>
  <conditionalFormatting sqref="A918">
    <cfRule type="duplicateValues" dxfId="223" priority="157"/>
  </conditionalFormatting>
  <conditionalFormatting sqref="A919">
    <cfRule type="duplicateValues" dxfId="222" priority="156"/>
  </conditionalFormatting>
  <conditionalFormatting sqref="A919">
    <cfRule type="duplicateValues" dxfId="221" priority="155"/>
  </conditionalFormatting>
  <conditionalFormatting sqref="A1473 A300">
    <cfRule type="duplicateValues" dxfId="220" priority="154"/>
  </conditionalFormatting>
  <conditionalFormatting sqref="A982">
    <cfRule type="duplicateValues" dxfId="219" priority="153"/>
  </conditionalFormatting>
  <conditionalFormatting sqref="A982">
    <cfRule type="duplicateValues" dxfId="218" priority="152"/>
  </conditionalFormatting>
  <conditionalFormatting sqref="A983">
    <cfRule type="duplicateValues" dxfId="217" priority="151"/>
  </conditionalFormatting>
  <conditionalFormatting sqref="A983">
    <cfRule type="duplicateValues" dxfId="216" priority="150"/>
  </conditionalFormatting>
  <conditionalFormatting sqref="A1474">
    <cfRule type="duplicateValues" dxfId="215" priority="149"/>
  </conditionalFormatting>
  <conditionalFormatting sqref="A1474">
    <cfRule type="duplicateValues" dxfId="214" priority="148"/>
  </conditionalFormatting>
  <conditionalFormatting sqref="A745">
    <cfRule type="duplicateValues" dxfId="213" priority="147"/>
  </conditionalFormatting>
  <conditionalFormatting sqref="A745">
    <cfRule type="duplicateValues" dxfId="212" priority="146"/>
  </conditionalFormatting>
  <conditionalFormatting sqref="A744">
    <cfRule type="duplicateValues" dxfId="211" priority="145"/>
  </conditionalFormatting>
  <conditionalFormatting sqref="A744">
    <cfRule type="duplicateValues" dxfId="210" priority="144"/>
  </conditionalFormatting>
  <conditionalFormatting sqref="A225">
    <cfRule type="duplicateValues" dxfId="209" priority="143"/>
  </conditionalFormatting>
  <conditionalFormatting sqref="A225">
    <cfRule type="duplicateValues" dxfId="208" priority="142"/>
  </conditionalFormatting>
  <conditionalFormatting sqref="A226">
    <cfRule type="duplicateValues" dxfId="207" priority="141"/>
  </conditionalFormatting>
  <conditionalFormatting sqref="A226">
    <cfRule type="duplicateValues" dxfId="206" priority="140"/>
  </conditionalFormatting>
  <conditionalFormatting sqref="A143">
    <cfRule type="duplicateValues" dxfId="205" priority="139"/>
  </conditionalFormatting>
  <conditionalFormatting sqref="A143">
    <cfRule type="duplicateValues" dxfId="204" priority="138"/>
  </conditionalFormatting>
  <conditionalFormatting sqref="A144">
    <cfRule type="duplicateValues" dxfId="203" priority="137"/>
  </conditionalFormatting>
  <conditionalFormatting sqref="A144">
    <cfRule type="duplicateValues" dxfId="202" priority="136"/>
  </conditionalFormatting>
  <conditionalFormatting sqref="A884">
    <cfRule type="duplicateValues" dxfId="201" priority="135"/>
  </conditionalFormatting>
  <conditionalFormatting sqref="A884">
    <cfRule type="duplicateValues" dxfId="200" priority="134"/>
  </conditionalFormatting>
  <conditionalFormatting sqref="A1176">
    <cfRule type="duplicateValues" dxfId="199" priority="133"/>
  </conditionalFormatting>
  <conditionalFormatting sqref="A1176">
    <cfRule type="duplicateValues" dxfId="198" priority="132"/>
  </conditionalFormatting>
  <conditionalFormatting sqref="A743">
    <cfRule type="duplicateValues" dxfId="197" priority="131"/>
  </conditionalFormatting>
  <conditionalFormatting sqref="A743">
    <cfRule type="duplicateValues" dxfId="196" priority="130"/>
  </conditionalFormatting>
  <conditionalFormatting sqref="A742">
    <cfRule type="duplicateValues" dxfId="195" priority="129"/>
  </conditionalFormatting>
  <conditionalFormatting sqref="A742">
    <cfRule type="duplicateValues" dxfId="194" priority="128"/>
  </conditionalFormatting>
  <conditionalFormatting sqref="A1445">
    <cfRule type="duplicateValues" dxfId="193" priority="127"/>
  </conditionalFormatting>
  <conditionalFormatting sqref="A1445">
    <cfRule type="duplicateValues" dxfId="192" priority="126"/>
  </conditionalFormatting>
  <conditionalFormatting sqref="A1076">
    <cfRule type="duplicateValues" dxfId="191" priority="125"/>
  </conditionalFormatting>
  <conditionalFormatting sqref="A1076">
    <cfRule type="duplicateValues" dxfId="190" priority="124"/>
  </conditionalFormatting>
  <conditionalFormatting sqref="A1477">
    <cfRule type="duplicateValues" dxfId="189" priority="123"/>
  </conditionalFormatting>
  <conditionalFormatting sqref="A1477">
    <cfRule type="duplicateValues" dxfId="188" priority="122"/>
  </conditionalFormatting>
  <conditionalFormatting sqref="A1478:A1479">
    <cfRule type="duplicateValues" dxfId="187" priority="121"/>
  </conditionalFormatting>
  <conditionalFormatting sqref="A410">
    <cfRule type="duplicateValues" dxfId="186" priority="120"/>
  </conditionalFormatting>
  <conditionalFormatting sqref="A410">
    <cfRule type="duplicateValues" dxfId="185" priority="119"/>
  </conditionalFormatting>
  <conditionalFormatting sqref="A409">
    <cfRule type="duplicateValues" dxfId="184" priority="118"/>
  </conditionalFormatting>
  <conditionalFormatting sqref="A409">
    <cfRule type="duplicateValues" dxfId="183" priority="117"/>
  </conditionalFormatting>
  <conditionalFormatting sqref="A674">
    <cfRule type="duplicateValues" dxfId="182" priority="116"/>
  </conditionalFormatting>
  <conditionalFormatting sqref="A674">
    <cfRule type="duplicateValues" dxfId="181" priority="115"/>
  </conditionalFormatting>
  <conditionalFormatting sqref="A675">
    <cfRule type="duplicateValues" dxfId="180" priority="114"/>
  </conditionalFormatting>
  <conditionalFormatting sqref="A675">
    <cfRule type="duplicateValues" dxfId="179" priority="113"/>
  </conditionalFormatting>
  <conditionalFormatting sqref="A1487:A1488">
    <cfRule type="duplicateValues" dxfId="178" priority="112"/>
  </conditionalFormatting>
  <conditionalFormatting sqref="A1487:A1488">
    <cfRule type="duplicateValues" dxfId="177" priority="111"/>
  </conditionalFormatting>
  <conditionalFormatting sqref="A1494">
    <cfRule type="duplicateValues" dxfId="176" priority="110"/>
  </conditionalFormatting>
  <conditionalFormatting sqref="A1494">
    <cfRule type="duplicateValues" dxfId="175" priority="109"/>
  </conditionalFormatting>
  <conditionalFormatting sqref="A155:A156">
    <cfRule type="duplicateValues" dxfId="174" priority="108"/>
  </conditionalFormatting>
  <conditionalFormatting sqref="A155:A156">
    <cfRule type="duplicateValues" dxfId="173" priority="107"/>
  </conditionalFormatting>
  <conditionalFormatting sqref="A157:A158">
    <cfRule type="duplicateValues" dxfId="172" priority="106"/>
  </conditionalFormatting>
  <conditionalFormatting sqref="A157:A158">
    <cfRule type="duplicateValues" dxfId="171" priority="105"/>
  </conditionalFormatting>
  <conditionalFormatting sqref="A1014">
    <cfRule type="duplicateValues" dxfId="170" priority="104"/>
  </conditionalFormatting>
  <conditionalFormatting sqref="A1014">
    <cfRule type="duplicateValues" dxfId="169" priority="103"/>
  </conditionalFormatting>
  <conditionalFormatting sqref="A210">
    <cfRule type="duplicateValues" dxfId="168" priority="102"/>
  </conditionalFormatting>
  <conditionalFormatting sqref="A210">
    <cfRule type="duplicateValues" dxfId="167" priority="101"/>
  </conditionalFormatting>
  <conditionalFormatting sqref="A320">
    <cfRule type="duplicateValues" dxfId="166" priority="100"/>
  </conditionalFormatting>
  <conditionalFormatting sqref="A320">
    <cfRule type="duplicateValues" dxfId="165" priority="99"/>
  </conditionalFormatting>
  <conditionalFormatting sqref="A319">
    <cfRule type="duplicateValues" dxfId="164" priority="98"/>
  </conditionalFormatting>
  <conditionalFormatting sqref="A319">
    <cfRule type="duplicateValues" dxfId="163" priority="97"/>
  </conditionalFormatting>
  <conditionalFormatting sqref="A624:A625">
    <cfRule type="duplicateValues" dxfId="162" priority="96"/>
  </conditionalFormatting>
  <conditionalFormatting sqref="A624:A625">
    <cfRule type="duplicateValues" dxfId="161" priority="95"/>
  </conditionalFormatting>
  <conditionalFormatting sqref="A339">
    <cfRule type="duplicateValues" dxfId="160" priority="94"/>
  </conditionalFormatting>
  <conditionalFormatting sqref="A339">
    <cfRule type="duplicateValues" dxfId="159" priority="93"/>
  </conditionalFormatting>
  <conditionalFormatting sqref="A1501">
    <cfRule type="duplicateValues" dxfId="158" priority="91"/>
  </conditionalFormatting>
  <conditionalFormatting sqref="A1501">
    <cfRule type="duplicateValues" dxfId="157" priority="92"/>
  </conditionalFormatting>
  <conditionalFormatting sqref="A1500">
    <cfRule type="duplicateValues" dxfId="156" priority="89"/>
  </conditionalFormatting>
  <conditionalFormatting sqref="A1500">
    <cfRule type="duplicateValues" dxfId="155" priority="90"/>
  </conditionalFormatting>
  <conditionalFormatting sqref="A1502:A1503">
    <cfRule type="duplicateValues" dxfId="154" priority="88"/>
  </conditionalFormatting>
  <conditionalFormatting sqref="A1502:A1503">
    <cfRule type="duplicateValues" dxfId="153" priority="87"/>
  </conditionalFormatting>
  <conditionalFormatting sqref="A1506">
    <cfRule type="duplicateValues" dxfId="152" priority="86"/>
  </conditionalFormatting>
  <conditionalFormatting sqref="A1506">
    <cfRule type="duplicateValues" dxfId="151" priority="85"/>
  </conditionalFormatting>
  <conditionalFormatting sqref="A1517">
    <cfRule type="duplicateValues" dxfId="150" priority="84"/>
  </conditionalFormatting>
  <conditionalFormatting sqref="A1517">
    <cfRule type="duplicateValues" dxfId="149" priority="83"/>
  </conditionalFormatting>
  <conditionalFormatting sqref="A1518">
    <cfRule type="duplicateValues" dxfId="148" priority="82"/>
  </conditionalFormatting>
  <conditionalFormatting sqref="A1518">
    <cfRule type="duplicateValues" dxfId="147" priority="81"/>
  </conditionalFormatting>
  <conditionalFormatting sqref="A1519">
    <cfRule type="duplicateValues" dxfId="146" priority="80"/>
  </conditionalFormatting>
  <conditionalFormatting sqref="A1519">
    <cfRule type="duplicateValues" dxfId="145" priority="79"/>
  </conditionalFormatting>
  <conditionalFormatting sqref="A189">
    <cfRule type="duplicateValues" dxfId="144" priority="78"/>
  </conditionalFormatting>
  <conditionalFormatting sqref="A189">
    <cfRule type="duplicateValues" dxfId="143" priority="77"/>
  </conditionalFormatting>
  <conditionalFormatting sqref="A85">
    <cfRule type="duplicateValues" dxfId="142" priority="76"/>
  </conditionalFormatting>
  <conditionalFormatting sqref="A85">
    <cfRule type="duplicateValues" dxfId="141" priority="75"/>
  </conditionalFormatting>
  <conditionalFormatting sqref="A164">
    <cfRule type="duplicateValues" dxfId="140" priority="74"/>
  </conditionalFormatting>
  <conditionalFormatting sqref="A164">
    <cfRule type="duplicateValues" dxfId="139" priority="73"/>
  </conditionalFormatting>
  <conditionalFormatting sqref="A931">
    <cfRule type="duplicateValues" dxfId="138" priority="72"/>
  </conditionalFormatting>
  <conditionalFormatting sqref="A931">
    <cfRule type="duplicateValues" dxfId="137" priority="71"/>
  </conditionalFormatting>
  <conditionalFormatting sqref="A1466">
    <cfRule type="duplicateValues" dxfId="136" priority="70"/>
  </conditionalFormatting>
  <conditionalFormatting sqref="A1466">
    <cfRule type="duplicateValues" dxfId="135" priority="69"/>
  </conditionalFormatting>
  <conditionalFormatting sqref="A1607">
    <cfRule type="duplicateValues" dxfId="134" priority="68"/>
  </conditionalFormatting>
  <conditionalFormatting sqref="A1607">
    <cfRule type="duplicateValues" dxfId="133" priority="67"/>
  </conditionalFormatting>
  <conditionalFormatting sqref="A67">
    <cfRule type="duplicateValues" dxfId="132" priority="66"/>
  </conditionalFormatting>
  <conditionalFormatting sqref="A67">
    <cfRule type="duplicateValues" dxfId="131" priority="65"/>
  </conditionalFormatting>
  <conditionalFormatting sqref="A1324">
    <cfRule type="duplicateValues" dxfId="130" priority="64"/>
  </conditionalFormatting>
  <conditionalFormatting sqref="A1324">
    <cfRule type="duplicateValues" dxfId="129" priority="63"/>
  </conditionalFormatting>
  <conditionalFormatting sqref="A1325">
    <cfRule type="duplicateValues" dxfId="128" priority="62"/>
  </conditionalFormatting>
  <conditionalFormatting sqref="A1325">
    <cfRule type="duplicateValues" dxfId="127" priority="61"/>
  </conditionalFormatting>
  <conditionalFormatting sqref="A1610">
    <cfRule type="duplicateValues" dxfId="126" priority="60"/>
  </conditionalFormatting>
  <conditionalFormatting sqref="A1610">
    <cfRule type="duplicateValues" dxfId="125" priority="59"/>
  </conditionalFormatting>
  <conditionalFormatting sqref="A1608">
    <cfRule type="duplicateValues" dxfId="124" priority="58"/>
  </conditionalFormatting>
  <conditionalFormatting sqref="A1608">
    <cfRule type="duplicateValues" dxfId="123" priority="57"/>
  </conditionalFormatting>
  <conditionalFormatting sqref="A1609">
    <cfRule type="duplicateValues" dxfId="122" priority="56"/>
  </conditionalFormatting>
  <conditionalFormatting sqref="A1609">
    <cfRule type="duplicateValues" dxfId="121" priority="55"/>
  </conditionalFormatting>
  <conditionalFormatting sqref="A1611">
    <cfRule type="duplicateValues" dxfId="120" priority="54"/>
  </conditionalFormatting>
  <conditionalFormatting sqref="A1611">
    <cfRule type="duplicateValues" dxfId="119" priority="53"/>
  </conditionalFormatting>
  <conditionalFormatting sqref="A1100:A1101">
    <cfRule type="duplicateValues" dxfId="118" priority="52"/>
  </conditionalFormatting>
  <conditionalFormatting sqref="A1100:A1101">
    <cfRule type="duplicateValues" dxfId="117" priority="51"/>
  </conditionalFormatting>
  <conditionalFormatting sqref="A844">
    <cfRule type="duplicateValues" dxfId="116" priority="50"/>
  </conditionalFormatting>
  <conditionalFormatting sqref="A844">
    <cfRule type="duplicateValues" dxfId="115" priority="49"/>
  </conditionalFormatting>
  <conditionalFormatting sqref="A845">
    <cfRule type="duplicateValues" dxfId="114" priority="48"/>
  </conditionalFormatting>
  <conditionalFormatting sqref="A845">
    <cfRule type="duplicateValues" dxfId="113" priority="47"/>
  </conditionalFormatting>
  <conditionalFormatting sqref="A846">
    <cfRule type="duplicateValues" dxfId="112" priority="46"/>
  </conditionalFormatting>
  <conditionalFormatting sqref="A846">
    <cfRule type="duplicateValues" dxfId="111" priority="45"/>
  </conditionalFormatting>
  <conditionalFormatting sqref="A1642 A1621">
    <cfRule type="duplicateValues" dxfId="110" priority="44"/>
  </conditionalFormatting>
  <conditionalFormatting sqref="A1613">
    <cfRule type="duplicateValues" dxfId="109" priority="43"/>
  </conditionalFormatting>
  <conditionalFormatting sqref="A1615">
    <cfRule type="duplicateValues" dxfId="108" priority="42"/>
  </conditionalFormatting>
  <conditionalFormatting sqref="A1617">
    <cfRule type="duplicateValues" dxfId="107" priority="41"/>
  </conditionalFormatting>
  <conditionalFormatting sqref="A1619">
    <cfRule type="duplicateValues" dxfId="106" priority="40"/>
  </conditionalFormatting>
  <conditionalFormatting sqref="A1612">
    <cfRule type="duplicateValues" dxfId="105" priority="39"/>
  </conditionalFormatting>
  <conditionalFormatting sqref="A1614">
    <cfRule type="duplicateValues" dxfId="104" priority="38"/>
  </conditionalFormatting>
  <conditionalFormatting sqref="A1616">
    <cfRule type="duplicateValues" dxfId="103" priority="37"/>
  </conditionalFormatting>
  <conditionalFormatting sqref="A1618">
    <cfRule type="duplicateValues" dxfId="102" priority="36"/>
  </conditionalFormatting>
  <conditionalFormatting sqref="A1620">
    <cfRule type="duplicateValues" dxfId="101" priority="35"/>
  </conditionalFormatting>
  <conditionalFormatting sqref="A1629 A1622 A1625:A1626 A1631:A1632">
    <cfRule type="duplicateValues" dxfId="100" priority="34"/>
  </conditionalFormatting>
  <conditionalFormatting sqref="A1622">
    <cfRule type="duplicateValues" dxfId="99" priority="33"/>
  </conditionalFormatting>
  <conditionalFormatting sqref="A1623">
    <cfRule type="duplicateValues" dxfId="98" priority="32"/>
  </conditionalFormatting>
  <conditionalFormatting sqref="A1623">
    <cfRule type="duplicateValues" dxfId="97" priority="31"/>
  </conditionalFormatting>
  <conditionalFormatting sqref="A1624">
    <cfRule type="duplicateValues" dxfId="96" priority="30"/>
  </conditionalFormatting>
  <conditionalFormatting sqref="A1627">
    <cfRule type="duplicateValues" dxfId="95" priority="29"/>
  </conditionalFormatting>
  <conditionalFormatting sqref="A1628">
    <cfRule type="duplicateValues" dxfId="94" priority="28"/>
  </conditionalFormatting>
  <conditionalFormatting sqref="A1630">
    <cfRule type="duplicateValues" dxfId="93" priority="27"/>
  </conditionalFormatting>
  <conditionalFormatting sqref="A1633">
    <cfRule type="duplicateValues" dxfId="92" priority="26"/>
  </conditionalFormatting>
  <conditionalFormatting sqref="A1634">
    <cfRule type="duplicateValues" dxfId="91" priority="25"/>
  </conditionalFormatting>
  <conditionalFormatting sqref="A1636">
    <cfRule type="duplicateValues" dxfId="90" priority="24"/>
  </conditionalFormatting>
  <conditionalFormatting sqref="A1635">
    <cfRule type="duplicateValues" dxfId="89" priority="23"/>
  </conditionalFormatting>
  <conditionalFormatting sqref="A1637">
    <cfRule type="duplicateValues" dxfId="88" priority="22"/>
  </conditionalFormatting>
  <conditionalFormatting sqref="A1638">
    <cfRule type="duplicateValues" dxfId="87" priority="21"/>
  </conditionalFormatting>
  <conditionalFormatting sqref="A1639">
    <cfRule type="duplicateValues" dxfId="86" priority="20"/>
  </conditionalFormatting>
  <conditionalFormatting sqref="A1640">
    <cfRule type="duplicateValues" dxfId="85" priority="19"/>
  </conditionalFormatting>
  <conditionalFormatting sqref="A1641">
    <cfRule type="duplicateValues" dxfId="84" priority="18"/>
  </conditionalFormatting>
  <conditionalFormatting sqref="A1648 A5:A1261 A1650:A1652 A1263:A1643">
    <cfRule type="duplicateValues" dxfId="83" priority="17"/>
  </conditionalFormatting>
  <conditionalFormatting sqref="A1646">
    <cfRule type="duplicateValues" dxfId="82" priority="16"/>
  </conditionalFormatting>
  <conditionalFormatting sqref="A1646">
    <cfRule type="duplicateValues" dxfId="81" priority="15"/>
  </conditionalFormatting>
  <conditionalFormatting sqref="A1647">
    <cfRule type="duplicateValues" dxfId="80" priority="14"/>
  </conditionalFormatting>
  <conditionalFormatting sqref="A1647">
    <cfRule type="duplicateValues" dxfId="79" priority="13"/>
  </conditionalFormatting>
  <conditionalFormatting sqref="A1649">
    <cfRule type="duplicateValues" dxfId="78" priority="12"/>
  </conditionalFormatting>
  <conditionalFormatting sqref="A1649">
    <cfRule type="duplicateValues" dxfId="77" priority="11"/>
  </conditionalFormatting>
  <conditionalFormatting sqref="A1262">
    <cfRule type="duplicateValues" dxfId="76" priority="10"/>
  </conditionalFormatting>
  <conditionalFormatting sqref="A1262">
    <cfRule type="duplicateValues" dxfId="75" priority="9"/>
  </conditionalFormatting>
  <conditionalFormatting sqref="A1262">
    <cfRule type="duplicateValues" dxfId="74" priority="8"/>
  </conditionalFormatting>
  <conditionalFormatting sqref="A1653">
    <cfRule type="duplicateValues" dxfId="73" priority="7"/>
  </conditionalFormatting>
  <conditionalFormatting sqref="A1653">
    <cfRule type="duplicateValues" dxfId="72" priority="6"/>
  </conditionalFormatting>
  <conditionalFormatting sqref="A1654">
    <cfRule type="duplicateValues" dxfId="71" priority="5"/>
  </conditionalFormatting>
  <conditionalFormatting sqref="A1654">
    <cfRule type="duplicateValues" dxfId="70" priority="4"/>
  </conditionalFormatting>
  <conditionalFormatting sqref="A1655">
    <cfRule type="duplicateValues" dxfId="69" priority="3"/>
  </conditionalFormatting>
  <conditionalFormatting sqref="A1655">
    <cfRule type="duplicateValues" dxfId="68" priority="2"/>
  </conditionalFormatting>
  <conditionalFormatting sqref="A1:A1048576">
    <cfRule type="duplicateValues" dxfId="67" priority="1"/>
  </conditionalFormatting>
  <pageMargins left="0.75" right="0.75" top="1" bottom="1" header="0.5" footer="0.5"/>
  <pageSetup paperSize="9" orientation="portrait" r:id="rId1"/>
  <headerFooter alignWithMargins="0">
    <oddHeader>&amp;L&amp;G&amp;C&amp;F&amp;R文档密级</oddHeader>
    <oddFooter>&amp;L&amp;D&amp;C华为机密，未经许可不得扩散&amp;R第&amp;P页，共&amp;N页</oddFooter>
  </headerFooter>
  <legacyDrawing r:id="rId2"/>
  <legacyDrawingHF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AM430"/>
  <sheetViews>
    <sheetView zoomScaleNormal="100" workbookViewId="0">
      <selection activeCell="C9" sqref="C9:E9"/>
    </sheetView>
  </sheetViews>
  <sheetFormatPr defaultColWidth="8.875" defaultRowHeight="12.95"/>
  <cols>
    <col min="1" max="1" width="4.75" style="11" customWidth="1"/>
    <col min="2" max="2" width="13.625" style="11" customWidth="1"/>
    <col min="3" max="3" width="10" style="11" customWidth="1"/>
    <col min="4" max="4" width="10.875" style="11" customWidth="1"/>
    <col min="5" max="6" width="8.75" style="11" customWidth="1"/>
    <col min="7" max="8" width="8.875" style="11"/>
    <col min="9" max="9" width="9.5" style="11" customWidth="1"/>
    <col min="10" max="12" width="8.875" style="11"/>
    <col min="13" max="13" width="9.625" style="11" customWidth="1"/>
    <col min="14" max="18" width="8.875" style="11"/>
    <col min="19" max="19" width="9.75" style="11" bestFit="1" customWidth="1"/>
    <col min="20" max="21" width="8.875" style="11" customWidth="1"/>
    <col min="22" max="39" width="8.875" style="11" hidden="1" customWidth="1"/>
    <col min="40" max="40" width="0" style="11" hidden="1" customWidth="1"/>
    <col min="41" max="16384" width="8.875" style="11"/>
  </cols>
  <sheetData>
    <row r="2" spans="2:13">
      <c r="B2" s="44" t="s">
        <v>34</v>
      </c>
      <c r="C2" s="44"/>
      <c r="D2" s="44"/>
      <c r="E2" s="44"/>
      <c r="F2" s="42" t="s">
        <v>4</v>
      </c>
      <c r="G2" s="54"/>
      <c r="I2" s="42" t="s">
        <v>5</v>
      </c>
      <c r="J2" s="58"/>
      <c r="K2" s="63"/>
    </row>
    <row r="3" spans="2:13" ht="22.7" customHeight="1">
      <c r="B3" s="11" t="s">
        <v>1814</v>
      </c>
    </row>
    <row r="4" spans="2:13">
      <c r="B4" s="224" t="s">
        <v>35</v>
      </c>
      <c r="C4" s="225"/>
    </row>
    <row r="5" spans="2:13" ht="12.4" customHeight="1">
      <c r="B5" s="65" t="s">
        <v>36</v>
      </c>
      <c r="C5" s="240" t="s">
        <v>1815</v>
      </c>
      <c r="D5" s="231"/>
      <c r="E5" s="231"/>
      <c r="F5" s="35" t="s">
        <v>38</v>
      </c>
      <c r="G5" s="36">
        <f>VLOOKUP($C$5, 太陽電池モジュールリスト!A:J, 6,FALSE)</f>
        <v>13.62</v>
      </c>
      <c r="H5" s="35" t="s">
        <v>39</v>
      </c>
      <c r="I5" s="36">
        <f>VLOOKUP($C$5, 太陽電池モジュールリスト!A:J, 5,FALSE)</f>
        <v>14.25</v>
      </c>
      <c r="J5" s="223" t="s">
        <v>40</v>
      </c>
      <c r="K5" s="223"/>
      <c r="L5" s="37">
        <f>VLOOKUP($C$5, 太陽電池モジュールリスト!A:J, 9,FALSE)</f>
        <v>4.4999999999999999E-4</v>
      </c>
    </row>
    <row r="6" spans="2:13">
      <c r="B6" s="38" t="s">
        <v>41</v>
      </c>
      <c r="C6" s="39">
        <f>VLOOKUP($C$5, 太陽電池モジュールリスト!A:J, 2,FALSE)</f>
        <v>600</v>
      </c>
      <c r="D6" s="38" t="s">
        <v>42</v>
      </c>
      <c r="E6" s="40">
        <f>VLOOKUP($C$5, 太陽電池モジュールリスト!A:J, 7,FALSE)</f>
        <v>-2.8999999999999998E-3</v>
      </c>
      <c r="F6" s="38" t="s">
        <v>43</v>
      </c>
      <c r="G6" s="41">
        <f>VLOOKUP($C$5, 太陽電池モジュールリスト!A:J, 4,FALSE)</f>
        <v>44.06</v>
      </c>
      <c r="H6" s="35" t="s">
        <v>44</v>
      </c>
      <c r="I6" s="41">
        <f>VLOOKUP($C$5, 太陽電池モジュールリスト!A:J, 3,FALSE)</f>
        <v>52.9</v>
      </c>
      <c r="J6" s="223" t="s">
        <v>45</v>
      </c>
      <c r="K6" s="223"/>
      <c r="L6" s="40">
        <f>VLOOKUP($C$5, 太陽電池モジュールリスト!A:J, 8,FALSE)</f>
        <v>-2.5000000000000001E-3</v>
      </c>
    </row>
    <row r="7" spans="2:13" ht="16.7" hidden="1" customHeight="1">
      <c r="B7" s="224" t="s">
        <v>46</v>
      </c>
      <c r="C7" s="232"/>
      <c r="D7" s="225"/>
      <c r="E7" s="74">
        <v>200</v>
      </c>
      <c r="F7" s="233" t="s">
        <v>47</v>
      </c>
      <c r="G7" s="234"/>
      <c r="H7" s="75">
        <f>+E7*C6/1000/VLOOKUP($C$9,$B$110:$P$139,2,FALSE)</f>
        <v>0.96</v>
      </c>
      <c r="I7" s="46"/>
      <c r="J7" s="48"/>
      <c r="K7" s="49"/>
    </row>
    <row r="8" spans="2:13" ht="20.100000000000001" customHeight="1">
      <c r="B8" s="55"/>
      <c r="C8" s="56"/>
      <c r="D8" s="55"/>
      <c r="E8" s="57"/>
      <c r="F8" s="55"/>
      <c r="G8" s="46"/>
      <c r="H8" s="47"/>
      <c r="I8" s="46"/>
      <c r="J8" s="48"/>
      <c r="K8" s="49"/>
    </row>
    <row r="9" spans="2:13">
      <c r="B9" s="31" t="s">
        <v>48</v>
      </c>
      <c r="C9" s="231" t="s">
        <v>1816</v>
      </c>
      <c r="D9" s="231"/>
      <c r="E9" s="231"/>
      <c r="F9" s="65" t="s">
        <v>1817</v>
      </c>
      <c r="G9" s="100">
        <f>VLOOKUP($C$9, $B$119:$P$149,9,FALSE)</f>
        <v>18</v>
      </c>
      <c r="H9" s="223" t="s">
        <v>1818</v>
      </c>
      <c r="I9" s="223"/>
      <c r="J9" s="102">
        <f>VLOOKUP($C$9, $B$119:$P$149, 3,FALSE)</f>
        <v>1500</v>
      </c>
      <c r="K9" s="239" t="s">
        <v>1819</v>
      </c>
      <c r="L9" s="239"/>
      <c r="M9" s="104">
        <f>VLOOKUP($C$9, $B$119:$P$149,7,FALSE)</f>
        <v>50</v>
      </c>
    </row>
    <row r="10" spans="2:13">
      <c r="B10" s="64" t="s">
        <v>1820</v>
      </c>
      <c r="C10" s="111">
        <f>VLOOKUP($C$9, $B$119:$P$149,2,FALSE)</f>
        <v>125</v>
      </c>
      <c r="D10" s="106" t="s">
        <v>1821</v>
      </c>
      <c r="E10" s="99">
        <f>VLOOKUP($C$9, $B$119:$P$149,10,FALSE)</f>
        <v>0.98099999999999998</v>
      </c>
      <c r="F10" s="64" t="s">
        <v>1822</v>
      </c>
      <c r="G10" s="101">
        <f>VLOOKUP($C$9, $B$119:$T$149,18,FALSE)</f>
        <v>9</v>
      </c>
      <c r="H10" s="223" t="s">
        <v>1823</v>
      </c>
      <c r="I10" s="223"/>
      <c r="J10" s="103" t="str">
        <f>VLOOKUP($C$9, $B$119:$P$149,11,FALSE)</f>
        <v>500-1500Ｖ</v>
      </c>
      <c r="K10" s="239" t="s">
        <v>1824</v>
      </c>
      <c r="L10" s="239"/>
      <c r="M10" s="105">
        <f>VLOOKUP($C$9, $B$119:$P$149,8,FALSE)</f>
        <v>30</v>
      </c>
    </row>
    <row r="11" spans="2:13">
      <c r="B11" s="208"/>
      <c r="C11" s="246" t="str">
        <f>IF(OR(C9="SUN2000-125KTL-NHM0  270V",C9="SUN2000-125KTL-NHM0  330V",C9="SUN2000-125KTL-NHM0  380V",C9="SUN2000-62.5KTL-NHM0"),"※リパワリング向けＰＣＳ接続確認時の太陽電池モジュール条件は接続箱で集電された回路数に応じた電流値で検討してください","")</f>
        <v/>
      </c>
      <c r="D11" s="246"/>
      <c r="E11" s="246"/>
      <c r="F11" s="246"/>
      <c r="G11" s="246"/>
      <c r="H11" s="246"/>
      <c r="I11" s="246"/>
      <c r="J11" s="246"/>
      <c r="K11" s="246"/>
      <c r="L11" s="246"/>
      <c r="M11" s="246"/>
    </row>
    <row r="12" spans="2:13" ht="14.45" customHeight="1">
      <c r="B12" s="93"/>
      <c r="C12" s="98"/>
      <c r="D12" s="98"/>
      <c r="E12" s="98"/>
    </row>
    <row r="13" spans="2:13">
      <c r="B13" s="60" t="s">
        <v>50</v>
      </c>
      <c r="E13" s="11" t="s">
        <v>1825</v>
      </c>
      <c r="K13" s="49"/>
    </row>
    <row r="14" spans="2:13">
      <c r="B14" s="226" t="s">
        <v>1826</v>
      </c>
      <c r="C14" s="226"/>
      <c r="E14" s="247"/>
      <c r="F14" s="248"/>
      <c r="G14" s="248"/>
      <c r="H14" s="248"/>
      <c r="I14" s="248"/>
      <c r="J14" s="248"/>
      <c r="K14" s="248"/>
      <c r="L14" s="248"/>
      <c r="M14" s="249"/>
    </row>
    <row r="15" spans="2:13">
      <c r="B15" s="64" t="s">
        <v>55</v>
      </c>
      <c r="C15" s="76">
        <v>40</v>
      </c>
      <c r="E15" s="250"/>
      <c r="F15" s="251"/>
      <c r="G15" s="251"/>
      <c r="H15" s="251"/>
      <c r="I15" s="251"/>
      <c r="J15" s="251"/>
      <c r="K15" s="251"/>
      <c r="L15" s="251"/>
      <c r="M15" s="252"/>
    </row>
    <row r="16" spans="2:13">
      <c r="B16" s="65" t="s">
        <v>59</v>
      </c>
      <c r="C16" s="76">
        <v>-20</v>
      </c>
      <c r="E16" s="253"/>
      <c r="F16" s="254"/>
      <c r="G16" s="254"/>
      <c r="H16" s="254"/>
      <c r="I16" s="254"/>
      <c r="J16" s="254"/>
      <c r="K16" s="254"/>
      <c r="L16" s="254"/>
      <c r="M16" s="255"/>
    </row>
    <row r="17" spans="2:36" hidden="1">
      <c r="B17" s="226" t="s">
        <v>1827</v>
      </c>
      <c r="C17" s="226"/>
      <c r="D17" s="226"/>
      <c r="E17" s="242" t="s">
        <v>53</v>
      </c>
      <c r="F17" s="242"/>
      <c r="G17" s="242"/>
      <c r="H17" s="242" t="s">
        <v>54</v>
      </c>
      <c r="I17" s="242"/>
    </row>
    <row r="18" spans="2:36" hidden="1">
      <c r="B18" s="224" t="s">
        <v>56</v>
      </c>
      <c r="C18" s="225"/>
      <c r="D18" s="76">
        <v>30</v>
      </c>
      <c r="E18" s="224" t="s">
        <v>57</v>
      </c>
      <c r="F18" s="225"/>
      <c r="G18" s="77">
        <v>0</v>
      </c>
      <c r="H18" s="227" t="s">
        <v>1828</v>
      </c>
      <c r="I18" s="227"/>
      <c r="J18" s="243" t="s">
        <v>1829</v>
      </c>
      <c r="K18" s="244"/>
      <c r="L18" s="244"/>
      <c r="M18" s="232"/>
      <c r="N18" s="232"/>
      <c r="O18" s="225"/>
      <c r="P18" s="224" t="s">
        <v>1830</v>
      </c>
      <c r="Q18" s="232"/>
      <c r="R18" s="232"/>
      <c r="S18" s="225"/>
    </row>
    <row r="19" spans="2:36" hidden="1">
      <c r="B19" s="229"/>
      <c r="C19" s="229"/>
      <c r="D19" s="88"/>
      <c r="E19" s="224" t="s">
        <v>60</v>
      </c>
      <c r="F19" s="225"/>
      <c r="G19" s="77">
        <v>0.01</v>
      </c>
      <c r="H19" s="70" t="str">
        <f>IF(H18="非適用","最大短絡電流を超えるパネルの接続は極性の逆接続時の故障リスクが高くなりますのでご注意ください","")</f>
        <v/>
      </c>
      <c r="J19" s="226" t="s">
        <v>1831</v>
      </c>
      <c r="K19" s="226"/>
      <c r="L19" s="180">
        <v>0.87</v>
      </c>
      <c r="P19" s="242" t="s">
        <v>1832</v>
      </c>
      <c r="Q19" s="242"/>
      <c r="R19" s="182" t="s">
        <v>1833</v>
      </c>
    </row>
    <row r="20" spans="2:36" hidden="1">
      <c r="E20" s="45"/>
      <c r="P20" s="226" t="s">
        <v>1834</v>
      </c>
      <c r="Q20" s="226"/>
      <c r="R20" s="179">
        <v>33</v>
      </c>
      <c r="S20" s="226" t="s">
        <v>1835</v>
      </c>
      <c r="T20" s="226"/>
      <c r="U20" s="181">
        <v>20</v>
      </c>
    </row>
    <row r="21" spans="2:36" hidden="1">
      <c r="B21" s="12"/>
      <c r="C21" s="12"/>
      <c r="D21" s="12"/>
      <c r="E21" s="12"/>
      <c r="F21" s="12"/>
      <c r="G21" s="12"/>
      <c r="H21" s="12"/>
      <c r="I21" s="12"/>
      <c r="J21" s="12"/>
      <c r="K21" s="12"/>
      <c r="L21" s="12"/>
    </row>
    <row r="22" spans="2:36" hidden="1">
      <c r="B22" s="97" t="s">
        <v>61</v>
      </c>
      <c r="C22" s="96"/>
      <c r="E22" s="12"/>
      <c r="F22" s="12"/>
    </row>
    <row r="23" spans="2:36" hidden="1">
      <c r="B23" s="42" t="s">
        <v>63</v>
      </c>
      <c r="C23" s="58">
        <f>E108</f>
        <v>21</v>
      </c>
      <c r="D23" s="226" t="s">
        <v>64</v>
      </c>
      <c r="E23" s="226"/>
      <c r="F23" s="226"/>
      <c r="G23" s="58">
        <f>+M107</f>
        <v>2</v>
      </c>
    </row>
    <row r="24" spans="2:36" hidden="1">
      <c r="B24" s="42" t="s">
        <v>65</v>
      </c>
      <c r="C24" s="58">
        <f>IFERROR(MIN(C108,G108,#REF!),C108)</f>
        <v>25</v>
      </c>
      <c r="D24" s="226" t="s">
        <v>66</v>
      </c>
      <c r="E24" s="226"/>
      <c r="F24" s="226"/>
      <c r="G24" s="58">
        <f>+M109</f>
        <v>18</v>
      </c>
      <c r="H24" s="226" t="s">
        <v>67</v>
      </c>
      <c r="I24" s="226"/>
      <c r="J24" s="59" t="e">
        <f>MIN(H7,#REF!)</f>
        <v>#REF!</v>
      </c>
    </row>
    <row r="25" spans="2:36" ht="14.1" customHeight="1"/>
    <row r="26" spans="2:36" ht="14.1" customHeight="1">
      <c r="B26" s="245"/>
      <c r="C26" s="245"/>
      <c r="D26" s="245"/>
      <c r="E26" s="245"/>
      <c r="F26" s="245"/>
      <c r="G26" s="245"/>
      <c r="H26" s="245"/>
      <c r="I26" s="245"/>
      <c r="J26" s="245"/>
      <c r="K26" s="245"/>
      <c r="L26" s="245"/>
    </row>
    <row r="27" spans="2:36">
      <c r="B27" s="219"/>
      <c r="C27" s="220"/>
      <c r="D27" s="42" t="s">
        <v>1836</v>
      </c>
      <c r="E27" s="42" t="s">
        <v>1837</v>
      </c>
      <c r="F27" s="42" t="s">
        <v>1838</v>
      </c>
      <c r="G27" s="42" t="s">
        <v>1839</v>
      </c>
      <c r="H27" s="42" t="s">
        <v>1840</v>
      </c>
      <c r="I27" s="42" t="s">
        <v>1841</v>
      </c>
      <c r="J27" s="42" t="s">
        <v>1842</v>
      </c>
      <c r="K27" s="42" t="s">
        <v>1843</v>
      </c>
      <c r="L27" s="42" t="s">
        <v>1844</v>
      </c>
      <c r="M27" s="42" t="s">
        <v>1845</v>
      </c>
    </row>
    <row r="28" spans="2:36">
      <c r="B28" s="237" t="s">
        <v>1846</v>
      </c>
      <c r="C28" s="237"/>
      <c r="D28" s="202">
        <v>21</v>
      </c>
      <c r="E28" s="202">
        <v>21</v>
      </c>
      <c r="F28" s="202">
        <v>21</v>
      </c>
      <c r="G28" s="202">
        <v>21</v>
      </c>
      <c r="H28" s="202">
        <v>20</v>
      </c>
      <c r="I28" s="202">
        <v>20</v>
      </c>
      <c r="J28" s="202">
        <v>20</v>
      </c>
      <c r="K28" s="202">
        <v>20</v>
      </c>
      <c r="L28" s="202">
        <v>20</v>
      </c>
      <c r="M28" s="202">
        <v>13</v>
      </c>
    </row>
    <row r="29" spans="2:36">
      <c r="B29" s="237" t="s">
        <v>1847</v>
      </c>
      <c r="C29" s="237"/>
      <c r="D29" s="203">
        <v>2</v>
      </c>
      <c r="E29" s="203">
        <v>2</v>
      </c>
      <c r="F29" s="203">
        <v>2</v>
      </c>
      <c r="G29" s="203">
        <v>2</v>
      </c>
      <c r="H29" s="203">
        <v>2</v>
      </c>
      <c r="I29" s="203">
        <v>2</v>
      </c>
      <c r="J29" s="203">
        <v>2</v>
      </c>
      <c r="K29" s="203">
        <v>2</v>
      </c>
      <c r="L29" s="203">
        <v>2</v>
      </c>
      <c r="M29" s="203">
        <v>1</v>
      </c>
    </row>
    <row r="30" spans="2:36">
      <c r="B30" s="237" t="s">
        <v>1848</v>
      </c>
      <c r="C30" s="237"/>
      <c r="D30" s="194">
        <f>D28*D29</f>
        <v>42</v>
      </c>
      <c r="E30" s="194">
        <f t="shared" ref="E30:M30" si="0">E28*E29</f>
        <v>42</v>
      </c>
      <c r="F30" s="194">
        <f t="shared" si="0"/>
        <v>42</v>
      </c>
      <c r="G30" s="194">
        <f t="shared" si="0"/>
        <v>42</v>
      </c>
      <c r="H30" s="194">
        <f t="shared" si="0"/>
        <v>40</v>
      </c>
      <c r="I30" s="194">
        <f t="shared" si="0"/>
        <v>40</v>
      </c>
      <c r="J30" s="194">
        <f t="shared" si="0"/>
        <v>40</v>
      </c>
      <c r="K30" s="194">
        <f t="shared" si="0"/>
        <v>40</v>
      </c>
      <c r="L30" s="194">
        <f t="shared" si="0"/>
        <v>40</v>
      </c>
      <c r="M30" s="194">
        <f t="shared" si="0"/>
        <v>13</v>
      </c>
    </row>
    <row r="31" spans="2:36" ht="12" hidden="1" customHeight="1">
      <c r="B31" s="237" t="s">
        <v>1849</v>
      </c>
      <c r="C31" s="237"/>
      <c r="D31" s="197">
        <f>IF(G$10-1&lt;0,0,1)</f>
        <v>1</v>
      </c>
      <c r="E31" s="197">
        <f>IF($G$10-1.9&lt;0,0,1)</f>
        <v>1</v>
      </c>
      <c r="F31" s="197">
        <f>IF($G$10-2.9&lt;0,0,1)</f>
        <v>1</v>
      </c>
      <c r="G31" s="197">
        <f>IF($G$10-3.9&lt;0,0,1)</f>
        <v>1</v>
      </c>
      <c r="H31" s="197">
        <f>IF($G$10-4.9&lt;0,0,1)</f>
        <v>1</v>
      </c>
      <c r="I31" s="197">
        <f>IF($G$10-5.9&lt;0,0,1)</f>
        <v>1</v>
      </c>
      <c r="J31" s="197">
        <f>IF($G$10-6.9&lt;0,0,1)</f>
        <v>1</v>
      </c>
      <c r="K31" s="197">
        <f>IF($G$10-7.9&lt;0,0,1)</f>
        <v>1</v>
      </c>
      <c r="L31" s="197">
        <f>IF($G$10-8.9&lt;0,0,1)</f>
        <v>1</v>
      </c>
      <c r="M31" s="197">
        <f>IF($G$10-9.9&lt;0,0,1)</f>
        <v>0</v>
      </c>
      <c r="U31" s="11" t="s">
        <v>1850</v>
      </c>
      <c r="V31" s="11">
        <f>(D45/(VLOOKUP($C$9,$B$119:$P$149,2,FALSE)*Z113))</f>
        <v>1.7664000000000002</v>
      </c>
      <c r="W31" s="11" t="s">
        <v>1851</v>
      </c>
      <c r="X31" s="196">
        <f>G10-COUNTIF(D33:M33,"&gt;0")</f>
        <v>0</v>
      </c>
      <c r="Y31" s="11" t="s">
        <v>1852</v>
      </c>
      <c r="Z31" s="11">
        <f>IF(AND(X31&gt;0,MAX(D33:M33)&gt;1),"使用されていないMPPTがあります",1)</f>
        <v>1</v>
      </c>
      <c r="AA31" s="11" t="s">
        <v>1853</v>
      </c>
      <c r="AB31" s="11">
        <f>COUNTIF(D38:M38,"&gt;"&amp;E107)</f>
        <v>4</v>
      </c>
    </row>
    <row r="32" spans="2:36" ht="12" hidden="1" customHeight="1">
      <c r="B32" s="237" t="s">
        <v>1846</v>
      </c>
      <c r="C32" s="237"/>
      <c r="D32" s="197">
        <f>IF(D$31=1,D28,"")</f>
        <v>21</v>
      </c>
      <c r="E32" s="197">
        <f t="shared" ref="E32:M32" si="1">IF(E$31=1,E28,0)</f>
        <v>21</v>
      </c>
      <c r="F32" s="197">
        <f t="shared" si="1"/>
        <v>21</v>
      </c>
      <c r="G32" s="197">
        <f t="shared" si="1"/>
        <v>21</v>
      </c>
      <c r="H32" s="197">
        <f t="shared" si="1"/>
        <v>20</v>
      </c>
      <c r="I32" s="197">
        <f t="shared" si="1"/>
        <v>20</v>
      </c>
      <c r="J32" s="197">
        <f t="shared" si="1"/>
        <v>20</v>
      </c>
      <c r="K32" s="197">
        <f t="shared" si="1"/>
        <v>20</v>
      </c>
      <c r="L32" s="197">
        <f t="shared" si="1"/>
        <v>20</v>
      </c>
      <c r="M32" s="197">
        <f t="shared" si="1"/>
        <v>0</v>
      </c>
      <c r="U32" s="11" t="s">
        <v>1854</v>
      </c>
      <c r="V32" s="11">
        <f>IF(MAX(D37:M37)&lt;$C$107,1,"開放電圧が高いです")</f>
        <v>1</v>
      </c>
      <c r="W32" s="11" t="s">
        <v>1855</v>
      </c>
      <c r="X32" s="11">
        <f>IF(AND($D$40&lt;$I$107),1,"最大動作電圧が高いです")</f>
        <v>1</v>
      </c>
      <c r="Y32" s="11" t="s">
        <v>1856</v>
      </c>
      <c r="Z32" s="11">
        <f>IF(AND(AB34&lt;1,AJ32&gt;AD33),1,"低電圧回路が多すぎます")</f>
        <v>1</v>
      </c>
      <c r="AA32" s="11" t="s">
        <v>1857</v>
      </c>
      <c r="AB32" s="11">
        <f>COUNTIF(D38:M38,"&lt;"&amp;E107)</f>
        <v>6</v>
      </c>
      <c r="AC32" s="11" t="s">
        <v>1858</v>
      </c>
      <c r="AD32" s="196">
        <f>SMALL(D32:M32,COUNTIF(D32:M32,0)+1)</f>
        <v>20</v>
      </c>
      <c r="AE32" s="11" t="s">
        <v>1859</v>
      </c>
      <c r="AF32" s="11">
        <f>VLOOKUP($C$9, $B$119:$Q$149,12,FALSE)</f>
        <v>500</v>
      </c>
      <c r="AG32" s="11">
        <f>VLOOKUP($C$9, $B$119:$Q$149,13,FALSE)</f>
        <v>6.75</v>
      </c>
      <c r="AH32" s="11">
        <f>VLOOKUP($C$9, $B$119:$Q$149,14,FALSE)</f>
        <v>60</v>
      </c>
      <c r="AI32" s="196">
        <f>SMALL(D38:M38,COUNTIF(D38:M38,0)+1)</f>
        <v>759.2</v>
      </c>
      <c r="AJ32" s="11">
        <f>ROUNDDOWN((AI32-AF32)/AG32+AH32,0)/100</f>
        <v>0.98</v>
      </c>
    </row>
    <row r="33" spans="2:30" ht="12" hidden="1" customHeight="1">
      <c r="B33" s="237" t="s">
        <v>1847</v>
      </c>
      <c r="C33" s="237"/>
      <c r="D33" s="197">
        <f>IF(D$31=1,D29,"")</f>
        <v>2</v>
      </c>
      <c r="E33" s="197">
        <f t="shared" ref="E33:M33" si="2">IF(E$31=1,E29,0)</f>
        <v>2</v>
      </c>
      <c r="F33" s="197">
        <f t="shared" si="2"/>
        <v>2</v>
      </c>
      <c r="G33" s="197">
        <f t="shared" si="2"/>
        <v>2</v>
      </c>
      <c r="H33" s="197">
        <f t="shared" si="2"/>
        <v>2</v>
      </c>
      <c r="I33" s="197">
        <f t="shared" si="2"/>
        <v>2</v>
      </c>
      <c r="J33" s="197">
        <f t="shared" si="2"/>
        <v>2</v>
      </c>
      <c r="K33" s="197">
        <f t="shared" si="2"/>
        <v>2</v>
      </c>
      <c r="L33" s="197">
        <f t="shared" si="2"/>
        <v>2</v>
      </c>
      <c r="M33" s="197">
        <f t="shared" si="2"/>
        <v>0</v>
      </c>
      <c r="U33" s="11" t="s">
        <v>1860</v>
      </c>
      <c r="V33" s="11">
        <f>IF(OR(H18="非適用",MAX(D41:M41)&lt;M106),1,"短絡電流が高いです")</f>
        <v>1</v>
      </c>
      <c r="W33" s="11" t="s">
        <v>1861</v>
      </c>
      <c r="X33" s="11">
        <f>IF($D$39&lt;$G$107,1,"最大動作電圧が高いです")</f>
        <v>1</v>
      </c>
      <c r="Y33" s="11" t="s">
        <v>1862</v>
      </c>
      <c r="Z33" s="11">
        <f>IF(SMALL(D38:M38,COUNTIF(D38:M38,0)+1)&gt;AF32,1,"直列数が少なすぎます")</f>
        <v>1</v>
      </c>
      <c r="AA33" s="11" t="s">
        <v>1858</v>
      </c>
      <c r="AB33" s="11">
        <f>MAX(D38:M38)</f>
        <v>797.16</v>
      </c>
      <c r="AC33" s="11" t="s">
        <v>1858</v>
      </c>
      <c r="AD33" s="11">
        <f>(AD32*(C6+(C6*E6*(C15+D18-25)))*SUM(D35:M35)/1000)/D46</f>
        <v>0.83472000000000002</v>
      </c>
    </row>
    <row r="34" spans="2:30" ht="12" hidden="1" customHeight="1">
      <c r="B34" s="237" t="s">
        <v>1848</v>
      </c>
      <c r="C34" s="237"/>
      <c r="D34" s="197">
        <f>IF(D$31=1,D30,"")</f>
        <v>42</v>
      </c>
      <c r="E34" s="197">
        <f t="shared" ref="E34:M34" si="3">IF(E$31=1,E30,0)</f>
        <v>42</v>
      </c>
      <c r="F34" s="197">
        <f t="shared" si="3"/>
        <v>42</v>
      </c>
      <c r="G34" s="197">
        <f t="shared" si="3"/>
        <v>42</v>
      </c>
      <c r="H34" s="197">
        <f t="shared" si="3"/>
        <v>40</v>
      </c>
      <c r="I34" s="197">
        <f t="shared" si="3"/>
        <v>40</v>
      </c>
      <c r="J34" s="197">
        <f t="shared" si="3"/>
        <v>40</v>
      </c>
      <c r="K34" s="197">
        <f t="shared" si="3"/>
        <v>40</v>
      </c>
      <c r="L34" s="197">
        <f t="shared" si="3"/>
        <v>40</v>
      </c>
      <c r="M34" s="197">
        <f t="shared" si="3"/>
        <v>0</v>
      </c>
      <c r="AA34" s="11" t="s">
        <v>1863</v>
      </c>
      <c r="AB34" s="11">
        <f>MAX(D36:M36)*SUM(D35:M35)*C6/1000/D46</f>
        <v>0.96</v>
      </c>
    </row>
    <row r="35" spans="2:30" ht="12" hidden="1" customHeight="1">
      <c r="B35" s="237" t="s">
        <v>1858</v>
      </c>
      <c r="C35" s="237"/>
      <c r="D35" s="197">
        <f t="shared" ref="D35:M35" si="4">IF(AND($E$107&gt;D38,D33&gt;0),D33,0)</f>
        <v>0</v>
      </c>
      <c r="E35" s="197">
        <f t="shared" si="4"/>
        <v>0</v>
      </c>
      <c r="F35" s="197">
        <f t="shared" si="4"/>
        <v>0</v>
      </c>
      <c r="G35" s="197">
        <f t="shared" si="4"/>
        <v>0</v>
      </c>
      <c r="H35" s="197">
        <f t="shared" si="4"/>
        <v>2</v>
      </c>
      <c r="I35" s="197">
        <f t="shared" si="4"/>
        <v>2</v>
      </c>
      <c r="J35" s="197">
        <f t="shared" si="4"/>
        <v>2</v>
      </c>
      <c r="K35" s="197">
        <f t="shared" si="4"/>
        <v>2</v>
      </c>
      <c r="L35" s="197">
        <f t="shared" si="4"/>
        <v>2</v>
      </c>
      <c r="M35" s="197">
        <f t="shared" si="4"/>
        <v>0</v>
      </c>
    </row>
    <row r="36" spans="2:30" ht="12" hidden="1" customHeight="1">
      <c r="B36" s="205" t="s">
        <v>1864</v>
      </c>
      <c r="C36" s="205"/>
      <c r="D36" s="197">
        <f>IF(0&lt;D35,D32,0)</f>
        <v>0</v>
      </c>
      <c r="E36" s="197">
        <f>IF(0&lt;E35,E32,0)</f>
        <v>0</v>
      </c>
      <c r="F36" s="197">
        <f t="shared" ref="F36:M36" si="5">IF(0&lt;F35,F32,0)</f>
        <v>0</v>
      </c>
      <c r="G36" s="197">
        <f t="shared" si="5"/>
        <v>0</v>
      </c>
      <c r="H36" s="197">
        <f t="shared" si="5"/>
        <v>20</v>
      </c>
      <c r="I36" s="197">
        <f t="shared" si="5"/>
        <v>20</v>
      </c>
      <c r="J36" s="197">
        <f t="shared" si="5"/>
        <v>20</v>
      </c>
      <c r="K36" s="197">
        <f t="shared" si="5"/>
        <v>20</v>
      </c>
      <c r="L36" s="197">
        <f t="shared" si="5"/>
        <v>20</v>
      </c>
      <c r="M36" s="197">
        <f t="shared" si="5"/>
        <v>0</v>
      </c>
      <c r="V36" s="11" t="s">
        <v>1865</v>
      </c>
    </row>
    <row r="37" spans="2:30" ht="11.45" customHeight="1">
      <c r="B37" s="237" t="s">
        <v>1866</v>
      </c>
      <c r="C37" s="237"/>
      <c r="D37" s="198">
        <f t="shared" ref="D37:M37" si="6">IF(D31=1,ROUNDUP(D$28*$E$103,2),0)</f>
        <v>1236.06</v>
      </c>
      <c r="E37" s="198">
        <f t="shared" si="6"/>
        <v>1236.06</v>
      </c>
      <c r="F37" s="198">
        <f t="shared" si="6"/>
        <v>1236.06</v>
      </c>
      <c r="G37" s="198">
        <f t="shared" si="6"/>
        <v>1236.06</v>
      </c>
      <c r="H37" s="198">
        <f t="shared" si="6"/>
        <v>1177.2</v>
      </c>
      <c r="I37" s="198">
        <f t="shared" si="6"/>
        <v>1177.2</v>
      </c>
      <c r="J37" s="198">
        <f t="shared" si="6"/>
        <v>1177.2</v>
      </c>
      <c r="K37" s="198">
        <f t="shared" si="6"/>
        <v>1177.2</v>
      </c>
      <c r="L37" s="198">
        <f t="shared" si="6"/>
        <v>1177.2</v>
      </c>
      <c r="M37" s="198">
        <f t="shared" si="6"/>
        <v>0</v>
      </c>
      <c r="V37" s="215" t="s">
        <v>1867</v>
      </c>
    </row>
    <row r="38" spans="2:30">
      <c r="B38" s="237" t="s">
        <v>1868</v>
      </c>
      <c r="C38" s="237"/>
      <c r="D38" s="198">
        <f t="shared" ref="D38:M38" si="7">IF(D31=1,D28*$H$103,0)</f>
        <v>797.16</v>
      </c>
      <c r="E38" s="198">
        <f t="shared" si="7"/>
        <v>797.16</v>
      </c>
      <c r="F38" s="198">
        <f t="shared" si="7"/>
        <v>797.16</v>
      </c>
      <c r="G38" s="198">
        <f t="shared" si="7"/>
        <v>797.16</v>
      </c>
      <c r="H38" s="198">
        <f t="shared" si="7"/>
        <v>759.2</v>
      </c>
      <c r="I38" s="198">
        <f t="shared" si="7"/>
        <v>759.2</v>
      </c>
      <c r="J38" s="198">
        <f t="shared" si="7"/>
        <v>759.2</v>
      </c>
      <c r="K38" s="198">
        <f t="shared" si="7"/>
        <v>759.2</v>
      </c>
      <c r="L38" s="198">
        <f t="shared" si="7"/>
        <v>759.2</v>
      </c>
      <c r="M38" s="198">
        <f t="shared" si="7"/>
        <v>0</v>
      </c>
      <c r="V38" s="215" t="s">
        <v>1869</v>
      </c>
    </row>
    <row r="39" spans="2:30">
      <c r="B39" s="237" t="s">
        <v>1870</v>
      </c>
      <c r="C39" s="237"/>
      <c r="D39" s="258">
        <f>ROUNDUP(((1-1/MAX(V31,100%))^0.5*($I$6-$G$6)+$G$6)*(1+($C$16-25+$D$18)*$L$6)*(VLOOKUP($C$9,$B$119:$P$149,10,FALSE)-G18),2)*MAX(D32:M32)</f>
        <v>1066.3800000000001</v>
      </c>
      <c r="E39" s="258"/>
      <c r="F39" s="258"/>
      <c r="G39" s="258"/>
      <c r="H39" s="258"/>
      <c r="I39" s="258"/>
      <c r="J39" s="258"/>
      <c r="K39" s="258"/>
      <c r="L39" s="258"/>
      <c r="M39" s="258"/>
      <c r="V39" s="215" t="s">
        <v>1871</v>
      </c>
    </row>
    <row r="40" spans="2:30">
      <c r="B40" s="237" t="s">
        <v>1872</v>
      </c>
      <c r="C40" s="237"/>
      <c r="D40" s="258">
        <f>ROUNDDOWN(((((1-1/MAX(1,V31))^0.5*($I$6-$G$6)+$G$6)*(1+(C15-25+$D$18)*$L$6))*(VLOOKUP($C$9,$B$119:$P$146,10,FALSE)-G18)),2)*MAX(D32:M32)</f>
        <v>911.82</v>
      </c>
      <c r="E40" s="258"/>
      <c r="F40" s="258"/>
      <c r="G40" s="258"/>
      <c r="H40" s="258"/>
      <c r="I40" s="258"/>
      <c r="J40" s="258"/>
      <c r="K40" s="258"/>
      <c r="L40" s="258"/>
      <c r="M40" s="258"/>
      <c r="V40" s="215" t="s">
        <v>1873</v>
      </c>
    </row>
    <row r="41" spans="2:30">
      <c r="B41" s="237" t="s">
        <v>1874</v>
      </c>
      <c r="C41" s="237"/>
      <c r="D41" s="199">
        <f>$I$5*D33</f>
        <v>28.5</v>
      </c>
      <c r="E41" s="199">
        <f t="shared" ref="E41:L41" si="8">$I$5*E33</f>
        <v>28.5</v>
      </c>
      <c r="F41" s="199">
        <f t="shared" si="8"/>
        <v>28.5</v>
      </c>
      <c r="G41" s="199">
        <f t="shared" si="8"/>
        <v>28.5</v>
      </c>
      <c r="H41" s="199">
        <f t="shared" si="8"/>
        <v>28.5</v>
      </c>
      <c r="I41" s="199">
        <f t="shared" si="8"/>
        <v>28.5</v>
      </c>
      <c r="J41" s="199">
        <f t="shared" si="8"/>
        <v>28.5</v>
      </c>
      <c r="K41" s="199">
        <f t="shared" si="8"/>
        <v>28.5</v>
      </c>
      <c r="L41" s="199">
        <f t="shared" si="8"/>
        <v>28.5</v>
      </c>
      <c r="M41" s="199">
        <f>$I$5*M33</f>
        <v>0</v>
      </c>
      <c r="V41" s="215" t="s">
        <v>1875</v>
      </c>
    </row>
    <row r="42" spans="2:30">
      <c r="B42" s="237" t="s">
        <v>1876</v>
      </c>
      <c r="C42" s="237"/>
      <c r="D42" s="199">
        <f t="shared" ref="D42:M42" si="9">MIN($C$104*D33,$M$10)</f>
        <v>27.791610000000002</v>
      </c>
      <c r="E42" s="199">
        <f t="shared" si="9"/>
        <v>27.791610000000002</v>
      </c>
      <c r="F42" s="199">
        <f t="shared" si="9"/>
        <v>27.791610000000002</v>
      </c>
      <c r="G42" s="199">
        <f t="shared" si="9"/>
        <v>27.791610000000002</v>
      </c>
      <c r="H42" s="199">
        <f t="shared" si="9"/>
        <v>27.791610000000002</v>
      </c>
      <c r="I42" s="199">
        <f t="shared" si="9"/>
        <v>27.791610000000002</v>
      </c>
      <c r="J42" s="199">
        <f t="shared" si="9"/>
        <v>27.791610000000002</v>
      </c>
      <c r="K42" s="199">
        <f t="shared" si="9"/>
        <v>27.791610000000002</v>
      </c>
      <c r="L42" s="199">
        <f t="shared" si="9"/>
        <v>27.791610000000002</v>
      </c>
      <c r="M42" s="199">
        <f t="shared" si="9"/>
        <v>0</v>
      </c>
      <c r="V42" s="215" t="s">
        <v>1877</v>
      </c>
    </row>
    <row r="43" spans="2:30">
      <c r="D43" s="216">
        <v>1</v>
      </c>
      <c r="E43" s="216">
        <v>2</v>
      </c>
      <c r="F43" s="216">
        <v>3</v>
      </c>
      <c r="G43" s="216">
        <v>4</v>
      </c>
      <c r="H43" s="216">
        <v>5</v>
      </c>
      <c r="I43" s="216">
        <v>6</v>
      </c>
      <c r="J43" s="216">
        <v>7</v>
      </c>
      <c r="K43" s="216">
        <v>8</v>
      </c>
      <c r="L43" s="216">
        <v>9</v>
      </c>
      <c r="M43" s="216">
        <v>10</v>
      </c>
      <c r="V43" s="215" t="s">
        <v>1878</v>
      </c>
    </row>
    <row r="44" spans="2:30">
      <c r="B44" s="237" t="s">
        <v>1879</v>
      </c>
      <c r="C44" s="237"/>
      <c r="D44" s="194">
        <f>SUM(D34:M34)</f>
        <v>368</v>
      </c>
      <c r="F44" s="45"/>
    </row>
    <row r="45" spans="2:30">
      <c r="B45" s="237" t="s">
        <v>1880</v>
      </c>
      <c r="C45" s="237"/>
      <c r="D45" s="68">
        <f>D44*C6/1000</f>
        <v>220.8</v>
      </c>
      <c r="F45" s="45"/>
    </row>
    <row r="46" spans="2:30">
      <c r="B46" s="237" t="s">
        <v>1881</v>
      </c>
      <c r="C46" s="237"/>
      <c r="D46" s="68">
        <f>C10</f>
        <v>125</v>
      </c>
      <c r="F46" s="45"/>
    </row>
    <row r="47" spans="2:30">
      <c r="B47" s="237" t="s">
        <v>1882</v>
      </c>
      <c r="C47" s="237"/>
      <c r="D47" s="200">
        <f>D45/D46</f>
        <v>1.7664000000000002</v>
      </c>
      <c r="F47" s="45"/>
      <c r="G47" s="70" t="str">
        <f>IF(V32=1,"",V36)</f>
        <v/>
      </c>
    </row>
    <row r="48" spans="2:30">
      <c r="B48" s="237" t="s">
        <v>1883</v>
      </c>
      <c r="C48" s="237"/>
      <c r="D48" s="257" t="str">
        <f>IF(V32=1,IF(V33=1,IF(X32=1,IF(X33=1,IF(Z31=1,IF(Z33=1,IF(Z32=1,"接続可能",Z32),Z33),Z31),X33),X32),V33),V32)</f>
        <v>接続可能</v>
      </c>
      <c r="E48" s="257"/>
      <c r="F48" s="257"/>
      <c r="G48" s="70" t="str">
        <f>IF(V32=1,IF(V33=1,IF(X32=1,IF(X33=1,IF(Z31=1,IF(Z33=1,IF(Z32=1,"",V42),V43),V41),V39),V39),V38),V37)</f>
        <v/>
      </c>
    </row>
    <row r="49" spans="2:30">
      <c r="F49" s="45"/>
    </row>
    <row r="50" spans="2:30" hidden="1">
      <c r="B50" s="245" t="s">
        <v>1884</v>
      </c>
      <c r="C50" s="245"/>
      <c r="D50" s="245"/>
      <c r="E50" s="245"/>
      <c r="F50" s="245"/>
      <c r="G50" s="245"/>
      <c r="H50" s="245"/>
      <c r="I50" s="245"/>
      <c r="J50" s="245"/>
      <c r="K50" s="245"/>
      <c r="L50" s="245"/>
    </row>
    <row r="51" spans="2:30" hidden="1">
      <c r="B51" s="42" t="s">
        <v>1885</v>
      </c>
      <c r="C51" s="78">
        <v>20</v>
      </c>
      <c r="D51" s="226" t="s">
        <v>1886</v>
      </c>
      <c r="E51" s="226"/>
      <c r="F51" s="58">
        <f>+C51*C52</f>
        <v>240</v>
      </c>
      <c r="G51" s="223" t="s">
        <v>1887</v>
      </c>
      <c r="H51" s="223"/>
      <c r="I51" s="66">
        <f>ROUNDUP(C$51*$E$103,2)</f>
        <v>1177.2</v>
      </c>
      <c r="J51" s="223" t="s">
        <v>1888</v>
      </c>
      <c r="K51" s="223"/>
      <c r="L51" s="66">
        <f>C51*$G$104</f>
        <v>962.4</v>
      </c>
      <c r="M51" s="223" t="s">
        <v>95</v>
      </c>
      <c r="N51" s="223"/>
      <c r="O51" s="67">
        <f>ROUNDUP($C$52/VLOOKUP($C$9,$B$119:$T$149,18,FALSE),0)*$E$104</f>
        <v>28.5</v>
      </c>
      <c r="Y51" s="223" t="s">
        <v>1889</v>
      </c>
      <c r="Z51" s="223"/>
      <c r="AA51" s="69">
        <f>IF(VLOOKUP($C$9,$B$119:$P$149,9,FALSE)/2&gt;=C52,0,VLOOKUP($C$9,$B$119:$P$149,9,FALSE)/2-AA52)</f>
        <v>3</v>
      </c>
      <c r="AB51" s="223" t="s">
        <v>1890</v>
      </c>
      <c r="AC51" s="223"/>
      <c r="AD51" s="62" t="str">
        <f>IF(AD52="接続不可","接続不可",IF(VLOOKUP($C$9,$B$119:$P$149,8,FALSE)&gt;C104*2,"影響なし",IF(AND(VLOOKUP($C$9,$B$119:$P$149,2,FALSE)&gt;AD52,(AA51*2+AA52)*C51*C6*0.001&gt;VLOOKUP($C$9,$B$119:$P$149,2,FALSE)),"影響あり","影響なし")))</f>
        <v>接続不可</v>
      </c>
    </row>
    <row r="52" spans="2:30" hidden="1">
      <c r="B52" s="42" t="s">
        <v>1891</v>
      </c>
      <c r="C52" s="78">
        <v>12</v>
      </c>
      <c r="D52" s="226" t="s">
        <v>1892</v>
      </c>
      <c r="E52" s="226"/>
      <c r="F52" s="68">
        <f>+C51*C52*C6/1000</f>
        <v>144</v>
      </c>
      <c r="G52" s="223" t="s">
        <v>1893</v>
      </c>
      <c r="H52" s="223"/>
      <c r="I52" s="66">
        <f>C51*$H$103</f>
        <v>759.2</v>
      </c>
      <c r="J52" s="223" t="s">
        <v>1894</v>
      </c>
      <c r="K52" s="223"/>
      <c r="L52" s="66">
        <f>ROUNDDOWN(((((1-1/MAX(1,$Z$114))^0.5*($I$6-$G$6)+$G$6)*(1+(C15-25+$D$18)*$L$6))*(VLOOKUP($C$9,$B$119:$P$146,10,FALSE)-G18)),2)*C51</f>
        <v>823</v>
      </c>
      <c r="M52" s="223" t="s">
        <v>1895</v>
      </c>
      <c r="N52" s="223"/>
      <c r="O52" s="67">
        <f>MIN(ROUNDUP($C$52/VLOOKUP($C$9,$B$119:$T$149,18,FALSE),0)*$C$104,$M$10)</f>
        <v>27.791610000000002</v>
      </c>
      <c r="Y52" s="223" t="s">
        <v>1896</v>
      </c>
      <c r="Z52" s="223"/>
      <c r="AA52" s="69">
        <f>IF(VLOOKUP($C$9,$B$119:$P$149,9,FALSE)/2&lt;C52,VLOOKUP($C$9,$B$119:$P$149,9,FALSE)-C52,C52)</f>
        <v>6</v>
      </c>
      <c r="AB52" s="223" t="s">
        <v>1897</v>
      </c>
      <c r="AC52" s="223"/>
      <c r="AD52" s="61" t="str">
        <f>IF(AND(I51&lt;C107,L51&lt;G107,I52&gt;E107,OR(H18="非適用",O51&lt;M106)),MIN(F52,C10,(C6*C51/1000*AA52)+((C51*AA51*VLOOKUP($C$9,$B$119:$P$149,8,FALSE)*G6*0.001))),"接続不可")</f>
        <v>接続不可</v>
      </c>
    </row>
    <row r="53" spans="2:30" ht="12.4" hidden="1" customHeight="1">
      <c r="B53" s="42" t="s">
        <v>1898</v>
      </c>
      <c r="C53" s="42" t="str">
        <f>IF(AND(I51&lt;C107,L51&lt;G107,I52&gt;E107,L52&lt;I107,OR(H18="非適用",O51&lt;M106)),"接続可能","接続不可")</f>
        <v>接続不可</v>
      </c>
      <c r="D53" s="226" t="s">
        <v>1899</v>
      </c>
      <c r="E53" s="226"/>
      <c r="F53" s="59">
        <f>+C51*C52*C6/1000/VLOOKUP($C$9,$B$119:$P$149,2,FALSE)</f>
        <v>1.1519999999999999</v>
      </c>
    </row>
    <row r="54" spans="2:30" hidden="1">
      <c r="C54" s="235" t="str">
        <f>IF($I$51&lt;$C$107,IF($I$52&gt;$E$107,IF(AND($L$51&lt;$G$107,$L$52&lt;$I$107),IF(OR(H18="非適用",O51&lt;M106),"問題なし","短絡電流が高いです"),"動作電圧が高いです"),"動作電圧が低いです"),"開放電圧が高いです")</f>
        <v>動作電圧が低いです</v>
      </c>
      <c r="D54" s="235"/>
      <c r="E54" s="235"/>
    </row>
    <row r="56" spans="2:30" hidden="1">
      <c r="B56" s="230" t="s">
        <v>1900</v>
      </c>
      <c r="C56" s="230"/>
      <c r="D56" s="230"/>
      <c r="E56" s="230"/>
      <c r="F56" s="175" t="s">
        <v>1901</v>
      </c>
    </row>
    <row r="57" spans="2:30" hidden="1">
      <c r="B57" s="226" t="s">
        <v>70</v>
      </c>
      <c r="C57" s="226"/>
      <c r="D57" s="79">
        <v>5</v>
      </c>
      <c r="E57" s="223" t="s">
        <v>71</v>
      </c>
      <c r="F57" s="223"/>
      <c r="G57" s="80">
        <v>1</v>
      </c>
      <c r="H57" s="42" t="s">
        <v>72</v>
      </c>
      <c r="I57" s="42"/>
      <c r="J57" s="68">
        <f>(D57*G57+D58*+G58)*C6*0.001</f>
        <v>6</v>
      </c>
      <c r="K57" s="224" t="s">
        <v>1902</v>
      </c>
      <c r="L57" s="225"/>
      <c r="M57" s="195">
        <f>J57/4.95</f>
        <v>1.2121212121212122</v>
      </c>
      <c r="N57" s="223" t="s">
        <v>1903</v>
      </c>
      <c r="O57" s="223"/>
      <c r="P57" s="66">
        <f>D57*$H$103</f>
        <v>189.8</v>
      </c>
    </row>
    <row r="58" spans="2:30" hidden="1">
      <c r="B58" s="224" t="s">
        <v>73</v>
      </c>
      <c r="C58" s="225"/>
      <c r="D58" s="79">
        <v>5</v>
      </c>
      <c r="E58" s="223" t="s">
        <v>74</v>
      </c>
      <c r="F58" s="223"/>
      <c r="G58" s="80">
        <v>1</v>
      </c>
      <c r="H58" s="243" t="s">
        <v>1904</v>
      </c>
      <c r="I58" s="256"/>
      <c r="J58" s="194">
        <f>D57*G57+D58*+G58</f>
        <v>10</v>
      </c>
      <c r="K58" s="223" t="s">
        <v>1905</v>
      </c>
      <c r="L58" s="223"/>
      <c r="M58" s="193">
        <f>IF(G115&gt;0,"無し",G115)</f>
        <v>-0.74249999999999972</v>
      </c>
      <c r="N58" s="223" t="s">
        <v>1906</v>
      </c>
      <c r="O58" s="223"/>
      <c r="P58" s="66">
        <f>D58*$H$103</f>
        <v>189.8</v>
      </c>
    </row>
    <row r="59" spans="2:30" hidden="1">
      <c r="B59" s="226" t="s">
        <v>76</v>
      </c>
      <c r="C59" s="226"/>
      <c r="D59" s="226" t="str">
        <f>IF(AND(L113="接続可能",L114="接続可能",J114="接続可能",G114="接続可能"),G113,"接続不可")</f>
        <v>運転制限あり</v>
      </c>
      <c r="E59" s="226"/>
      <c r="F59" s="235" t="str">
        <f>IF($J$114="接続可能",IF(MAX($D$57,$D$58)*$E$103&lt;$C$107,IF($L$113="接続可能",IF(G114="接続可能",IF(D59="運転制限あり","ＰＣＳ出力が制限されます","問題なし"),"短絡電流が高いです"),"動作電圧が高いです"),"開放電圧が高いです"),"動作電圧が低いです")</f>
        <v>ＰＣＳ出力が制限されます</v>
      </c>
      <c r="G59" s="235"/>
      <c r="H59" s="235"/>
      <c r="K59" s="223" t="s">
        <v>95</v>
      </c>
      <c r="L59" s="223"/>
      <c r="M59" s="67">
        <f>$E$104*MAX(G57,$G$58)</f>
        <v>14.25</v>
      </c>
      <c r="N59" s="223" t="s">
        <v>1888</v>
      </c>
      <c r="O59" s="223"/>
      <c r="P59" s="66">
        <f>MAX(D57,D58)*$J$104</f>
        <v>266.89999999999998</v>
      </c>
    </row>
    <row r="60" spans="2:30" ht="12.4" hidden="1" customHeight="1">
      <c r="B60" s="70" t="s">
        <v>69</v>
      </c>
      <c r="K60" s="223" t="s">
        <v>1895</v>
      </c>
      <c r="L60" s="223"/>
      <c r="M60" s="67">
        <f>MIN(M10,$C$104*MAX($G$57,$G$58))</f>
        <v>13.895805000000001</v>
      </c>
      <c r="N60" s="223" t="s">
        <v>1894</v>
      </c>
      <c r="O60" s="223"/>
      <c r="P60" s="66">
        <f>ROUNDDOWN(((((1-1/MAX(1,$J$58))^0.5*($I$6-$G$6)+$G$6)*(1+(C15-25+$D$18)*$L$6))*(VLOOKUP($C$9,$B$119:$P$139,10,FALSE)-G18)),2)*MAX(D57,D58)</f>
        <v>228.29999999999998</v>
      </c>
    </row>
    <row r="61" spans="2:30" ht="12.4" hidden="1" customHeight="1">
      <c r="N61" s="223" t="s">
        <v>1887</v>
      </c>
      <c r="O61" s="223"/>
      <c r="P61" s="58">
        <f>ROUNDUP(MAX(D$57,D58)*$E$103,2)</f>
        <v>294.3</v>
      </c>
    </row>
    <row r="62" spans="2:30" hidden="1">
      <c r="B62" s="173" t="s">
        <v>1907</v>
      </c>
      <c r="C62" s="176"/>
      <c r="D62" s="79">
        <v>2</v>
      </c>
    </row>
    <row r="63" spans="2:30" hidden="1">
      <c r="B63" s="226" t="s">
        <v>1908</v>
      </c>
      <c r="C63" s="226"/>
      <c r="D63" s="226"/>
      <c r="E63" s="68" t="str">
        <f>IF(D59="運転制限なし",MAX(0,MIN(D115+C115-4.95,D62*1.5)),"-")</f>
        <v>-</v>
      </c>
      <c r="F63" s="235" t="str">
        <f>IF(D59="運転制限なし",IF(D115+C115-4.95&gt;D62*1.5,"問題なし",IF(AND(J57&gt;4.95,U112&gt;D115+C115-4.95),"MPPT入力電流制限によりピーク発電の一部が充電できません","問題なし")),"-")</f>
        <v>-</v>
      </c>
      <c r="G63" s="235"/>
      <c r="H63" s="235"/>
      <c r="I63" s="235"/>
      <c r="J63" s="235"/>
      <c r="K63" s="235"/>
    </row>
    <row r="64" spans="2:30" hidden="1"/>
    <row r="65" spans="2:33" hidden="1"/>
    <row r="66" spans="2:33" hidden="1"/>
    <row r="67" spans="2:33" hidden="1"/>
    <row r="68" spans="2:33" hidden="1"/>
    <row r="69" spans="2:33" hidden="1"/>
    <row r="70" spans="2:33" hidden="1">
      <c r="B70" s="237" t="s">
        <v>1909</v>
      </c>
      <c r="C70" s="237"/>
      <c r="D70" s="237"/>
      <c r="E70" s="237"/>
      <c r="F70" s="42" t="s">
        <v>1848</v>
      </c>
      <c r="G70" s="237" t="s">
        <v>1910</v>
      </c>
      <c r="H70" s="237"/>
      <c r="I70" s="237" t="s">
        <v>1911</v>
      </c>
      <c r="J70" s="237"/>
      <c r="W70" s="42" t="s">
        <v>1912</v>
      </c>
      <c r="X70" s="87" t="s">
        <v>1854</v>
      </c>
      <c r="Y70" s="87" t="s">
        <v>1913</v>
      </c>
      <c r="Z70" s="87" t="s">
        <v>1860</v>
      </c>
      <c r="AA70" s="87" t="s">
        <v>1914</v>
      </c>
      <c r="AB70" s="87" t="s">
        <v>1915</v>
      </c>
      <c r="AC70" s="87" t="s">
        <v>1916</v>
      </c>
      <c r="AD70" s="87" t="s">
        <v>1917</v>
      </c>
      <c r="AE70" s="70"/>
      <c r="AF70" s="70"/>
      <c r="AG70" s="70"/>
    </row>
    <row r="71" spans="2:33" hidden="1">
      <c r="B71" s="65" t="s">
        <v>1918</v>
      </c>
      <c r="C71" s="238" t="str">
        <f>C5</f>
        <v>JKM600N-72HL4-V</v>
      </c>
      <c r="D71" s="239"/>
      <c r="E71" s="217"/>
      <c r="F71" s="79">
        <v>4</v>
      </c>
      <c r="G71" s="236">
        <f>F71</f>
        <v>4</v>
      </c>
      <c r="H71" s="236"/>
      <c r="I71" s="236" t="str">
        <f>IF(OR(G71="組み合わせ不可",G72="組み合わせ不可",G73="組み合わせ不可"),"組み合わせ不可",_xlfn.AGGREGATE(9,6,G71:G73))</f>
        <v>組み合わせ不可</v>
      </c>
      <c r="J71" s="236"/>
      <c r="W71" s="42">
        <f>VLOOKUP($C$71, 太陽電池モジュールリスト!$A:$J, 2,FALSE)</f>
        <v>600</v>
      </c>
      <c r="X71" s="42">
        <f>VLOOKUP($C$71, 太陽電池モジュールリスト!$A:$J, 3,FALSE)</f>
        <v>52.9</v>
      </c>
      <c r="Y71" s="42">
        <f>VLOOKUP($C$71, 太陽電池モジュールリスト!$A:$J, 4,FALSE)</f>
        <v>44.06</v>
      </c>
      <c r="Z71" s="42">
        <f>VLOOKUP($C$71, 太陽電池モジュールリスト!$A:$J, 5,FALSE)</f>
        <v>14.25</v>
      </c>
      <c r="AA71" s="42">
        <f>VLOOKUP($C$71, 太陽電池モジュールリスト!$A:$J, 6,FALSE)</f>
        <v>13.62</v>
      </c>
      <c r="AB71" s="201">
        <f>VLOOKUP($C$71, 太陽電池モジュールリスト!$A:$J, 7,FALSE)</f>
        <v>-2.8999999999999998E-3</v>
      </c>
      <c r="AC71" s="201">
        <f>VLOOKUP($C$71, 太陽電池モジュールリスト!$A:$J, 8,FALSE)</f>
        <v>-2.5000000000000001E-3</v>
      </c>
      <c r="AD71" s="201">
        <f>VLOOKUP($C$71, 太陽電池モジュールリスト!$A:$J, 9,FALSE)</f>
        <v>4.4999999999999999E-4</v>
      </c>
      <c r="AE71" s="70"/>
      <c r="AF71" s="70"/>
      <c r="AG71" s="70"/>
    </row>
    <row r="72" spans="2:33" ht="12.95" hidden="1" customHeight="1">
      <c r="B72" s="65" t="s">
        <v>1919</v>
      </c>
      <c r="C72" s="240" t="s">
        <v>1920</v>
      </c>
      <c r="D72" s="231"/>
      <c r="E72" s="241"/>
      <c r="F72" s="79">
        <v>1</v>
      </c>
      <c r="G72" s="236" t="str">
        <f>IF(AF72=1,F72*AG72,IF(OR(C72=0,C72=""),0,"組み合わせ不可"))</f>
        <v>組み合わせ不可</v>
      </c>
      <c r="H72" s="236"/>
      <c r="W72" s="42">
        <f>VLOOKUP($C$72, 太陽電池モジュールリスト!$A:$J, 2,FALSE)</f>
        <v>210</v>
      </c>
      <c r="X72" s="42">
        <f>VLOOKUP($C$72, 太陽電池モジュールリスト!$A:$J, 3,FALSE)</f>
        <v>27.7</v>
      </c>
      <c r="Y72" s="42">
        <f>VLOOKUP($C$72, 太陽電池モジュールリスト!$A:$J, 4,FALSE)</f>
        <v>22.8</v>
      </c>
      <c r="Z72" s="42">
        <f>VLOOKUP($C$72, 太陽電池モジュールリスト!$A:$J, 5,FALSE)</f>
        <v>9.75</v>
      </c>
      <c r="AA72" s="42">
        <f>VLOOKUP($C$72, 太陽電池モジュールリスト!$A:$J, 6,FALSE)</f>
        <v>9.25</v>
      </c>
      <c r="AB72" s="201">
        <f>VLOOKUP($C$72, 太陽電池モジュールリスト!$A:$J, 7,FALSE)</f>
        <v>-5.0000000000000001E-3</v>
      </c>
      <c r="AC72" s="201">
        <f>VLOOKUP($C$72, 太陽電池モジュールリスト!$A:$J, 8,FALSE)</f>
        <v>-3.5999999999999999E-3</v>
      </c>
      <c r="AD72" s="201">
        <f>VLOOKUP($C$72, 太陽電池モジュールリスト!$A:$J, 9,FALSE)</f>
        <v>5.0000000000000001E-4</v>
      </c>
      <c r="AE72" s="204">
        <f>IF(OR(C72=0,C72=""),0,AA71/AA72)</f>
        <v>1.4724324324324323</v>
      </c>
      <c r="AF72" s="70" t="str">
        <f>IF(AND(AE72&gt;=0.95,AE72&lt;=1.05),1,"")</f>
        <v/>
      </c>
      <c r="AG72" s="70" t="e">
        <f>ROUND(IF(AF72=1,Y72/Y71,""),2)</f>
        <v>#VALUE!</v>
      </c>
    </row>
    <row r="73" spans="2:33" ht="12.95" hidden="1" customHeight="1">
      <c r="B73" s="65" t="s">
        <v>1921</v>
      </c>
      <c r="C73" s="240" t="s">
        <v>1922</v>
      </c>
      <c r="D73" s="231"/>
      <c r="E73" s="241"/>
      <c r="F73" s="79">
        <v>0</v>
      </c>
      <c r="G73" s="236" t="str">
        <f>IF(AF73=1,F73*AG73,IF(OR(C73=0,C73=""),0,"組み合わせ不可"))</f>
        <v>組み合わせ不可</v>
      </c>
      <c r="H73" s="236"/>
      <c r="W73" s="42">
        <f>VLOOKUP($C$73, 太陽電池モジュールリスト!$A:$J, 2,FALSE)</f>
        <v>137</v>
      </c>
      <c r="X73" s="42">
        <f>VLOOKUP($C$73, 太陽電池モジュールリスト!$A:$J, 3,FALSE)</f>
        <v>18.5</v>
      </c>
      <c r="Y73" s="42">
        <f>VLOOKUP($C$73, 太陽電池モジュールリスト!$A:$J, 4,FALSE)</f>
        <v>14.9</v>
      </c>
      <c r="Z73" s="42">
        <f>VLOOKUP($C$73, 太陽電池モジュールリスト!$A:$J, 5,FALSE)</f>
        <v>9.75</v>
      </c>
      <c r="AA73" s="42">
        <f>VLOOKUP($C$73, 太陽電池モジュールリスト!$A:$J, 6,FALSE)</f>
        <v>9.25</v>
      </c>
      <c r="AB73" s="201">
        <f>VLOOKUP($C$73, 太陽電池モジュールリスト!$A:$J, 7,FALSE)</f>
        <v>-5.0000000000000001E-3</v>
      </c>
      <c r="AC73" s="201">
        <f>VLOOKUP($C$73, 太陽電池モジュールリスト!$A:$J, 8,FALSE)</f>
        <v>-3.5999999999999999E-3</v>
      </c>
      <c r="AD73" s="201">
        <f>VLOOKUP($C$73, 太陽電池モジュールリスト!$A:$J, 9,FALSE)</f>
        <v>5.0000000000000001E-4</v>
      </c>
      <c r="AE73" s="204">
        <f>IF(OR(C73=0,C73=""),0,AA71/AA73)</f>
        <v>1.4724324324324323</v>
      </c>
      <c r="AF73" s="70" t="str">
        <f>IF(AND(AE73&gt;=0.95,AE73&lt;=1.05),1,"")</f>
        <v/>
      </c>
      <c r="AG73" s="70" t="e">
        <f>ROUND(IF(AF73=1,Y73/Y71,""),2)</f>
        <v>#VALUE!</v>
      </c>
    </row>
    <row r="74" spans="2:33" ht="17.25" customHeight="1">
      <c r="E74" s="45"/>
    </row>
    <row r="75" spans="2:33">
      <c r="B75" s="175" t="s">
        <v>1923</v>
      </c>
      <c r="C75" s="175"/>
      <c r="D75" s="175"/>
      <c r="E75" s="175"/>
      <c r="F75" s="175"/>
      <c r="G75" s="175"/>
    </row>
    <row r="100" spans="2:26" ht="14.1" hidden="1" customHeight="1"/>
    <row r="101" spans="2:26" hidden="1"/>
    <row r="102" spans="2:26" hidden="1">
      <c r="B102" s="11" t="s">
        <v>77</v>
      </c>
    </row>
    <row r="103" spans="2:26" hidden="1">
      <c r="B103" s="87" t="s">
        <v>78</v>
      </c>
      <c r="C103" s="43">
        <f>$G$5*(1+($C$16-25+$D$18)*$L$5)</f>
        <v>13.528064999999998</v>
      </c>
      <c r="D103" s="95" t="s">
        <v>79</v>
      </c>
      <c r="E103" s="53">
        <f>ROUNDUP($I$6*(1+(C16-25)*$L$6),2)</f>
        <v>58.86</v>
      </c>
      <c r="F103" s="221" t="s">
        <v>80</v>
      </c>
      <c r="G103" s="222"/>
      <c r="H103" s="52">
        <f>ROUNDDOWN($G$6*(1+(C15-25+$D$18)*$L$6)*(VLOOKUP($C$9,$B$119:$P$149,10,FALSE)-G19),2)</f>
        <v>37.96</v>
      </c>
      <c r="I103" s="221"/>
      <c r="J103" s="222"/>
      <c r="K103" s="39"/>
      <c r="L103" s="221"/>
      <c r="M103" s="222"/>
      <c r="N103" s="52"/>
    </row>
    <row r="104" spans="2:26" hidden="1">
      <c r="B104" s="87" t="s">
        <v>86</v>
      </c>
      <c r="C104" s="43">
        <f>$G$5*(1+($C$15-25+$D$18)*$L$5)</f>
        <v>13.895805000000001</v>
      </c>
      <c r="D104" s="87" t="s">
        <v>129</v>
      </c>
      <c r="E104" s="43">
        <f>I5</f>
        <v>14.25</v>
      </c>
      <c r="F104" s="95" t="s">
        <v>1924</v>
      </c>
      <c r="G104" s="87">
        <f>ROUNDUP(((1-1/MAX(Z114,100%))^0.5*($I$6-$G$6)+$G$6)*(1+($C$16-25+$D$18)*$L$6)*(VLOOKUP($C$9,$B$119:$P$149,10,FALSE)-G18),2)</f>
        <v>48.12</v>
      </c>
      <c r="H104" s="42"/>
      <c r="I104" s="95" t="s">
        <v>1925</v>
      </c>
      <c r="J104" s="87">
        <f>ROUNDUP(((1-1/MAX(J58,100%))^0.5*($I$6-$G$6)+$G$6)*(1+($C$16-25+$D$18)*$L$6)*(VLOOKUP($C$9,$B$119:$P$149,10,FALSE)-G18),2)</f>
        <v>53.379999999999995</v>
      </c>
      <c r="K104" s="52"/>
      <c r="L104" s="221"/>
      <c r="M104" s="222"/>
      <c r="N104" s="87"/>
    </row>
    <row r="105" spans="2:26" ht="13.5" hidden="1" thickBot="1">
      <c r="D105" s="87" t="s">
        <v>87</v>
      </c>
      <c r="E105" s="43">
        <f>$I$5*(1+(C15-25+$D$18)*$L$5)</f>
        <v>14.538562500000001</v>
      </c>
    </row>
    <row r="106" spans="2:26" ht="13.5" hidden="1" thickBot="1">
      <c r="F106" s="13"/>
      <c r="G106" s="14"/>
      <c r="H106" s="15"/>
      <c r="I106" s="16"/>
      <c r="J106" s="15"/>
      <c r="K106" s="16"/>
      <c r="L106" s="13" t="s">
        <v>95</v>
      </c>
      <c r="M106" s="21">
        <f>VLOOKUP($C$9, $B$119:$P$149, 7,FALSE)</f>
        <v>50</v>
      </c>
      <c r="N106" s="30" t="s">
        <v>96</v>
      </c>
      <c r="O106" s="17"/>
    </row>
    <row r="107" spans="2:26" hidden="1">
      <c r="B107" s="13" t="s">
        <v>97</v>
      </c>
      <c r="C107" s="17">
        <f>VLOOKUP($C$9, $B$119:$P$149, 3,FALSE)</f>
        <v>1500</v>
      </c>
      <c r="D107" s="13" t="s">
        <v>98</v>
      </c>
      <c r="E107" s="21">
        <f>VLOOKUP($C$9, $B$119:$P$149, 4,FALSE)</f>
        <v>770</v>
      </c>
      <c r="F107" s="87" t="s">
        <v>99</v>
      </c>
      <c r="G107" s="87">
        <f>VLOOKUP($C$9, $B$119:$P$149, 5,FALSE)</f>
        <v>1200</v>
      </c>
      <c r="H107" s="87" t="s">
        <v>100</v>
      </c>
      <c r="I107" s="22">
        <f>VLOOKUP($C$9, $B$119:$P$149, 6,FALSE)</f>
        <v>950</v>
      </c>
      <c r="J107" s="87" t="s">
        <v>101</v>
      </c>
      <c r="K107" s="22">
        <f>VLOOKUP($C$9, $B$119:$P$149, 4,FALSE)*1</f>
        <v>770</v>
      </c>
      <c r="L107" s="23" t="s">
        <v>102</v>
      </c>
      <c r="M107" s="25">
        <f>IF(H18="非適用",2,IF(ROUNDDOWN(M106/E104,0)&gt;1.9,2,ROUNDDOWN(M106/E104,0)))</f>
        <v>2</v>
      </c>
      <c r="N107" s="87" t="s">
        <v>103</v>
      </c>
      <c r="O107" s="19"/>
    </row>
    <row r="108" spans="2:26" hidden="1">
      <c r="B108" s="23" t="s">
        <v>104</v>
      </c>
      <c r="C108" s="24">
        <f>ROUNDDOWN(C107/E103,0)</f>
        <v>25</v>
      </c>
      <c r="D108" s="23" t="s">
        <v>105</v>
      </c>
      <c r="E108" s="25">
        <f>ROUNDUP(E107/H103,0)</f>
        <v>21</v>
      </c>
      <c r="F108" s="23"/>
      <c r="G108" s="25"/>
      <c r="H108" s="18"/>
      <c r="I108" s="25"/>
      <c r="J108" s="23"/>
      <c r="K108" s="25"/>
      <c r="L108" s="23" t="s">
        <v>95</v>
      </c>
      <c r="M108" s="22">
        <f>M107*E104</f>
        <v>28.5</v>
      </c>
      <c r="N108" s="87" t="s">
        <v>107</v>
      </c>
      <c r="O108" s="19"/>
    </row>
    <row r="109" spans="2:26" ht="13.5" hidden="1" thickBot="1">
      <c r="B109" s="27" t="s">
        <v>108</v>
      </c>
      <c r="C109" s="26">
        <f>ROUNDUP(C$108*$E$103,2)</f>
        <v>1471.5</v>
      </c>
      <c r="D109" s="27" t="s">
        <v>109</v>
      </c>
      <c r="E109" s="28">
        <f>E108*$H$103</f>
        <v>797.16</v>
      </c>
      <c r="F109" s="27"/>
      <c r="G109" s="26"/>
      <c r="H109" s="20"/>
      <c r="I109" s="28"/>
      <c r="J109" s="27"/>
      <c r="K109" s="28"/>
      <c r="L109" s="27" t="s">
        <v>111</v>
      </c>
      <c r="M109" s="71">
        <f>IF(M107=2,VLOOKUP($C$9,$B$119:$P$149,9,FALSE),IF(M107=0,"接続不可",VLOOKUP($C$9,$B$119:$P$149,9,FALSE)/2))</f>
        <v>18</v>
      </c>
      <c r="N109" s="32" t="s">
        <v>112</v>
      </c>
      <c r="O109" s="29"/>
    </row>
    <row r="110" spans="2:26" hidden="1"/>
    <row r="111" spans="2:26" hidden="1">
      <c r="B111" s="11" t="s">
        <v>114</v>
      </c>
      <c r="J111" s="42"/>
    </row>
    <row r="112" spans="2:26" hidden="1">
      <c r="B112" s="87" t="s">
        <v>109</v>
      </c>
      <c r="C112" s="87">
        <f>IF(G57&gt;0,H103*D57,0)</f>
        <v>189.8</v>
      </c>
      <c r="D112" s="87">
        <f>IF(G58&gt;0,H103*D58,0)</f>
        <v>189.8</v>
      </c>
      <c r="F112" s="42" t="s">
        <v>115</v>
      </c>
      <c r="G112" s="42"/>
      <c r="J112" s="42"/>
      <c r="N112" s="11" t="s">
        <v>1926</v>
      </c>
      <c r="Q112" s="11" t="s">
        <v>1927</v>
      </c>
      <c r="R112" s="11">
        <v>0</v>
      </c>
      <c r="S112" s="11" t="s">
        <v>1928</v>
      </c>
      <c r="U112" s="174">
        <f>G115</f>
        <v>-0.74249999999999972</v>
      </c>
      <c r="W112" s="11" t="s">
        <v>1929</v>
      </c>
      <c r="Y112" s="11" t="s">
        <v>1930</v>
      </c>
      <c r="Z112" s="11" t="s">
        <v>1931</v>
      </c>
    </row>
    <row r="113" spans="2:26" hidden="1">
      <c r="B113" s="42" t="s">
        <v>116</v>
      </c>
      <c r="C113" s="94">
        <f>MIN(ROUNDDOWN((C112-100)/2+40,0)/100)</f>
        <v>0.84</v>
      </c>
      <c r="D113" s="94">
        <f>MIN(ROUNDDOWN((D112-100)/2+40,0)/100)</f>
        <v>0.84</v>
      </c>
      <c r="F113" s="42" t="s">
        <v>117</v>
      </c>
      <c r="G113" s="42" t="str">
        <f>IF(AND(M58&lt;J57,4.95&gt;M58,G115&lt;0),"運転制限あり","運転制限なし")</f>
        <v>運転制限あり</v>
      </c>
      <c r="I113" s="42" t="s">
        <v>118</v>
      </c>
      <c r="J113" s="42">
        <f>IF(OR(C112=0,D112=0),MAX(C112,D112),MIN(C112,D112))</f>
        <v>189.8</v>
      </c>
      <c r="K113" s="42" t="s">
        <v>1932</v>
      </c>
      <c r="L113" s="42" t="str">
        <f>IF(P59&gt;G107,"接続不可","接続可能")</f>
        <v>接続可能</v>
      </c>
      <c r="N113" s="11" t="s">
        <v>1828</v>
      </c>
      <c r="R113" s="11">
        <v>1</v>
      </c>
      <c r="W113" s="11">
        <v>125</v>
      </c>
      <c r="Y113" s="11">
        <f>$Z$113/IF($R$19="適用",$Y$114,1)</f>
        <v>1</v>
      </c>
      <c r="Z113" s="11">
        <f>IF(C9="SUN2000-125KTL-JPH0  皮相125kVA　力率1未満",L19,1)</f>
        <v>1</v>
      </c>
    </row>
    <row r="114" spans="2:26" hidden="1">
      <c r="B114" s="42" t="s">
        <v>120</v>
      </c>
      <c r="C114" s="42">
        <f>MIN(4.95,MAX(0,C113*4.95))</f>
        <v>4.1580000000000004</v>
      </c>
      <c r="D114" s="42">
        <f>MIN(4.95,MAX(0,D113*4.95))</f>
        <v>4.1580000000000004</v>
      </c>
      <c r="F114" s="42" t="s">
        <v>119</v>
      </c>
      <c r="G114" s="11" t="str">
        <f>IF(AND(H18="適用",MAX(G57,G58)*E104&gt;M106),"最大短絡電流を超えています","接続可能")</f>
        <v>接続可能</v>
      </c>
      <c r="I114" s="11" t="s">
        <v>122</v>
      </c>
      <c r="J114" s="11" t="str">
        <f>IF(J113&gt;100,"接続可能","接続不可")</f>
        <v>接続可能</v>
      </c>
      <c r="K114" s="42" t="s">
        <v>121</v>
      </c>
      <c r="L114" s="42" t="str">
        <f>IF(MAX(D57,D58)&gt;MIN(C108),"接続不可","接続可能")</f>
        <v>接続可能</v>
      </c>
      <c r="N114" s="11" t="s">
        <v>1833</v>
      </c>
      <c r="R114" s="11">
        <v>2</v>
      </c>
      <c r="W114" s="11">
        <v>140</v>
      </c>
      <c r="Y114" s="11">
        <f>ABS(COS(RADIANS(U20-R20)))</f>
        <v>0.97437006478523525</v>
      </c>
      <c r="Z114" s="11">
        <f>+(C51*C52*C6)/1000/(VLOOKUP($C$9,$B$119:$P$149,2,FALSE)*Z113)</f>
        <v>1.1519999999999999</v>
      </c>
    </row>
    <row r="115" spans="2:26" hidden="1">
      <c r="B115" s="42" t="s">
        <v>123</v>
      </c>
      <c r="C115" s="42">
        <f>MIN(IF(G57*G5&lt;M10,D57*G57*C6*0.001,G6*M10*D57/1000))</f>
        <v>3</v>
      </c>
      <c r="D115" s="42">
        <f>MIN(IF(G58*G5&lt;M10,D58*G58*C6*0.001,G6*M10*D58/1000))</f>
        <v>3</v>
      </c>
      <c r="F115" s="11" t="s">
        <v>1933</v>
      </c>
      <c r="G115" s="11">
        <f>MIN(住宅出力!J8:J68)</f>
        <v>-0.74249999999999972</v>
      </c>
      <c r="I115" s="42" t="s">
        <v>1934</v>
      </c>
      <c r="J115" s="42">
        <f>(D57*G57+D58*+G58)*(H103*C104)*0.001</f>
        <v>5.2748475780000001</v>
      </c>
      <c r="R115" s="11">
        <v>3</v>
      </c>
    </row>
    <row r="116" spans="2:26" hidden="1">
      <c r="B116" s="42" t="s">
        <v>1935</v>
      </c>
      <c r="C116" s="11">
        <f>IF(MIN(MIN(C114,C115),MIN(D114,D115),MAX(C114,D114))&gt;=4.95,MIN(J57,4.95),MIN(MIN(C115)+MIN(D115),MIN(4.95,MAX(C114,D114,))))</f>
        <v>4.1580000000000004</v>
      </c>
      <c r="I116" s="11" t="s">
        <v>1936</v>
      </c>
      <c r="J116" s="11">
        <f>C6+C6*E6*(C15+D18-25)</f>
        <v>521.70000000000005</v>
      </c>
    </row>
    <row r="117" spans="2:26" ht="13.5" hidden="1" thickBot="1"/>
    <row r="118" spans="2:26" hidden="1">
      <c r="B118" s="33" t="s">
        <v>124</v>
      </c>
      <c r="C118" s="30" t="s">
        <v>125</v>
      </c>
      <c r="D118" s="30" t="s">
        <v>97</v>
      </c>
      <c r="E118" s="30" t="s">
        <v>126</v>
      </c>
      <c r="F118" s="34" t="s">
        <v>127</v>
      </c>
      <c r="G118" s="30" t="s">
        <v>128</v>
      </c>
      <c r="H118" s="30" t="s">
        <v>129</v>
      </c>
      <c r="I118" s="30" t="s">
        <v>130</v>
      </c>
      <c r="J118" s="30" t="s">
        <v>131</v>
      </c>
      <c r="K118" s="30" t="s">
        <v>132</v>
      </c>
      <c r="L118" s="30" t="s">
        <v>1937</v>
      </c>
      <c r="M118" s="30" t="s">
        <v>1938</v>
      </c>
      <c r="N118" s="34" t="s">
        <v>1939</v>
      </c>
      <c r="O118" s="34" t="s">
        <v>1940</v>
      </c>
      <c r="P118" s="11" t="s">
        <v>1941</v>
      </c>
      <c r="Q118" s="11" t="s">
        <v>1942</v>
      </c>
      <c r="S118" s="30" t="s">
        <v>1822</v>
      </c>
      <c r="T118" s="30" t="s">
        <v>1943</v>
      </c>
    </row>
    <row r="119" spans="2:26" hidden="1">
      <c r="B119" s="23" t="s">
        <v>1944</v>
      </c>
      <c r="C119" s="87">
        <v>187.5</v>
      </c>
      <c r="D119" s="87">
        <v>1500</v>
      </c>
      <c r="E119" s="87">
        <v>800</v>
      </c>
      <c r="F119" s="87">
        <v>1200</v>
      </c>
      <c r="G119" s="87">
        <v>1100</v>
      </c>
      <c r="H119" s="87">
        <v>115</v>
      </c>
      <c r="I119" s="87">
        <v>65</v>
      </c>
      <c r="J119" s="87">
        <v>24</v>
      </c>
      <c r="K119" s="50">
        <v>0.98050000000000004</v>
      </c>
      <c r="L119" s="87" t="s">
        <v>1945</v>
      </c>
      <c r="M119" s="112">
        <v>500</v>
      </c>
      <c r="N119" s="113">
        <f t="shared" ref="N119:N133" si="10">(E119-M119)/(100-O119)</f>
        <v>10.344827586206897</v>
      </c>
      <c r="O119" s="87">
        <v>71</v>
      </c>
      <c r="P119" s="42">
        <v>800</v>
      </c>
      <c r="Q119" s="94">
        <f>ROUNDDOWN((P119-M119)/N119+O119,0)/100</f>
        <v>1</v>
      </c>
      <c r="S119" s="87">
        <v>6</v>
      </c>
      <c r="T119" s="87">
        <f>J119/S119</f>
        <v>4</v>
      </c>
    </row>
    <row r="120" spans="2:26" hidden="1">
      <c r="B120" s="23" t="s">
        <v>1946</v>
      </c>
      <c r="C120" s="87">
        <v>187.5</v>
      </c>
      <c r="D120" s="87">
        <v>1500</v>
      </c>
      <c r="E120" s="87">
        <v>800</v>
      </c>
      <c r="F120" s="87">
        <v>1200</v>
      </c>
      <c r="G120" s="87">
        <v>950</v>
      </c>
      <c r="H120" s="87">
        <v>115</v>
      </c>
      <c r="I120" s="87">
        <v>65</v>
      </c>
      <c r="J120" s="87">
        <v>24</v>
      </c>
      <c r="K120" s="50">
        <v>0.98050000000000004</v>
      </c>
      <c r="L120" s="87" t="s">
        <v>1945</v>
      </c>
      <c r="M120" s="112">
        <v>500</v>
      </c>
      <c r="N120" s="113">
        <f t="shared" si="10"/>
        <v>10.344827586206897</v>
      </c>
      <c r="O120" s="87">
        <v>71</v>
      </c>
      <c r="P120" s="42">
        <v>800</v>
      </c>
      <c r="Q120" s="94">
        <f t="shared" ref="Q120" si="11">ROUNDDOWN((P120-M120)/N120+O120,0)/100</f>
        <v>1</v>
      </c>
      <c r="S120" s="87">
        <v>6</v>
      </c>
      <c r="T120" s="87">
        <f>J120/S120</f>
        <v>4</v>
      </c>
    </row>
    <row r="121" spans="2:26" hidden="1">
      <c r="B121" s="23" t="s">
        <v>1947</v>
      </c>
      <c r="C121" s="87">
        <v>125</v>
      </c>
      <c r="D121" s="87">
        <v>1500</v>
      </c>
      <c r="E121" s="87">
        <v>770</v>
      </c>
      <c r="F121" s="87">
        <v>1200</v>
      </c>
      <c r="G121" s="87">
        <v>1100</v>
      </c>
      <c r="H121" s="87">
        <v>50</v>
      </c>
      <c r="I121" s="87">
        <v>30</v>
      </c>
      <c r="J121" s="87">
        <v>18</v>
      </c>
      <c r="K121" s="50">
        <v>0.98099999999999998</v>
      </c>
      <c r="L121" s="87" t="s">
        <v>1945</v>
      </c>
      <c r="M121" s="112">
        <v>500</v>
      </c>
      <c r="N121" s="113">
        <f t="shared" si="10"/>
        <v>6.75</v>
      </c>
      <c r="O121" s="87">
        <v>60</v>
      </c>
      <c r="P121" s="42">
        <v>770</v>
      </c>
      <c r="Q121" s="94">
        <f>ROUNDDOWN((P121-M121)/N121+O121,0)/100</f>
        <v>1</v>
      </c>
      <c r="S121" s="87">
        <v>9</v>
      </c>
      <c r="T121" s="87">
        <f>J121/S121</f>
        <v>2</v>
      </c>
    </row>
    <row r="122" spans="2:26" hidden="1">
      <c r="B122" s="23" t="s">
        <v>1816</v>
      </c>
      <c r="C122" s="87">
        <v>125</v>
      </c>
      <c r="D122" s="87">
        <v>1500</v>
      </c>
      <c r="E122" s="87">
        <v>770</v>
      </c>
      <c r="F122" s="87">
        <v>1200</v>
      </c>
      <c r="G122" s="87">
        <v>950</v>
      </c>
      <c r="H122" s="87">
        <v>50</v>
      </c>
      <c r="I122" s="87">
        <v>30</v>
      </c>
      <c r="J122" s="87">
        <v>18</v>
      </c>
      <c r="K122" s="50">
        <v>0.98099999999999998</v>
      </c>
      <c r="L122" s="87" t="s">
        <v>1945</v>
      </c>
      <c r="M122" s="112">
        <v>500</v>
      </c>
      <c r="N122" s="113">
        <f t="shared" si="10"/>
        <v>6.75</v>
      </c>
      <c r="O122" s="87">
        <v>60</v>
      </c>
      <c r="P122" s="42">
        <f>E122</f>
        <v>770</v>
      </c>
      <c r="Q122" s="94">
        <f t="shared" ref="Q122" si="12">ROUNDDOWN((P122-M122)/N122+O122,0)/100</f>
        <v>1</v>
      </c>
      <c r="S122" s="87">
        <v>9</v>
      </c>
      <c r="T122" s="87">
        <f t="shared" ref="T122" si="13">J122/S122</f>
        <v>2</v>
      </c>
    </row>
    <row r="123" spans="2:26" hidden="1">
      <c r="B123" s="23" t="s">
        <v>1948</v>
      </c>
      <c r="C123" s="87">
        <v>111.1</v>
      </c>
      <c r="D123" s="87">
        <v>1020</v>
      </c>
      <c r="E123" s="87">
        <v>550</v>
      </c>
      <c r="F123" s="87">
        <v>900</v>
      </c>
      <c r="G123" s="87">
        <v>700</v>
      </c>
      <c r="H123" s="87">
        <v>40</v>
      </c>
      <c r="I123" s="87">
        <v>26</v>
      </c>
      <c r="J123" s="87">
        <v>20</v>
      </c>
      <c r="K123" s="50">
        <v>0.98099999999999998</v>
      </c>
      <c r="L123" s="87" t="s">
        <v>1949</v>
      </c>
      <c r="M123" s="112">
        <v>200</v>
      </c>
      <c r="N123" s="113">
        <f t="shared" si="10"/>
        <v>5.3030303030303028</v>
      </c>
      <c r="O123" s="87">
        <v>34</v>
      </c>
      <c r="P123" s="42">
        <f>E123</f>
        <v>550</v>
      </c>
      <c r="Q123" s="94">
        <f>ROUNDDOWN((P123-M123)/N123+O123,0)/100</f>
        <v>1</v>
      </c>
      <c r="S123" s="87">
        <v>10</v>
      </c>
      <c r="T123" s="87">
        <f t="shared" ref="T123:T146" si="14">J123/S123</f>
        <v>2</v>
      </c>
    </row>
    <row r="124" spans="2:26" hidden="1">
      <c r="B124" s="23" t="s">
        <v>1950</v>
      </c>
      <c r="C124" s="87">
        <v>111.1</v>
      </c>
      <c r="D124" s="87">
        <v>1020</v>
      </c>
      <c r="E124" s="87">
        <v>550</v>
      </c>
      <c r="F124" s="87">
        <v>900</v>
      </c>
      <c r="G124" s="87">
        <v>670</v>
      </c>
      <c r="H124" s="87">
        <v>40</v>
      </c>
      <c r="I124" s="87">
        <v>26</v>
      </c>
      <c r="J124" s="87">
        <v>20</v>
      </c>
      <c r="K124" s="50">
        <v>0.98099999999999998</v>
      </c>
      <c r="L124" s="87" t="s">
        <v>1949</v>
      </c>
      <c r="M124" s="112">
        <v>200</v>
      </c>
      <c r="N124" s="113">
        <f t="shared" si="10"/>
        <v>5.3030303030303028</v>
      </c>
      <c r="O124" s="87">
        <v>34</v>
      </c>
      <c r="P124" s="42">
        <f>E124</f>
        <v>550</v>
      </c>
      <c r="Q124" s="94">
        <f t="shared" ref="Q124:Q139" si="15">ROUNDDOWN((P124-M124)/N124+O124,0)/100</f>
        <v>1</v>
      </c>
      <c r="S124" s="87">
        <v>10</v>
      </c>
      <c r="T124" s="87">
        <f t="shared" si="14"/>
        <v>2</v>
      </c>
    </row>
    <row r="125" spans="2:26" hidden="1">
      <c r="B125" s="23" t="s">
        <v>142</v>
      </c>
      <c r="C125" s="87">
        <v>62.5</v>
      </c>
      <c r="D125" s="87">
        <v>1500</v>
      </c>
      <c r="E125" s="87">
        <v>800</v>
      </c>
      <c r="F125" s="87">
        <v>1200</v>
      </c>
      <c r="G125" s="87">
        <v>1100</v>
      </c>
      <c r="H125" s="87">
        <v>33</v>
      </c>
      <c r="I125" s="87">
        <v>22</v>
      </c>
      <c r="J125" s="87">
        <v>12</v>
      </c>
      <c r="K125" s="50">
        <v>0.98499999999999999</v>
      </c>
      <c r="L125" s="87" t="s">
        <v>1951</v>
      </c>
      <c r="M125" s="112">
        <v>600</v>
      </c>
      <c r="N125" s="113">
        <f t="shared" si="10"/>
        <v>4</v>
      </c>
      <c r="O125" s="87">
        <v>50</v>
      </c>
      <c r="P125" s="42">
        <f>E125</f>
        <v>800</v>
      </c>
      <c r="Q125" s="94">
        <f t="shared" si="15"/>
        <v>1</v>
      </c>
      <c r="S125" s="87">
        <v>6</v>
      </c>
      <c r="T125" s="87">
        <f t="shared" si="14"/>
        <v>2</v>
      </c>
    </row>
    <row r="126" spans="2:26" hidden="1">
      <c r="B126" s="23" t="s">
        <v>141</v>
      </c>
      <c r="C126" s="87">
        <v>62.5</v>
      </c>
      <c r="D126" s="87">
        <v>1020</v>
      </c>
      <c r="E126" s="87">
        <v>550</v>
      </c>
      <c r="F126" s="87">
        <v>850</v>
      </c>
      <c r="G126" s="87">
        <v>750</v>
      </c>
      <c r="H126" s="87">
        <v>30</v>
      </c>
      <c r="I126" s="87">
        <v>22</v>
      </c>
      <c r="J126" s="87">
        <v>12</v>
      </c>
      <c r="K126" s="50">
        <v>0.98599999999999999</v>
      </c>
      <c r="L126" s="87" t="s">
        <v>1949</v>
      </c>
      <c r="M126" s="112">
        <v>200</v>
      </c>
      <c r="N126" s="113">
        <f t="shared" si="10"/>
        <v>4.7945205479452051</v>
      </c>
      <c r="O126" s="87">
        <v>27</v>
      </c>
      <c r="P126" s="42">
        <v>487.4</v>
      </c>
      <c r="Q126" s="94">
        <f t="shared" si="15"/>
        <v>0.86</v>
      </c>
      <c r="S126" s="87">
        <v>6</v>
      </c>
      <c r="T126" s="87">
        <f t="shared" si="14"/>
        <v>2</v>
      </c>
    </row>
    <row r="127" spans="2:26" hidden="1">
      <c r="B127" s="23" t="s">
        <v>1952</v>
      </c>
      <c r="C127" s="87">
        <v>50</v>
      </c>
      <c r="D127" s="87">
        <v>1020</v>
      </c>
      <c r="E127" s="87">
        <v>610</v>
      </c>
      <c r="F127" s="87">
        <v>830</v>
      </c>
      <c r="G127" s="87">
        <v>780</v>
      </c>
      <c r="H127" s="87">
        <v>40</v>
      </c>
      <c r="I127" s="87">
        <v>30</v>
      </c>
      <c r="J127" s="87">
        <v>8</v>
      </c>
      <c r="K127" s="50">
        <v>0.98399999999999999</v>
      </c>
      <c r="L127" s="87" t="s">
        <v>1949</v>
      </c>
      <c r="M127" s="112">
        <v>200</v>
      </c>
      <c r="N127" s="113">
        <f t="shared" si="10"/>
        <v>5.4666666666666668</v>
      </c>
      <c r="O127" s="87">
        <v>25</v>
      </c>
      <c r="P127" s="42">
        <f>E127</f>
        <v>610</v>
      </c>
      <c r="Q127" s="94">
        <f>ROUNDDOWN((P127-M127)/N127+O127,0)/100</f>
        <v>1</v>
      </c>
      <c r="S127" s="87">
        <v>4</v>
      </c>
      <c r="T127" s="87">
        <f t="shared" si="14"/>
        <v>2</v>
      </c>
    </row>
    <row r="128" spans="2:26" hidden="1">
      <c r="B128" s="23" t="s">
        <v>1953</v>
      </c>
      <c r="C128" s="87">
        <v>50</v>
      </c>
      <c r="D128" s="87">
        <v>1020</v>
      </c>
      <c r="E128" s="87">
        <v>570</v>
      </c>
      <c r="F128" s="87">
        <v>830</v>
      </c>
      <c r="G128" s="87">
        <v>830</v>
      </c>
      <c r="H128" s="87">
        <v>40</v>
      </c>
      <c r="I128" s="87">
        <v>30</v>
      </c>
      <c r="J128" s="87">
        <v>8</v>
      </c>
      <c r="K128" s="50">
        <v>0.98399999999999999</v>
      </c>
      <c r="L128" s="87" t="s">
        <v>1949</v>
      </c>
      <c r="M128" s="112">
        <v>200</v>
      </c>
      <c r="N128" s="113">
        <f t="shared" si="10"/>
        <v>4.9333333333333336</v>
      </c>
      <c r="O128" s="87">
        <v>25</v>
      </c>
      <c r="P128" s="42">
        <f>E128</f>
        <v>570</v>
      </c>
      <c r="Q128" s="94">
        <f>ROUNDDOWN((P128-M128)/N128+O128,0)/100</f>
        <v>1</v>
      </c>
      <c r="S128" s="87">
        <v>4</v>
      </c>
      <c r="T128" s="87">
        <f t="shared" si="14"/>
        <v>2</v>
      </c>
    </row>
    <row r="129" spans="2:20" hidden="1">
      <c r="B129" s="23" t="s">
        <v>143</v>
      </c>
      <c r="C129" s="87">
        <v>50</v>
      </c>
      <c r="D129" s="87">
        <v>1020</v>
      </c>
      <c r="E129" s="87">
        <v>550</v>
      </c>
      <c r="F129" s="87">
        <v>890</v>
      </c>
      <c r="G129" s="87">
        <v>800</v>
      </c>
      <c r="H129" s="87">
        <v>30</v>
      </c>
      <c r="I129" s="87">
        <v>22</v>
      </c>
      <c r="J129" s="87">
        <v>12</v>
      </c>
      <c r="K129" s="50">
        <v>0.98599999999999999</v>
      </c>
      <c r="L129" s="87" t="s">
        <v>1949</v>
      </c>
      <c r="M129" s="112">
        <v>200</v>
      </c>
      <c r="N129" s="113">
        <f t="shared" si="10"/>
        <v>5.3030303030303028</v>
      </c>
      <c r="O129" s="87">
        <v>34</v>
      </c>
      <c r="P129" s="42">
        <v>550</v>
      </c>
      <c r="Q129" s="94">
        <f t="shared" si="15"/>
        <v>1</v>
      </c>
      <c r="S129" s="87">
        <v>6</v>
      </c>
      <c r="T129" s="87">
        <f t="shared" si="14"/>
        <v>2</v>
      </c>
    </row>
    <row r="130" spans="2:20" hidden="1">
      <c r="B130" s="23" t="s">
        <v>145</v>
      </c>
      <c r="C130" s="87">
        <v>40</v>
      </c>
      <c r="D130" s="87">
        <v>1020</v>
      </c>
      <c r="E130" s="87">
        <v>580</v>
      </c>
      <c r="F130" s="87">
        <v>850</v>
      </c>
      <c r="G130" s="87">
        <v>710</v>
      </c>
      <c r="H130" s="87">
        <v>40</v>
      </c>
      <c r="I130" s="87">
        <v>26</v>
      </c>
      <c r="J130" s="87">
        <v>8</v>
      </c>
      <c r="K130" s="50">
        <v>0.98399999999999999</v>
      </c>
      <c r="L130" s="87" t="s">
        <v>1949</v>
      </c>
      <c r="M130" s="112">
        <v>300</v>
      </c>
      <c r="N130" s="113">
        <f t="shared" si="10"/>
        <v>3.7333333333333334</v>
      </c>
      <c r="O130" s="87">
        <v>25</v>
      </c>
      <c r="P130" s="42">
        <f t="shared" ref="P130:P136" si="16">E130</f>
        <v>580</v>
      </c>
      <c r="Q130" s="94">
        <f t="shared" si="15"/>
        <v>1</v>
      </c>
      <c r="S130" s="87">
        <v>4</v>
      </c>
      <c r="T130" s="87">
        <f t="shared" si="14"/>
        <v>2</v>
      </c>
    </row>
    <row r="131" spans="2:20" hidden="1">
      <c r="B131" s="23" t="s">
        <v>146</v>
      </c>
      <c r="C131" s="87">
        <v>33</v>
      </c>
      <c r="D131" s="87">
        <v>1020</v>
      </c>
      <c r="E131" s="87">
        <v>480</v>
      </c>
      <c r="F131" s="87">
        <v>850</v>
      </c>
      <c r="G131" s="87">
        <v>730</v>
      </c>
      <c r="H131" s="87">
        <v>40</v>
      </c>
      <c r="I131" s="87">
        <v>26</v>
      </c>
      <c r="J131" s="87">
        <v>8</v>
      </c>
      <c r="K131" s="50">
        <v>0.98499999999999999</v>
      </c>
      <c r="L131" s="87" t="s">
        <v>1949</v>
      </c>
      <c r="M131" s="112">
        <v>300</v>
      </c>
      <c r="N131" s="113">
        <f t="shared" si="10"/>
        <v>2.4</v>
      </c>
      <c r="O131" s="87">
        <v>25</v>
      </c>
      <c r="P131" s="42">
        <f t="shared" si="16"/>
        <v>480</v>
      </c>
      <c r="Q131" s="94">
        <f t="shared" si="15"/>
        <v>1</v>
      </c>
      <c r="S131" s="87">
        <v>4</v>
      </c>
      <c r="T131" s="87">
        <f t="shared" si="14"/>
        <v>2</v>
      </c>
    </row>
    <row r="132" spans="2:20" hidden="1">
      <c r="B132" s="23" t="s">
        <v>1954</v>
      </c>
      <c r="C132" s="87">
        <v>33</v>
      </c>
      <c r="D132" s="87">
        <v>1020</v>
      </c>
      <c r="E132" s="87">
        <v>500</v>
      </c>
      <c r="F132" s="87">
        <v>850</v>
      </c>
      <c r="G132" s="87">
        <v>750</v>
      </c>
      <c r="H132" s="87">
        <v>40</v>
      </c>
      <c r="I132" s="87">
        <v>26</v>
      </c>
      <c r="J132" s="87">
        <v>8</v>
      </c>
      <c r="K132" s="50">
        <v>0.98499999999999999</v>
      </c>
      <c r="L132" s="87" t="s">
        <v>1949</v>
      </c>
      <c r="M132" s="112">
        <v>300</v>
      </c>
      <c r="N132" s="113">
        <f t="shared" si="10"/>
        <v>2.6666666666666665</v>
      </c>
      <c r="O132" s="87">
        <v>25</v>
      </c>
      <c r="P132" s="42">
        <f t="shared" si="16"/>
        <v>500</v>
      </c>
      <c r="Q132" s="94">
        <f t="shared" si="15"/>
        <v>1</v>
      </c>
      <c r="S132" s="87">
        <v>4</v>
      </c>
      <c r="T132" s="87">
        <f t="shared" si="14"/>
        <v>2</v>
      </c>
    </row>
    <row r="133" spans="2:20" hidden="1">
      <c r="B133" s="23" t="s">
        <v>1955</v>
      </c>
      <c r="C133" s="87">
        <v>20</v>
      </c>
      <c r="D133" s="87">
        <v>750</v>
      </c>
      <c r="E133" s="87">
        <v>300</v>
      </c>
      <c r="F133" s="87">
        <v>550</v>
      </c>
      <c r="G133" s="87">
        <v>450</v>
      </c>
      <c r="H133" s="87">
        <v>40</v>
      </c>
      <c r="I133" s="87">
        <v>26</v>
      </c>
      <c r="J133" s="87">
        <v>8</v>
      </c>
      <c r="K133" s="50">
        <v>0.97099999999999997</v>
      </c>
      <c r="L133" s="87" t="s">
        <v>1956</v>
      </c>
      <c r="M133" s="112">
        <v>200</v>
      </c>
      <c r="N133" s="113">
        <f t="shared" si="10"/>
        <v>2</v>
      </c>
      <c r="O133" s="87">
        <v>50</v>
      </c>
      <c r="P133" s="42">
        <f t="shared" si="16"/>
        <v>300</v>
      </c>
      <c r="Q133" s="94">
        <f t="shared" si="15"/>
        <v>1</v>
      </c>
      <c r="S133" s="87">
        <v>4</v>
      </c>
      <c r="T133" s="87">
        <f t="shared" si="14"/>
        <v>2</v>
      </c>
    </row>
    <row r="134" spans="2:20" hidden="1">
      <c r="B134" s="23" t="s">
        <v>1957</v>
      </c>
      <c r="C134" s="87">
        <v>83.3</v>
      </c>
      <c r="D134" s="87">
        <v>1000</v>
      </c>
      <c r="E134" s="87">
        <v>420</v>
      </c>
      <c r="F134" s="87">
        <v>800</v>
      </c>
      <c r="G134" s="43">
        <v>700</v>
      </c>
      <c r="H134" s="87">
        <v>400</v>
      </c>
      <c r="I134" s="87">
        <v>224.9</v>
      </c>
      <c r="J134" s="87">
        <v>2</v>
      </c>
      <c r="K134" s="50">
        <v>0.98599999999999999</v>
      </c>
      <c r="L134" s="87" t="s">
        <v>1958</v>
      </c>
      <c r="M134" s="112">
        <v>500</v>
      </c>
      <c r="N134" s="113">
        <v>1</v>
      </c>
      <c r="O134" s="87">
        <v>100</v>
      </c>
      <c r="P134" s="42">
        <f t="shared" si="16"/>
        <v>420</v>
      </c>
      <c r="Q134" s="94">
        <f>ROUNDDOWN((P134-M134)/N134+O134,0)/100</f>
        <v>0.2</v>
      </c>
      <c r="S134" s="87">
        <v>1</v>
      </c>
      <c r="T134" s="87">
        <f>J134/S134</f>
        <v>2</v>
      </c>
    </row>
    <row r="135" spans="2:20" hidden="1">
      <c r="B135" s="23" t="s">
        <v>1959</v>
      </c>
      <c r="C135" s="87">
        <v>83.3</v>
      </c>
      <c r="D135" s="87">
        <v>1000</v>
      </c>
      <c r="E135" s="87">
        <v>500</v>
      </c>
      <c r="F135" s="87">
        <v>950</v>
      </c>
      <c r="G135" s="43">
        <v>800</v>
      </c>
      <c r="H135" s="87">
        <v>400</v>
      </c>
      <c r="I135" s="87">
        <v>224.9</v>
      </c>
      <c r="J135" s="87">
        <v>2</v>
      </c>
      <c r="K135" s="50">
        <v>0.98599999999999999</v>
      </c>
      <c r="L135" s="87" t="s">
        <v>1960</v>
      </c>
      <c r="M135" s="112">
        <v>500</v>
      </c>
      <c r="N135" s="113">
        <v>1</v>
      </c>
      <c r="O135" s="87">
        <v>100</v>
      </c>
      <c r="P135" s="42">
        <f t="shared" si="16"/>
        <v>500</v>
      </c>
      <c r="Q135" s="94">
        <f>ROUNDDOWN((P135-M135)/N135+O135,0)/100</f>
        <v>1</v>
      </c>
      <c r="S135" s="87">
        <v>1</v>
      </c>
      <c r="T135" s="87">
        <f>J135/S135</f>
        <v>2</v>
      </c>
    </row>
    <row r="136" spans="2:20" hidden="1">
      <c r="B136" s="23" t="s">
        <v>1961</v>
      </c>
      <c r="C136" s="87">
        <v>125</v>
      </c>
      <c r="D136" s="87">
        <v>1000</v>
      </c>
      <c r="E136" s="87">
        <v>570</v>
      </c>
      <c r="F136" s="87">
        <v>900</v>
      </c>
      <c r="G136" s="43">
        <v>750</v>
      </c>
      <c r="H136" s="87">
        <v>400</v>
      </c>
      <c r="I136" s="87">
        <v>224.9</v>
      </c>
      <c r="J136" s="87">
        <v>2</v>
      </c>
      <c r="K136" s="50">
        <v>0.98599999999999999</v>
      </c>
      <c r="L136" s="87" t="s">
        <v>1962</v>
      </c>
      <c r="M136" s="112">
        <v>420</v>
      </c>
      <c r="N136" s="113">
        <f>(E136-M136)/(100-O136)</f>
        <v>3.75</v>
      </c>
      <c r="O136" s="87">
        <v>60</v>
      </c>
      <c r="P136" s="42">
        <f t="shared" si="16"/>
        <v>570</v>
      </c>
      <c r="Q136" s="94">
        <f>ROUNDDOWN((P136-M136)/N136+O136,0)/100</f>
        <v>1</v>
      </c>
      <c r="S136" s="87">
        <v>1</v>
      </c>
      <c r="T136" s="87">
        <f>J136/S136</f>
        <v>2</v>
      </c>
    </row>
    <row r="137" spans="2:20" hidden="1">
      <c r="B137" s="23" t="s">
        <v>1963</v>
      </c>
      <c r="C137" s="87">
        <v>62.5</v>
      </c>
      <c r="D137" s="87">
        <v>1000</v>
      </c>
      <c r="E137" s="87">
        <v>320</v>
      </c>
      <c r="F137" s="87">
        <v>600</v>
      </c>
      <c r="G137" s="87">
        <v>600</v>
      </c>
      <c r="H137" s="87">
        <v>300</v>
      </c>
      <c r="I137" s="87">
        <v>240</v>
      </c>
      <c r="J137" s="87">
        <v>2</v>
      </c>
      <c r="K137" s="50">
        <v>0.97</v>
      </c>
      <c r="L137" s="87" t="s">
        <v>1964</v>
      </c>
      <c r="M137" s="112">
        <v>310</v>
      </c>
      <c r="N137" s="113">
        <v>2.2999999999999998</v>
      </c>
      <c r="O137" s="87">
        <v>40</v>
      </c>
      <c r="P137" s="42">
        <v>450</v>
      </c>
      <c r="Q137" s="94">
        <f>ROUNDDOWN((P137-M137)/N137+O137,0)/100</f>
        <v>1</v>
      </c>
      <c r="S137" s="87">
        <v>1</v>
      </c>
      <c r="T137" s="87">
        <f t="shared" si="14"/>
        <v>2</v>
      </c>
    </row>
    <row r="138" spans="2:20" hidden="1">
      <c r="B138" s="23" t="s">
        <v>149</v>
      </c>
      <c r="C138" s="87">
        <v>4.95</v>
      </c>
      <c r="D138" s="87">
        <v>600</v>
      </c>
      <c r="E138" s="87">
        <v>220</v>
      </c>
      <c r="F138" s="87">
        <v>530</v>
      </c>
      <c r="G138" s="87">
        <v>530</v>
      </c>
      <c r="H138" s="87">
        <v>30</v>
      </c>
      <c r="I138" s="87">
        <v>16</v>
      </c>
      <c r="J138" s="87">
        <v>4</v>
      </c>
      <c r="K138" s="50">
        <v>0.97</v>
      </c>
      <c r="L138" s="87" t="s">
        <v>1965</v>
      </c>
      <c r="M138" s="112">
        <v>100</v>
      </c>
      <c r="N138" s="113">
        <f>(E138-M138)/(100-O138)</f>
        <v>2</v>
      </c>
      <c r="O138" s="87">
        <v>40</v>
      </c>
      <c r="P138" s="42">
        <f>E138</f>
        <v>220</v>
      </c>
      <c r="Q138" s="94">
        <f t="shared" ref="Q138" si="17">ROUNDDOWN((P138-M138)/N138+O138,0)/100</f>
        <v>1</v>
      </c>
      <c r="S138" s="87">
        <v>2</v>
      </c>
      <c r="T138" s="87">
        <f t="shared" ref="T138" si="18">J138/S138</f>
        <v>2</v>
      </c>
    </row>
    <row r="139" spans="2:20" hidden="1">
      <c r="B139" s="23" t="s">
        <v>49</v>
      </c>
      <c r="C139" s="87">
        <v>4.95</v>
      </c>
      <c r="D139" s="87">
        <v>600</v>
      </c>
      <c r="E139" s="87">
        <v>220</v>
      </c>
      <c r="F139" s="87">
        <v>530</v>
      </c>
      <c r="G139" s="87">
        <v>530</v>
      </c>
      <c r="H139" s="87">
        <v>25</v>
      </c>
      <c r="I139" s="87">
        <v>16</v>
      </c>
      <c r="J139" s="87">
        <v>4</v>
      </c>
      <c r="K139" s="50">
        <v>0.97</v>
      </c>
      <c r="L139" s="87" t="s">
        <v>1965</v>
      </c>
      <c r="M139" s="112">
        <v>100</v>
      </c>
      <c r="N139" s="113">
        <f>(E139-M139)/(100-O139)</f>
        <v>2</v>
      </c>
      <c r="O139" s="87">
        <v>40</v>
      </c>
      <c r="P139" s="42">
        <v>190</v>
      </c>
      <c r="Q139" s="94">
        <f t="shared" si="15"/>
        <v>0.85</v>
      </c>
      <c r="S139" s="87">
        <v>2</v>
      </c>
      <c r="T139" s="87">
        <f t="shared" si="14"/>
        <v>2</v>
      </c>
    </row>
    <row r="140" spans="2:20" hidden="1">
      <c r="B140" s="23" t="s">
        <v>150</v>
      </c>
      <c r="C140" s="87">
        <v>4.95</v>
      </c>
      <c r="D140" s="87">
        <v>600</v>
      </c>
      <c r="E140" s="87">
        <v>310</v>
      </c>
      <c r="F140" s="87">
        <v>530</v>
      </c>
      <c r="G140" s="87">
        <v>530</v>
      </c>
      <c r="H140" s="87">
        <v>30</v>
      </c>
      <c r="I140" s="87">
        <v>16</v>
      </c>
      <c r="J140" s="87">
        <v>4</v>
      </c>
      <c r="K140" s="50">
        <v>0.97</v>
      </c>
      <c r="L140" s="87"/>
      <c r="M140" s="112"/>
      <c r="N140" s="113"/>
      <c r="O140" s="81"/>
      <c r="S140" s="87">
        <v>2</v>
      </c>
      <c r="T140" s="87">
        <f t="shared" si="14"/>
        <v>2</v>
      </c>
    </row>
    <row r="141" spans="2:20" ht="13.5" hidden="1" thickBot="1">
      <c r="B141" s="27" t="s">
        <v>153</v>
      </c>
      <c r="C141" s="32">
        <v>20</v>
      </c>
      <c r="D141" s="32">
        <v>750</v>
      </c>
      <c r="E141" s="32">
        <v>300</v>
      </c>
      <c r="F141" s="32">
        <v>500</v>
      </c>
      <c r="G141" s="32">
        <v>440</v>
      </c>
      <c r="H141" s="32">
        <v>40</v>
      </c>
      <c r="I141" s="32">
        <v>26</v>
      </c>
      <c r="J141" s="32">
        <v>8</v>
      </c>
      <c r="K141" s="51">
        <v>0.97099999999999997</v>
      </c>
      <c r="L141" s="32" t="s">
        <v>1956</v>
      </c>
      <c r="M141" s="112"/>
      <c r="N141" s="113"/>
      <c r="O141" s="81"/>
      <c r="S141" s="32">
        <v>4</v>
      </c>
      <c r="T141" s="87">
        <f t="shared" si="14"/>
        <v>2</v>
      </c>
    </row>
    <row r="142" spans="2:20" hidden="1">
      <c r="B142" s="23" t="s">
        <v>138</v>
      </c>
      <c r="C142" s="87">
        <v>125</v>
      </c>
      <c r="D142" s="87">
        <v>1500</v>
      </c>
      <c r="E142" s="87">
        <v>800</v>
      </c>
      <c r="F142" s="87">
        <v>1200</v>
      </c>
      <c r="G142" s="87">
        <v>950</v>
      </c>
      <c r="H142" s="87">
        <v>50</v>
      </c>
      <c r="I142" s="87">
        <v>30</v>
      </c>
      <c r="J142" s="87">
        <v>18</v>
      </c>
      <c r="K142" s="50">
        <v>0.98099999999999998</v>
      </c>
      <c r="L142" s="87" t="s">
        <v>1945</v>
      </c>
      <c r="M142" s="112"/>
      <c r="N142" s="113"/>
      <c r="O142" s="81"/>
      <c r="S142" s="87">
        <v>9</v>
      </c>
      <c r="T142" s="87">
        <f t="shared" si="14"/>
        <v>2</v>
      </c>
    </row>
    <row r="143" spans="2:20" hidden="1">
      <c r="B143" s="23" t="s">
        <v>1966</v>
      </c>
      <c r="C143" s="87">
        <v>125</v>
      </c>
      <c r="D143" s="87">
        <v>1500</v>
      </c>
      <c r="E143" s="87">
        <v>770</v>
      </c>
      <c r="F143" s="87">
        <v>1200</v>
      </c>
      <c r="G143" s="43">
        <f>(0.86-$L$19)*100*9.09+1100</f>
        <v>1090.9100000000001</v>
      </c>
      <c r="H143" s="87">
        <v>50</v>
      </c>
      <c r="I143" s="87">
        <v>30</v>
      </c>
      <c r="J143" s="87">
        <v>18</v>
      </c>
      <c r="K143" s="50">
        <v>0.98099999999999998</v>
      </c>
      <c r="L143" s="87" t="s">
        <v>1945</v>
      </c>
      <c r="M143" s="112">
        <v>500</v>
      </c>
      <c r="N143" s="113">
        <f>(E143-M143)/(100-O143)</f>
        <v>6.75</v>
      </c>
      <c r="O143" s="87">
        <v>60</v>
      </c>
      <c r="P143" s="42">
        <f>E143</f>
        <v>770</v>
      </c>
      <c r="Q143" s="94">
        <f>ROUNDDOWN((P143-M143)/N143+O143,0)/100</f>
        <v>1</v>
      </c>
      <c r="S143" s="87">
        <v>9</v>
      </c>
      <c r="T143" s="87">
        <f t="shared" si="14"/>
        <v>2</v>
      </c>
    </row>
    <row r="144" spans="2:20" hidden="1">
      <c r="B144" s="23" t="s">
        <v>1967</v>
      </c>
      <c r="C144" s="87">
        <v>125</v>
      </c>
      <c r="D144" s="87">
        <v>1500</v>
      </c>
      <c r="E144" s="87">
        <v>770</v>
      </c>
      <c r="F144" s="87">
        <v>1200</v>
      </c>
      <c r="G144" s="43">
        <f>(0.86-$L$19)*100*9.09+950</f>
        <v>940.91</v>
      </c>
      <c r="H144" s="87">
        <v>50</v>
      </c>
      <c r="I144" s="87">
        <v>30</v>
      </c>
      <c r="J144" s="87">
        <v>18</v>
      </c>
      <c r="K144" s="50">
        <v>0.98099999999999998</v>
      </c>
      <c r="L144" s="87" t="s">
        <v>1945</v>
      </c>
      <c r="M144" s="112">
        <v>500</v>
      </c>
      <c r="N144" s="113">
        <f>(E144-M144)/(100-O144)</f>
        <v>6.75</v>
      </c>
      <c r="O144" s="87">
        <v>60</v>
      </c>
      <c r="P144" s="42">
        <f>E144</f>
        <v>770</v>
      </c>
      <c r="Q144" s="94">
        <f>ROUNDDOWN((P144-M144)/N144+O144,0)/100</f>
        <v>1</v>
      </c>
      <c r="S144" s="87">
        <v>9</v>
      </c>
      <c r="T144" s="87">
        <f t="shared" si="14"/>
        <v>2</v>
      </c>
    </row>
    <row r="145" spans="2:20" hidden="1">
      <c r="B145" s="23" t="s">
        <v>140</v>
      </c>
      <c r="C145" s="87">
        <v>111</v>
      </c>
      <c r="D145" s="87">
        <v>1020</v>
      </c>
      <c r="E145" s="87">
        <v>550</v>
      </c>
      <c r="F145" s="87">
        <v>800</v>
      </c>
      <c r="G145" s="87">
        <v>670</v>
      </c>
      <c r="H145" s="87">
        <v>40</v>
      </c>
      <c r="I145" s="87">
        <v>26</v>
      </c>
      <c r="J145" s="87">
        <v>20</v>
      </c>
      <c r="K145" s="50">
        <v>0.98099999999999998</v>
      </c>
      <c r="L145" s="87" t="s">
        <v>1949</v>
      </c>
      <c r="M145" s="112"/>
      <c r="N145" s="113"/>
      <c r="O145" s="81"/>
      <c r="S145" s="87">
        <v>10</v>
      </c>
      <c r="T145" s="87">
        <f t="shared" si="14"/>
        <v>2</v>
      </c>
    </row>
    <row r="146" spans="2:20" hidden="1">
      <c r="B146" s="23" t="s">
        <v>1968</v>
      </c>
      <c r="C146" s="87">
        <v>50</v>
      </c>
      <c r="D146" s="87">
        <v>1020</v>
      </c>
      <c r="E146" s="87">
        <v>590</v>
      </c>
      <c r="F146" s="87">
        <v>830</v>
      </c>
      <c r="G146" s="87">
        <v>690</v>
      </c>
      <c r="H146" s="87">
        <v>40</v>
      </c>
      <c r="I146" s="87">
        <v>30</v>
      </c>
      <c r="J146" s="87">
        <v>8</v>
      </c>
      <c r="K146" s="50">
        <v>0.98399999999999999</v>
      </c>
      <c r="L146" s="87" t="s">
        <v>1949</v>
      </c>
      <c r="M146" s="112">
        <v>200</v>
      </c>
      <c r="N146" s="113">
        <f>(E146-M146)/(100-O146)</f>
        <v>5.2</v>
      </c>
      <c r="O146" s="87">
        <v>25</v>
      </c>
      <c r="P146" s="42">
        <f>E146</f>
        <v>590</v>
      </c>
      <c r="Q146" s="94">
        <f>ROUNDDOWN((P146-M146)/N146+O146,0)/100</f>
        <v>1</v>
      </c>
      <c r="S146" s="87">
        <v>4</v>
      </c>
      <c r="T146" s="87">
        <f t="shared" si="14"/>
        <v>2</v>
      </c>
    </row>
    <row r="147" spans="2:20" hidden="1">
      <c r="B147" s="23"/>
      <c r="C147" s="87"/>
      <c r="D147" s="87"/>
      <c r="E147" s="87"/>
      <c r="F147" s="87"/>
      <c r="G147" s="87"/>
      <c r="H147" s="87"/>
      <c r="I147" s="87"/>
      <c r="J147" s="87"/>
      <c r="K147" s="50"/>
      <c r="L147" s="87"/>
      <c r="M147" s="112"/>
      <c r="N147" s="113"/>
      <c r="O147" s="81"/>
    </row>
    <row r="148" spans="2:20" hidden="1">
      <c r="B148" s="23"/>
      <c r="C148" s="87"/>
      <c r="D148" s="87"/>
      <c r="E148" s="87"/>
      <c r="F148" s="87"/>
      <c r="G148" s="87"/>
      <c r="H148" s="87"/>
      <c r="I148" s="87"/>
      <c r="J148" s="87"/>
      <c r="K148" s="50"/>
      <c r="L148" s="87"/>
      <c r="M148" s="112"/>
      <c r="N148" s="113"/>
      <c r="O148" s="81"/>
    </row>
    <row r="149" spans="2:20" hidden="1">
      <c r="B149" s="42"/>
      <c r="C149" s="42" t="s">
        <v>1969</v>
      </c>
      <c r="D149" s="42" t="s">
        <v>1970</v>
      </c>
    </row>
    <row r="150" spans="2:20" hidden="1">
      <c r="B150" s="87" t="s">
        <v>49</v>
      </c>
      <c r="C150" s="42">
        <v>300</v>
      </c>
      <c r="D150" s="94">
        <f>ROUNDDOWN((C150-100)/3.3+40,0)/100</f>
        <v>1</v>
      </c>
      <c r="G150" s="45"/>
    </row>
    <row r="151" spans="2:20" hidden="1">
      <c r="B151" s="87" t="s">
        <v>1971</v>
      </c>
      <c r="C151" s="42">
        <v>300</v>
      </c>
      <c r="D151" s="94">
        <f>ROUNDDOWN((C151-200)/2+50,0)/100</f>
        <v>1</v>
      </c>
    </row>
    <row r="152" spans="2:20" hidden="1">
      <c r="B152" s="87" t="s">
        <v>149</v>
      </c>
      <c r="C152" s="42">
        <v>300</v>
      </c>
      <c r="D152" s="94">
        <f>ROUNDDOWN((C152-80)/2.33+40,0)/100</f>
        <v>1.34</v>
      </c>
    </row>
    <row r="153" spans="2:20" hidden="1">
      <c r="B153" s="87" t="s">
        <v>143</v>
      </c>
      <c r="C153" s="42">
        <v>550</v>
      </c>
      <c r="D153" s="94">
        <f>ROUNDDOWN((C153-200)/5.3+34,0)/100</f>
        <v>1</v>
      </c>
    </row>
    <row r="154" spans="2:20" hidden="1">
      <c r="B154" s="87" t="s">
        <v>141</v>
      </c>
      <c r="C154" s="42">
        <v>550</v>
      </c>
      <c r="D154" s="94">
        <f>ROUNDDOWN((C154-200)/4.79+27,0)/100</f>
        <v>1</v>
      </c>
      <c r="G154" s="83"/>
      <c r="H154" s="84"/>
    </row>
    <row r="155" spans="2:20" hidden="1">
      <c r="B155" s="87" t="s">
        <v>1972</v>
      </c>
      <c r="C155" s="42">
        <v>550</v>
      </c>
      <c r="D155" s="94">
        <f>ROUNDDOWN((C155-200)/5.3+34,0)/100</f>
        <v>1</v>
      </c>
      <c r="F155" s="83"/>
    </row>
    <row r="156" spans="2:20" hidden="1">
      <c r="B156" s="87" t="s">
        <v>1973</v>
      </c>
      <c r="C156" s="42">
        <v>800</v>
      </c>
      <c r="D156" s="94">
        <f>ROUNDDOWN((C156-500)/7.5+60,0)/100</f>
        <v>1</v>
      </c>
      <c r="E156" s="45"/>
    </row>
    <row r="157" spans="2:20" hidden="1">
      <c r="B157" s="87" t="s">
        <v>142</v>
      </c>
      <c r="C157" s="42">
        <v>800</v>
      </c>
      <c r="D157" s="94">
        <f>ROUNDDOWN((C157-600)/4+50,0)/100</f>
        <v>1</v>
      </c>
      <c r="E157" s="45"/>
    </row>
    <row r="158" spans="2:20" hidden="1">
      <c r="B158" s="87" t="s">
        <v>144</v>
      </c>
      <c r="C158" s="42">
        <v>550</v>
      </c>
      <c r="D158" s="94">
        <f>ROUNDDOWN((C158-300)/3.33+25,0)/100</f>
        <v>1</v>
      </c>
      <c r="E158" s="45"/>
    </row>
    <row r="159" spans="2:20" hidden="1">
      <c r="B159" s="87" t="s">
        <v>145</v>
      </c>
      <c r="C159" s="42">
        <v>570</v>
      </c>
      <c r="D159" s="94">
        <f>ROUNDDOWN((C159-300)/3.6+25,0)/100</f>
        <v>1</v>
      </c>
      <c r="E159" s="45"/>
    </row>
    <row r="160" spans="2:20" hidden="1">
      <c r="B160" s="87" t="s">
        <v>146</v>
      </c>
      <c r="C160" s="42">
        <v>480</v>
      </c>
      <c r="D160" s="94">
        <f>ROUNDDOWN((C160-300)/2.4+25,0)/100</f>
        <v>1</v>
      </c>
      <c r="E160" s="45"/>
    </row>
    <row r="161" spans="2:6" hidden="1">
      <c r="B161" s="87" t="s">
        <v>147</v>
      </c>
      <c r="C161" s="42">
        <v>500</v>
      </c>
      <c r="D161" s="94">
        <f>ROUNDDOWN((C161-300)/2.65+25,0)/100</f>
        <v>1</v>
      </c>
      <c r="E161" s="45"/>
    </row>
    <row r="162" spans="2:6" hidden="1">
      <c r="E162" s="45"/>
    </row>
    <row r="163" spans="2:6">
      <c r="E163" s="45"/>
    </row>
    <row r="164" spans="2:6">
      <c r="E164" s="45"/>
    </row>
    <row r="165" spans="2:6">
      <c r="E165" s="45"/>
    </row>
    <row r="166" spans="2:6">
      <c r="E166" s="45"/>
    </row>
    <row r="167" spans="2:6">
      <c r="F167" s="45"/>
    </row>
    <row r="168" spans="2:6">
      <c r="F168" s="45"/>
    </row>
    <row r="169" spans="2:6">
      <c r="F169" s="45"/>
    </row>
    <row r="170" spans="2:6">
      <c r="F170" s="45"/>
    </row>
    <row r="171" spans="2:6">
      <c r="F171" s="45"/>
    </row>
    <row r="172" spans="2:6">
      <c r="F172" s="45"/>
    </row>
    <row r="173" spans="2:6">
      <c r="F173" s="45"/>
    </row>
    <row r="174" spans="2:6">
      <c r="F174" s="45"/>
    </row>
    <row r="175" spans="2:6">
      <c r="F175" s="45"/>
    </row>
    <row r="176" spans="2:6">
      <c r="F176" s="45"/>
    </row>
    <row r="177" spans="5:6">
      <c r="F177" s="45"/>
    </row>
    <row r="178" spans="5:6">
      <c r="F178" s="45"/>
    </row>
    <row r="179" spans="5:6">
      <c r="F179" s="45"/>
    </row>
    <row r="180" spans="5:6">
      <c r="F180" s="45"/>
    </row>
    <row r="181" spans="5:6">
      <c r="F181" s="45"/>
    </row>
    <row r="182" spans="5:6">
      <c r="E182" s="45"/>
    </row>
    <row r="183" spans="5:6">
      <c r="E183" s="45"/>
    </row>
    <row r="184" spans="5:6">
      <c r="E184" s="45"/>
    </row>
    <row r="185" spans="5:6">
      <c r="E185" s="45"/>
    </row>
    <row r="186" spans="5:6">
      <c r="E186" s="45"/>
    </row>
    <row r="187" spans="5:6">
      <c r="E187" s="45"/>
    </row>
    <row r="188" spans="5:6">
      <c r="E188" s="45"/>
    </row>
    <row r="189" spans="5:6">
      <c r="E189" s="45"/>
    </row>
    <row r="190" spans="5:6">
      <c r="E190" s="45"/>
    </row>
    <row r="191" spans="5:6">
      <c r="E191" s="45"/>
    </row>
    <row r="192" spans="5:6">
      <c r="E192" s="45"/>
    </row>
    <row r="193" spans="5:5">
      <c r="E193" s="45"/>
    </row>
    <row r="194" spans="5:5">
      <c r="E194" s="45"/>
    </row>
    <row r="195" spans="5:5">
      <c r="E195" s="45"/>
    </row>
    <row r="196" spans="5:5">
      <c r="E196" s="45"/>
    </row>
    <row r="197" spans="5:5">
      <c r="E197" s="45"/>
    </row>
    <row r="198" spans="5:5">
      <c r="E198" s="45"/>
    </row>
    <row r="199" spans="5:5">
      <c r="E199" s="45"/>
    </row>
    <row r="200" spans="5:5">
      <c r="E200" s="45"/>
    </row>
    <row r="201" spans="5:5">
      <c r="E201" s="45"/>
    </row>
    <row r="202" spans="5:5">
      <c r="E202" s="45"/>
    </row>
    <row r="203" spans="5:5">
      <c r="E203" s="45"/>
    </row>
    <row r="204" spans="5:5">
      <c r="E204" s="45"/>
    </row>
    <row r="205" spans="5:5">
      <c r="E205" s="45"/>
    </row>
    <row r="206" spans="5:5">
      <c r="E206" s="45"/>
    </row>
    <row r="207" spans="5:5">
      <c r="E207" s="45"/>
    </row>
    <row r="208" spans="5:5">
      <c r="E208" s="45"/>
    </row>
    <row r="209" spans="5:5">
      <c r="E209" s="45"/>
    </row>
    <row r="210" spans="5:5">
      <c r="E210" s="45"/>
    </row>
    <row r="211" spans="5:5">
      <c r="E211" s="45"/>
    </row>
    <row r="212" spans="5:5">
      <c r="E212" s="45"/>
    </row>
    <row r="213" spans="5:5">
      <c r="E213" s="45"/>
    </row>
    <row r="214" spans="5:5">
      <c r="E214" s="45"/>
    </row>
    <row r="215" spans="5:5">
      <c r="E215" s="45"/>
    </row>
    <row r="216" spans="5:5">
      <c r="E216" s="45"/>
    </row>
    <row r="217" spans="5:5">
      <c r="E217" s="45"/>
    </row>
    <row r="218" spans="5:5">
      <c r="E218" s="45"/>
    </row>
    <row r="219" spans="5:5">
      <c r="E219" s="45"/>
    </row>
    <row r="220" spans="5:5">
      <c r="E220" s="45"/>
    </row>
    <row r="221" spans="5:5">
      <c r="E221" s="45"/>
    </row>
    <row r="222" spans="5:5">
      <c r="E222" s="45"/>
    </row>
    <row r="223" spans="5:5">
      <c r="E223" s="45"/>
    </row>
    <row r="224" spans="5:5">
      <c r="E224" s="45"/>
    </row>
    <row r="225" spans="5:5">
      <c r="E225" s="45"/>
    </row>
    <row r="226" spans="5:5">
      <c r="E226" s="45"/>
    </row>
    <row r="227" spans="5:5">
      <c r="E227" s="45"/>
    </row>
    <row r="228" spans="5:5">
      <c r="E228" s="45"/>
    </row>
    <row r="229" spans="5:5">
      <c r="E229" s="45"/>
    </row>
    <row r="230" spans="5:5">
      <c r="E230" s="45"/>
    </row>
    <row r="231" spans="5:5">
      <c r="E231" s="45"/>
    </row>
    <row r="232" spans="5:5">
      <c r="E232" s="45"/>
    </row>
    <row r="233" spans="5:5">
      <c r="E233" s="45"/>
    </row>
    <row r="234" spans="5:5">
      <c r="E234" s="45"/>
    </row>
    <row r="235" spans="5:5">
      <c r="E235" s="45"/>
    </row>
    <row r="236" spans="5:5">
      <c r="E236" s="45"/>
    </row>
    <row r="237" spans="5:5">
      <c r="E237" s="45"/>
    </row>
    <row r="238" spans="5:5">
      <c r="E238" s="45"/>
    </row>
    <row r="239" spans="5:5">
      <c r="E239" s="45"/>
    </row>
    <row r="240" spans="5:5">
      <c r="E240" s="45"/>
    </row>
    <row r="241" spans="5:5">
      <c r="E241" s="45"/>
    </row>
    <row r="242" spans="5:5">
      <c r="E242" s="45"/>
    </row>
    <row r="243" spans="5:5">
      <c r="E243" s="45"/>
    </row>
    <row r="244" spans="5:5">
      <c r="E244" s="45"/>
    </row>
    <row r="245" spans="5:5">
      <c r="E245" s="45"/>
    </row>
    <row r="246" spans="5:5">
      <c r="E246" s="45"/>
    </row>
    <row r="247" spans="5:5">
      <c r="E247" s="45"/>
    </row>
    <row r="248" spans="5:5">
      <c r="E248" s="45"/>
    </row>
    <row r="249" spans="5:5">
      <c r="E249" s="45"/>
    </row>
    <row r="250" spans="5:5">
      <c r="E250" s="45"/>
    </row>
    <row r="251" spans="5:5">
      <c r="E251" s="45"/>
    </row>
    <row r="252" spans="5:5">
      <c r="E252" s="45"/>
    </row>
    <row r="253" spans="5:5">
      <c r="E253" s="45"/>
    </row>
    <row r="254" spans="5:5">
      <c r="E254" s="45"/>
    </row>
    <row r="255" spans="5:5">
      <c r="E255" s="45"/>
    </row>
    <row r="256" spans="5:5">
      <c r="E256" s="45"/>
    </row>
    <row r="257" spans="5:5">
      <c r="E257" s="45"/>
    </row>
    <row r="258" spans="5:5">
      <c r="E258" s="45"/>
    </row>
    <row r="259" spans="5:5">
      <c r="E259" s="45"/>
    </row>
    <row r="260" spans="5:5">
      <c r="E260" s="45"/>
    </row>
    <row r="261" spans="5:5">
      <c r="E261" s="45"/>
    </row>
    <row r="262" spans="5:5">
      <c r="E262" s="45"/>
    </row>
    <row r="263" spans="5:5">
      <c r="E263" s="45"/>
    </row>
    <row r="264" spans="5:5">
      <c r="E264" s="45"/>
    </row>
    <row r="265" spans="5:5">
      <c r="E265" s="45"/>
    </row>
    <row r="266" spans="5:5">
      <c r="E266" s="45"/>
    </row>
    <row r="267" spans="5:5">
      <c r="E267" s="45"/>
    </row>
    <row r="268" spans="5:5">
      <c r="E268" s="45"/>
    </row>
    <row r="269" spans="5:5">
      <c r="E269" s="45"/>
    </row>
    <row r="270" spans="5:5">
      <c r="E270" s="45"/>
    </row>
    <row r="271" spans="5:5">
      <c r="E271" s="45"/>
    </row>
    <row r="272" spans="5:5">
      <c r="E272" s="45"/>
    </row>
    <row r="273" spans="5:5">
      <c r="E273" s="45"/>
    </row>
    <row r="274" spans="5:5">
      <c r="E274" s="45"/>
    </row>
    <row r="275" spans="5:5">
      <c r="E275" s="45"/>
    </row>
    <row r="276" spans="5:5">
      <c r="E276" s="45"/>
    </row>
    <row r="277" spans="5:5">
      <c r="E277" s="45"/>
    </row>
    <row r="278" spans="5:5">
      <c r="E278" s="45"/>
    </row>
    <row r="279" spans="5:5">
      <c r="E279" s="45"/>
    </row>
    <row r="280" spans="5:5">
      <c r="E280" s="45"/>
    </row>
    <row r="281" spans="5:5">
      <c r="E281" s="45"/>
    </row>
    <row r="282" spans="5:5">
      <c r="E282" s="45"/>
    </row>
    <row r="283" spans="5:5">
      <c r="E283" s="45"/>
    </row>
    <row r="284" spans="5:5">
      <c r="E284" s="45"/>
    </row>
    <row r="285" spans="5:5">
      <c r="E285" s="45"/>
    </row>
    <row r="286" spans="5:5">
      <c r="E286" s="45"/>
    </row>
    <row r="287" spans="5:5">
      <c r="E287" s="45"/>
    </row>
    <row r="288" spans="5:5">
      <c r="E288" s="45"/>
    </row>
    <row r="289" spans="5:5">
      <c r="E289" s="45"/>
    </row>
    <row r="290" spans="5:5">
      <c r="E290" s="45"/>
    </row>
    <row r="291" spans="5:5">
      <c r="E291" s="45"/>
    </row>
    <row r="292" spans="5:5">
      <c r="E292" s="45"/>
    </row>
    <row r="293" spans="5:5">
      <c r="E293" s="45"/>
    </row>
    <row r="294" spans="5:5">
      <c r="E294" s="45"/>
    </row>
    <row r="295" spans="5:5">
      <c r="E295" s="45"/>
    </row>
    <row r="296" spans="5:5">
      <c r="E296" s="45"/>
    </row>
    <row r="297" spans="5:5">
      <c r="E297" s="45"/>
    </row>
    <row r="298" spans="5:5">
      <c r="E298" s="45"/>
    </row>
    <row r="299" spans="5:5">
      <c r="E299" s="45"/>
    </row>
    <row r="300" spans="5:5">
      <c r="E300" s="45"/>
    </row>
    <row r="301" spans="5:5">
      <c r="E301" s="45"/>
    </row>
    <row r="302" spans="5:5">
      <c r="E302" s="45"/>
    </row>
    <row r="303" spans="5:5">
      <c r="E303" s="45"/>
    </row>
    <row r="304" spans="5:5">
      <c r="E304" s="45"/>
    </row>
    <row r="305" spans="5:5">
      <c r="E305" s="45"/>
    </row>
    <row r="306" spans="5:5">
      <c r="E306" s="45"/>
    </row>
    <row r="307" spans="5:5">
      <c r="E307" s="45"/>
    </row>
    <row r="308" spans="5:5">
      <c r="E308" s="45"/>
    </row>
    <row r="309" spans="5:5">
      <c r="E309" s="45"/>
    </row>
    <row r="310" spans="5:5">
      <c r="E310" s="45"/>
    </row>
    <row r="311" spans="5:5">
      <c r="E311" s="45"/>
    </row>
    <row r="312" spans="5:5">
      <c r="E312" s="45"/>
    </row>
    <row r="313" spans="5:5">
      <c r="E313" s="45"/>
    </row>
    <row r="314" spans="5:5">
      <c r="E314" s="45"/>
    </row>
    <row r="315" spans="5:5">
      <c r="E315" s="45"/>
    </row>
    <row r="316" spans="5:5">
      <c r="E316" s="45"/>
    </row>
    <row r="317" spans="5:5">
      <c r="E317" s="45"/>
    </row>
    <row r="318" spans="5:5">
      <c r="E318" s="45"/>
    </row>
    <row r="319" spans="5:5">
      <c r="E319" s="45"/>
    </row>
    <row r="320" spans="5:5">
      <c r="E320" s="45"/>
    </row>
    <row r="321" spans="5:5">
      <c r="E321" s="45"/>
    </row>
    <row r="322" spans="5:5">
      <c r="E322" s="45"/>
    </row>
    <row r="323" spans="5:5">
      <c r="E323" s="45"/>
    </row>
    <row r="324" spans="5:5">
      <c r="E324" s="45"/>
    </row>
    <row r="325" spans="5:5">
      <c r="E325" s="45"/>
    </row>
    <row r="326" spans="5:5">
      <c r="E326" s="45"/>
    </row>
    <row r="327" spans="5:5">
      <c r="E327" s="45"/>
    </row>
    <row r="328" spans="5:5">
      <c r="E328" s="45"/>
    </row>
    <row r="329" spans="5:5">
      <c r="E329" s="45"/>
    </row>
    <row r="330" spans="5:5">
      <c r="E330" s="45"/>
    </row>
    <row r="331" spans="5:5">
      <c r="E331" s="45"/>
    </row>
    <row r="332" spans="5:5">
      <c r="E332" s="45"/>
    </row>
    <row r="333" spans="5:5">
      <c r="E333" s="45"/>
    </row>
    <row r="334" spans="5:5">
      <c r="E334" s="45"/>
    </row>
    <row r="335" spans="5:5">
      <c r="E335" s="45"/>
    </row>
    <row r="336" spans="5:5">
      <c r="E336" s="45"/>
    </row>
    <row r="337" spans="5:5">
      <c r="E337" s="45"/>
    </row>
    <row r="338" spans="5:5">
      <c r="E338" s="45"/>
    </row>
    <row r="339" spans="5:5">
      <c r="E339" s="45"/>
    </row>
    <row r="340" spans="5:5">
      <c r="E340" s="45"/>
    </row>
    <row r="341" spans="5:5">
      <c r="E341" s="45"/>
    </row>
    <row r="342" spans="5:5">
      <c r="E342" s="45"/>
    </row>
    <row r="343" spans="5:5">
      <c r="E343" s="45"/>
    </row>
    <row r="344" spans="5:5">
      <c r="E344" s="45"/>
    </row>
    <row r="345" spans="5:5">
      <c r="E345" s="45"/>
    </row>
    <row r="346" spans="5:5">
      <c r="E346" s="45"/>
    </row>
    <row r="347" spans="5:5">
      <c r="E347" s="45"/>
    </row>
    <row r="348" spans="5:5">
      <c r="E348" s="45"/>
    </row>
    <row r="349" spans="5:5">
      <c r="E349" s="45"/>
    </row>
    <row r="350" spans="5:5">
      <c r="E350" s="45"/>
    </row>
    <row r="351" spans="5:5">
      <c r="E351" s="45"/>
    </row>
    <row r="352" spans="5:5">
      <c r="E352" s="45"/>
    </row>
    <row r="353" spans="5:5">
      <c r="E353" s="45"/>
    </row>
    <row r="354" spans="5:5">
      <c r="E354" s="45"/>
    </row>
    <row r="355" spans="5:5">
      <c r="E355" s="45"/>
    </row>
    <row r="356" spans="5:5">
      <c r="E356" s="45"/>
    </row>
    <row r="357" spans="5:5">
      <c r="E357" s="45"/>
    </row>
    <row r="358" spans="5:5">
      <c r="E358" s="45"/>
    </row>
    <row r="359" spans="5:5">
      <c r="E359" s="45"/>
    </row>
    <row r="360" spans="5:5">
      <c r="E360" s="45"/>
    </row>
    <row r="361" spans="5:5">
      <c r="E361" s="45"/>
    </row>
    <row r="362" spans="5:5">
      <c r="E362" s="45"/>
    </row>
    <row r="363" spans="5:5">
      <c r="E363" s="45"/>
    </row>
    <row r="364" spans="5:5">
      <c r="E364" s="45"/>
    </row>
    <row r="365" spans="5:5">
      <c r="E365" s="45"/>
    </row>
    <row r="366" spans="5:5">
      <c r="E366" s="45"/>
    </row>
    <row r="367" spans="5:5">
      <c r="E367" s="45"/>
    </row>
    <row r="368" spans="5:5">
      <c r="E368" s="45"/>
    </row>
    <row r="369" spans="5:5">
      <c r="E369" s="45"/>
    </row>
    <row r="370" spans="5:5">
      <c r="E370" s="45"/>
    </row>
    <row r="371" spans="5:5">
      <c r="E371" s="45"/>
    </row>
    <row r="372" spans="5:5">
      <c r="E372" s="45"/>
    </row>
    <row r="373" spans="5:5">
      <c r="E373" s="45"/>
    </row>
    <row r="374" spans="5:5">
      <c r="E374" s="45"/>
    </row>
    <row r="375" spans="5:5">
      <c r="E375" s="45"/>
    </row>
    <row r="376" spans="5:5">
      <c r="E376" s="45"/>
    </row>
    <row r="377" spans="5:5">
      <c r="E377" s="45"/>
    </row>
    <row r="378" spans="5:5">
      <c r="E378" s="45"/>
    </row>
    <row r="379" spans="5:5">
      <c r="E379" s="45"/>
    </row>
    <row r="380" spans="5:5">
      <c r="E380" s="45"/>
    </row>
    <row r="381" spans="5:5">
      <c r="E381" s="45"/>
    </row>
    <row r="382" spans="5:5">
      <c r="E382" s="45"/>
    </row>
    <row r="383" spans="5:5">
      <c r="E383" s="45"/>
    </row>
    <row r="384" spans="5:5">
      <c r="E384" s="45"/>
    </row>
    <row r="385" spans="5:5">
      <c r="E385" s="45"/>
    </row>
    <row r="386" spans="5:5">
      <c r="E386" s="45"/>
    </row>
    <row r="387" spans="5:5">
      <c r="E387" s="45"/>
    </row>
    <row r="388" spans="5:5">
      <c r="E388" s="45"/>
    </row>
    <row r="389" spans="5:5">
      <c r="E389" s="45"/>
    </row>
    <row r="390" spans="5:5">
      <c r="E390" s="45"/>
    </row>
    <row r="391" spans="5:5">
      <c r="E391" s="45"/>
    </row>
    <row r="392" spans="5:5">
      <c r="E392" s="45"/>
    </row>
    <row r="393" spans="5:5">
      <c r="E393" s="45"/>
    </row>
    <row r="394" spans="5:5">
      <c r="E394" s="45"/>
    </row>
    <row r="395" spans="5:5">
      <c r="E395" s="45"/>
    </row>
    <row r="396" spans="5:5">
      <c r="E396" s="45"/>
    </row>
    <row r="397" spans="5:5">
      <c r="E397" s="45"/>
    </row>
    <row r="398" spans="5:5">
      <c r="E398" s="45"/>
    </row>
    <row r="399" spans="5:5">
      <c r="E399" s="45"/>
    </row>
    <row r="400" spans="5:5">
      <c r="E400" s="45"/>
    </row>
    <row r="401" spans="5:5">
      <c r="E401" s="45"/>
    </row>
    <row r="402" spans="5:5">
      <c r="E402" s="45"/>
    </row>
    <row r="403" spans="5:5">
      <c r="E403" s="45"/>
    </row>
    <row r="404" spans="5:5">
      <c r="E404" s="45"/>
    </row>
    <row r="405" spans="5:5">
      <c r="E405" s="45"/>
    </row>
    <row r="406" spans="5:5">
      <c r="E406" s="45"/>
    </row>
    <row r="407" spans="5:5">
      <c r="E407" s="45"/>
    </row>
    <row r="408" spans="5:5">
      <c r="E408" s="45"/>
    </row>
    <row r="409" spans="5:5">
      <c r="E409" s="45"/>
    </row>
    <row r="410" spans="5:5">
      <c r="E410" s="45"/>
    </row>
    <row r="411" spans="5:5">
      <c r="E411" s="45"/>
    </row>
    <row r="412" spans="5:5">
      <c r="E412" s="45"/>
    </row>
    <row r="413" spans="5:5">
      <c r="E413" s="45"/>
    </row>
    <row r="414" spans="5:5">
      <c r="E414" s="45"/>
    </row>
    <row r="415" spans="5:5">
      <c r="E415" s="45"/>
    </row>
    <row r="416" spans="5:5">
      <c r="E416" s="45"/>
    </row>
    <row r="417" spans="5:5">
      <c r="E417" s="45"/>
    </row>
    <row r="418" spans="5:5">
      <c r="E418" s="45"/>
    </row>
    <row r="419" spans="5:5">
      <c r="E419" s="45"/>
    </row>
    <row r="420" spans="5:5">
      <c r="E420" s="45"/>
    </row>
    <row r="421" spans="5:5">
      <c r="E421" s="45"/>
    </row>
    <row r="422" spans="5:5">
      <c r="E422" s="45"/>
    </row>
    <row r="423" spans="5:5">
      <c r="E423" s="45"/>
    </row>
    <row r="424" spans="5:5">
      <c r="E424" s="45"/>
    </row>
    <row r="425" spans="5:5">
      <c r="E425" s="45"/>
    </row>
    <row r="426" spans="5:5">
      <c r="E426" s="45"/>
    </row>
    <row r="427" spans="5:5">
      <c r="E427" s="45"/>
    </row>
    <row r="428" spans="5:5">
      <c r="E428" s="45"/>
    </row>
    <row r="429" spans="5:5">
      <c r="E429" s="45"/>
    </row>
    <row r="430" spans="5:5">
      <c r="E430" s="45"/>
    </row>
  </sheetData>
  <sheetProtection algorithmName="SHA-512" hashValue="0mKEKUC3SddtdQh2AvjkTEp4XvuzslDnoIcuQMyBE3Mvwp6NZx8JXis+pL6w324vcG8H8qAQHysY/j5Jw7Ittw==" saltValue="l6lg4UPAMWcNetKH5pTDEQ==" spinCount="100000" sheet="1" objects="1" scenarios="1" selectLockedCells="1"/>
  <mergeCells count="104">
    <mergeCell ref="N61:O61"/>
    <mergeCell ref="N60:O60"/>
    <mergeCell ref="K59:L59"/>
    <mergeCell ref="K60:L60"/>
    <mergeCell ref="N59:O59"/>
    <mergeCell ref="B27:C27"/>
    <mergeCell ref="D48:F48"/>
    <mergeCell ref="G71:H71"/>
    <mergeCell ref="G72:H72"/>
    <mergeCell ref="G70:H70"/>
    <mergeCell ref="B70:E70"/>
    <mergeCell ref="B46:C46"/>
    <mergeCell ref="B47:C47"/>
    <mergeCell ref="B48:C48"/>
    <mergeCell ref="D39:M39"/>
    <mergeCell ref="D40:M40"/>
    <mergeCell ref="B40:C40"/>
    <mergeCell ref="B41:C41"/>
    <mergeCell ref="B42:C42"/>
    <mergeCell ref="B44:C44"/>
    <mergeCell ref="B45:C45"/>
    <mergeCell ref="B34:C34"/>
    <mergeCell ref="B35:C35"/>
    <mergeCell ref="B37:C37"/>
    <mergeCell ref="D53:E53"/>
    <mergeCell ref="B59:C59"/>
    <mergeCell ref="J52:K52"/>
    <mergeCell ref="N58:O58"/>
    <mergeCell ref="N57:O57"/>
    <mergeCell ref="AB51:AC51"/>
    <mergeCell ref="AB52:AC52"/>
    <mergeCell ref="C54:E54"/>
    <mergeCell ref="D52:E52"/>
    <mergeCell ref="Y52:Z52"/>
    <mergeCell ref="M52:N52"/>
    <mergeCell ref="G52:H52"/>
    <mergeCell ref="K58:L58"/>
    <mergeCell ref="B56:E56"/>
    <mergeCell ref="B57:C57"/>
    <mergeCell ref="E57:F57"/>
    <mergeCell ref="H58:I58"/>
    <mergeCell ref="B58:C58"/>
    <mergeCell ref="E58:F58"/>
    <mergeCell ref="K57:L57"/>
    <mergeCell ref="D51:E51"/>
    <mergeCell ref="G51:H51"/>
    <mergeCell ref="J51:K51"/>
    <mergeCell ref="Y51:Z51"/>
    <mergeCell ref="B50:L50"/>
    <mergeCell ref="B26:L26"/>
    <mergeCell ref="J5:K5"/>
    <mergeCell ref="J6:K6"/>
    <mergeCell ref="H17:I17"/>
    <mergeCell ref="M51:N51"/>
    <mergeCell ref="H18:I18"/>
    <mergeCell ref="H24:I24"/>
    <mergeCell ref="K9:L9"/>
    <mergeCell ref="K10:L10"/>
    <mergeCell ref="H9:I9"/>
    <mergeCell ref="H10:I10"/>
    <mergeCell ref="B39:C39"/>
    <mergeCell ref="B28:C28"/>
    <mergeCell ref="B31:C31"/>
    <mergeCell ref="B32:C32"/>
    <mergeCell ref="B33:C33"/>
    <mergeCell ref="C11:M11"/>
    <mergeCell ref="J19:K19"/>
    <mergeCell ref="E14:M16"/>
    <mergeCell ref="B38:C38"/>
    <mergeCell ref="B29:C29"/>
    <mergeCell ref="B30:C30"/>
    <mergeCell ref="D24:F24"/>
    <mergeCell ref="S20:T20"/>
    <mergeCell ref="P19:Q19"/>
    <mergeCell ref="J18:O18"/>
    <mergeCell ref="P18:S18"/>
    <mergeCell ref="B4:C4"/>
    <mergeCell ref="C5:E5"/>
    <mergeCell ref="C9:E9"/>
    <mergeCell ref="B19:C19"/>
    <mergeCell ref="D23:F23"/>
    <mergeCell ref="B18:C18"/>
    <mergeCell ref="B14:C14"/>
    <mergeCell ref="B17:D17"/>
    <mergeCell ref="F7:G7"/>
    <mergeCell ref="B7:D7"/>
    <mergeCell ref="E17:G17"/>
    <mergeCell ref="E18:F18"/>
    <mergeCell ref="E19:F19"/>
    <mergeCell ref="P20:Q20"/>
    <mergeCell ref="L104:M104"/>
    <mergeCell ref="I103:J103"/>
    <mergeCell ref="L103:M103"/>
    <mergeCell ref="D59:E59"/>
    <mergeCell ref="F103:G103"/>
    <mergeCell ref="F63:K63"/>
    <mergeCell ref="B63:D63"/>
    <mergeCell ref="F59:H59"/>
    <mergeCell ref="I71:J71"/>
    <mergeCell ref="I70:J70"/>
    <mergeCell ref="C71:E71"/>
    <mergeCell ref="C72:E72"/>
    <mergeCell ref="C73:E73"/>
    <mergeCell ref="G73:H73"/>
  </mergeCells>
  <phoneticPr fontId="21"/>
  <conditionalFormatting sqref="C53">
    <cfRule type="containsText" dxfId="66" priority="86" operator="containsText" text="接続可能">
      <formula>NOT(ISERROR(SEARCH("接続可能",C53)))</formula>
    </cfRule>
    <cfRule type="containsText" dxfId="65" priority="88" operator="containsText" text="接続不可">
      <formula>NOT(ISERROR(SEARCH("接続不可",C53)))</formula>
    </cfRule>
  </conditionalFormatting>
  <conditionalFormatting sqref="C51">
    <cfRule type="containsText" dxfId="64" priority="87" operator="containsText" text="接続可能">
      <formula>NOT(ISERROR(SEARCH("接続可能",C51)))</formula>
    </cfRule>
  </conditionalFormatting>
  <conditionalFormatting sqref="AD51">
    <cfRule type="containsText" dxfId="63" priority="81" operator="containsText" text="影響なし">
      <formula>NOT(ISERROR(SEARCH("影響なし",AD51)))</formula>
    </cfRule>
    <cfRule type="containsText" dxfId="62" priority="84" operator="containsText" text="影響あり">
      <formula>NOT(ISERROR(SEARCH("影響あり",AD51)))</formula>
    </cfRule>
  </conditionalFormatting>
  <conditionalFormatting sqref="AD51:AD52">
    <cfRule type="containsText" dxfId="61" priority="83" operator="containsText" text="接続不可">
      <formula>NOT(ISERROR(SEARCH("接続不可",AD51)))</formula>
    </cfRule>
  </conditionalFormatting>
  <conditionalFormatting sqref="D59">
    <cfRule type="containsText" dxfId="60" priority="51" operator="containsText" text="接続不可">
      <formula>NOT(ISERROR(SEARCH("接続不可",D59)))</formula>
    </cfRule>
  </conditionalFormatting>
  <conditionalFormatting sqref="D59">
    <cfRule type="containsText" dxfId="59" priority="47" operator="containsText" text="制限なし">
      <formula>NOT(ISERROR(SEARCH("制限なし",D59)))</formula>
    </cfRule>
  </conditionalFormatting>
  <conditionalFormatting sqref="D59">
    <cfRule type="containsText" dxfId="58" priority="48" operator="containsText" text="制限あり">
      <formula>NOT(ISERROR(SEARCH("制限あり",D59)))</formula>
    </cfRule>
  </conditionalFormatting>
  <conditionalFormatting sqref="F59:H59">
    <cfRule type="containsText" dxfId="57" priority="46" operator="containsText" text="問題なし">
      <formula>NOT(ISERROR(SEARCH("問題なし",F59)))</formula>
    </cfRule>
  </conditionalFormatting>
  <conditionalFormatting sqref="C54:E54">
    <cfRule type="containsText" dxfId="56" priority="45" operator="containsText" text="問題なし">
      <formula>NOT(ISERROR(SEARCH("問題なし",C54)))</formula>
    </cfRule>
  </conditionalFormatting>
  <conditionalFormatting sqref="F63:K63">
    <cfRule type="containsText" dxfId="55" priority="44" operator="containsText" text="問題なし">
      <formula>NOT(ISERROR(SEARCH("問題なし",F63)))</formula>
    </cfRule>
  </conditionalFormatting>
  <conditionalFormatting sqref="I51">
    <cfRule type="cellIs" dxfId="54" priority="43" operator="greaterThan">
      <formula>$C$107</formula>
    </cfRule>
  </conditionalFormatting>
  <conditionalFormatting sqref="I52">
    <cfRule type="cellIs" dxfId="53" priority="42" operator="lessThan">
      <formula>$E$107</formula>
    </cfRule>
  </conditionalFormatting>
  <conditionalFormatting sqref="L51">
    <cfRule type="cellIs" dxfId="52" priority="41" operator="greaterThan">
      <formula>$G$107</formula>
    </cfRule>
  </conditionalFormatting>
  <conditionalFormatting sqref="L52">
    <cfRule type="cellIs" dxfId="51" priority="40" operator="greaterThan">
      <formula>$I$107</formula>
    </cfRule>
  </conditionalFormatting>
  <conditionalFormatting sqref="P57">
    <cfRule type="cellIs" dxfId="50" priority="39" operator="lessThan">
      <formula>$M$140</formula>
    </cfRule>
  </conditionalFormatting>
  <conditionalFormatting sqref="P58">
    <cfRule type="cellIs" dxfId="49" priority="38" operator="lessThan">
      <formula>$M$140</formula>
    </cfRule>
  </conditionalFormatting>
  <conditionalFormatting sqref="P60">
    <cfRule type="cellIs" dxfId="48" priority="33" operator="greaterThan">
      <formula>$I$107</formula>
    </cfRule>
    <cfRule type="cellIs" dxfId="47" priority="35" operator="greaterThan">
      <formula>$I$107</formula>
    </cfRule>
    <cfRule type="cellIs" dxfId="46" priority="37" operator="greaterThan">
      <formula>$I$107</formula>
    </cfRule>
  </conditionalFormatting>
  <conditionalFormatting sqref="P61">
    <cfRule type="cellIs" dxfId="45" priority="36" operator="greaterThan">
      <formula>$C$107</formula>
    </cfRule>
  </conditionalFormatting>
  <conditionalFormatting sqref="P59">
    <cfRule type="cellIs" dxfId="44" priority="34" operator="greaterThan">
      <formula>$G$107</formula>
    </cfRule>
  </conditionalFormatting>
  <conditionalFormatting sqref="M59">
    <cfRule type="cellIs" dxfId="43" priority="32" operator="greaterThan">
      <formula>25</formula>
    </cfRule>
  </conditionalFormatting>
  <conditionalFormatting sqref="D41:M41">
    <cfRule type="expression" dxfId="42" priority="13">
      <formula>$M$106&lt;D41:M41</formula>
    </cfRule>
  </conditionalFormatting>
  <conditionalFormatting sqref="D48">
    <cfRule type="containsText" dxfId="41" priority="12" operator="containsText" text="接続可能">
      <formula>NOT(ISERROR(SEARCH("接続可能",D48)))</formula>
    </cfRule>
  </conditionalFormatting>
  <conditionalFormatting sqref="I71:J71">
    <cfRule type="containsText" dxfId="40" priority="11" operator="containsText" text="組み合わせ不可">
      <formula>NOT(ISERROR(SEARCH("組み合わせ不可",I71)))</formula>
    </cfRule>
  </conditionalFormatting>
  <conditionalFormatting sqref="D37:M37">
    <cfRule type="expression" dxfId="39" priority="876">
      <formula>$C$107&lt;$D$37:$M$37</formula>
    </cfRule>
  </conditionalFormatting>
  <conditionalFormatting sqref="D39:M39">
    <cfRule type="expression" dxfId="38" priority="877">
      <formula>$D$39&gt;$G$107</formula>
    </cfRule>
  </conditionalFormatting>
  <conditionalFormatting sqref="D40:M40">
    <cfRule type="expression" dxfId="37" priority="878">
      <formula>$D$40&gt;$I$107</formula>
    </cfRule>
  </conditionalFormatting>
  <conditionalFormatting sqref="D38:I38 M38">
    <cfRule type="cellIs" dxfId="36" priority="891" operator="equal">
      <formula>0</formula>
    </cfRule>
    <cfRule type="expression" dxfId="35" priority="892">
      <formula>$AF$32&gt;D38:M38</formula>
    </cfRule>
  </conditionalFormatting>
  <conditionalFormatting sqref="J38:L38">
    <cfRule type="cellIs" dxfId="34" priority="895" operator="equal">
      <formula>0</formula>
    </cfRule>
    <cfRule type="expression" dxfId="33" priority="896">
      <formula>$AF$32&gt;J38:R38</formula>
    </cfRule>
  </conditionalFormatting>
  <conditionalFormatting sqref="E28:M29">
    <cfRule type="expression" dxfId="32" priority="1">
      <formula>$G$10&lt;E$43</formula>
    </cfRule>
  </conditionalFormatting>
  <dataValidations count="7">
    <dataValidation type="list" allowBlank="1" showInputMessage="1" showErrorMessage="1" sqref="H18:I18 R19" xr:uid="{00000000-0002-0000-0600-000000000000}">
      <formula1>$N$113:$N$114</formula1>
    </dataValidation>
    <dataValidation type="list" allowBlank="1" showInputMessage="1" showErrorMessage="1" sqref="D62" xr:uid="{00000000-0002-0000-0600-000001000000}">
      <formula1>$R$112:$R$115</formula1>
    </dataValidation>
    <dataValidation type="decimal" allowBlank="1" showInputMessage="1" showErrorMessage="1" sqref="L19" xr:uid="{00000000-0002-0000-0600-000002000000}">
      <formula1>0.8</formula1>
      <formula2>0.99</formula2>
    </dataValidation>
    <dataValidation allowBlank="1" showInputMessage="1" sqref="C12" xr:uid="{00000000-0002-0000-0600-000003000000}"/>
    <dataValidation type="decimal" allowBlank="1" showInputMessage="1" showErrorMessage="1" sqref="R20" xr:uid="{00000000-0002-0000-0600-000004000000}">
      <formula1>27</formula1>
      <formula2>40</formula2>
    </dataValidation>
    <dataValidation type="decimal" allowBlank="1" showInputMessage="1" showErrorMessage="1" sqref="U20" xr:uid="{00000000-0002-0000-0600-000005000000}">
      <formula1>0</formula1>
      <formula2>40</formula2>
    </dataValidation>
    <dataValidation type="list" allowBlank="1" showInputMessage="1" sqref="C9:E9" xr:uid="{00000000-0002-0000-0600-000006000000}">
      <formula1>$B$119:$B$139</formula1>
    </dataValidation>
  </dataValidations>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 r:id="rId3"/>
  <legacyDrawingHF r:id="rId4"/>
  <extLst>
    <ext xmlns:x14="http://schemas.microsoft.com/office/spreadsheetml/2009/9/main" uri="{78C0D931-6437-407d-A8EE-F0AAD7539E65}">
      <x14:conditionalFormattings>
        <x14:conditionalFormatting xmlns:xm="http://schemas.microsoft.com/office/excel/2006/main">
          <x14:cfRule type="containsText" priority="29" operator="containsText" id="{F60A813B-F314-4A93-B940-9BEE31979FAA}">
            <xm:f>NOT(ISERROR(SEARCH("-",F63)))</xm:f>
            <xm:f>"-"</xm:f>
            <x14:dxf>
              <font>
                <color theme="1"/>
              </font>
              <fill>
                <patternFill>
                  <bgColor rgb="FF92D050"/>
                </patternFill>
              </fill>
            </x14:dxf>
          </x14:cfRule>
          <xm:sqref>F63:K63</xm:sqref>
        </x14:conditionalFormatting>
        <x14:conditionalFormatting xmlns:xm="http://schemas.microsoft.com/office/excel/2006/main">
          <x14:cfRule type="containsText" priority="53" operator="containsText" text="接続可能" id="{8AC89145-B6E1-408F-A53E-5CFC40608D80}">
            <xm:f>NOT(ISERROR(SEARCH("接続可能",'HUAWEI製ＰＣＳ接続枚数計算ツール 住宅向け'!D26)))</xm:f>
            <x14:dxf>
              <font>
                <color rgb="FF006100"/>
              </font>
              <fill>
                <patternFill>
                  <bgColor rgb="FFC6EFCE"/>
                </patternFill>
              </fill>
            </x14:dxf>
          </x14:cfRule>
          <xm:sqref>D57:D58</xm:sqref>
        </x14:conditionalFormatting>
        <x14:conditionalFormatting xmlns:xm="http://schemas.microsoft.com/office/excel/2006/main">
          <x14:cfRule type="containsText" priority="50" operator="containsText" text="影響なし" id="{F040928E-5C27-444B-9DAC-9C5A16FA32F6}">
            <xm:f>NOT(ISERROR(SEARCH("影響なし",'HUAWEI製ＰＣＳ接続枚数計算ツール 住宅向け'!M27)))</xm:f>
            <x14:dxf>
              <font>
                <color auto="1"/>
              </font>
              <fill>
                <patternFill>
                  <bgColor rgb="FF92D050"/>
                </patternFill>
              </fill>
            </x14:dxf>
          </x14:cfRule>
          <x14:cfRule type="containsText" priority="52" operator="containsText" text="影響あり" id="{CD224321-5F64-45BB-B8F9-5ABFF949B8AE}">
            <xm:f>NOT(ISERROR(SEARCH("影響あり",'HUAWEI製ＰＣＳ接続枚数計算ツール 住宅向け'!M27)))</xm:f>
            <x14:dxf>
              <font>
                <color auto="1"/>
              </font>
              <fill>
                <patternFill>
                  <bgColor rgb="FFFFC7CE"/>
                </patternFill>
              </fill>
            </x14:dxf>
          </x14:cfRule>
          <xm:sqref>D59</xm:sqref>
        </x14:conditionalFormatting>
        <x14:conditionalFormatting xmlns:xm="http://schemas.microsoft.com/office/excel/2006/main">
          <x14:cfRule type="containsText" priority="28" operator="containsText" id="{08E0A1B5-B2DD-489A-9E1E-8A89AA0D3AB5}">
            <xm:f>NOT(ISERROR(SEARCH("-",E63)))</xm:f>
            <xm:f>"-"</xm:f>
            <x14:dxf>
              <font>
                <color theme="1"/>
              </font>
              <fill>
                <patternFill>
                  <bgColor rgb="FF92D050"/>
                </patternFill>
              </fill>
            </x14:dxf>
          </x14:cfRule>
          <x14:cfRule type="containsText" priority="30" operator="containsText" id="{D90BF15F-3431-4F21-80D1-26B921B30888}">
            <xm:f>NOT(ISERROR(SEARCH("-",E63)))</xm:f>
            <xm:f>"-"</xm:f>
            <x14:dxf>
              <font>
                <color rgb="FF9C0006"/>
              </font>
              <fill>
                <patternFill>
                  <bgColor rgb="FFFFC7CE"/>
                </patternFill>
              </fill>
            </x14:dxf>
          </x14:cfRule>
          <xm:sqref>E63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xr:uid="{00000000-0002-0000-0600-000007000000}">
          <x14:formula1>
            <xm:f>太陽電池モジュールリスト!$A:$A</xm:f>
          </x14:formula1>
          <xm:sqref>C5 C71:C73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B2:AD406"/>
  <sheetViews>
    <sheetView zoomScale="85" zoomScaleNormal="85" workbookViewId="0">
      <selection activeCell="C22" sqref="C22"/>
    </sheetView>
  </sheetViews>
  <sheetFormatPr defaultColWidth="8.875" defaultRowHeight="12.95"/>
  <cols>
    <col min="1" max="1" width="4.75" style="11" customWidth="1"/>
    <col min="2" max="2" width="13.625" style="11" customWidth="1"/>
    <col min="3" max="12" width="14.5" style="11" customWidth="1"/>
    <col min="13" max="16384" width="8.875" style="11"/>
  </cols>
  <sheetData>
    <row r="2" spans="2:18">
      <c r="B2" s="44" t="s">
        <v>34</v>
      </c>
      <c r="C2" s="44"/>
      <c r="D2" s="44"/>
      <c r="E2" s="44"/>
      <c r="F2" s="42" t="s">
        <v>4</v>
      </c>
      <c r="G2" s="166"/>
      <c r="I2" s="42" t="s">
        <v>5</v>
      </c>
      <c r="J2" s="142"/>
      <c r="K2" s="142"/>
    </row>
    <row r="3" spans="2:18">
      <c r="B3" s="11" t="s">
        <v>1974</v>
      </c>
    </row>
    <row r="4" spans="2:18">
      <c r="B4" s="224" t="s">
        <v>35</v>
      </c>
      <c r="C4" s="225"/>
    </row>
    <row r="5" spans="2:18">
      <c r="B5" s="65" t="s">
        <v>36</v>
      </c>
      <c r="C5" s="259" t="s">
        <v>1975</v>
      </c>
      <c r="D5" s="259"/>
      <c r="E5" s="259"/>
      <c r="F5" s="35" t="s">
        <v>38</v>
      </c>
      <c r="G5" s="36">
        <f>VLOOKUP($C$5, 太陽電池モジュールリスト!A:J, 6,FALSE)</f>
        <v>7.65</v>
      </c>
      <c r="H5" s="35" t="s">
        <v>39</v>
      </c>
      <c r="I5" s="36">
        <f>VLOOKUP($C$5, 太陽電池モジュールリスト!A:J, 5,FALSE)</f>
        <v>8.4600000000000009</v>
      </c>
      <c r="J5" s="223" t="s">
        <v>40</v>
      </c>
      <c r="K5" s="223"/>
      <c r="L5" s="37">
        <f>VLOOKUP($C$5, 太陽電池モジュールリスト!A:J, 9,FALSE)</f>
        <v>5.9999999999999995E-4</v>
      </c>
      <c r="P5" s="12"/>
      <c r="Q5" s="12"/>
      <c r="R5" s="12"/>
    </row>
    <row r="6" spans="2:18">
      <c r="B6" s="38" t="s">
        <v>41</v>
      </c>
      <c r="C6" s="39">
        <f>VLOOKUP($C$5, 太陽電池モジュールリスト!A:J, 2,FALSE)</f>
        <v>163</v>
      </c>
      <c r="D6" s="38" t="s">
        <v>42</v>
      </c>
      <c r="E6" s="40">
        <f>VLOOKUP($C$5, 太陽電池モジュールリスト!A:J, 7,FALSE)</f>
        <v>-4.4999999999999997E-3</v>
      </c>
      <c r="F6" s="38" t="s">
        <v>43</v>
      </c>
      <c r="G6" s="41">
        <f>VLOOKUP($C$5, 太陽電池モジュールリスト!A:J, 4,FALSE)</f>
        <v>21.31</v>
      </c>
      <c r="H6" s="35" t="s">
        <v>44</v>
      </c>
      <c r="I6" s="41">
        <f>VLOOKUP($C$5, 太陽電池モジュールリスト!A:J, 3,FALSE)</f>
        <v>25.63</v>
      </c>
      <c r="J6" s="223" t="s">
        <v>45</v>
      </c>
      <c r="K6" s="223"/>
      <c r="L6" s="40">
        <f>VLOOKUP($C$5, 太陽電池モジュールリスト!A:J, 8,FALSE)</f>
        <v>-3.5999999999999999E-3</v>
      </c>
    </row>
    <row r="7" spans="2:18" ht="16.7" hidden="1" customHeight="1">
      <c r="B7" s="224" t="s">
        <v>46</v>
      </c>
      <c r="C7" s="232"/>
      <c r="D7" s="225"/>
      <c r="E7" s="74">
        <v>200</v>
      </c>
      <c r="F7" s="233" t="s">
        <v>47</v>
      </c>
      <c r="G7" s="234"/>
      <c r="H7" s="75" t="e">
        <f>+E7*C6/1000/VLOOKUP($C$9,$B$71:$P$89,2,FALSE)</f>
        <v>#N/A</v>
      </c>
      <c r="I7" s="46"/>
      <c r="J7" s="48"/>
      <c r="K7" s="49"/>
    </row>
    <row r="8" spans="2:18" ht="15.75" customHeight="1">
      <c r="B8" s="55"/>
      <c r="C8" s="56"/>
      <c r="D8" s="55"/>
      <c r="E8" s="57"/>
      <c r="F8" s="55"/>
      <c r="G8" s="46"/>
      <c r="H8" s="47"/>
      <c r="I8" s="46"/>
      <c r="J8" s="48"/>
      <c r="K8" s="49"/>
    </row>
    <row r="9" spans="2:18">
      <c r="B9" s="31" t="s">
        <v>48</v>
      </c>
      <c r="C9" s="259" t="s">
        <v>149</v>
      </c>
      <c r="D9" s="259"/>
      <c r="E9" s="259"/>
      <c r="F9" s="65" t="s">
        <v>1817</v>
      </c>
      <c r="G9" s="100">
        <f>VLOOKUP($C$9, $B$79:$P$101,9,FALSE)</f>
        <v>4</v>
      </c>
      <c r="H9" s="65" t="s">
        <v>1818</v>
      </c>
      <c r="I9" s="102">
        <f>VLOOKUP($C$9, $B$79:$P$101, 3,FALSE)</f>
        <v>600</v>
      </c>
      <c r="J9" s="65" t="s">
        <v>1976</v>
      </c>
      <c r="K9" s="104">
        <f>VLOOKUP($C$9, $B$79:$P$101,7,FALSE)</f>
        <v>30</v>
      </c>
    </row>
    <row r="10" spans="2:18">
      <c r="B10" s="64" t="s">
        <v>1820</v>
      </c>
      <c r="C10" s="111">
        <f>VLOOKUP($C$9, $B$79:$P$101,2,FALSE)</f>
        <v>4.95</v>
      </c>
      <c r="D10" s="106" t="s">
        <v>1821</v>
      </c>
      <c r="E10" s="99">
        <f>VLOOKUP($C$9, $B$79:$P$101,10,FALSE)</f>
        <v>0.97</v>
      </c>
      <c r="F10" s="64" t="s">
        <v>1822</v>
      </c>
      <c r="G10" s="101">
        <f>VLOOKUP($C$9, $B$79:$P$101,9,FALSE)/2</f>
        <v>2</v>
      </c>
      <c r="H10" s="65" t="s">
        <v>1823</v>
      </c>
      <c r="I10" s="103" t="str">
        <f>VLOOKUP($C$9, $B$79:$P$101,11,FALSE)</f>
        <v>90-560Ｖ</v>
      </c>
      <c r="J10" s="65" t="s">
        <v>1977</v>
      </c>
      <c r="K10" s="105">
        <f>VLOOKUP($C$9, $B$79:$P$101,8,FALSE)</f>
        <v>16</v>
      </c>
    </row>
    <row r="11" spans="2:18" ht="13.5" thickBot="1">
      <c r="B11" s="93"/>
      <c r="C11" s="98"/>
      <c r="D11" s="98"/>
      <c r="E11" s="98"/>
    </row>
    <row r="12" spans="2:18" ht="14.45" hidden="1" customHeight="1">
      <c r="B12" s="60" t="s">
        <v>50</v>
      </c>
      <c r="K12" s="49"/>
    </row>
    <row r="13" spans="2:18" hidden="1">
      <c r="B13" s="226" t="s">
        <v>51</v>
      </c>
      <c r="C13" s="226"/>
      <c r="D13" s="226" t="s">
        <v>52</v>
      </c>
      <c r="E13" s="226"/>
      <c r="F13" s="226"/>
      <c r="G13" s="226" t="s">
        <v>53</v>
      </c>
      <c r="H13" s="226"/>
      <c r="I13" s="226"/>
      <c r="J13" s="226" t="s">
        <v>54</v>
      </c>
      <c r="K13" s="226"/>
    </row>
    <row r="14" spans="2:18" hidden="1">
      <c r="B14" s="64" t="s">
        <v>55</v>
      </c>
      <c r="C14" s="76">
        <v>40</v>
      </c>
      <c r="D14" s="224" t="s">
        <v>56</v>
      </c>
      <c r="E14" s="225"/>
      <c r="F14" s="76">
        <v>30</v>
      </c>
      <c r="G14" s="224" t="s">
        <v>57</v>
      </c>
      <c r="H14" s="225"/>
      <c r="I14" s="77">
        <v>0</v>
      </c>
      <c r="J14" s="227" t="s">
        <v>1828</v>
      </c>
      <c r="K14" s="227"/>
    </row>
    <row r="15" spans="2:18" hidden="1">
      <c r="B15" s="65" t="s">
        <v>59</v>
      </c>
      <c r="C15" s="76">
        <v>-20</v>
      </c>
      <c r="D15" s="228"/>
      <c r="E15" s="229"/>
      <c r="F15" s="88"/>
      <c r="G15" s="224" t="s">
        <v>60</v>
      </c>
      <c r="H15" s="225"/>
      <c r="I15" s="77">
        <v>0.02</v>
      </c>
      <c r="J15" s="70" t="str">
        <f>IF(J14="非適用","最大短絡電流を超えるパネルの接続は極性の逆接続時の故障リスクが高くなりますのでご注意ください","")</f>
        <v/>
      </c>
    </row>
    <row r="16" spans="2:18" ht="13.5" hidden="1" thickBot="1">
      <c r="B16" s="12"/>
      <c r="C16" s="12"/>
      <c r="D16" s="12"/>
      <c r="E16" s="12"/>
      <c r="F16" s="12"/>
      <c r="G16" s="12"/>
      <c r="H16" s="12"/>
      <c r="I16" s="12"/>
      <c r="J16" s="12"/>
      <c r="K16" s="12"/>
      <c r="L16" s="12"/>
    </row>
    <row r="17" spans="2:30" hidden="1">
      <c r="B17" s="97" t="s">
        <v>61</v>
      </c>
      <c r="C17" s="96"/>
      <c r="E17" s="12"/>
      <c r="F17" s="12"/>
    </row>
    <row r="18" spans="2:30" hidden="1">
      <c r="B18" s="42" t="s">
        <v>63</v>
      </c>
      <c r="C18" s="58">
        <f>E69</f>
        <v>13</v>
      </c>
      <c r="D18" s="226" t="s">
        <v>64</v>
      </c>
      <c r="E18" s="226"/>
      <c r="F18" s="226"/>
      <c r="G18" s="58">
        <f>+M68</f>
        <v>2</v>
      </c>
    </row>
    <row r="19" spans="2:30" hidden="1">
      <c r="B19" s="42" t="s">
        <v>65</v>
      </c>
      <c r="C19" s="58">
        <f>IFERROR(MIN(C69,G69,#REF!),C69)</f>
        <v>20</v>
      </c>
      <c r="D19" s="226" t="s">
        <v>66</v>
      </c>
      <c r="E19" s="226"/>
      <c r="F19" s="226"/>
      <c r="G19" s="58">
        <f>+M70</f>
        <v>4</v>
      </c>
      <c r="H19" s="226" t="s">
        <v>67</v>
      </c>
      <c r="I19" s="226"/>
      <c r="J19" s="59" t="e">
        <f>MIN(H7,#REF!)</f>
        <v>#REF!</v>
      </c>
    </row>
    <row r="20" spans="2:30" hidden="1"/>
    <row r="21" spans="2:30">
      <c r="B21" s="130"/>
      <c r="C21" s="131" t="s">
        <v>1978</v>
      </c>
      <c r="D21" s="131" t="s">
        <v>1979</v>
      </c>
      <c r="E21" s="132" t="s">
        <v>1980</v>
      </c>
      <c r="F21" s="132" t="s">
        <v>1981</v>
      </c>
      <c r="G21" s="132" t="s">
        <v>1982</v>
      </c>
      <c r="H21" s="132" t="s">
        <v>1983</v>
      </c>
      <c r="I21" s="132" t="s">
        <v>1984</v>
      </c>
      <c r="J21" s="132" t="s">
        <v>1985</v>
      </c>
      <c r="K21" s="132" t="s">
        <v>1986</v>
      </c>
      <c r="L21" s="132" t="s">
        <v>1987</v>
      </c>
      <c r="M21" s="133"/>
      <c r="N21" s="133"/>
      <c r="O21" s="133"/>
      <c r="P21" s="133"/>
      <c r="Q21" s="133"/>
      <c r="R21" s="133"/>
      <c r="S21" s="133"/>
      <c r="T21" s="133"/>
      <c r="U21" s="133"/>
      <c r="V21" s="133"/>
      <c r="W21" s="133"/>
      <c r="X21" s="133"/>
      <c r="Y21" s="133"/>
      <c r="Z21" s="133"/>
      <c r="AA21" s="133"/>
      <c r="AB21" s="133"/>
      <c r="AC21" s="133"/>
      <c r="AD21" s="133"/>
    </row>
    <row r="22" spans="2:30">
      <c r="B22" s="134" t="s">
        <v>1988</v>
      </c>
      <c r="C22" s="135">
        <v>15</v>
      </c>
      <c r="D22" s="135"/>
      <c r="E22" s="135"/>
      <c r="F22" s="135"/>
      <c r="G22" s="135"/>
      <c r="H22" s="135"/>
      <c r="I22" s="135"/>
      <c r="J22" s="135"/>
      <c r="K22" s="135"/>
      <c r="L22" s="135"/>
      <c r="M22" s="136" t="s">
        <v>1989</v>
      </c>
      <c r="N22" s="136"/>
      <c r="O22" s="136"/>
      <c r="P22" s="136"/>
      <c r="Q22" s="133"/>
      <c r="R22" s="133"/>
      <c r="S22" s="133"/>
      <c r="T22" s="133"/>
      <c r="U22" s="133"/>
      <c r="V22" s="133"/>
      <c r="W22" s="133"/>
      <c r="X22" s="133"/>
      <c r="Y22" s="133"/>
      <c r="Z22" s="133"/>
      <c r="AA22" s="133"/>
      <c r="AB22" s="133"/>
      <c r="AC22" s="133"/>
      <c r="AD22" s="133"/>
    </row>
    <row r="23" spans="2:30" ht="13.5" thickBot="1">
      <c r="B23" s="133"/>
      <c r="C23" s="137"/>
      <c r="D23" s="137"/>
      <c r="E23" s="137"/>
      <c r="F23" s="137"/>
      <c r="G23" s="137"/>
      <c r="H23" s="137"/>
      <c r="I23" s="137"/>
      <c r="J23" s="137"/>
      <c r="K23" s="137"/>
      <c r="L23" s="137"/>
      <c r="M23" s="133"/>
      <c r="N23" s="133"/>
      <c r="O23" s="133"/>
      <c r="P23" s="133"/>
      <c r="Q23" s="133"/>
      <c r="R23" s="133"/>
      <c r="S23" s="133"/>
      <c r="T23" s="133"/>
      <c r="U23" s="133"/>
      <c r="V23" s="133"/>
      <c r="W23" s="133"/>
      <c r="X23" s="133"/>
      <c r="Y23" s="133"/>
      <c r="Z23" s="133"/>
      <c r="AA23" s="133"/>
      <c r="AB23" s="133"/>
      <c r="AC23" s="133"/>
      <c r="AD23" s="133"/>
    </row>
    <row r="24" spans="2:30" ht="70.150000000000006" customHeight="1">
      <c r="B24" s="138" t="s">
        <v>1990</v>
      </c>
      <c r="C24" s="139" t="s">
        <v>1991</v>
      </c>
      <c r="D24" s="139" t="s">
        <v>1991</v>
      </c>
      <c r="E24" s="139" t="s">
        <v>1991</v>
      </c>
      <c r="F24" s="139" t="s">
        <v>1991</v>
      </c>
      <c r="G24" s="139" t="s">
        <v>1991</v>
      </c>
      <c r="H24" s="139" t="s">
        <v>1991</v>
      </c>
      <c r="I24" s="139" t="s">
        <v>1991</v>
      </c>
      <c r="J24" s="139" t="s">
        <v>1991</v>
      </c>
      <c r="K24" s="139" t="s">
        <v>1991</v>
      </c>
      <c r="L24" s="139" t="s">
        <v>1991</v>
      </c>
      <c r="M24" s="140" t="s">
        <v>1992</v>
      </c>
      <c r="N24" s="261" t="s">
        <v>1993</v>
      </c>
      <c r="O24" s="260"/>
      <c r="P24" s="260"/>
      <c r="Q24" s="260"/>
      <c r="R24" s="260"/>
      <c r="S24" s="161"/>
      <c r="T24" s="161"/>
      <c r="U24" s="161"/>
      <c r="V24" s="161"/>
      <c r="W24" s="161"/>
      <c r="X24" s="161"/>
      <c r="Y24" s="161"/>
      <c r="Z24" s="161"/>
      <c r="AA24" s="161"/>
      <c r="AB24" s="161"/>
      <c r="AC24" s="161"/>
      <c r="AD24" s="161"/>
    </row>
    <row r="25" spans="2:30">
      <c r="B25" s="141">
        <v>-20</v>
      </c>
      <c r="C25" s="142">
        <f>ROUNDUP($I$6*(1+($B25-25)*$L$6),2)*C$22</f>
        <v>446.85</v>
      </c>
      <c r="D25" s="142">
        <f t="shared" ref="D25:L25" si="0">ROUNDUP($I$6*(1+($B25-25)*$L$6),2)*D$22</f>
        <v>0</v>
      </c>
      <c r="E25" s="142">
        <f t="shared" si="0"/>
        <v>0</v>
      </c>
      <c r="F25" s="142">
        <f t="shared" si="0"/>
        <v>0</v>
      </c>
      <c r="G25" s="142">
        <f t="shared" si="0"/>
        <v>0</v>
      </c>
      <c r="H25" s="142">
        <f t="shared" si="0"/>
        <v>0</v>
      </c>
      <c r="I25" s="142">
        <f t="shared" si="0"/>
        <v>0</v>
      </c>
      <c r="J25" s="142">
        <f t="shared" si="0"/>
        <v>0</v>
      </c>
      <c r="K25" s="142">
        <f t="shared" si="0"/>
        <v>0</v>
      </c>
      <c r="L25" s="142">
        <f t="shared" si="0"/>
        <v>0</v>
      </c>
      <c r="M25" s="143">
        <f t="shared" ref="M25:M30" si="1">ROUNDUP(((1-1/MAX($P$41,100%))^0.5*($I$6-$G$6)+$G$6)*(1+($B25-25+$F$14)*$L$6)*(VLOOKUP($C$9,$B$79:$P$101,10,FALSE)-$I$14),2)*MAX($C$22:$L$22)</f>
        <v>326.85000000000002</v>
      </c>
      <c r="N25" s="261"/>
      <c r="O25" s="260"/>
      <c r="P25" s="260"/>
      <c r="Q25" s="260"/>
      <c r="R25" s="260"/>
      <c r="S25" s="133"/>
      <c r="T25" s="133"/>
      <c r="U25" s="133"/>
      <c r="V25" s="133"/>
      <c r="W25" s="133"/>
      <c r="X25" s="133"/>
      <c r="Y25" s="133"/>
      <c r="Z25" s="133"/>
      <c r="AA25" s="133"/>
      <c r="AB25" s="133"/>
      <c r="AC25" s="133"/>
      <c r="AD25" s="133"/>
    </row>
    <row r="26" spans="2:30">
      <c r="B26" s="141">
        <v>-15</v>
      </c>
      <c r="C26" s="142">
        <f t="shared" ref="C26:L30" si="2">ROUNDUP($I$6*(1+($B26-25)*$L$6),2)*C$22</f>
        <v>439.95000000000005</v>
      </c>
      <c r="D26" s="142">
        <f t="shared" si="2"/>
        <v>0</v>
      </c>
      <c r="E26" s="142">
        <f t="shared" si="2"/>
        <v>0</v>
      </c>
      <c r="F26" s="142">
        <f t="shared" si="2"/>
        <v>0</v>
      </c>
      <c r="G26" s="142">
        <f t="shared" si="2"/>
        <v>0</v>
      </c>
      <c r="H26" s="142">
        <f t="shared" si="2"/>
        <v>0</v>
      </c>
      <c r="I26" s="142">
        <f t="shared" si="2"/>
        <v>0</v>
      </c>
      <c r="J26" s="142">
        <f t="shared" si="2"/>
        <v>0</v>
      </c>
      <c r="K26" s="142">
        <f t="shared" si="2"/>
        <v>0</v>
      </c>
      <c r="L26" s="142">
        <f t="shared" si="2"/>
        <v>0</v>
      </c>
      <c r="M26" s="143">
        <f t="shared" si="1"/>
        <v>321.3</v>
      </c>
      <c r="N26" s="164"/>
      <c r="O26" s="165"/>
      <c r="P26" s="165"/>
      <c r="Q26" s="165"/>
      <c r="R26" s="165"/>
      <c r="S26" s="133"/>
      <c r="T26" s="133"/>
      <c r="U26" s="133"/>
      <c r="V26" s="133"/>
      <c r="W26" s="133"/>
      <c r="X26" s="133"/>
      <c r="Y26" s="133"/>
      <c r="Z26" s="133"/>
      <c r="AA26" s="133"/>
      <c r="AB26" s="133"/>
      <c r="AC26" s="133"/>
      <c r="AD26" s="133"/>
    </row>
    <row r="27" spans="2:30">
      <c r="B27" s="141">
        <v>-10</v>
      </c>
      <c r="C27" s="142">
        <f t="shared" si="2"/>
        <v>432.90000000000003</v>
      </c>
      <c r="D27" s="142">
        <f t="shared" si="2"/>
        <v>0</v>
      </c>
      <c r="E27" s="142">
        <f t="shared" si="2"/>
        <v>0</v>
      </c>
      <c r="F27" s="142">
        <f t="shared" si="2"/>
        <v>0</v>
      </c>
      <c r="G27" s="142">
        <f t="shared" si="2"/>
        <v>0</v>
      </c>
      <c r="H27" s="142">
        <f t="shared" si="2"/>
        <v>0</v>
      </c>
      <c r="I27" s="142">
        <f t="shared" si="2"/>
        <v>0</v>
      </c>
      <c r="J27" s="142">
        <f t="shared" si="2"/>
        <v>0</v>
      </c>
      <c r="K27" s="142">
        <f t="shared" si="2"/>
        <v>0</v>
      </c>
      <c r="L27" s="142">
        <f t="shared" si="2"/>
        <v>0</v>
      </c>
      <c r="M27" s="143">
        <f t="shared" si="1"/>
        <v>315.75</v>
      </c>
      <c r="N27" s="144"/>
      <c r="O27" s="144"/>
      <c r="P27" s="144"/>
      <c r="Q27" s="133"/>
      <c r="R27" s="133"/>
      <c r="S27" s="133"/>
      <c r="T27" s="133"/>
      <c r="U27" s="133"/>
      <c r="V27" s="133"/>
      <c r="W27" s="133"/>
      <c r="X27" s="133"/>
      <c r="Y27" s="133"/>
      <c r="Z27" s="133"/>
      <c r="AA27" s="133"/>
      <c r="AB27" s="133"/>
      <c r="AC27" s="133"/>
      <c r="AD27" s="133"/>
    </row>
    <row r="28" spans="2:30">
      <c r="B28" s="141">
        <v>-5</v>
      </c>
      <c r="C28" s="142">
        <f t="shared" si="2"/>
        <v>426.00000000000006</v>
      </c>
      <c r="D28" s="142">
        <f t="shared" si="2"/>
        <v>0</v>
      </c>
      <c r="E28" s="142">
        <f t="shared" si="2"/>
        <v>0</v>
      </c>
      <c r="F28" s="142">
        <f t="shared" si="2"/>
        <v>0</v>
      </c>
      <c r="G28" s="142">
        <f t="shared" si="2"/>
        <v>0</v>
      </c>
      <c r="H28" s="142">
        <f t="shared" si="2"/>
        <v>0</v>
      </c>
      <c r="I28" s="142">
        <f t="shared" si="2"/>
        <v>0</v>
      </c>
      <c r="J28" s="142">
        <f t="shared" si="2"/>
        <v>0</v>
      </c>
      <c r="K28" s="142">
        <f t="shared" si="2"/>
        <v>0</v>
      </c>
      <c r="L28" s="142">
        <f t="shared" si="2"/>
        <v>0</v>
      </c>
      <c r="M28" s="143">
        <f t="shared" si="1"/>
        <v>310.20000000000005</v>
      </c>
      <c r="N28" s="144"/>
      <c r="O28" s="144"/>
      <c r="P28" s="144"/>
      <c r="Q28" s="133"/>
      <c r="R28" s="133"/>
      <c r="S28" s="133"/>
      <c r="T28" s="133"/>
      <c r="U28" s="133"/>
      <c r="V28" s="133"/>
      <c r="W28" s="133"/>
      <c r="X28" s="133"/>
      <c r="Y28" s="133"/>
      <c r="Z28" s="133"/>
      <c r="AA28" s="133"/>
      <c r="AB28" s="133"/>
      <c r="AC28" s="133"/>
      <c r="AD28" s="133"/>
    </row>
    <row r="29" spans="2:30">
      <c r="B29" s="141">
        <v>0</v>
      </c>
      <c r="C29" s="142">
        <f t="shared" si="2"/>
        <v>419.1</v>
      </c>
      <c r="D29" s="142">
        <f t="shared" si="2"/>
        <v>0</v>
      </c>
      <c r="E29" s="142">
        <f t="shared" si="2"/>
        <v>0</v>
      </c>
      <c r="F29" s="142">
        <f t="shared" si="2"/>
        <v>0</v>
      </c>
      <c r="G29" s="142">
        <f t="shared" si="2"/>
        <v>0</v>
      </c>
      <c r="H29" s="142">
        <f t="shared" si="2"/>
        <v>0</v>
      </c>
      <c r="I29" s="142">
        <f t="shared" si="2"/>
        <v>0</v>
      </c>
      <c r="J29" s="142">
        <f t="shared" si="2"/>
        <v>0</v>
      </c>
      <c r="K29" s="142">
        <f t="shared" si="2"/>
        <v>0</v>
      </c>
      <c r="L29" s="142">
        <f t="shared" si="2"/>
        <v>0</v>
      </c>
      <c r="M29" s="143">
        <f t="shared" si="1"/>
        <v>304.5</v>
      </c>
      <c r="N29" s="144"/>
      <c r="O29" s="144"/>
      <c r="P29" s="144"/>
      <c r="Q29" s="133"/>
      <c r="R29" s="133"/>
      <c r="S29" s="133"/>
      <c r="T29" s="133"/>
      <c r="U29" s="133"/>
      <c r="V29" s="133"/>
      <c r="W29" s="133"/>
      <c r="X29" s="133"/>
      <c r="Y29" s="133"/>
      <c r="Z29" s="133"/>
      <c r="AA29" s="133"/>
      <c r="AB29" s="133"/>
      <c r="AC29" s="133"/>
      <c r="AD29" s="133"/>
    </row>
    <row r="30" spans="2:30" ht="13.5" thickBot="1">
      <c r="B30" s="141">
        <v>10</v>
      </c>
      <c r="C30" s="142">
        <f t="shared" si="2"/>
        <v>405.30000000000007</v>
      </c>
      <c r="D30" s="142">
        <f t="shared" si="2"/>
        <v>0</v>
      </c>
      <c r="E30" s="142">
        <f t="shared" si="2"/>
        <v>0</v>
      </c>
      <c r="F30" s="142">
        <f t="shared" si="2"/>
        <v>0</v>
      </c>
      <c r="G30" s="142">
        <f t="shared" si="2"/>
        <v>0</v>
      </c>
      <c r="H30" s="142">
        <f t="shared" si="2"/>
        <v>0</v>
      </c>
      <c r="I30" s="142">
        <f t="shared" si="2"/>
        <v>0</v>
      </c>
      <c r="J30" s="142">
        <f t="shared" si="2"/>
        <v>0</v>
      </c>
      <c r="K30" s="142">
        <f t="shared" si="2"/>
        <v>0</v>
      </c>
      <c r="L30" s="142">
        <f t="shared" si="2"/>
        <v>0</v>
      </c>
      <c r="M30" s="143">
        <f t="shared" si="1"/>
        <v>293.40000000000003</v>
      </c>
      <c r="N30" s="144"/>
      <c r="O30" s="144"/>
      <c r="P30" s="144"/>
      <c r="Q30" s="133"/>
      <c r="R30" s="133"/>
      <c r="S30" s="133"/>
      <c r="T30" s="133"/>
      <c r="U30" s="133"/>
      <c r="V30" s="133"/>
      <c r="W30" s="133"/>
      <c r="X30" s="133"/>
      <c r="Y30" s="133"/>
      <c r="Z30" s="133"/>
      <c r="AA30" s="133"/>
      <c r="AB30" s="133"/>
      <c r="AC30" s="133"/>
      <c r="AD30" s="133"/>
    </row>
    <row r="31" spans="2:30" ht="13.5" thickBot="1">
      <c r="B31" s="144"/>
      <c r="C31" s="145"/>
      <c r="D31" s="145"/>
      <c r="E31" s="145"/>
      <c r="F31" s="145"/>
      <c r="G31" s="145"/>
      <c r="H31" s="145"/>
      <c r="I31" s="145"/>
      <c r="J31" s="145"/>
      <c r="K31" s="145"/>
      <c r="L31" s="145"/>
      <c r="M31" s="146"/>
      <c r="N31" s="147"/>
      <c r="O31" s="147"/>
      <c r="P31" s="147"/>
      <c r="Q31" s="133"/>
      <c r="R31" s="133"/>
      <c r="S31" s="133"/>
      <c r="T31" s="133"/>
      <c r="U31" s="133"/>
      <c r="V31" s="133"/>
      <c r="W31" s="133"/>
      <c r="X31" s="133"/>
      <c r="Y31" s="133"/>
      <c r="Z31" s="133"/>
      <c r="AA31" s="133"/>
      <c r="AB31" s="133"/>
      <c r="AC31" s="133"/>
      <c r="AD31" s="133"/>
    </row>
    <row r="32" spans="2:30" ht="26.45" thickBot="1">
      <c r="B32" s="148" t="s">
        <v>1994</v>
      </c>
      <c r="C32" s="139" t="s">
        <v>1995</v>
      </c>
      <c r="D32" s="139" t="s">
        <v>1995</v>
      </c>
      <c r="E32" s="139" t="s">
        <v>1995</v>
      </c>
      <c r="F32" s="139" t="s">
        <v>1995</v>
      </c>
      <c r="G32" s="139" t="s">
        <v>1995</v>
      </c>
      <c r="H32" s="139" t="s">
        <v>1995</v>
      </c>
      <c r="I32" s="139" t="s">
        <v>1995</v>
      </c>
      <c r="J32" s="139" t="s">
        <v>1995</v>
      </c>
      <c r="K32" s="139" t="s">
        <v>1995</v>
      </c>
      <c r="L32" s="139" t="s">
        <v>1995</v>
      </c>
      <c r="M32" s="140" t="s">
        <v>1992</v>
      </c>
      <c r="N32" s="149"/>
      <c r="O32" s="149"/>
      <c r="P32" s="149"/>
      <c r="Q32" s="133"/>
      <c r="R32" s="133"/>
      <c r="S32" s="133"/>
      <c r="T32" s="133"/>
      <c r="U32" s="133"/>
      <c r="V32" s="133"/>
      <c r="W32" s="133"/>
      <c r="X32" s="133"/>
      <c r="Y32" s="133"/>
      <c r="Z32" s="133"/>
      <c r="AA32" s="133"/>
      <c r="AB32" s="133"/>
      <c r="AC32" s="133"/>
      <c r="AD32" s="133"/>
    </row>
    <row r="33" spans="2:30" ht="13.5" thickBot="1">
      <c r="B33" s="141">
        <v>30</v>
      </c>
      <c r="C33" s="142">
        <f>ROUNDDOWN($G$6*(1+($B33-25+$F$14)*$L$6)*(VLOOKUP($C$9,$B$79:$P$101,10,FALSE)-$I$15),2)*C$22</f>
        <v>265.35000000000002</v>
      </c>
      <c r="D33" s="142">
        <f t="shared" ref="D33:L33" si="3">ROUNDDOWN($G$6*(1+($B33-25+$F$14)*$L$6)*(VLOOKUP($C$9,$B$79:$P$101,10,FALSE)-$I$15),2)*D$22</f>
        <v>0</v>
      </c>
      <c r="E33" s="142">
        <f t="shared" si="3"/>
        <v>0</v>
      </c>
      <c r="F33" s="142">
        <f t="shared" si="3"/>
        <v>0</v>
      </c>
      <c r="G33" s="142">
        <f t="shared" si="3"/>
        <v>0</v>
      </c>
      <c r="H33" s="142">
        <f t="shared" si="3"/>
        <v>0</v>
      </c>
      <c r="I33" s="142">
        <f t="shared" si="3"/>
        <v>0</v>
      </c>
      <c r="J33" s="142">
        <f t="shared" si="3"/>
        <v>0</v>
      </c>
      <c r="K33" s="142">
        <f t="shared" si="3"/>
        <v>0</v>
      </c>
      <c r="L33" s="142">
        <f t="shared" si="3"/>
        <v>0</v>
      </c>
      <c r="M33" s="150">
        <f>ROUNDDOWN(((((1-1/MAX(1,$P$41))^0.5*($I$6-$G$6)+$G$6)*(1+($B33-25+$F$14)*$L$6))*(VLOOKUP($C$9,$B$79:$P$96,10,FALSE)-$I$14)),2)*C$22</f>
        <v>270.89999999999998</v>
      </c>
      <c r="N33" s="260" t="s">
        <v>1996</v>
      </c>
      <c r="O33" s="260"/>
      <c r="P33" s="260"/>
      <c r="Q33" s="260"/>
      <c r="R33" s="260"/>
      <c r="S33" s="133"/>
      <c r="T33" s="133"/>
      <c r="U33" s="133"/>
      <c r="V33" s="133"/>
      <c r="W33" s="133"/>
      <c r="X33" s="133"/>
      <c r="Y33" s="133"/>
      <c r="Z33" s="133"/>
      <c r="AA33" s="133"/>
      <c r="AB33" s="133"/>
      <c r="AC33" s="133"/>
      <c r="AD33" s="133"/>
    </row>
    <row r="34" spans="2:30" ht="13.5" thickBot="1">
      <c r="B34" s="141">
        <v>35</v>
      </c>
      <c r="C34" s="142">
        <f>ROUNDDOWN($G$6*(1+($B34-25+$F$14)*$L$6)*(VLOOKUP($C$9,$B$79:$P$101,10,FALSE)-$I$15),2)*C$22</f>
        <v>259.8</v>
      </c>
      <c r="D34" s="142">
        <f t="shared" ref="D34:L35" si="4">ROUNDDOWN($G$6*(1+($B34-25+$F$14)*$L$6)*(VLOOKUP($C$9,$B$79:$P$101,10,FALSE)-$I$15),2)*D$22</f>
        <v>0</v>
      </c>
      <c r="E34" s="142">
        <f t="shared" si="4"/>
        <v>0</v>
      </c>
      <c r="F34" s="142">
        <f t="shared" si="4"/>
        <v>0</v>
      </c>
      <c r="G34" s="142">
        <f t="shared" si="4"/>
        <v>0</v>
      </c>
      <c r="H34" s="142">
        <f t="shared" si="4"/>
        <v>0</v>
      </c>
      <c r="I34" s="142">
        <f t="shared" si="4"/>
        <v>0</v>
      </c>
      <c r="J34" s="142">
        <f t="shared" si="4"/>
        <v>0</v>
      </c>
      <c r="K34" s="142">
        <f t="shared" si="4"/>
        <v>0</v>
      </c>
      <c r="L34" s="142">
        <f t="shared" si="4"/>
        <v>0</v>
      </c>
      <c r="M34" s="150">
        <f>ROUNDDOWN(((((1-1/MAX(1,$P$41))^0.5*($I$6-$G$6)+$G$6)*(1+($B34-25+$F$14)*$L$6))*(VLOOKUP($C$9,$B$79:$P$96,10,FALSE)-$I$14)),2)*C$22</f>
        <v>265.35000000000002</v>
      </c>
      <c r="N34" s="260"/>
      <c r="O34" s="260"/>
      <c r="P34" s="260"/>
      <c r="Q34" s="260"/>
      <c r="R34" s="260"/>
      <c r="S34" s="133"/>
      <c r="T34" s="133"/>
      <c r="U34" s="133"/>
      <c r="V34" s="133"/>
      <c r="W34" s="133"/>
      <c r="X34" s="133"/>
      <c r="Y34" s="133"/>
      <c r="Z34" s="133"/>
      <c r="AA34" s="133"/>
      <c r="AB34" s="133"/>
      <c r="AC34" s="133"/>
      <c r="AD34" s="133"/>
    </row>
    <row r="35" spans="2:30" ht="13.5" thickBot="1">
      <c r="B35" s="141">
        <v>40</v>
      </c>
      <c r="C35" s="142">
        <f>ROUNDDOWN($G$6*(1+($B35-25+$F$14)*$L$6)*(VLOOKUP($C$9,$B$79:$P$101,10,FALSE)-$I$15),2)*C$22</f>
        <v>254.4</v>
      </c>
      <c r="D35" s="142">
        <f t="shared" si="4"/>
        <v>0</v>
      </c>
      <c r="E35" s="142">
        <f t="shared" si="4"/>
        <v>0</v>
      </c>
      <c r="F35" s="142">
        <f t="shared" si="4"/>
        <v>0</v>
      </c>
      <c r="G35" s="142">
        <f t="shared" si="4"/>
        <v>0</v>
      </c>
      <c r="H35" s="142">
        <f t="shared" si="4"/>
        <v>0</v>
      </c>
      <c r="I35" s="142">
        <f t="shared" si="4"/>
        <v>0</v>
      </c>
      <c r="J35" s="142">
        <f t="shared" si="4"/>
        <v>0</v>
      </c>
      <c r="K35" s="142">
        <f t="shared" si="4"/>
        <v>0</v>
      </c>
      <c r="L35" s="142">
        <f t="shared" si="4"/>
        <v>0</v>
      </c>
      <c r="M35" s="150">
        <f>ROUNDDOWN(((((1-1/MAX(1,$P$41))^0.5*($I$6-$G$6)+$G$6)*(1+($B35-25+$F$14)*$L$6))*(VLOOKUP($C$9,$B$79:$P$96,10,FALSE)-$I$14)),2)*C$22</f>
        <v>259.8</v>
      </c>
      <c r="N35" s="260"/>
      <c r="O35" s="260"/>
      <c r="P35" s="260"/>
      <c r="Q35" s="260"/>
      <c r="R35" s="260"/>
      <c r="S35" s="133"/>
      <c r="T35" s="133"/>
      <c r="U35" s="133"/>
      <c r="V35" s="133"/>
      <c r="W35" s="133"/>
      <c r="X35" s="133"/>
      <c r="Y35" s="133"/>
      <c r="Z35" s="133"/>
      <c r="AA35" s="133"/>
      <c r="AB35" s="133"/>
      <c r="AC35" s="133"/>
      <c r="AD35" s="133"/>
    </row>
    <row r="36" spans="2:30">
      <c r="B36" s="151"/>
      <c r="C36" s="152"/>
      <c r="D36" s="152"/>
      <c r="E36" s="152"/>
      <c r="F36" s="152"/>
      <c r="G36" s="152"/>
      <c r="H36" s="152"/>
      <c r="I36" s="152"/>
      <c r="J36" s="152"/>
      <c r="K36" s="152"/>
      <c r="L36" s="152"/>
      <c r="M36" s="153"/>
      <c r="N36" s="260"/>
      <c r="O36" s="260"/>
      <c r="P36" s="260"/>
      <c r="Q36" s="260"/>
      <c r="R36" s="260"/>
      <c r="S36" s="133"/>
      <c r="T36" s="133"/>
      <c r="U36" s="133"/>
      <c r="V36" s="133"/>
      <c r="W36" s="133"/>
      <c r="X36" s="133"/>
      <c r="Y36" s="133"/>
      <c r="Z36" s="133"/>
      <c r="AA36" s="133"/>
      <c r="AB36" s="133"/>
      <c r="AC36" s="133"/>
      <c r="AD36" s="133"/>
    </row>
    <row r="37" spans="2:30" ht="26.1">
      <c r="B37" s="154" t="s">
        <v>1997</v>
      </c>
      <c r="C37" s="155">
        <v>2</v>
      </c>
      <c r="D37" s="155">
        <v>2</v>
      </c>
      <c r="E37" s="155">
        <v>2</v>
      </c>
      <c r="F37" s="155">
        <v>2</v>
      </c>
      <c r="G37" s="155">
        <v>2</v>
      </c>
      <c r="H37" s="155">
        <v>2</v>
      </c>
      <c r="I37" s="155">
        <v>2</v>
      </c>
      <c r="J37" s="155">
        <v>2</v>
      </c>
      <c r="K37" s="155">
        <v>2</v>
      </c>
      <c r="L37" s="155">
        <v>2</v>
      </c>
      <c r="M37" s="156" t="s">
        <v>1998</v>
      </c>
      <c r="N37" s="136"/>
      <c r="O37" s="136"/>
      <c r="P37" s="136"/>
      <c r="Q37" s="133"/>
      <c r="R37" s="133"/>
      <c r="S37" s="133"/>
      <c r="T37" s="133"/>
      <c r="U37" s="133"/>
      <c r="V37" s="133"/>
      <c r="W37" s="133"/>
      <c r="X37" s="133"/>
      <c r="Y37" s="133"/>
      <c r="Z37" s="133"/>
      <c r="AA37" s="133"/>
      <c r="AB37" s="133"/>
      <c r="AC37" s="133"/>
      <c r="AD37" s="133"/>
    </row>
    <row r="38" spans="2:30" ht="26.45" thickBot="1">
      <c r="B38" s="157" t="s">
        <v>1999</v>
      </c>
      <c r="C38" s="158">
        <f>$E$65*C37</f>
        <v>17.376840000000001</v>
      </c>
      <c r="D38" s="158">
        <f t="shared" ref="D38:L38" si="5">$E$65*D37</f>
        <v>17.376840000000001</v>
      </c>
      <c r="E38" s="158">
        <f t="shared" si="5"/>
        <v>17.376840000000001</v>
      </c>
      <c r="F38" s="158">
        <f t="shared" si="5"/>
        <v>17.376840000000001</v>
      </c>
      <c r="G38" s="158">
        <f t="shared" si="5"/>
        <v>17.376840000000001</v>
      </c>
      <c r="H38" s="158">
        <f t="shared" si="5"/>
        <v>17.376840000000001</v>
      </c>
      <c r="I38" s="158">
        <f t="shared" si="5"/>
        <v>17.376840000000001</v>
      </c>
      <c r="J38" s="158">
        <f t="shared" si="5"/>
        <v>17.376840000000001</v>
      </c>
      <c r="K38" s="158">
        <f t="shared" si="5"/>
        <v>17.376840000000001</v>
      </c>
      <c r="L38" s="158">
        <f t="shared" si="5"/>
        <v>17.376840000000001</v>
      </c>
      <c r="M38" s="159" t="s">
        <v>2000</v>
      </c>
      <c r="N38" s="160"/>
      <c r="O38" s="160"/>
      <c r="P38" s="160"/>
      <c r="Q38" s="133"/>
      <c r="R38" s="133"/>
      <c r="S38" s="133"/>
      <c r="T38" s="133"/>
      <c r="U38" s="133"/>
      <c r="V38" s="133"/>
      <c r="W38" s="133"/>
      <c r="X38" s="133"/>
      <c r="Y38" s="133"/>
      <c r="Z38" s="133"/>
      <c r="AA38" s="133"/>
      <c r="AB38" s="133"/>
      <c r="AC38" s="133"/>
      <c r="AD38" s="133"/>
    </row>
    <row r="40" spans="2:30" hidden="1">
      <c r="C40" s="42">
        <f>C22*C37</f>
        <v>30</v>
      </c>
      <c r="D40" s="42">
        <f t="shared" ref="D40:L40" si="6">D22*D37</f>
        <v>0</v>
      </c>
      <c r="E40" s="42">
        <f t="shared" si="6"/>
        <v>0</v>
      </c>
      <c r="F40" s="42">
        <f t="shared" si="6"/>
        <v>0</v>
      </c>
      <c r="G40" s="42">
        <f t="shared" si="6"/>
        <v>0</v>
      </c>
      <c r="H40" s="42">
        <f t="shared" si="6"/>
        <v>0</v>
      </c>
      <c r="I40" s="42">
        <f t="shared" si="6"/>
        <v>0</v>
      </c>
      <c r="J40" s="42">
        <f t="shared" si="6"/>
        <v>0</v>
      </c>
      <c r="K40" s="42">
        <f t="shared" si="6"/>
        <v>0</v>
      </c>
      <c r="L40" s="42">
        <f t="shared" si="6"/>
        <v>0</v>
      </c>
      <c r="M40" s="42">
        <f>SUM(C40:L40)</f>
        <v>30</v>
      </c>
    </row>
    <row r="41" spans="2:30" hidden="1">
      <c r="C41" s="42">
        <f>C22*C37*$C$6/1000</f>
        <v>4.8899999999999997</v>
      </c>
      <c r="D41" s="42">
        <f t="shared" ref="D41:L41" si="7">D22*D37*$C$6/1000</f>
        <v>0</v>
      </c>
      <c r="E41" s="42">
        <f t="shared" si="7"/>
        <v>0</v>
      </c>
      <c r="F41" s="42">
        <f t="shared" si="7"/>
        <v>0</v>
      </c>
      <c r="G41" s="42">
        <f t="shared" si="7"/>
        <v>0</v>
      </c>
      <c r="H41" s="42">
        <f t="shared" si="7"/>
        <v>0</v>
      </c>
      <c r="I41" s="42">
        <f t="shared" si="7"/>
        <v>0</v>
      </c>
      <c r="J41" s="42">
        <f t="shared" si="7"/>
        <v>0</v>
      </c>
      <c r="K41" s="42">
        <f t="shared" si="7"/>
        <v>0</v>
      </c>
      <c r="L41" s="42">
        <f t="shared" si="7"/>
        <v>0</v>
      </c>
      <c r="M41" s="42">
        <f>SUM(C41:L41)</f>
        <v>4.8899999999999997</v>
      </c>
      <c r="N41" s="42"/>
      <c r="O41" s="162" t="s">
        <v>1882</v>
      </c>
      <c r="P41" s="163">
        <f>$M$41/VLOOKUP($C$9,$B$79:$P$101,2,FALSE)</f>
        <v>0.9878787878787878</v>
      </c>
    </row>
    <row r="42" spans="2:30" hidden="1"/>
    <row r="43" spans="2:30" hidden="1"/>
    <row r="44" spans="2:30">
      <c r="B44" s="167" t="s">
        <v>2001</v>
      </c>
      <c r="C44" s="133"/>
    </row>
    <row r="45" spans="2:30" ht="26.1">
      <c r="B45" s="168" t="s">
        <v>2002</v>
      </c>
      <c r="C45" s="169">
        <f>$M$40</f>
        <v>30</v>
      </c>
    </row>
    <row r="46" spans="2:30" ht="26.1">
      <c r="B46" s="168" t="s">
        <v>2003</v>
      </c>
      <c r="C46" s="170">
        <f>$C$6*$C$45/1000</f>
        <v>4.8899999999999997</v>
      </c>
    </row>
    <row r="47" spans="2:30">
      <c r="B47" s="171" t="s">
        <v>2004</v>
      </c>
      <c r="C47" s="172">
        <f>$P$41</f>
        <v>0.9878787878787878</v>
      </c>
    </row>
    <row r="49" spans="2:20" hidden="1"/>
    <row r="50" spans="2:20" hidden="1"/>
    <row r="51" spans="2:20" hidden="1"/>
    <row r="52" spans="2:20" hidden="1">
      <c r="B52" s="262" t="s">
        <v>2005</v>
      </c>
      <c r="C52" s="263"/>
      <c r="D52" s="263"/>
      <c r="E52" s="264"/>
    </row>
    <row r="53" spans="2:20" hidden="1">
      <c r="B53" s="42" t="s">
        <v>1885</v>
      </c>
      <c r="C53" s="78">
        <v>16</v>
      </c>
      <c r="D53" s="223" t="s">
        <v>1887</v>
      </c>
      <c r="E53" s="223"/>
      <c r="F53" s="66">
        <f>ROUNDUP(C$53*$E$64,2)</f>
        <v>476.64</v>
      </c>
      <c r="G53" s="223" t="s">
        <v>1888</v>
      </c>
      <c r="H53" s="223"/>
      <c r="I53" s="66">
        <f>C53*$G$65</f>
        <v>404.32000000000005</v>
      </c>
      <c r="J53" s="223" t="s">
        <v>95</v>
      </c>
      <c r="K53" s="223"/>
      <c r="L53" s="67">
        <f>IF(VLOOKUP($C$9,$B$79:$P$101,9,FALSE)/2&gt;=$C$54,$E$65,$E$65*2)</f>
        <v>17.376840000000001</v>
      </c>
      <c r="M53" s="223" t="s">
        <v>1889</v>
      </c>
      <c r="N53" s="223"/>
      <c r="O53" s="69">
        <f>IF(VLOOKUP($C$9,$B$79:$P$101,9,FALSE)/2&gt;=C54,0,VLOOKUP($C$9,$B$79:$P$101,9,FALSE)/2-O54)</f>
        <v>3</v>
      </c>
      <c r="P53" s="42" t="s">
        <v>1899</v>
      </c>
      <c r="Q53" s="59">
        <f>+C53*C54*C6/1000/VLOOKUP($C$9,$B$79:$P$101,2,FALSE)</f>
        <v>2.634343434343434</v>
      </c>
      <c r="R53" s="223" t="s">
        <v>2006</v>
      </c>
      <c r="S53" s="223"/>
      <c r="T53" s="61">
        <f>IF(AND(F53&lt;C68,I53&lt;G68,F54&gt;E68,AND(J14="適用",L54&lt;M67)),(C53*H64*C65*0.001*O54)+((C53*O53*VLOOKUP($C$9,$B$79:$P$101,8,FALSE)*H64*0.001)),"接続不可")</f>
        <v>10.893326592000001</v>
      </c>
    </row>
    <row r="54" spans="2:20" hidden="1">
      <c r="B54" s="42" t="s">
        <v>1891</v>
      </c>
      <c r="C54" s="78">
        <v>5</v>
      </c>
      <c r="D54" s="223" t="s">
        <v>1893</v>
      </c>
      <c r="E54" s="223"/>
      <c r="F54" s="66">
        <f>C53*$H$64</f>
        <v>271.36</v>
      </c>
      <c r="G54" s="223" t="s">
        <v>1894</v>
      </c>
      <c r="H54" s="223"/>
      <c r="I54" s="66">
        <f>ROUNDDOWN(((((1-1/Q53)^0.5*($I$6-$G$6)+$G$6)*(1+(C14-25+$F$14)*$L$6))*(VLOOKUP($C$9,$B$79:$P$96,10,FALSE)-I14)),2)*C53</f>
        <v>321.27999999999997</v>
      </c>
      <c r="J54" s="223" t="s">
        <v>1895</v>
      </c>
      <c r="K54" s="223"/>
      <c r="L54" s="67">
        <f>MIN(VLOOKUP($C$9,$B$79:$P$101,8,FALSE),IF(VLOOKUP($C$9,$B$79:$P$101,9,FALSE)/2&gt;=C54,C65,C65*2))</f>
        <v>15.713099999999999</v>
      </c>
      <c r="M54" s="223" t="s">
        <v>1896</v>
      </c>
      <c r="N54" s="223"/>
      <c r="O54" s="69">
        <f>IF(VLOOKUP($C$9,$B$79:$P$101,9,FALSE)/2&lt;C54,VLOOKUP($C$9,$B$79:$P$101,9,FALSE)-C54,C54)</f>
        <v>-1</v>
      </c>
      <c r="P54" s="42" t="s">
        <v>1898</v>
      </c>
      <c r="Q54" s="42" t="str">
        <f>IF(AND(F53&lt;C68,I53&lt;G68,F54&gt;E68,I54&lt;I68,AND(J14="適用",L54&lt;M67)),"接続可能","接続不可")</f>
        <v>接続可能</v>
      </c>
      <c r="R54" s="223" t="s">
        <v>1890</v>
      </c>
      <c r="S54" s="223"/>
      <c r="T54" s="62" t="str">
        <f>IF(T53="接続不可","接続不可",IF(VLOOKUP($C$9,$B$79:$P$101,8,FALSE)&gt;C65*2,"影響なし",IF(AND(VLOOKUP($C$9,$B$79:$P$101,2,FALSE)&gt;T53,(O53*2+O54)*C53*C6*0.001&gt;VLOOKUP($C$9,$B$79:$P$101,2,FALSE)),"影響あり","影響なし")))</f>
        <v>影響なし</v>
      </c>
    </row>
    <row r="55" spans="2:20" ht="12.4" hidden="1" customHeight="1">
      <c r="Q55" s="70" t="str">
        <f>IF($F$53&lt;$C$68,IF($F$54&gt;$E$68,IF(AND($I$53&lt;$G$68,$I$54&lt;$I$68),"","動作電圧が高すぎます"),"動作電圧が低すぎます"),"開放電圧が高すぎます")</f>
        <v/>
      </c>
    </row>
    <row r="56" spans="2:20" hidden="1"/>
    <row r="57" spans="2:20" hidden="1">
      <c r="B57" s="230" t="s">
        <v>2007</v>
      </c>
      <c r="C57" s="230"/>
      <c r="D57" s="230"/>
      <c r="E57" s="230"/>
      <c r="F57" s="70" t="s">
        <v>69</v>
      </c>
    </row>
    <row r="58" spans="2:20" hidden="1">
      <c r="B58" s="226" t="s">
        <v>70</v>
      </c>
      <c r="C58" s="226"/>
      <c r="D58" s="79">
        <v>8</v>
      </c>
      <c r="E58" s="223" t="s">
        <v>71</v>
      </c>
      <c r="F58" s="223"/>
      <c r="G58" s="80">
        <v>1</v>
      </c>
      <c r="H58" s="223" t="s">
        <v>1893</v>
      </c>
      <c r="I58" s="223"/>
      <c r="J58" s="66">
        <f>D58*$H$64</f>
        <v>135.68</v>
      </c>
      <c r="K58" s="42" t="s">
        <v>72</v>
      </c>
      <c r="L58" s="42"/>
      <c r="M58" s="68">
        <f>(D58*G58+D59*+G59)*C6*0.001</f>
        <v>3.9119999999999999</v>
      </c>
    </row>
    <row r="59" spans="2:20" hidden="1">
      <c r="B59" s="224" t="s">
        <v>73</v>
      </c>
      <c r="C59" s="225"/>
      <c r="D59" s="79">
        <v>8</v>
      </c>
      <c r="E59" s="223" t="s">
        <v>74</v>
      </c>
      <c r="F59" s="223"/>
      <c r="G59" s="80">
        <v>2</v>
      </c>
      <c r="H59" s="223" t="s">
        <v>1893</v>
      </c>
      <c r="I59" s="223"/>
      <c r="J59" s="66">
        <f>D59*$H$64</f>
        <v>135.68</v>
      </c>
      <c r="K59" s="223" t="s">
        <v>75</v>
      </c>
      <c r="L59" s="223"/>
      <c r="M59" s="61">
        <f>IF(MIN(MIN(C75,C76),MIN(D75,D76),MAX(C75,D75))&gt;=4.95,MIN(M58,4.95),MIN(MIN(C76)+MIN(D76),MAX(C75,D75)))</f>
        <v>2.7225000000000001</v>
      </c>
      <c r="N59" s="226" t="s">
        <v>76</v>
      </c>
      <c r="O59" s="226"/>
      <c r="P59" s="237" t="str">
        <f>IF(AND(L75="接続可能",J75="接続可能",G75="接続可能"),G74,"接続不可")</f>
        <v>運転制限あり</v>
      </c>
      <c r="Q59" s="237"/>
    </row>
    <row r="60" spans="2:20" hidden="1">
      <c r="P60" s="70" t="str">
        <f>IF($J$75="接続可能",IF(MAX($D$58,$D$59)*$E$64&lt;$C$68,IF($L$75="接続可能","","動作電圧が高すぎます"),"開放電圧が高すぎます"),"動作電圧が低すぎます")</f>
        <v/>
      </c>
    </row>
    <row r="61" spans="2:20" ht="12.4" hidden="1" customHeight="1"/>
    <row r="62" spans="2:20" hidden="1"/>
    <row r="63" spans="2:20" hidden="1">
      <c r="B63" s="11" t="s">
        <v>77</v>
      </c>
    </row>
    <row r="64" spans="2:20" hidden="1">
      <c r="B64" s="87" t="s">
        <v>78</v>
      </c>
      <c r="C64" s="43">
        <f>$G$5*(1+($C$15-25+$F$14)*$L$5)</f>
        <v>7.5811500000000001</v>
      </c>
      <c r="D64" s="95" t="s">
        <v>79</v>
      </c>
      <c r="E64" s="53">
        <f>ROUNDUP($I$6*(1+(C15-25)*$L$6),2)</f>
        <v>29.790000000000003</v>
      </c>
      <c r="F64" s="221" t="s">
        <v>80</v>
      </c>
      <c r="G64" s="222"/>
      <c r="H64" s="52">
        <f>ROUNDDOWN($G$6*(1+(C14-25+$F$14)*$L$6)*(VLOOKUP($C$9,$B$79:$P$101,10,FALSE)-I15),2)</f>
        <v>16.96</v>
      </c>
      <c r="I64" s="221"/>
      <c r="J64" s="222"/>
      <c r="K64" s="39"/>
      <c r="L64" s="221"/>
      <c r="M64" s="222"/>
      <c r="N64" s="52"/>
    </row>
    <row r="65" spans="2:17" hidden="1">
      <c r="B65" s="87" t="s">
        <v>86</v>
      </c>
      <c r="C65" s="43">
        <f>$G$5*(1+($C$14-25+$F$14)*$L$5)</f>
        <v>7.8565499999999995</v>
      </c>
      <c r="D65" s="87" t="s">
        <v>87</v>
      </c>
      <c r="E65" s="43">
        <f>$I$5*(1+(C14-25+$F$14)*$L$5)</f>
        <v>8.6884200000000007</v>
      </c>
      <c r="F65" s="95" t="s">
        <v>1924</v>
      </c>
      <c r="G65" s="87">
        <f>ROUNDUP(((1-1/MAX(Q53,100%))^0.5*($I$6-$G$6)+$G$6)*(1+($C$15-25+$F$14)*$L$6)*(VLOOKUP($C$9,$B$79:$P$101,10,FALSE)-I14),2)</f>
        <v>25.270000000000003</v>
      </c>
      <c r="H65" s="42"/>
      <c r="I65" s="221"/>
      <c r="J65" s="222"/>
      <c r="K65" s="52"/>
      <c r="L65" s="221"/>
      <c r="M65" s="222"/>
      <c r="N65" s="87"/>
    </row>
    <row r="66" spans="2:17" ht="13.5" hidden="1" thickBot="1"/>
    <row r="67" spans="2:17" ht="13.5" hidden="1" thickBot="1">
      <c r="F67" s="13"/>
      <c r="G67" s="14"/>
      <c r="H67" s="15"/>
      <c r="I67" s="16"/>
      <c r="J67" s="15"/>
      <c r="K67" s="16"/>
      <c r="L67" s="13" t="s">
        <v>95</v>
      </c>
      <c r="M67" s="21">
        <f>VLOOKUP($C$9, $B$79:$P$101, 7,FALSE)</f>
        <v>30</v>
      </c>
      <c r="N67" s="30" t="s">
        <v>96</v>
      </c>
      <c r="O67" s="17"/>
    </row>
    <row r="68" spans="2:17" hidden="1">
      <c r="B68" s="13" t="s">
        <v>97</v>
      </c>
      <c r="C68" s="17">
        <f>VLOOKUP($C$9, $B$79:$P$101, 3,FALSE)</f>
        <v>600</v>
      </c>
      <c r="D68" s="13" t="s">
        <v>98</v>
      </c>
      <c r="E68" s="21">
        <f>VLOOKUP($C$9, $B$79:$P$101, 4,FALSE)</f>
        <v>220</v>
      </c>
      <c r="F68" s="87" t="s">
        <v>99</v>
      </c>
      <c r="G68" s="87">
        <f>VLOOKUP($C$9, $B$79:$P$101, 5,FALSE)</f>
        <v>530</v>
      </c>
      <c r="H68" s="87" t="s">
        <v>100</v>
      </c>
      <c r="I68" s="22">
        <f>VLOOKUP($C$9, $B$79:$P$101, 6,FALSE)</f>
        <v>530</v>
      </c>
      <c r="J68" s="87" t="s">
        <v>101</v>
      </c>
      <c r="K68" s="22">
        <f>VLOOKUP($C$9, $B$79:$P$101, 4,FALSE)*1</f>
        <v>220</v>
      </c>
      <c r="L68" s="23" t="s">
        <v>102</v>
      </c>
      <c r="M68" s="25">
        <f>IF(J14="非適用",2,IF(ROUNDDOWN(M67/E65,0)&gt;1.9,2,ROUNDDOWN(M67/E65,0)))</f>
        <v>2</v>
      </c>
      <c r="N68" s="87" t="s">
        <v>103</v>
      </c>
      <c r="O68" s="19"/>
    </row>
    <row r="69" spans="2:17" hidden="1">
      <c r="B69" s="23" t="s">
        <v>104</v>
      </c>
      <c r="C69" s="24">
        <f>ROUNDDOWN(C68/E64,0)</f>
        <v>20</v>
      </c>
      <c r="D69" s="23" t="s">
        <v>105</v>
      </c>
      <c r="E69" s="25">
        <f>ROUNDUP(E68/H64,0)</f>
        <v>13</v>
      </c>
      <c r="F69" s="23"/>
      <c r="G69" s="25"/>
      <c r="H69" s="18"/>
      <c r="I69" s="25"/>
      <c r="J69" s="23"/>
      <c r="K69" s="25"/>
      <c r="L69" s="23" t="s">
        <v>95</v>
      </c>
      <c r="M69" s="22">
        <f>M68*E65</f>
        <v>17.376840000000001</v>
      </c>
      <c r="N69" s="87" t="s">
        <v>107</v>
      </c>
      <c r="O69" s="19"/>
    </row>
    <row r="70" spans="2:17" ht="13.5" hidden="1" thickBot="1">
      <c r="B70" s="27" t="s">
        <v>108</v>
      </c>
      <c r="C70" s="26">
        <f>ROUNDUP(C$69*$E$64,2)</f>
        <v>595.79999999999995</v>
      </c>
      <c r="D70" s="27" t="s">
        <v>109</v>
      </c>
      <c r="E70" s="28">
        <f>E69*$H$64</f>
        <v>220.48000000000002</v>
      </c>
      <c r="F70" s="27"/>
      <c r="G70" s="26"/>
      <c r="H70" s="20"/>
      <c r="I70" s="28"/>
      <c r="J70" s="27"/>
      <c r="K70" s="28"/>
      <c r="L70" s="27" t="s">
        <v>111</v>
      </c>
      <c r="M70" s="71">
        <f>IF(M68=2,VLOOKUP($C$9,$B$79:$P$101,9,FALSE),IF(M68=0,"接続不可",VLOOKUP($C$9,$B$79:$P$101,9,FALSE)/2))</f>
        <v>4</v>
      </c>
      <c r="N70" s="32" t="s">
        <v>112</v>
      </c>
      <c r="O70" s="29"/>
    </row>
    <row r="71" spans="2:17" hidden="1"/>
    <row r="72" spans="2:17" hidden="1">
      <c r="B72" s="11" t="s">
        <v>114</v>
      </c>
      <c r="J72" s="42"/>
    </row>
    <row r="73" spans="2:17" hidden="1">
      <c r="B73" s="87" t="s">
        <v>109</v>
      </c>
      <c r="C73" s="87">
        <f>IF(G58&gt;0,H64*D58,0)</f>
        <v>135.68</v>
      </c>
      <c r="D73" s="87">
        <f>IF(G59&gt;0,H64*D59,0)</f>
        <v>135.68</v>
      </c>
      <c r="F73" s="42" t="s">
        <v>115</v>
      </c>
      <c r="G73" s="42"/>
      <c r="J73" s="42"/>
      <c r="N73" s="11" t="s">
        <v>1926</v>
      </c>
    </row>
    <row r="74" spans="2:17" hidden="1">
      <c r="B74" s="42" t="s">
        <v>116</v>
      </c>
      <c r="C74" s="94">
        <f>ROUNDDOWN((C73-100)/2.33+40,0)/100</f>
        <v>0.55000000000000004</v>
      </c>
      <c r="D74" s="94">
        <f>ROUNDDOWN((D73-100)/2.33+40,0)/100</f>
        <v>0.55000000000000004</v>
      </c>
      <c r="F74" s="42" t="s">
        <v>117</v>
      </c>
      <c r="G74" s="42" t="str">
        <f>IF(AND(M59&lt;M58,4.95&gt;M59),"運転制限あり","運転制限なし")</f>
        <v>運転制限あり</v>
      </c>
      <c r="I74" s="42" t="s">
        <v>118</v>
      </c>
      <c r="J74" s="42">
        <f>IF(OR(C73=0,D73=0),MAX(C73,D73),MIN(C73,D73))</f>
        <v>135.68</v>
      </c>
      <c r="K74" s="42" t="s">
        <v>1932</v>
      </c>
      <c r="L74" s="42"/>
      <c r="N74" s="11" t="s">
        <v>1828</v>
      </c>
    </row>
    <row r="75" spans="2:17" hidden="1">
      <c r="B75" s="42" t="s">
        <v>120</v>
      </c>
      <c r="C75" s="42">
        <f>MIN(C74*4.95)</f>
        <v>2.7225000000000001</v>
      </c>
      <c r="D75" s="42">
        <f>MIN(D74*4.95)</f>
        <v>2.7225000000000001</v>
      </c>
      <c r="F75" s="42" t="s">
        <v>119</v>
      </c>
      <c r="G75" s="11" t="str">
        <f>IF(AND(J14="適用",MAX(G58,G59)*E65&gt;M67),"最大短絡電流を超えています","接続可能")</f>
        <v>接続可能</v>
      </c>
      <c r="I75" s="11" t="s">
        <v>122</v>
      </c>
      <c r="J75" s="11" t="str">
        <f>IF(J74&gt;100,"接続可能","接続不可")</f>
        <v>接続可能</v>
      </c>
      <c r="K75" s="42" t="s">
        <v>121</v>
      </c>
      <c r="L75" s="42" t="str">
        <f>IF(MAX(D58,D59)&gt;MIN(C69),"接続不可","接続可能")</f>
        <v>接続可能</v>
      </c>
      <c r="N75" s="11" t="s">
        <v>1833</v>
      </c>
    </row>
    <row r="76" spans="2:17" hidden="1">
      <c r="B76" s="42" t="s">
        <v>123</v>
      </c>
      <c r="C76" s="42">
        <f>MIN(MAX(D58*G58*C6*0.001),4.95)</f>
        <v>1.304</v>
      </c>
      <c r="D76" s="42">
        <f>MIN(MAX(D59*G59*C6*0.001),4.95)</f>
        <v>2.6080000000000001</v>
      </c>
      <c r="J76" s="42"/>
    </row>
    <row r="77" spans="2:17" ht="13.5" hidden="1" thickBot="1"/>
    <row r="78" spans="2:17" hidden="1">
      <c r="B78" s="33" t="s">
        <v>124</v>
      </c>
      <c r="C78" s="30" t="s">
        <v>125</v>
      </c>
      <c r="D78" s="30" t="s">
        <v>97</v>
      </c>
      <c r="E78" s="30" t="s">
        <v>126</v>
      </c>
      <c r="F78" s="34" t="s">
        <v>127</v>
      </c>
      <c r="G78" s="30" t="s">
        <v>128</v>
      </c>
      <c r="H78" s="30" t="s">
        <v>129</v>
      </c>
      <c r="I78" s="30" t="s">
        <v>130</v>
      </c>
      <c r="J78" s="30" t="s">
        <v>131</v>
      </c>
      <c r="K78" s="30" t="s">
        <v>132</v>
      </c>
      <c r="L78" s="30" t="s">
        <v>1937</v>
      </c>
      <c r="M78" s="30" t="s">
        <v>1938</v>
      </c>
      <c r="N78" s="34" t="s">
        <v>1939</v>
      </c>
      <c r="O78" s="34" t="s">
        <v>1940</v>
      </c>
    </row>
    <row r="79" spans="2:17" hidden="1">
      <c r="B79" s="23" t="s">
        <v>1973</v>
      </c>
      <c r="C79" s="87">
        <v>125</v>
      </c>
      <c r="D79" s="87">
        <v>1500</v>
      </c>
      <c r="E79" s="87">
        <v>800</v>
      </c>
      <c r="F79" s="87">
        <v>1200</v>
      </c>
      <c r="G79" s="87">
        <v>1100</v>
      </c>
      <c r="H79" s="87">
        <v>50</v>
      </c>
      <c r="I79" s="87">
        <v>30</v>
      </c>
      <c r="J79" s="87">
        <v>18</v>
      </c>
      <c r="K79" s="50">
        <v>0.98099999999999998</v>
      </c>
      <c r="L79" s="87" t="s">
        <v>1945</v>
      </c>
      <c r="M79" s="112">
        <v>500</v>
      </c>
      <c r="N79" s="113">
        <v>7.5</v>
      </c>
      <c r="O79" s="87">
        <v>60</v>
      </c>
      <c r="P79" s="42">
        <v>800</v>
      </c>
      <c r="Q79" s="94">
        <f>ROUNDDOWN((P79-500)/7.5+60,0)/100</f>
        <v>1</v>
      </c>
    </row>
    <row r="80" spans="2:17" hidden="1">
      <c r="B80" s="23" t="s">
        <v>2008</v>
      </c>
      <c r="C80" s="87">
        <v>125</v>
      </c>
      <c r="D80" s="87">
        <v>1500</v>
      </c>
      <c r="E80" s="87">
        <v>800</v>
      </c>
      <c r="F80" s="87">
        <v>1200</v>
      </c>
      <c r="G80" s="87">
        <v>850</v>
      </c>
      <c r="H80" s="87">
        <v>50</v>
      </c>
      <c r="I80" s="87">
        <v>30</v>
      </c>
      <c r="J80" s="87">
        <v>18</v>
      </c>
      <c r="K80" s="50">
        <v>0.98099999999999998</v>
      </c>
      <c r="L80" s="87" t="s">
        <v>1945</v>
      </c>
      <c r="M80" s="112">
        <v>500</v>
      </c>
      <c r="N80" s="113">
        <v>7.5</v>
      </c>
      <c r="O80" s="87">
        <v>60</v>
      </c>
      <c r="P80" s="42">
        <v>800</v>
      </c>
      <c r="Q80" s="94">
        <f>ROUNDDOWN((P80-500)/7.5+60,0)/100</f>
        <v>1</v>
      </c>
    </row>
    <row r="81" spans="2:17" hidden="1">
      <c r="B81" s="23" t="s">
        <v>1972</v>
      </c>
      <c r="C81" s="87">
        <v>111</v>
      </c>
      <c r="D81" s="87">
        <v>1020</v>
      </c>
      <c r="E81" s="87">
        <v>550</v>
      </c>
      <c r="F81" s="87">
        <v>900</v>
      </c>
      <c r="G81" s="87">
        <v>670</v>
      </c>
      <c r="H81" s="87">
        <v>40</v>
      </c>
      <c r="I81" s="87">
        <v>26</v>
      </c>
      <c r="J81" s="87">
        <v>20</v>
      </c>
      <c r="K81" s="50">
        <v>0.98099999999999998</v>
      </c>
      <c r="L81" s="87" t="s">
        <v>1949</v>
      </c>
      <c r="M81" s="112">
        <v>200</v>
      </c>
      <c r="N81" s="113">
        <v>5.3</v>
      </c>
      <c r="O81" s="87">
        <v>34</v>
      </c>
      <c r="P81" s="42">
        <v>550</v>
      </c>
      <c r="Q81" s="94">
        <f>ROUNDDOWN((P81-200)/5.3+34,0)/100</f>
        <v>1</v>
      </c>
    </row>
    <row r="82" spans="2:17" hidden="1">
      <c r="B82" s="23"/>
      <c r="C82" s="87"/>
      <c r="D82" s="87"/>
      <c r="E82" s="87"/>
      <c r="F82" s="87"/>
      <c r="G82" s="87"/>
      <c r="H82" s="87"/>
      <c r="I82" s="87"/>
      <c r="J82" s="87"/>
      <c r="K82" s="50"/>
      <c r="L82" s="87"/>
      <c r="M82" s="112"/>
      <c r="N82" s="113"/>
      <c r="O82" s="87"/>
    </row>
    <row r="83" spans="2:17" hidden="1">
      <c r="B83" s="23" t="s">
        <v>142</v>
      </c>
      <c r="C83" s="87">
        <v>62.5</v>
      </c>
      <c r="D83" s="87">
        <v>1500</v>
      </c>
      <c r="E83" s="87">
        <v>800</v>
      </c>
      <c r="F83" s="87">
        <v>1200</v>
      </c>
      <c r="G83" s="87">
        <v>1100</v>
      </c>
      <c r="H83" s="87">
        <v>33</v>
      </c>
      <c r="I83" s="87">
        <v>22</v>
      </c>
      <c r="J83" s="87">
        <v>12</v>
      </c>
      <c r="K83" s="50">
        <v>0.98499999999999999</v>
      </c>
      <c r="L83" s="87" t="s">
        <v>1951</v>
      </c>
      <c r="M83" s="112">
        <v>600</v>
      </c>
      <c r="N83" s="113">
        <v>4</v>
      </c>
      <c r="O83" s="87">
        <v>50</v>
      </c>
      <c r="P83" s="42">
        <v>800</v>
      </c>
      <c r="Q83" s="94">
        <f>ROUNDDOWN((P83-600)/4+50,0)/100</f>
        <v>1</v>
      </c>
    </row>
    <row r="84" spans="2:17" hidden="1">
      <c r="B84" s="23" t="s">
        <v>141</v>
      </c>
      <c r="C84" s="87">
        <v>62.5</v>
      </c>
      <c r="D84" s="87">
        <v>1020</v>
      </c>
      <c r="E84" s="87">
        <v>550</v>
      </c>
      <c r="F84" s="87">
        <v>850</v>
      </c>
      <c r="G84" s="87">
        <v>800</v>
      </c>
      <c r="H84" s="87">
        <v>30</v>
      </c>
      <c r="I84" s="87">
        <v>22</v>
      </c>
      <c r="J84" s="87">
        <v>12</v>
      </c>
      <c r="K84" s="50">
        <v>0.98599999999999999</v>
      </c>
      <c r="L84" s="87" t="s">
        <v>1949</v>
      </c>
      <c r="M84" s="112">
        <v>200</v>
      </c>
      <c r="N84" s="113">
        <v>4.79</v>
      </c>
      <c r="O84" s="87">
        <v>27</v>
      </c>
      <c r="P84" s="42">
        <v>550</v>
      </c>
      <c r="Q84" s="94">
        <f>ROUNDDOWN((P84-200)/4.79+27,0)/100</f>
        <v>1</v>
      </c>
    </row>
    <row r="85" spans="2:17" hidden="1">
      <c r="B85" s="23" t="s">
        <v>143</v>
      </c>
      <c r="C85" s="87">
        <v>50</v>
      </c>
      <c r="D85" s="87">
        <v>1020</v>
      </c>
      <c r="E85" s="87">
        <v>550</v>
      </c>
      <c r="F85" s="87">
        <v>890</v>
      </c>
      <c r="G85" s="87">
        <v>800</v>
      </c>
      <c r="H85" s="87">
        <v>30</v>
      </c>
      <c r="I85" s="87">
        <v>22</v>
      </c>
      <c r="J85" s="87">
        <v>12</v>
      </c>
      <c r="K85" s="50">
        <v>0.98599999999999999</v>
      </c>
      <c r="L85" s="87" t="s">
        <v>1949</v>
      </c>
      <c r="M85" s="112">
        <v>200</v>
      </c>
      <c r="N85" s="113">
        <v>5.3</v>
      </c>
      <c r="O85" s="87">
        <v>34</v>
      </c>
      <c r="P85" s="42">
        <v>550</v>
      </c>
      <c r="Q85" s="94">
        <f>ROUNDDOWN((P85-200)/5.3+34,0)/100</f>
        <v>1</v>
      </c>
    </row>
    <row r="86" spans="2:17" hidden="1">
      <c r="B86" s="23" t="s">
        <v>144</v>
      </c>
      <c r="C86" s="87">
        <v>40</v>
      </c>
      <c r="D86" s="87">
        <v>1020</v>
      </c>
      <c r="E86" s="87">
        <v>550</v>
      </c>
      <c r="F86" s="87">
        <v>850</v>
      </c>
      <c r="G86" s="87">
        <v>660</v>
      </c>
      <c r="H86" s="87">
        <v>40</v>
      </c>
      <c r="I86" s="87">
        <v>26</v>
      </c>
      <c r="J86" s="87">
        <v>8</v>
      </c>
      <c r="K86" s="50">
        <v>0.98399999999999999</v>
      </c>
      <c r="L86" s="87" t="s">
        <v>1949</v>
      </c>
      <c r="M86" s="112">
        <v>300</v>
      </c>
      <c r="N86" s="113">
        <v>3.33</v>
      </c>
      <c r="O86" s="87">
        <v>25</v>
      </c>
      <c r="P86" s="42">
        <v>550</v>
      </c>
      <c r="Q86" s="94">
        <f>ROUNDDOWN((P86-300)/3.33+25,0)/100</f>
        <v>1</v>
      </c>
    </row>
    <row r="87" spans="2:17" hidden="1">
      <c r="B87" s="23" t="s">
        <v>145</v>
      </c>
      <c r="C87" s="87">
        <v>40</v>
      </c>
      <c r="D87" s="87">
        <v>1020</v>
      </c>
      <c r="E87" s="87">
        <v>570</v>
      </c>
      <c r="F87" s="87">
        <v>850</v>
      </c>
      <c r="G87" s="87">
        <v>660</v>
      </c>
      <c r="H87" s="87">
        <v>40</v>
      </c>
      <c r="I87" s="87">
        <v>26</v>
      </c>
      <c r="J87" s="87">
        <v>8</v>
      </c>
      <c r="K87" s="50">
        <v>0.98399999999999999</v>
      </c>
      <c r="L87" s="87" t="s">
        <v>1949</v>
      </c>
      <c r="M87" s="112">
        <v>300</v>
      </c>
      <c r="N87" s="113">
        <v>3.6</v>
      </c>
      <c r="O87" s="87">
        <v>25</v>
      </c>
      <c r="P87" s="42">
        <v>570</v>
      </c>
      <c r="Q87" s="94">
        <f>ROUNDDOWN((P87-300)/3.6+25,0)/100</f>
        <v>1</v>
      </c>
    </row>
    <row r="88" spans="2:17" hidden="1">
      <c r="B88" s="23" t="s">
        <v>146</v>
      </c>
      <c r="C88" s="87">
        <v>33</v>
      </c>
      <c r="D88" s="87">
        <v>1020</v>
      </c>
      <c r="E88" s="87">
        <v>480</v>
      </c>
      <c r="F88" s="87">
        <v>850</v>
      </c>
      <c r="G88" s="87">
        <v>850</v>
      </c>
      <c r="H88" s="87">
        <v>40</v>
      </c>
      <c r="I88" s="87">
        <v>26</v>
      </c>
      <c r="J88" s="87">
        <v>8</v>
      </c>
      <c r="K88" s="50">
        <v>0.98499999999999999</v>
      </c>
      <c r="L88" s="87" t="s">
        <v>1949</v>
      </c>
      <c r="M88" s="112">
        <v>300</v>
      </c>
      <c r="N88" s="113">
        <v>2.4</v>
      </c>
      <c r="O88" s="87">
        <v>25</v>
      </c>
      <c r="P88" s="42">
        <v>480</v>
      </c>
      <c r="Q88" s="94">
        <f>ROUNDDOWN((P88-300)/2.4+25,0)/100</f>
        <v>1</v>
      </c>
    </row>
    <row r="89" spans="2:17" hidden="1">
      <c r="B89" s="23" t="s">
        <v>147</v>
      </c>
      <c r="C89" s="87">
        <v>33</v>
      </c>
      <c r="D89" s="87">
        <v>1020</v>
      </c>
      <c r="E89" s="87">
        <v>500</v>
      </c>
      <c r="F89" s="87">
        <v>850</v>
      </c>
      <c r="G89" s="87">
        <v>850</v>
      </c>
      <c r="H89" s="87">
        <v>40</v>
      </c>
      <c r="I89" s="87">
        <v>26</v>
      </c>
      <c r="J89" s="87">
        <v>8</v>
      </c>
      <c r="K89" s="50">
        <v>0.98499999999999999</v>
      </c>
      <c r="L89" s="87" t="s">
        <v>1949</v>
      </c>
      <c r="M89" s="112">
        <v>300</v>
      </c>
      <c r="N89" s="113">
        <v>2.66</v>
      </c>
      <c r="O89" s="87">
        <v>25</v>
      </c>
      <c r="P89" s="42">
        <v>500</v>
      </c>
      <c r="Q89" s="94">
        <f>ROUNDDOWN((P89-300)/2.65+25,0)/100</f>
        <v>1</v>
      </c>
    </row>
    <row r="90" spans="2:17" hidden="1">
      <c r="B90" s="23" t="s">
        <v>1971</v>
      </c>
      <c r="C90" s="87">
        <v>20</v>
      </c>
      <c r="D90" s="87">
        <v>750</v>
      </c>
      <c r="E90" s="87">
        <v>300</v>
      </c>
      <c r="F90" s="87">
        <v>550</v>
      </c>
      <c r="G90" s="87">
        <v>420</v>
      </c>
      <c r="H90" s="87">
        <v>40</v>
      </c>
      <c r="I90" s="87">
        <v>26</v>
      </c>
      <c r="J90" s="87">
        <v>8</v>
      </c>
      <c r="K90" s="50">
        <v>0.97099999999999997</v>
      </c>
      <c r="L90" s="87" t="s">
        <v>1956</v>
      </c>
      <c r="M90" s="112">
        <v>200</v>
      </c>
      <c r="N90" s="113">
        <v>2</v>
      </c>
      <c r="O90" s="87">
        <v>50</v>
      </c>
      <c r="P90" s="42">
        <v>300</v>
      </c>
      <c r="Q90" s="94">
        <f>ROUNDDOWN((P90-200)/2+50,0)/100</f>
        <v>1</v>
      </c>
    </row>
    <row r="91" spans="2:17" hidden="1">
      <c r="B91" s="23" t="s">
        <v>49</v>
      </c>
      <c r="C91" s="87">
        <v>4.95</v>
      </c>
      <c r="D91" s="87">
        <v>600</v>
      </c>
      <c r="E91" s="87">
        <v>220</v>
      </c>
      <c r="F91" s="87">
        <v>530</v>
      </c>
      <c r="G91" s="87">
        <v>530</v>
      </c>
      <c r="H91" s="87">
        <v>25</v>
      </c>
      <c r="I91" s="87">
        <v>16</v>
      </c>
      <c r="J91" s="87">
        <v>4</v>
      </c>
      <c r="K91" s="50">
        <v>0.97</v>
      </c>
      <c r="L91" s="87" t="s">
        <v>1965</v>
      </c>
      <c r="M91" s="112">
        <v>100</v>
      </c>
      <c r="N91" s="113">
        <v>3.3</v>
      </c>
      <c r="O91" s="87">
        <v>40</v>
      </c>
      <c r="P91" s="42">
        <v>300</v>
      </c>
      <c r="Q91" s="94">
        <f>ROUNDDOWN((P91-100)/3.3+40,0)/100</f>
        <v>1</v>
      </c>
    </row>
    <row r="92" spans="2:17" hidden="1">
      <c r="B92" s="23" t="s">
        <v>149</v>
      </c>
      <c r="C92" s="87">
        <v>4.95</v>
      </c>
      <c r="D92" s="87">
        <v>600</v>
      </c>
      <c r="E92" s="87">
        <v>220</v>
      </c>
      <c r="F92" s="87">
        <v>530</v>
      </c>
      <c r="G92" s="87">
        <v>530</v>
      </c>
      <c r="H92" s="87">
        <v>30</v>
      </c>
      <c r="I92" s="87">
        <v>16</v>
      </c>
      <c r="J92" s="87">
        <v>4</v>
      </c>
      <c r="K92" s="50">
        <v>0.97</v>
      </c>
      <c r="L92" s="87" t="s">
        <v>1965</v>
      </c>
      <c r="M92" s="112">
        <v>100</v>
      </c>
      <c r="N92" s="113">
        <v>3.3</v>
      </c>
      <c r="O92" s="87">
        <v>40</v>
      </c>
      <c r="P92" s="42">
        <v>300</v>
      </c>
      <c r="Q92" s="94">
        <f>ROUNDDOWN((P92-100)/3.3+40,0)/100</f>
        <v>1</v>
      </c>
    </row>
    <row r="93" spans="2:17" hidden="1">
      <c r="B93" s="23"/>
      <c r="C93" s="87"/>
      <c r="D93" s="87"/>
      <c r="E93" s="87"/>
      <c r="F93" s="87"/>
      <c r="G93" s="87"/>
      <c r="H93" s="87"/>
      <c r="I93" s="87"/>
      <c r="J93" s="87"/>
      <c r="K93" s="50"/>
      <c r="L93" s="87"/>
      <c r="M93" s="112"/>
      <c r="N93" s="113"/>
      <c r="O93" s="81"/>
    </row>
    <row r="94" spans="2:17" hidden="1">
      <c r="B94" s="23" t="s">
        <v>150</v>
      </c>
      <c r="C94" s="87">
        <v>4.95</v>
      </c>
      <c r="D94" s="87">
        <v>600</v>
      </c>
      <c r="E94" s="87">
        <v>310</v>
      </c>
      <c r="F94" s="87">
        <v>530</v>
      </c>
      <c r="G94" s="87">
        <v>530</v>
      </c>
      <c r="H94" s="87">
        <v>30</v>
      </c>
      <c r="I94" s="87">
        <v>16</v>
      </c>
      <c r="J94" s="87">
        <v>4</v>
      </c>
      <c r="K94" s="50">
        <v>0.97</v>
      </c>
      <c r="L94" s="87"/>
      <c r="M94" s="112"/>
      <c r="N94" s="113"/>
      <c r="O94" s="81"/>
    </row>
    <row r="95" spans="2:17" ht="13.5" hidden="1" thickBot="1">
      <c r="B95" s="27" t="s">
        <v>153</v>
      </c>
      <c r="C95" s="32">
        <v>20</v>
      </c>
      <c r="D95" s="32">
        <v>750</v>
      </c>
      <c r="E95" s="32">
        <v>340</v>
      </c>
      <c r="F95" s="32">
        <v>500</v>
      </c>
      <c r="G95" s="32">
        <v>420</v>
      </c>
      <c r="H95" s="32">
        <v>40</v>
      </c>
      <c r="I95" s="32">
        <v>26</v>
      </c>
      <c r="J95" s="32">
        <v>8</v>
      </c>
      <c r="K95" s="51">
        <v>0.97099999999999997</v>
      </c>
      <c r="L95" s="32" t="s">
        <v>1956</v>
      </c>
      <c r="M95" s="112"/>
      <c r="N95" s="113"/>
      <c r="O95" s="81"/>
    </row>
    <row r="96" spans="2:17" hidden="1">
      <c r="B96" s="23" t="s">
        <v>138</v>
      </c>
      <c r="C96" s="87">
        <v>125</v>
      </c>
      <c r="D96" s="87">
        <v>1500</v>
      </c>
      <c r="E96" s="87">
        <v>800</v>
      </c>
      <c r="F96" s="87">
        <v>1200</v>
      </c>
      <c r="G96" s="87">
        <v>950</v>
      </c>
      <c r="H96" s="87">
        <v>50</v>
      </c>
      <c r="I96" s="87">
        <v>30</v>
      </c>
      <c r="J96" s="87">
        <v>18</v>
      </c>
      <c r="K96" s="50">
        <v>0.98099999999999998</v>
      </c>
      <c r="L96" s="87" t="s">
        <v>1945</v>
      </c>
      <c r="M96" s="112"/>
      <c r="N96" s="113"/>
      <c r="O96" s="81"/>
    </row>
    <row r="97" spans="2:15" hidden="1">
      <c r="B97" s="23" t="s">
        <v>140</v>
      </c>
      <c r="C97" s="87">
        <v>111</v>
      </c>
      <c r="D97" s="87">
        <v>1020</v>
      </c>
      <c r="E97" s="87">
        <v>550</v>
      </c>
      <c r="F97" s="87">
        <v>800</v>
      </c>
      <c r="G97" s="87">
        <v>670</v>
      </c>
      <c r="H97" s="87">
        <v>40</v>
      </c>
      <c r="I97" s="87">
        <v>26</v>
      </c>
      <c r="J97" s="87">
        <v>20</v>
      </c>
      <c r="K97" s="50">
        <v>0.98099999999999998</v>
      </c>
      <c r="L97" s="87" t="s">
        <v>1949</v>
      </c>
      <c r="M97" s="112"/>
      <c r="N97" s="113"/>
      <c r="O97" s="81"/>
    </row>
    <row r="98" spans="2:15" hidden="1">
      <c r="B98" s="23"/>
      <c r="C98" s="87"/>
      <c r="D98" s="87"/>
      <c r="E98" s="87"/>
      <c r="F98" s="87"/>
      <c r="G98" s="87"/>
      <c r="H98" s="87"/>
      <c r="I98" s="87"/>
      <c r="J98" s="87"/>
      <c r="K98" s="50"/>
      <c r="L98" s="87"/>
      <c r="M98" s="112"/>
      <c r="N98" s="113"/>
      <c r="O98" s="81"/>
    </row>
    <row r="99" spans="2:15" hidden="1">
      <c r="B99" s="42"/>
      <c r="C99" s="42" t="s">
        <v>1969</v>
      </c>
      <c r="D99" s="42" t="s">
        <v>1970</v>
      </c>
    </row>
    <row r="100" spans="2:15" hidden="1">
      <c r="B100" s="87" t="s">
        <v>49</v>
      </c>
      <c r="C100" s="42">
        <v>300</v>
      </c>
      <c r="D100" s="94">
        <f>ROUNDDOWN((C100-100)/3.3+40,0)/100</f>
        <v>1</v>
      </c>
      <c r="G100" s="45"/>
    </row>
    <row r="101" spans="2:15" hidden="1">
      <c r="B101" s="87" t="s">
        <v>1971</v>
      </c>
      <c r="C101" s="42">
        <v>300</v>
      </c>
      <c r="D101" s="94">
        <f>ROUNDDOWN((C101-200)/2+50,0)/100</f>
        <v>1</v>
      </c>
    </row>
    <row r="102" spans="2:15" hidden="1">
      <c r="B102" s="87" t="s">
        <v>149</v>
      </c>
      <c r="C102" s="42">
        <v>300</v>
      </c>
      <c r="D102" s="94">
        <f>ROUNDDOWN((C102-80)/2.33+40,0)/100</f>
        <v>1.34</v>
      </c>
    </row>
    <row r="103" spans="2:15" hidden="1">
      <c r="B103" s="87" t="s">
        <v>143</v>
      </c>
      <c r="C103" s="42">
        <v>550</v>
      </c>
      <c r="D103" s="94">
        <f>ROUNDDOWN((C103-200)/5.3+34,0)/100</f>
        <v>1</v>
      </c>
    </row>
    <row r="104" spans="2:15" hidden="1">
      <c r="B104" s="87" t="s">
        <v>141</v>
      </c>
      <c r="C104" s="42">
        <v>550</v>
      </c>
      <c r="D104" s="94">
        <f>ROUNDDOWN((C104-200)/4.79+27,0)/100</f>
        <v>1</v>
      </c>
      <c r="G104" s="83"/>
      <c r="H104" s="84"/>
    </row>
    <row r="105" spans="2:15" hidden="1">
      <c r="B105" s="87" t="s">
        <v>1972</v>
      </c>
      <c r="C105" s="42">
        <v>550</v>
      </c>
      <c r="D105" s="94">
        <f>ROUNDDOWN((C105-200)/5.3+34,0)/100</f>
        <v>1</v>
      </c>
      <c r="F105" s="83"/>
    </row>
    <row r="106" spans="2:15" hidden="1">
      <c r="B106" s="87" t="s">
        <v>1973</v>
      </c>
      <c r="C106" s="42">
        <v>800</v>
      </c>
      <c r="D106" s="94">
        <f>ROUNDDOWN((C106-500)/7.5+60,0)/100</f>
        <v>1</v>
      </c>
      <c r="E106" s="45"/>
    </row>
    <row r="107" spans="2:15" hidden="1">
      <c r="B107" s="87" t="s">
        <v>142</v>
      </c>
      <c r="C107" s="42">
        <v>800</v>
      </c>
      <c r="D107" s="94">
        <f>ROUNDDOWN((C107-600)/4+50,0)/100</f>
        <v>1</v>
      </c>
      <c r="E107" s="45"/>
    </row>
    <row r="108" spans="2:15" hidden="1">
      <c r="B108" s="87" t="s">
        <v>144</v>
      </c>
      <c r="C108" s="42">
        <v>550</v>
      </c>
      <c r="D108" s="94">
        <f>ROUNDDOWN((C108-300)/3.33+25,0)/100</f>
        <v>1</v>
      </c>
      <c r="E108" s="45"/>
    </row>
    <row r="109" spans="2:15" hidden="1">
      <c r="B109" s="87" t="s">
        <v>145</v>
      </c>
      <c r="C109" s="42">
        <v>570</v>
      </c>
      <c r="D109" s="94">
        <f>ROUNDDOWN((C109-300)/3.6+25,0)/100</f>
        <v>1</v>
      </c>
      <c r="E109" s="45"/>
    </row>
    <row r="110" spans="2:15" hidden="1">
      <c r="B110" s="87" t="s">
        <v>146</v>
      </c>
      <c r="C110" s="42">
        <v>480</v>
      </c>
      <c r="D110" s="94">
        <f>ROUNDDOWN((C110-300)/2.4+25,0)/100</f>
        <v>1</v>
      </c>
      <c r="E110" s="45"/>
    </row>
    <row r="111" spans="2:15" hidden="1">
      <c r="B111" s="87" t="s">
        <v>147</v>
      </c>
      <c r="C111" s="42">
        <v>500</v>
      </c>
      <c r="D111" s="94">
        <f>ROUNDDOWN((C111-300)/2.65+25,0)/100</f>
        <v>1</v>
      </c>
      <c r="E111" s="45"/>
    </row>
    <row r="112" spans="2:15" hidden="1">
      <c r="E112" s="45"/>
    </row>
    <row r="113" spans="5:5">
      <c r="E113" s="45"/>
    </row>
    <row r="114" spans="5:5">
      <c r="E114" s="45"/>
    </row>
    <row r="115" spans="5:5">
      <c r="E115" s="45"/>
    </row>
    <row r="116" spans="5:5">
      <c r="E116" s="45"/>
    </row>
    <row r="117" spans="5:5">
      <c r="E117" s="45"/>
    </row>
    <row r="118" spans="5:5">
      <c r="E118" s="45"/>
    </row>
    <row r="119" spans="5:5">
      <c r="E119" s="45"/>
    </row>
    <row r="120" spans="5:5">
      <c r="E120" s="45"/>
    </row>
    <row r="121" spans="5:5">
      <c r="E121" s="45"/>
    </row>
    <row r="122" spans="5:5">
      <c r="E122" s="45"/>
    </row>
    <row r="123" spans="5:5">
      <c r="E123" s="45"/>
    </row>
    <row r="124" spans="5:5">
      <c r="E124" s="45"/>
    </row>
    <row r="125" spans="5:5">
      <c r="E125" s="45"/>
    </row>
    <row r="126" spans="5:5">
      <c r="E126" s="45"/>
    </row>
    <row r="127" spans="5:5">
      <c r="E127" s="45"/>
    </row>
    <row r="128" spans="5:5">
      <c r="E128" s="45"/>
    </row>
    <row r="129" spans="5:5">
      <c r="E129" s="45"/>
    </row>
    <row r="130" spans="5:5">
      <c r="E130" s="45"/>
    </row>
    <row r="131" spans="5:5">
      <c r="E131" s="45"/>
    </row>
    <row r="132" spans="5:5">
      <c r="E132" s="45"/>
    </row>
    <row r="133" spans="5:5">
      <c r="E133" s="45"/>
    </row>
    <row r="134" spans="5:5">
      <c r="E134" s="45"/>
    </row>
    <row r="135" spans="5:5">
      <c r="E135" s="45"/>
    </row>
    <row r="136" spans="5:5">
      <c r="E136" s="45"/>
    </row>
    <row r="137" spans="5:5">
      <c r="E137" s="45"/>
    </row>
    <row r="138" spans="5:5">
      <c r="E138" s="45"/>
    </row>
    <row r="139" spans="5:5">
      <c r="E139" s="45"/>
    </row>
    <row r="140" spans="5:5">
      <c r="E140" s="45"/>
    </row>
    <row r="141" spans="5:5">
      <c r="E141" s="45"/>
    </row>
    <row r="142" spans="5:5">
      <c r="E142" s="45"/>
    </row>
    <row r="143" spans="5:5">
      <c r="E143" s="45"/>
    </row>
    <row r="144" spans="5:5">
      <c r="E144" s="45"/>
    </row>
    <row r="145" spans="5:5">
      <c r="E145" s="45"/>
    </row>
    <row r="146" spans="5:5">
      <c r="E146" s="45"/>
    </row>
    <row r="147" spans="5:5">
      <c r="E147" s="45"/>
    </row>
    <row r="148" spans="5:5">
      <c r="E148" s="45"/>
    </row>
    <row r="149" spans="5:5">
      <c r="E149" s="45"/>
    </row>
    <row r="150" spans="5:5">
      <c r="E150" s="45"/>
    </row>
    <row r="151" spans="5:5">
      <c r="E151" s="45"/>
    </row>
    <row r="152" spans="5:5">
      <c r="E152" s="45"/>
    </row>
    <row r="153" spans="5:5">
      <c r="E153" s="45"/>
    </row>
    <row r="154" spans="5:5">
      <c r="E154" s="45"/>
    </row>
    <row r="155" spans="5:5">
      <c r="E155" s="45"/>
    </row>
    <row r="156" spans="5:5">
      <c r="E156" s="45"/>
    </row>
    <row r="157" spans="5:5">
      <c r="E157" s="45"/>
    </row>
    <row r="158" spans="5:5">
      <c r="E158" s="45"/>
    </row>
    <row r="159" spans="5:5">
      <c r="E159" s="45"/>
    </row>
    <row r="160" spans="5:5">
      <c r="E160" s="45"/>
    </row>
    <row r="161" spans="5:5">
      <c r="E161" s="45"/>
    </row>
    <row r="162" spans="5:5">
      <c r="E162" s="45"/>
    </row>
    <row r="163" spans="5:5">
      <c r="E163" s="45"/>
    </row>
    <row r="164" spans="5:5">
      <c r="E164" s="45"/>
    </row>
    <row r="165" spans="5:5">
      <c r="E165" s="45"/>
    </row>
    <row r="166" spans="5:5">
      <c r="E166" s="45"/>
    </row>
    <row r="167" spans="5:5">
      <c r="E167" s="45"/>
    </row>
    <row r="168" spans="5:5">
      <c r="E168" s="45"/>
    </row>
    <row r="169" spans="5:5">
      <c r="E169" s="45"/>
    </row>
    <row r="170" spans="5:5">
      <c r="E170" s="45"/>
    </row>
    <row r="171" spans="5:5">
      <c r="E171" s="45"/>
    </row>
    <row r="172" spans="5:5">
      <c r="E172" s="45"/>
    </row>
    <row r="173" spans="5:5">
      <c r="E173" s="45"/>
    </row>
    <row r="174" spans="5:5">
      <c r="E174" s="45"/>
    </row>
    <row r="175" spans="5:5">
      <c r="E175" s="45"/>
    </row>
    <row r="176" spans="5:5">
      <c r="E176" s="45"/>
    </row>
    <row r="177" spans="5:5">
      <c r="E177" s="45"/>
    </row>
    <row r="178" spans="5:5">
      <c r="E178" s="45"/>
    </row>
    <row r="179" spans="5:5">
      <c r="E179" s="45"/>
    </row>
    <row r="180" spans="5:5">
      <c r="E180" s="45"/>
    </row>
    <row r="181" spans="5:5">
      <c r="E181" s="45"/>
    </row>
    <row r="182" spans="5:5">
      <c r="E182" s="45"/>
    </row>
    <row r="183" spans="5:5">
      <c r="E183" s="45"/>
    </row>
    <row r="184" spans="5:5">
      <c r="E184" s="45"/>
    </row>
    <row r="185" spans="5:5">
      <c r="E185" s="45"/>
    </row>
    <row r="186" spans="5:5">
      <c r="E186" s="45"/>
    </row>
    <row r="187" spans="5:5">
      <c r="E187" s="45"/>
    </row>
    <row r="188" spans="5:5">
      <c r="E188" s="45"/>
    </row>
    <row r="189" spans="5:5">
      <c r="E189" s="45"/>
    </row>
    <row r="190" spans="5:5">
      <c r="E190" s="45"/>
    </row>
    <row r="191" spans="5:5">
      <c r="E191" s="45"/>
    </row>
    <row r="192" spans="5:5">
      <c r="E192" s="45"/>
    </row>
    <row r="193" spans="5:5">
      <c r="E193" s="45"/>
    </row>
    <row r="194" spans="5:5">
      <c r="E194" s="45"/>
    </row>
    <row r="195" spans="5:5">
      <c r="E195" s="45"/>
    </row>
    <row r="196" spans="5:5">
      <c r="E196" s="45"/>
    </row>
    <row r="197" spans="5:5">
      <c r="E197" s="45"/>
    </row>
    <row r="198" spans="5:5">
      <c r="E198" s="45"/>
    </row>
    <row r="199" spans="5:5">
      <c r="E199" s="45"/>
    </row>
    <row r="200" spans="5:5">
      <c r="E200" s="45"/>
    </row>
    <row r="201" spans="5:5">
      <c r="E201" s="45"/>
    </row>
    <row r="202" spans="5:5">
      <c r="E202" s="45"/>
    </row>
    <row r="203" spans="5:5">
      <c r="E203" s="45"/>
    </row>
    <row r="204" spans="5:5">
      <c r="E204" s="45"/>
    </row>
    <row r="205" spans="5:5">
      <c r="E205" s="45"/>
    </row>
    <row r="206" spans="5:5">
      <c r="E206" s="45"/>
    </row>
    <row r="207" spans="5:5">
      <c r="E207" s="45"/>
    </row>
    <row r="208" spans="5:5">
      <c r="E208" s="45"/>
    </row>
    <row r="209" spans="5:5">
      <c r="E209" s="45"/>
    </row>
    <row r="210" spans="5:5">
      <c r="E210" s="45"/>
    </row>
    <row r="211" spans="5:5">
      <c r="E211" s="45"/>
    </row>
    <row r="212" spans="5:5">
      <c r="E212" s="45"/>
    </row>
    <row r="213" spans="5:5">
      <c r="E213" s="45"/>
    </row>
    <row r="214" spans="5:5">
      <c r="E214" s="45"/>
    </row>
    <row r="215" spans="5:5">
      <c r="E215" s="45"/>
    </row>
    <row r="216" spans="5:5">
      <c r="E216" s="45"/>
    </row>
    <row r="217" spans="5:5">
      <c r="E217" s="45"/>
    </row>
    <row r="218" spans="5:5">
      <c r="E218" s="45"/>
    </row>
    <row r="219" spans="5:5">
      <c r="E219" s="45"/>
    </row>
    <row r="220" spans="5:5">
      <c r="E220" s="45"/>
    </row>
    <row r="221" spans="5:5">
      <c r="E221" s="45"/>
    </row>
    <row r="222" spans="5:5">
      <c r="E222" s="45"/>
    </row>
    <row r="223" spans="5:5">
      <c r="E223" s="45"/>
    </row>
    <row r="224" spans="5:5">
      <c r="E224" s="45"/>
    </row>
    <row r="225" spans="5:5">
      <c r="E225" s="45"/>
    </row>
    <row r="226" spans="5:5">
      <c r="E226" s="45"/>
    </row>
    <row r="227" spans="5:5">
      <c r="E227" s="45"/>
    </row>
    <row r="228" spans="5:5">
      <c r="E228" s="45"/>
    </row>
    <row r="229" spans="5:5">
      <c r="E229" s="45"/>
    </row>
    <row r="230" spans="5:5">
      <c r="E230" s="45"/>
    </row>
    <row r="231" spans="5:5">
      <c r="E231" s="45"/>
    </row>
    <row r="232" spans="5:5">
      <c r="E232" s="45"/>
    </row>
    <row r="233" spans="5:5">
      <c r="E233" s="45"/>
    </row>
    <row r="234" spans="5:5">
      <c r="E234" s="45"/>
    </row>
    <row r="235" spans="5:5">
      <c r="E235" s="45"/>
    </row>
    <row r="236" spans="5:5">
      <c r="E236" s="45"/>
    </row>
    <row r="237" spans="5:5">
      <c r="E237" s="45"/>
    </row>
    <row r="238" spans="5:5">
      <c r="E238" s="45"/>
    </row>
    <row r="239" spans="5:5">
      <c r="E239" s="45"/>
    </row>
    <row r="240" spans="5:5">
      <c r="E240" s="45"/>
    </row>
    <row r="241" spans="5:5">
      <c r="E241" s="45"/>
    </row>
    <row r="242" spans="5:5">
      <c r="E242" s="45"/>
    </row>
    <row r="243" spans="5:5">
      <c r="E243" s="45"/>
    </row>
    <row r="244" spans="5:5">
      <c r="E244" s="45"/>
    </row>
    <row r="245" spans="5:5">
      <c r="E245" s="45"/>
    </row>
    <row r="246" spans="5:5">
      <c r="E246" s="45"/>
    </row>
    <row r="247" spans="5:5">
      <c r="E247" s="45"/>
    </row>
    <row r="248" spans="5:5">
      <c r="E248" s="45"/>
    </row>
    <row r="249" spans="5:5">
      <c r="E249" s="45"/>
    </row>
    <row r="250" spans="5:5">
      <c r="E250" s="45"/>
    </row>
    <row r="251" spans="5:5">
      <c r="E251" s="45"/>
    </row>
    <row r="252" spans="5:5">
      <c r="E252" s="45"/>
    </row>
    <row r="253" spans="5:5">
      <c r="E253" s="45"/>
    </row>
    <row r="254" spans="5:5">
      <c r="E254" s="45"/>
    </row>
    <row r="255" spans="5:5">
      <c r="E255" s="45"/>
    </row>
    <row r="256" spans="5:5">
      <c r="E256" s="45"/>
    </row>
    <row r="257" spans="5:5">
      <c r="E257" s="45"/>
    </row>
    <row r="258" spans="5:5">
      <c r="E258" s="45"/>
    </row>
    <row r="259" spans="5:5">
      <c r="E259" s="45"/>
    </row>
    <row r="260" spans="5:5">
      <c r="E260" s="45"/>
    </row>
    <row r="261" spans="5:5">
      <c r="E261" s="45"/>
    </row>
    <row r="262" spans="5:5">
      <c r="E262" s="45"/>
    </row>
    <row r="263" spans="5:5">
      <c r="E263" s="45"/>
    </row>
    <row r="264" spans="5:5">
      <c r="E264" s="45"/>
    </row>
    <row r="265" spans="5:5">
      <c r="E265" s="45"/>
    </row>
    <row r="266" spans="5:5">
      <c r="E266" s="45"/>
    </row>
    <row r="267" spans="5:5">
      <c r="E267" s="45"/>
    </row>
    <row r="268" spans="5:5">
      <c r="E268" s="45"/>
    </row>
    <row r="269" spans="5:5">
      <c r="E269" s="45"/>
    </row>
    <row r="270" spans="5:5">
      <c r="E270" s="45"/>
    </row>
    <row r="271" spans="5:5">
      <c r="E271" s="45"/>
    </row>
    <row r="272" spans="5:5">
      <c r="E272" s="45"/>
    </row>
    <row r="273" spans="5:5">
      <c r="E273" s="45"/>
    </row>
    <row r="274" spans="5:5">
      <c r="E274" s="45"/>
    </row>
    <row r="275" spans="5:5">
      <c r="E275" s="45"/>
    </row>
    <row r="276" spans="5:5">
      <c r="E276" s="45"/>
    </row>
    <row r="277" spans="5:5">
      <c r="E277" s="45"/>
    </row>
    <row r="278" spans="5:5">
      <c r="E278" s="45"/>
    </row>
    <row r="279" spans="5:5">
      <c r="E279" s="45"/>
    </row>
    <row r="280" spans="5:5">
      <c r="E280" s="45"/>
    </row>
    <row r="281" spans="5:5">
      <c r="E281" s="45"/>
    </row>
    <row r="282" spans="5:5">
      <c r="E282" s="45"/>
    </row>
    <row r="283" spans="5:5">
      <c r="E283" s="45"/>
    </row>
    <row r="284" spans="5:5">
      <c r="E284" s="45"/>
    </row>
    <row r="285" spans="5:5">
      <c r="E285" s="45"/>
    </row>
    <row r="286" spans="5:5">
      <c r="E286" s="45"/>
    </row>
    <row r="287" spans="5:5">
      <c r="E287" s="45"/>
    </row>
    <row r="288" spans="5:5">
      <c r="E288" s="45"/>
    </row>
    <row r="289" spans="5:5">
      <c r="E289" s="45"/>
    </row>
    <row r="290" spans="5:5">
      <c r="E290" s="45"/>
    </row>
    <row r="291" spans="5:5">
      <c r="E291" s="45"/>
    </row>
    <row r="292" spans="5:5">
      <c r="E292" s="45"/>
    </row>
    <row r="293" spans="5:5">
      <c r="E293" s="45"/>
    </row>
    <row r="294" spans="5:5">
      <c r="E294" s="45"/>
    </row>
    <row r="295" spans="5:5">
      <c r="E295" s="45"/>
    </row>
    <row r="296" spans="5:5">
      <c r="E296" s="45"/>
    </row>
    <row r="297" spans="5:5">
      <c r="E297" s="45"/>
    </row>
    <row r="298" spans="5:5">
      <c r="E298" s="45"/>
    </row>
    <row r="299" spans="5:5">
      <c r="E299" s="45"/>
    </row>
    <row r="300" spans="5:5">
      <c r="E300" s="45"/>
    </row>
    <row r="301" spans="5:5">
      <c r="E301" s="45"/>
    </row>
    <row r="302" spans="5:5">
      <c r="E302" s="45"/>
    </row>
    <row r="303" spans="5:5">
      <c r="E303" s="45"/>
    </row>
    <row r="304" spans="5:5">
      <c r="E304" s="45"/>
    </row>
    <row r="305" spans="5:5">
      <c r="E305" s="45"/>
    </row>
    <row r="306" spans="5:5">
      <c r="E306" s="45"/>
    </row>
    <row r="307" spans="5:5">
      <c r="E307" s="45"/>
    </row>
    <row r="308" spans="5:5">
      <c r="E308" s="45"/>
    </row>
    <row r="309" spans="5:5">
      <c r="E309" s="45"/>
    </row>
    <row r="310" spans="5:5">
      <c r="E310" s="45"/>
    </row>
    <row r="311" spans="5:5">
      <c r="E311" s="45"/>
    </row>
    <row r="312" spans="5:5">
      <c r="E312" s="45"/>
    </row>
    <row r="313" spans="5:5">
      <c r="E313" s="45"/>
    </row>
    <row r="314" spans="5:5">
      <c r="E314" s="45"/>
    </row>
    <row r="315" spans="5:5">
      <c r="E315" s="45"/>
    </row>
    <row r="316" spans="5:5">
      <c r="E316" s="45"/>
    </row>
    <row r="317" spans="5:5">
      <c r="E317" s="45"/>
    </row>
    <row r="318" spans="5:5">
      <c r="E318" s="45"/>
    </row>
    <row r="319" spans="5:5">
      <c r="E319" s="45"/>
    </row>
    <row r="320" spans="5:5">
      <c r="E320" s="45"/>
    </row>
    <row r="321" spans="5:5">
      <c r="E321" s="45"/>
    </row>
    <row r="322" spans="5:5">
      <c r="E322" s="45"/>
    </row>
    <row r="323" spans="5:5">
      <c r="E323" s="45"/>
    </row>
    <row r="324" spans="5:5">
      <c r="E324" s="45"/>
    </row>
    <row r="325" spans="5:5">
      <c r="E325" s="45"/>
    </row>
    <row r="326" spans="5:5">
      <c r="E326" s="45"/>
    </row>
    <row r="327" spans="5:5">
      <c r="E327" s="45"/>
    </row>
    <row r="328" spans="5:5">
      <c r="E328" s="45"/>
    </row>
    <row r="329" spans="5:5">
      <c r="E329" s="45"/>
    </row>
    <row r="330" spans="5:5">
      <c r="E330" s="45"/>
    </row>
    <row r="331" spans="5:5">
      <c r="E331" s="45"/>
    </row>
    <row r="332" spans="5:5">
      <c r="E332" s="45"/>
    </row>
    <row r="333" spans="5:5">
      <c r="E333" s="45"/>
    </row>
    <row r="334" spans="5:5">
      <c r="E334" s="45"/>
    </row>
    <row r="335" spans="5:5">
      <c r="E335" s="45"/>
    </row>
    <row r="336" spans="5:5">
      <c r="E336" s="45"/>
    </row>
    <row r="337" spans="5:5">
      <c r="E337" s="45"/>
    </row>
    <row r="338" spans="5:5">
      <c r="E338" s="45"/>
    </row>
    <row r="339" spans="5:5">
      <c r="E339" s="45"/>
    </row>
    <row r="340" spans="5:5">
      <c r="E340" s="45"/>
    </row>
    <row r="341" spans="5:5">
      <c r="E341" s="45"/>
    </row>
    <row r="342" spans="5:5">
      <c r="E342" s="45"/>
    </row>
    <row r="343" spans="5:5">
      <c r="E343" s="45"/>
    </row>
    <row r="344" spans="5:5">
      <c r="E344" s="45"/>
    </row>
    <row r="345" spans="5:5">
      <c r="E345" s="45"/>
    </row>
    <row r="346" spans="5:5">
      <c r="E346" s="45"/>
    </row>
    <row r="347" spans="5:5">
      <c r="E347" s="45"/>
    </row>
    <row r="348" spans="5:5">
      <c r="E348" s="45"/>
    </row>
    <row r="349" spans="5:5">
      <c r="E349" s="45"/>
    </row>
    <row r="350" spans="5:5">
      <c r="E350" s="45"/>
    </row>
    <row r="351" spans="5:5">
      <c r="E351" s="45"/>
    </row>
    <row r="352" spans="5:5">
      <c r="E352" s="45"/>
    </row>
    <row r="353" spans="5:5">
      <c r="E353" s="45"/>
    </row>
    <row r="354" spans="5:5">
      <c r="E354" s="45"/>
    </row>
    <row r="355" spans="5:5">
      <c r="E355" s="45"/>
    </row>
    <row r="356" spans="5:5">
      <c r="E356" s="45"/>
    </row>
    <row r="357" spans="5:5">
      <c r="E357" s="45"/>
    </row>
    <row r="358" spans="5:5">
      <c r="E358" s="45"/>
    </row>
    <row r="359" spans="5:5">
      <c r="E359" s="45"/>
    </row>
    <row r="360" spans="5:5">
      <c r="E360" s="45"/>
    </row>
    <row r="361" spans="5:5">
      <c r="E361" s="45"/>
    </row>
    <row r="362" spans="5:5">
      <c r="E362" s="45"/>
    </row>
    <row r="363" spans="5:5">
      <c r="E363" s="45"/>
    </row>
    <row r="364" spans="5:5">
      <c r="E364" s="45"/>
    </row>
    <row r="365" spans="5:5">
      <c r="E365" s="45"/>
    </row>
    <row r="366" spans="5:5">
      <c r="E366" s="45"/>
    </row>
    <row r="367" spans="5:5">
      <c r="E367" s="45"/>
    </row>
    <row r="368" spans="5:5">
      <c r="E368" s="45"/>
    </row>
    <row r="369" spans="5:5">
      <c r="E369" s="45"/>
    </row>
    <row r="370" spans="5:5">
      <c r="E370" s="45"/>
    </row>
    <row r="371" spans="5:5">
      <c r="E371" s="45"/>
    </row>
    <row r="372" spans="5:5">
      <c r="E372" s="45"/>
    </row>
    <row r="373" spans="5:5">
      <c r="E373" s="45"/>
    </row>
    <row r="374" spans="5:5">
      <c r="E374" s="45"/>
    </row>
    <row r="375" spans="5:5">
      <c r="E375" s="45"/>
    </row>
    <row r="376" spans="5:5">
      <c r="E376" s="45"/>
    </row>
    <row r="377" spans="5:5">
      <c r="E377" s="45"/>
    </row>
    <row r="378" spans="5:5">
      <c r="E378" s="45"/>
    </row>
    <row r="379" spans="5:5">
      <c r="E379" s="45"/>
    </row>
    <row r="380" spans="5:5">
      <c r="E380" s="45"/>
    </row>
    <row r="381" spans="5:5">
      <c r="E381" s="45"/>
    </row>
    <row r="382" spans="5:5">
      <c r="E382" s="45"/>
    </row>
    <row r="383" spans="5:5">
      <c r="E383" s="45"/>
    </row>
    <row r="384" spans="5:5">
      <c r="E384" s="45"/>
    </row>
    <row r="385" spans="5:5">
      <c r="E385" s="45"/>
    </row>
    <row r="386" spans="5:5">
      <c r="E386" s="45"/>
    </row>
    <row r="387" spans="5:5">
      <c r="E387" s="45"/>
    </row>
    <row r="388" spans="5:5">
      <c r="E388" s="45"/>
    </row>
    <row r="389" spans="5:5">
      <c r="E389" s="45"/>
    </row>
    <row r="390" spans="5:5">
      <c r="E390" s="45"/>
    </row>
    <row r="391" spans="5:5">
      <c r="E391" s="45"/>
    </row>
    <row r="392" spans="5:5">
      <c r="E392" s="45"/>
    </row>
    <row r="393" spans="5:5">
      <c r="E393" s="45"/>
    </row>
    <row r="394" spans="5:5">
      <c r="E394" s="45"/>
    </row>
    <row r="395" spans="5:5">
      <c r="E395" s="45"/>
    </row>
    <row r="396" spans="5:5">
      <c r="E396" s="45"/>
    </row>
    <row r="397" spans="5:5">
      <c r="E397" s="45"/>
    </row>
    <row r="398" spans="5:5">
      <c r="E398" s="45"/>
    </row>
    <row r="399" spans="5:5">
      <c r="E399" s="45"/>
    </row>
    <row r="400" spans="5:5">
      <c r="E400" s="45"/>
    </row>
    <row r="401" spans="5:5">
      <c r="E401" s="45"/>
    </row>
    <row r="402" spans="5:5">
      <c r="E402" s="45"/>
    </row>
    <row r="403" spans="5:5">
      <c r="E403" s="45"/>
    </row>
    <row r="404" spans="5:5">
      <c r="E404" s="45"/>
    </row>
    <row r="405" spans="5:5">
      <c r="E405" s="45"/>
    </row>
    <row r="406" spans="5:5">
      <c r="E406" s="45"/>
    </row>
  </sheetData>
  <sheetProtection selectLockedCells="1"/>
  <mergeCells count="47">
    <mergeCell ref="I65:J65"/>
    <mergeCell ref="L65:M65"/>
    <mergeCell ref="K59:L59"/>
    <mergeCell ref="N59:O59"/>
    <mergeCell ref="P59:Q59"/>
    <mergeCell ref="B58:C58"/>
    <mergeCell ref="E58:F58"/>
    <mergeCell ref="H58:I58"/>
    <mergeCell ref="B59:C59"/>
    <mergeCell ref="E59:F59"/>
    <mergeCell ref="H59:I59"/>
    <mergeCell ref="M54:N54"/>
    <mergeCell ref="R54:S54"/>
    <mergeCell ref="F64:G64"/>
    <mergeCell ref="I64:J64"/>
    <mergeCell ref="L64:M64"/>
    <mergeCell ref="B57:E57"/>
    <mergeCell ref="B52:E52"/>
    <mergeCell ref="D53:E53"/>
    <mergeCell ref="G53:H53"/>
    <mergeCell ref="J53:K53"/>
    <mergeCell ref="D54:E54"/>
    <mergeCell ref="G54:H54"/>
    <mergeCell ref="J54:K54"/>
    <mergeCell ref="M53:N53"/>
    <mergeCell ref="R53:S53"/>
    <mergeCell ref="D15:E15"/>
    <mergeCell ref="G15:H15"/>
    <mergeCell ref="D18:F18"/>
    <mergeCell ref="D19:F19"/>
    <mergeCell ref="H19:I19"/>
    <mergeCell ref="N33:R36"/>
    <mergeCell ref="N24:R25"/>
    <mergeCell ref="D14:E14"/>
    <mergeCell ref="G14:H14"/>
    <mergeCell ref="J14:K14"/>
    <mergeCell ref="B4:C4"/>
    <mergeCell ref="C5:E5"/>
    <mergeCell ref="J5:K5"/>
    <mergeCell ref="J6:K6"/>
    <mergeCell ref="B7:D7"/>
    <mergeCell ref="F7:G7"/>
    <mergeCell ref="C9:E9"/>
    <mergeCell ref="B13:C13"/>
    <mergeCell ref="D13:F13"/>
    <mergeCell ref="G13:I13"/>
    <mergeCell ref="J13:K13"/>
  </mergeCells>
  <phoneticPr fontId="21"/>
  <conditionalFormatting sqref="Q54">
    <cfRule type="containsText" dxfId="25" priority="52" operator="containsText" text="接続可能">
      <formula>NOT(ISERROR(SEARCH("接続可能",Q54)))</formula>
    </cfRule>
    <cfRule type="containsText" dxfId="24" priority="54" operator="containsText" text="接続不可">
      <formula>NOT(ISERROR(SEARCH("接続不可",Q54)))</formula>
    </cfRule>
  </conditionalFormatting>
  <conditionalFormatting sqref="C53">
    <cfRule type="containsText" dxfId="23" priority="53" operator="containsText" text="接続可能">
      <formula>NOT(ISERROR(SEARCH("接続可能",C53)))</formula>
    </cfRule>
  </conditionalFormatting>
  <conditionalFormatting sqref="T54">
    <cfRule type="containsText" dxfId="22" priority="49" operator="containsText" text="影響なし">
      <formula>NOT(ISERROR(SEARCH("影響なし",T54)))</formula>
    </cfRule>
    <cfRule type="containsText" dxfId="21" priority="51" operator="containsText" text="影響あり">
      <formula>NOT(ISERROR(SEARCH("影響あり",T54)))</formula>
    </cfRule>
  </conditionalFormatting>
  <conditionalFormatting sqref="T53:T54">
    <cfRule type="containsText" dxfId="20" priority="50" operator="containsText" text="接続不可">
      <formula>NOT(ISERROR(SEARCH("接続不可",T53)))</formula>
    </cfRule>
  </conditionalFormatting>
  <conditionalFormatting sqref="P59">
    <cfRule type="containsText" dxfId="19" priority="46" operator="containsText" text="接続不可">
      <formula>NOT(ISERROR(SEARCH("接続不可",P59)))</formula>
    </cfRule>
  </conditionalFormatting>
  <conditionalFormatting sqref="P59">
    <cfRule type="containsText" dxfId="18" priority="43" operator="containsText" text="制限なし">
      <formula>NOT(ISERROR(SEARCH("制限なし",P59)))</formula>
    </cfRule>
  </conditionalFormatting>
  <conditionalFormatting sqref="P59">
    <cfRule type="containsText" dxfId="17" priority="44" operator="containsText" text="制限あり">
      <formula>NOT(ISERROR(SEARCH("制限あり",P59)))</formula>
    </cfRule>
  </conditionalFormatting>
  <conditionalFormatting sqref="C38:L38">
    <cfRule type="expression" dxfId="16" priority="30">
      <formula>C38&gt;$M$67</formula>
    </cfRule>
  </conditionalFormatting>
  <conditionalFormatting sqref="C25:L30">
    <cfRule type="expression" dxfId="15" priority="21">
      <formula>C25&gt;$C$68</formula>
    </cfRule>
  </conditionalFormatting>
  <conditionalFormatting sqref="M25:M30">
    <cfRule type="expression" dxfId="14" priority="11">
      <formula>M25&gt;$G$68</formula>
    </cfRule>
  </conditionalFormatting>
  <conditionalFormatting sqref="C33:L35">
    <cfRule type="expression" dxfId="13" priority="61">
      <formula>C33&lt;$E$68</formula>
    </cfRule>
  </conditionalFormatting>
  <conditionalFormatting sqref="M34:M35">
    <cfRule type="expression" dxfId="12" priority="62">
      <formula>N34&gt;$I$68</formula>
    </cfRule>
  </conditionalFormatting>
  <conditionalFormatting sqref="M33">
    <cfRule type="expression" dxfId="11" priority="67">
      <formula>#REF!&gt;$I$68</formula>
    </cfRule>
  </conditionalFormatting>
  <conditionalFormatting sqref="J2">
    <cfRule type="expression" dxfId="10" priority="2">
      <formula>J2&gt;$C$68</formula>
    </cfRule>
  </conditionalFormatting>
  <conditionalFormatting sqref="K2">
    <cfRule type="expression" dxfId="9" priority="1">
      <formula>K2&lt;$E$68</formula>
    </cfRule>
  </conditionalFormatting>
  <dataValidations disablePrompts="1" count="3">
    <dataValidation type="list" allowBlank="1" showInputMessage="1" sqref="C11" xr:uid="{00000000-0002-0000-0700-000000000000}">
      <formula1>$B$79:$B$98</formula1>
    </dataValidation>
    <dataValidation type="list" allowBlank="1" showInputMessage="1" sqref="C9:E9" xr:uid="{00000000-0002-0000-0700-000001000000}">
      <formula1>$B$79:$B$92</formula1>
    </dataValidation>
    <dataValidation type="list" allowBlank="1" showInputMessage="1" showErrorMessage="1" sqref="J14:K14" xr:uid="{00000000-0002-0000-0700-000002000000}">
      <formula1>$N$74:$N$75</formula1>
    </dataValidation>
  </dataValidations>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extLst>
    <ext xmlns:x14="http://schemas.microsoft.com/office/spreadsheetml/2009/9/main" uri="{78C0D931-6437-407d-A8EE-F0AAD7539E65}">
      <x14:conditionalFormattings>
        <x14:conditionalFormatting xmlns:xm="http://schemas.microsoft.com/office/excel/2006/main">
          <x14:cfRule type="containsText" priority="48" operator="containsText" text="接続可能" id="{0804B1D5-FFCD-4F71-914F-F7D111337B09}">
            <xm:f>NOT(ISERROR(SEARCH("接続可能",'HUAWEI製ＰＣＳ接続枚数計算ツール 住宅向け'!D26)))</xm:f>
            <x14:dxf>
              <font>
                <color rgb="FF006100"/>
              </font>
              <fill>
                <patternFill>
                  <bgColor rgb="FFC6EFCE"/>
                </patternFill>
              </fill>
            </x14:dxf>
          </x14:cfRule>
          <xm:sqref>D58:D59</xm:sqref>
        </x14:conditionalFormatting>
        <x14:conditionalFormatting xmlns:xm="http://schemas.microsoft.com/office/excel/2006/main">
          <x14:cfRule type="containsText" priority="45" operator="containsText" text="影響なし" id="{7251E42A-6E76-420F-9071-FFDED33D8C6D}">
            <xm:f>NOT(ISERROR(SEARCH("影響なし",'HUAWEI製ＰＣＳ接続枚数計算ツール 住宅向け'!M27)))</xm:f>
            <x14:dxf>
              <font>
                <color auto="1"/>
              </font>
              <fill>
                <patternFill>
                  <bgColor rgb="FF92D050"/>
                </patternFill>
              </fill>
            </x14:dxf>
          </x14:cfRule>
          <x14:cfRule type="containsText" priority="47" operator="containsText" text="影響あり" id="{CE92D920-0A08-4FA3-A331-B6D513288F43}">
            <xm:f>NOT(ISERROR(SEARCH("影響あり",'HUAWEI製ＰＣＳ接続枚数計算ツール 住宅向け'!M27)))</xm:f>
            <x14:dxf>
              <font>
                <color auto="1"/>
              </font>
              <fill>
                <patternFill>
                  <bgColor rgb="FFFFC7CE"/>
                </patternFill>
              </fill>
            </x14:dxf>
          </x14:cfRule>
          <xm:sqref>P59</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xr:uid="{00000000-0002-0000-0700-000003000000}">
          <x14:formula1>
            <xm:f>太陽電池モジュールリスト!$A:$A</xm:f>
          </x14:formula1>
          <xm:sqref>C5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C320B-5BF0-4E80-9C7B-BD7F466570DA}">
  <dimension ref="B2:B16"/>
  <sheetViews>
    <sheetView workbookViewId="0">
      <selection activeCell="F13" sqref="F13"/>
    </sheetView>
  </sheetViews>
  <sheetFormatPr defaultColWidth="8.75" defaultRowHeight="14.1"/>
  <cols>
    <col min="1" max="16384" width="8.75" style="120"/>
  </cols>
  <sheetData>
    <row r="2" spans="2:2">
      <c r="B2" s="175" t="s">
        <v>2009</v>
      </c>
    </row>
    <row r="3" spans="2:2">
      <c r="B3" s="120" t="s">
        <v>2010</v>
      </c>
    </row>
    <row r="5" spans="2:2">
      <c r="B5" s="175" t="s">
        <v>2011</v>
      </c>
    </row>
    <row r="6" spans="2:2">
      <c r="B6" s="11" t="s">
        <v>2012</v>
      </c>
    </row>
    <row r="7" spans="2:2">
      <c r="B7" s="11" t="s">
        <v>2013</v>
      </c>
    </row>
    <row r="8" spans="2:2">
      <c r="B8" s="11" t="s">
        <v>2014</v>
      </c>
    </row>
    <row r="9" spans="2:2">
      <c r="B9" s="11" t="s">
        <v>2015</v>
      </c>
    </row>
    <row r="10" spans="2:2">
      <c r="B10" s="11" t="s">
        <v>2016</v>
      </c>
    </row>
    <row r="11" spans="2:2">
      <c r="B11" s="11" t="s">
        <v>2017</v>
      </c>
    </row>
    <row r="12" spans="2:2">
      <c r="B12" s="11" t="s">
        <v>2018</v>
      </c>
    </row>
    <row r="14" spans="2:2">
      <c r="B14" s="11" t="s">
        <v>2019</v>
      </c>
    </row>
    <row r="15" spans="2:2">
      <c r="B15" s="11" t="s">
        <v>2020</v>
      </c>
    </row>
    <row r="16" spans="2:2">
      <c r="B16" s="11" t="s">
        <v>2021</v>
      </c>
    </row>
  </sheetData>
  <sheetProtection algorithmName="SHA-512" hashValue="JdW8qybGOcLXnUVT0oIWojSVux2lQZxWXk9o2r8pJ4B6wbTK+9DD8tVtwE0jafyNlwAScxFCq1ue+uTjdIP4CQ==" saltValue="8E0ywwmOb+Oy/HF5L3Pwtw==" spinCount="100000" sheet="1" objects="1" scenarios="1" selectLockedCells="1" selectUnlockedCells="1"/>
  <phoneticPr fontId="21"/>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zoomScale="85" zoomScaleNormal="85" workbookViewId="0">
      <selection activeCell="H36" sqref="H36"/>
    </sheetView>
  </sheetViews>
  <sheetFormatPr defaultRowHeight="14.1"/>
  <sheetData/>
  <sheetProtection algorithmName="SHA-512" hashValue="13pNwqfgnyBXaZnd/BcAa/Yrco2vmKjyMUX0YQ57VU0t1gjUNPaQQKB1osVBL6Nae26agxgwm2ps5um+N7qBsw==" saltValue="oSQms8NCpidUTiX1kK2RVw==" spinCount="100000" sheet="1" objects="1" scenarios="1" selectLockedCells="1" selectUnlockedCells="1"/>
  <phoneticPr fontId="2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election activeCell="H36" sqref="H36"/>
    </sheetView>
  </sheetViews>
  <sheetFormatPr defaultRowHeight="14.1"/>
  <sheetData>
    <row r="1" spans="1:1">
      <c r="A1" s="206"/>
    </row>
  </sheetData>
  <sheetProtection algorithmName="SHA-512" hashValue="aCzs1YZMRBiEXOh2ahG2eHMa3ityDGzuZJSYzWGG01eG9QhwyO1SuMG3PsEZoi2WQY2VmewordoPVZIIXHhxPw==" saltValue="kzfbnLSq50pWylwEE9ijgQ==" spinCount="100000" sheet="1" objects="1" scenarios="1" selectLockedCells="1"/>
  <phoneticPr fontId="2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68"/>
  <sheetViews>
    <sheetView topLeftCell="A49" workbookViewId="0">
      <selection activeCell="M11" sqref="M11"/>
    </sheetView>
  </sheetViews>
  <sheetFormatPr defaultColWidth="8.875" defaultRowHeight="14.1"/>
  <sheetData>
    <row r="1" spans="1:41">
      <c r="A1" s="1" t="s">
        <v>1237</v>
      </c>
      <c r="B1" s="1">
        <v>400</v>
      </c>
      <c r="C1" s="2">
        <v>37.159999999999997</v>
      </c>
      <c r="D1" s="3">
        <v>31</v>
      </c>
      <c r="E1" s="4">
        <v>13.54</v>
      </c>
      <c r="F1" s="1">
        <v>12.9</v>
      </c>
      <c r="G1" s="9">
        <v>-3.3999999999999998E-3</v>
      </c>
      <c r="H1" s="9">
        <v>-2.7000000000000001E-3</v>
      </c>
      <c r="I1" s="9">
        <v>4.0000000000000002E-4</v>
      </c>
      <c r="J1" s="50">
        <v>0.97</v>
      </c>
      <c r="O1" s="42"/>
      <c r="P1" s="94"/>
    </row>
    <row r="2" spans="1:41" s="5" customFormat="1" ht="12.95">
      <c r="A2" s="1"/>
      <c r="B2" s="1"/>
      <c r="C2" s="2"/>
      <c r="D2" s="3"/>
      <c r="E2" s="4"/>
      <c r="F2" s="1"/>
      <c r="G2" s="9"/>
      <c r="H2" s="9"/>
      <c r="I2" s="9"/>
      <c r="J2" s="9"/>
      <c r="L2" s="87" t="s">
        <v>1965</v>
      </c>
      <c r="M2" s="112">
        <v>100</v>
      </c>
      <c r="N2" s="113">
        <f>(220-M2)/(100-O2)</f>
        <v>2</v>
      </c>
      <c r="O2" s="87">
        <v>40</v>
      </c>
    </row>
    <row r="3" spans="1:41" ht="14.1" customHeight="1">
      <c r="B3" s="65" t="s">
        <v>36</v>
      </c>
      <c r="C3" s="240" t="str">
        <f>HUAWEI製ＰＣＳ接続枚数計算ツール!C5</f>
        <v>JKM600N-72HL4-V</v>
      </c>
      <c r="D3" s="231"/>
      <c r="E3" s="231"/>
      <c r="F3" s="35" t="s">
        <v>38</v>
      </c>
      <c r="G3" s="36">
        <f>VLOOKUP($C$3, 太陽電池モジュールリスト!A:J, 6,FALSE)</f>
        <v>13.62</v>
      </c>
      <c r="H3" s="35" t="s">
        <v>39</v>
      </c>
      <c r="I3" s="36">
        <f>VLOOKUP($C$3, 太陽電池モジュールリスト!A:J, 5,FALSE)</f>
        <v>14.25</v>
      </c>
      <c r="J3" s="223" t="s">
        <v>40</v>
      </c>
      <c r="K3" s="223"/>
      <c r="L3" s="37">
        <f>VLOOKUP($C$3, 太陽電池モジュールリスト!A:J, 9,FALSE)</f>
        <v>4.4999999999999999E-4</v>
      </c>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row>
    <row r="4" spans="1:41">
      <c r="B4" s="38" t="s">
        <v>41</v>
      </c>
      <c r="C4" s="39">
        <f>VLOOKUP($C$3, 太陽電池モジュールリスト!A:J, 2,FALSE)</f>
        <v>600</v>
      </c>
      <c r="D4" s="38" t="s">
        <v>42</v>
      </c>
      <c r="E4" s="40">
        <f>VLOOKUP($C$3, 太陽電池モジュールリスト!A:J, 7,FALSE)</f>
        <v>-2.8999999999999998E-3</v>
      </c>
      <c r="F4" s="38" t="s">
        <v>43</v>
      </c>
      <c r="G4" s="41">
        <f>VLOOKUP($C$3, 太陽電池モジュールリスト!A:J, 4,FALSE)</f>
        <v>44.06</v>
      </c>
      <c r="H4" s="35" t="s">
        <v>44</v>
      </c>
      <c r="I4" s="41">
        <f>VLOOKUP($C$3, 太陽電池モジュールリスト!A:J, 3,FALSE)</f>
        <v>52.9</v>
      </c>
      <c r="J4" s="65" t="s">
        <v>45</v>
      </c>
      <c r="K4" s="65"/>
      <c r="L4" s="40">
        <f>VLOOKUP($C$3, 太陽電池モジュールリスト!A:J, 8,FALSE)</f>
        <v>-2.5000000000000001E-3</v>
      </c>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row>
    <row r="6" spans="1:41">
      <c r="C6" t="s">
        <v>1846</v>
      </c>
      <c r="D6">
        <f>MAX(HUAWEI製ＰＣＳ接続枚数計算ツール!D57,HUAWEI製ＰＣＳ接続枚数計算ツール!D58)</f>
        <v>5</v>
      </c>
      <c r="F6" t="s">
        <v>2022</v>
      </c>
      <c r="G6">
        <f>HUAWEI製ＰＣＳ接続枚数計算ツール!J57*1000/住宅出力!C4</f>
        <v>10</v>
      </c>
    </row>
    <row r="7" spans="1:41">
      <c r="A7" t="s">
        <v>2023</v>
      </c>
      <c r="B7" t="s">
        <v>2024</v>
      </c>
      <c r="C7" t="s">
        <v>2025</v>
      </c>
      <c r="D7" t="s">
        <v>2026</v>
      </c>
      <c r="E7" t="s">
        <v>2027</v>
      </c>
      <c r="F7" t="s">
        <v>2028</v>
      </c>
      <c r="G7" t="s">
        <v>2029</v>
      </c>
      <c r="H7" t="s">
        <v>2030</v>
      </c>
      <c r="I7" t="s">
        <v>2031</v>
      </c>
      <c r="J7" t="s">
        <v>2032</v>
      </c>
    </row>
    <row r="8" spans="1:41">
      <c r="A8">
        <v>40</v>
      </c>
      <c r="B8">
        <f>A8+30</f>
        <v>70</v>
      </c>
      <c r="C8">
        <f>$G$4+$G$4*($B8-25)*$E$4</f>
        <v>38.310169999999999</v>
      </c>
      <c r="D8">
        <f>C8*$D$6</f>
        <v>191.55085</v>
      </c>
      <c r="E8">
        <f>ROUNDDOWN((D8-$M$2)/$N$2+$O$2,0)/100</f>
        <v>0.85</v>
      </c>
      <c r="F8">
        <f>IF(E8&gt;0.99,1,E8)</f>
        <v>0.85</v>
      </c>
      <c r="G8">
        <f>F8*4.95</f>
        <v>4.2075000000000005</v>
      </c>
      <c r="H8">
        <f>$G$6*($C$4+$E$4*$C$4*(B8-25))/1000</f>
        <v>5.2169999999999996</v>
      </c>
      <c r="I8">
        <f>IF(H8&gt;4.95,4.95,H8)</f>
        <v>4.95</v>
      </c>
      <c r="J8">
        <f>G8-I8</f>
        <v>-0.74249999999999972</v>
      </c>
    </row>
    <row r="9" spans="1:41">
      <c r="A9">
        <v>39</v>
      </c>
      <c r="B9">
        <f t="shared" ref="B9:B68" si="0">A9+30</f>
        <v>69</v>
      </c>
      <c r="C9">
        <f t="shared" ref="C9:C68" si="1">$G$4+$G$4*($B9-25)*$E$4</f>
        <v>38.437944000000002</v>
      </c>
      <c r="D9">
        <f t="shared" ref="D9:D68" si="2">C9*$D$6</f>
        <v>192.18972000000002</v>
      </c>
      <c r="E9">
        <f t="shared" ref="E9:E39" si="3">ROUNDDOWN((D9-$M$2)/$N$2+$O$2,0)/100</f>
        <v>0.86</v>
      </c>
      <c r="F9">
        <f t="shared" ref="F9:F68" si="4">IF(E9&gt;0.99,1,E9)</f>
        <v>0.86</v>
      </c>
      <c r="G9">
        <f t="shared" ref="G9:G68" si="5">F9*4.95</f>
        <v>4.2569999999999997</v>
      </c>
      <c r="H9">
        <f t="shared" ref="H9:H68" si="6">$G$6*($C$4+$E$4*$C$4*(B9-25))/1000</f>
        <v>5.2344000000000008</v>
      </c>
      <c r="I9">
        <f t="shared" ref="I9:I68" si="7">IF(H9&gt;4.95,4.95,H9)</f>
        <v>4.95</v>
      </c>
      <c r="J9">
        <f t="shared" ref="J9:J68" si="8">G9-I9</f>
        <v>-0.6930000000000005</v>
      </c>
    </row>
    <row r="10" spans="1:41">
      <c r="A10">
        <v>38</v>
      </c>
      <c r="B10">
        <f t="shared" si="0"/>
        <v>68</v>
      </c>
      <c r="C10">
        <f t="shared" si="1"/>
        <v>38.565718000000004</v>
      </c>
      <c r="D10">
        <f t="shared" si="2"/>
        <v>192.82859000000002</v>
      </c>
      <c r="E10">
        <f t="shared" si="3"/>
        <v>0.86</v>
      </c>
      <c r="F10">
        <f t="shared" si="4"/>
        <v>0.86</v>
      </c>
      <c r="G10">
        <f t="shared" si="5"/>
        <v>4.2569999999999997</v>
      </c>
      <c r="H10">
        <f t="shared" si="6"/>
        <v>5.2518000000000011</v>
      </c>
      <c r="I10">
        <f t="shared" si="7"/>
        <v>4.95</v>
      </c>
      <c r="J10">
        <f t="shared" si="8"/>
        <v>-0.6930000000000005</v>
      </c>
    </row>
    <row r="11" spans="1:41">
      <c r="A11">
        <v>37</v>
      </c>
      <c r="B11">
        <f t="shared" si="0"/>
        <v>67</v>
      </c>
      <c r="C11">
        <f t="shared" si="1"/>
        <v>38.693492000000006</v>
      </c>
      <c r="D11">
        <f t="shared" si="2"/>
        <v>193.46746000000002</v>
      </c>
      <c r="E11">
        <f t="shared" si="3"/>
        <v>0.86</v>
      </c>
      <c r="F11">
        <f t="shared" si="4"/>
        <v>0.86</v>
      </c>
      <c r="G11">
        <f t="shared" si="5"/>
        <v>4.2569999999999997</v>
      </c>
      <c r="H11">
        <f t="shared" si="6"/>
        <v>5.2692000000000005</v>
      </c>
      <c r="I11">
        <f t="shared" si="7"/>
        <v>4.95</v>
      </c>
      <c r="J11">
        <f t="shared" si="8"/>
        <v>-0.6930000000000005</v>
      </c>
    </row>
    <row r="12" spans="1:41">
      <c r="A12">
        <v>36</v>
      </c>
      <c r="B12">
        <f t="shared" si="0"/>
        <v>66</v>
      </c>
      <c r="C12">
        <f t="shared" si="1"/>
        <v>38.821266000000001</v>
      </c>
      <c r="D12">
        <f t="shared" si="2"/>
        <v>194.10633000000001</v>
      </c>
      <c r="E12">
        <f t="shared" si="3"/>
        <v>0.87</v>
      </c>
      <c r="F12">
        <f t="shared" si="4"/>
        <v>0.87</v>
      </c>
      <c r="G12">
        <f t="shared" si="5"/>
        <v>4.3064999999999998</v>
      </c>
      <c r="H12">
        <f t="shared" si="6"/>
        <v>5.2865999999999991</v>
      </c>
      <c r="I12">
        <f t="shared" si="7"/>
        <v>4.95</v>
      </c>
      <c r="J12">
        <f t="shared" si="8"/>
        <v>-0.64350000000000041</v>
      </c>
    </row>
    <row r="13" spans="1:41">
      <c r="A13">
        <v>35</v>
      </c>
      <c r="B13">
        <f t="shared" si="0"/>
        <v>65</v>
      </c>
      <c r="C13">
        <f t="shared" si="1"/>
        <v>38.949040000000004</v>
      </c>
      <c r="D13">
        <f t="shared" si="2"/>
        <v>194.74520000000001</v>
      </c>
      <c r="E13">
        <f t="shared" si="3"/>
        <v>0.87</v>
      </c>
      <c r="F13">
        <f t="shared" si="4"/>
        <v>0.87</v>
      </c>
      <c r="G13">
        <f t="shared" si="5"/>
        <v>4.3064999999999998</v>
      </c>
      <c r="H13">
        <f t="shared" si="6"/>
        <v>5.3040000000000003</v>
      </c>
      <c r="I13">
        <f t="shared" si="7"/>
        <v>4.95</v>
      </c>
      <c r="J13">
        <f t="shared" si="8"/>
        <v>-0.64350000000000041</v>
      </c>
    </row>
    <row r="14" spans="1:41">
      <c r="A14">
        <v>34</v>
      </c>
      <c r="B14">
        <f t="shared" si="0"/>
        <v>64</v>
      </c>
      <c r="C14">
        <f t="shared" si="1"/>
        <v>39.076813999999999</v>
      </c>
      <c r="D14">
        <f t="shared" si="2"/>
        <v>195.38407000000001</v>
      </c>
      <c r="E14">
        <f t="shared" si="3"/>
        <v>0.87</v>
      </c>
      <c r="F14">
        <f t="shared" si="4"/>
        <v>0.87</v>
      </c>
      <c r="G14">
        <f t="shared" si="5"/>
        <v>4.3064999999999998</v>
      </c>
      <c r="H14">
        <f t="shared" si="6"/>
        <v>5.3213999999999997</v>
      </c>
      <c r="I14">
        <f t="shared" si="7"/>
        <v>4.95</v>
      </c>
      <c r="J14">
        <f t="shared" si="8"/>
        <v>-0.64350000000000041</v>
      </c>
    </row>
    <row r="15" spans="1:41">
      <c r="A15">
        <v>33</v>
      </c>
      <c r="B15">
        <f t="shared" si="0"/>
        <v>63</v>
      </c>
      <c r="C15">
        <f t="shared" si="1"/>
        <v>39.204588000000001</v>
      </c>
      <c r="D15">
        <f t="shared" si="2"/>
        <v>196.02294000000001</v>
      </c>
      <c r="E15">
        <f t="shared" si="3"/>
        <v>0.88</v>
      </c>
      <c r="F15">
        <f t="shared" si="4"/>
        <v>0.88</v>
      </c>
      <c r="G15">
        <f t="shared" si="5"/>
        <v>4.3559999999999999</v>
      </c>
      <c r="H15">
        <f t="shared" si="6"/>
        <v>5.3388</v>
      </c>
      <c r="I15">
        <f t="shared" si="7"/>
        <v>4.95</v>
      </c>
      <c r="J15">
        <f t="shared" si="8"/>
        <v>-0.59400000000000031</v>
      </c>
    </row>
    <row r="16" spans="1:41">
      <c r="A16">
        <v>32</v>
      </c>
      <c r="B16">
        <f t="shared" si="0"/>
        <v>62</v>
      </c>
      <c r="C16">
        <f t="shared" si="1"/>
        <v>39.332362000000003</v>
      </c>
      <c r="D16">
        <f t="shared" si="2"/>
        <v>196.66181</v>
      </c>
      <c r="E16">
        <f t="shared" si="3"/>
        <v>0.88</v>
      </c>
      <c r="F16">
        <f t="shared" si="4"/>
        <v>0.88</v>
      </c>
      <c r="G16">
        <f t="shared" si="5"/>
        <v>4.3559999999999999</v>
      </c>
      <c r="H16">
        <f t="shared" si="6"/>
        <v>5.3561999999999994</v>
      </c>
      <c r="I16">
        <f t="shared" si="7"/>
        <v>4.95</v>
      </c>
      <c r="J16">
        <f t="shared" si="8"/>
        <v>-0.59400000000000031</v>
      </c>
    </row>
    <row r="17" spans="1:10">
      <c r="A17">
        <v>31</v>
      </c>
      <c r="B17">
        <f t="shared" si="0"/>
        <v>61</v>
      </c>
      <c r="C17">
        <f t="shared" si="1"/>
        <v>39.460136000000006</v>
      </c>
      <c r="D17">
        <f t="shared" si="2"/>
        <v>197.30068000000003</v>
      </c>
      <c r="E17">
        <f t="shared" si="3"/>
        <v>0.88</v>
      </c>
      <c r="F17">
        <f t="shared" si="4"/>
        <v>0.88</v>
      </c>
      <c r="G17">
        <f t="shared" si="5"/>
        <v>4.3559999999999999</v>
      </c>
      <c r="H17">
        <f t="shared" si="6"/>
        <v>5.3736000000000006</v>
      </c>
      <c r="I17">
        <f t="shared" si="7"/>
        <v>4.95</v>
      </c>
      <c r="J17">
        <f t="shared" si="8"/>
        <v>-0.59400000000000031</v>
      </c>
    </row>
    <row r="18" spans="1:10">
      <c r="A18">
        <v>30</v>
      </c>
      <c r="B18">
        <f t="shared" si="0"/>
        <v>60</v>
      </c>
      <c r="C18">
        <f t="shared" si="1"/>
        <v>39.587910000000001</v>
      </c>
      <c r="D18">
        <f t="shared" si="2"/>
        <v>197.93955</v>
      </c>
      <c r="E18">
        <f t="shared" si="3"/>
        <v>0.88</v>
      </c>
      <c r="F18">
        <f t="shared" si="4"/>
        <v>0.88</v>
      </c>
      <c r="G18">
        <f t="shared" si="5"/>
        <v>4.3559999999999999</v>
      </c>
      <c r="H18">
        <f t="shared" si="6"/>
        <v>5.391</v>
      </c>
      <c r="I18">
        <f t="shared" si="7"/>
        <v>4.95</v>
      </c>
      <c r="J18">
        <f t="shared" si="8"/>
        <v>-0.59400000000000031</v>
      </c>
    </row>
    <row r="19" spans="1:10">
      <c r="A19">
        <v>29</v>
      </c>
      <c r="B19">
        <f t="shared" si="0"/>
        <v>59</v>
      </c>
      <c r="C19">
        <f t="shared" si="1"/>
        <v>39.715684000000003</v>
      </c>
      <c r="D19">
        <f t="shared" si="2"/>
        <v>198.57842000000002</v>
      </c>
      <c r="E19">
        <f t="shared" si="3"/>
        <v>0.89</v>
      </c>
      <c r="F19">
        <f t="shared" si="4"/>
        <v>0.89</v>
      </c>
      <c r="G19">
        <f t="shared" si="5"/>
        <v>4.4055</v>
      </c>
      <c r="H19">
        <f t="shared" si="6"/>
        <v>5.4084000000000003</v>
      </c>
      <c r="I19">
        <f t="shared" si="7"/>
        <v>4.95</v>
      </c>
      <c r="J19">
        <f t="shared" si="8"/>
        <v>-0.54450000000000021</v>
      </c>
    </row>
    <row r="20" spans="1:10">
      <c r="A20">
        <v>28</v>
      </c>
      <c r="B20">
        <f t="shared" si="0"/>
        <v>58</v>
      </c>
      <c r="C20">
        <f t="shared" si="1"/>
        <v>39.843458000000005</v>
      </c>
      <c r="D20">
        <f t="shared" si="2"/>
        <v>199.21729000000002</v>
      </c>
      <c r="E20">
        <f t="shared" si="3"/>
        <v>0.89</v>
      </c>
      <c r="F20">
        <f t="shared" si="4"/>
        <v>0.89</v>
      </c>
      <c r="G20">
        <f t="shared" si="5"/>
        <v>4.4055</v>
      </c>
      <c r="H20">
        <f t="shared" si="6"/>
        <v>5.4258000000000006</v>
      </c>
      <c r="I20">
        <f t="shared" si="7"/>
        <v>4.95</v>
      </c>
      <c r="J20">
        <f t="shared" si="8"/>
        <v>-0.54450000000000021</v>
      </c>
    </row>
    <row r="21" spans="1:10">
      <c r="A21">
        <v>27</v>
      </c>
      <c r="B21">
        <f t="shared" si="0"/>
        <v>57</v>
      </c>
      <c r="C21">
        <f t="shared" si="1"/>
        <v>39.971232000000001</v>
      </c>
      <c r="D21">
        <f t="shared" si="2"/>
        <v>199.85615999999999</v>
      </c>
      <c r="E21">
        <f t="shared" si="3"/>
        <v>0.89</v>
      </c>
      <c r="F21">
        <f t="shared" si="4"/>
        <v>0.89</v>
      </c>
      <c r="G21">
        <f t="shared" si="5"/>
        <v>4.4055</v>
      </c>
      <c r="H21">
        <f t="shared" si="6"/>
        <v>5.4432000000000009</v>
      </c>
      <c r="I21">
        <f t="shared" si="7"/>
        <v>4.95</v>
      </c>
      <c r="J21">
        <f t="shared" si="8"/>
        <v>-0.54450000000000021</v>
      </c>
    </row>
    <row r="22" spans="1:10">
      <c r="A22">
        <v>26</v>
      </c>
      <c r="B22">
        <f t="shared" si="0"/>
        <v>56</v>
      </c>
      <c r="C22">
        <f t="shared" si="1"/>
        <v>40.099006000000003</v>
      </c>
      <c r="D22">
        <f t="shared" si="2"/>
        <v>200.49503000000001</v>
      </c>
      <c r="E22">
        <f t="shared" si="3"/>
        <v>0.9</v>
      </c>
      <c r="F22">
        <f t="shared" si="4"/>
        <v>0.9</v>
      </c>
      <c r="G22">
        <f t="shared" si="5"/>
        <v>4.4550000000000001</v>
      </c>
      <c r="H22">
        <f t="shared" si="6"/>
        <v>5.4606000000000003</v>
      </c>
      <c r="I22">
        <f t="shared" si="7"/>
        <v>4.95</v>
      </c>
      <c r="J22">
        <f t="shared" si="8"/>
        <v>-0.49500000000000011</v>
      </c>
    </row>
    <row r="23" spans="1:10">
      <c r="A23">
        <v>25</v>
      </c>
      <c r="B23">
        <f t="shared" si="0"/>
        <v>55</v>
      </c>
      <c r="C23">
        <f t="shared" si="1"/>
        <v>40.226780000000005</v>
      </c>
      <c r="D23">
        <f t="shared" si="2"/>
        <v>201.13390000000004</v>
      </c>
      <c r="E23">
        <f t="shared" si="3"/>
        <v>0.9</v>
      </c>
      <c r="F23">
        <f t="shared" si="4"/>
        <v>0.9</v>
      </c>
      <c r="G23">
        <f t="shared" si="5"/>
        <v>4.4550000000000001</v>
      </c>
      <c r="H23">
        <f t="shared" si="6"/>
        <v>5.4779999999999998</v>
      </c>
      <c r="I23">
        <f t="shared" si="7"/>
        <v>4.95</v>
      </c>
      <c r="J23">
        <f t="shared" si="8"/>
        <v>-0.49500000000000011</v>
      </c>
    </row>
    <row r="24" spans="1:10">
      <c r="A24">
        <v>24</v>
      </c>
      <c r="B24">
        <f t="shared" si="0"/>
        <v>54</v>
      </c>
      <c r="C24">
        <f t="shared" si="1"/>
        <v>40.354554</v>
      </c>
      <c r="D24">
        <f t="shared" si="2"/>
        <v>201.77277000000001</v>
      </c>
      <c r="E24">
        <f t="shared" si="3"/>
        <v>0.9</v>
      </c>
      <c r="F24">
        <f t="shared" si="4"/>
        <v>0.9</v>
      </c>
      <c r="G24">
        <f t="shared" si="5"/>
        <v>4.4550000000000001</v>
      </c>
      <c r="H24">
        <f t="shared" si="6"/>
        <v>5.4954000000000001</v>
      </c>
      <c r="I24">
        <f t="shared" si="7"/>
        <v>4.95</v>
      </c>
      <c r="J24">
        <f t="shared" si="8"/>
        <v>-0.49500000000000011</v>
      </c>
    </row>
    <row r="25" spans="1:10">
      <c r="A25">
        <v>23</v>
      </c>
      <c r="B25">
        <f t="shared" si="0"/>
        <v>53</v>
      </c>
      <c r="C25">
        <f t="shared" si="1"/>
        <v>40.482328000000003</v>
      </c>
      <c r="D25">
        <f t="shared" si="2"/>
        <v>202.41164000000001</v>
      </c>
      <c r="E25">
        <f t="shared" si="3"/>
        <v>0.91</v>
      </c>
      <c r="F25">
        <f t="shared" si="4"/>
        <v>0.91</v>
      </c>
      <c r="G25">
        <f t="shared" si="5"/>
        <v>4.5045000000000002</v>
      </c>
      <c r="H25">
        <f t="shared" si="6"/>
        <v>5.5127999999999995</v>
      </c>
      <c r="I25">
        <f t="shared" si="7"/>
        <v>4.95</v>
      </c>
      <c r="J25">
        <f t="shared" si="8"/>
        <v>-0.44550000000000001</v>
      </c>
    </row>
    <row r="26" spans="1:10">
      <c r="A26">
        <v>22</v>
      </c>
      <c r="B26">
        <f t="shared" si="0"/>
        <v>52</v>
      </c>
      <c r="C26">
        <f t="shared" si="1"/>
        <v>40.610102000000005</v>
      </c>
      <c r="D26">
        <f t="shared" si="2"/>
        <v>203.05051000000003</v>
      </c>
      <c r="E26">
        <f t="shared" si="3"/>
        <v>0.91</v>
      </c>
      <c r="F26">
        <f t="shared" si="4"/>
        <v>0.91</v>
      </c>
      <c r="G26">
        <f t="shared" si="5"/>
        <v>4.5045000000000002</v>
      </c>
      <c r="H26">
        <f t="shared" si="6"/>
        <v>5.5301999999999998</v>
      </c>
      <c r="I26">
        <f t="shared" si="7"/>
        <v>4.95</v>
      </c>
      <c r="J26">
        <f t="shared" si="8"/>
        <v>-0.44550000000000001</v>
      </c>
    </row>
    <row r="27" spans="1:10">
      <c r="A27">
        <v>21</v>
      </c>
      <c r="B27">
        <f t="shared" si="0"/>
        <v>51</v>
      </c>
      <c r="C27">
        <f t="shared" si="1"/>
        <v>40.737876</v>
      </c>
      <c r="D27">
        <f t="shared" si="2"/>
        <v>203.68938</v>
      </c>
      <c r="E27">
        <f t="shared" si="3"/>
        <v>0.91</v>
      </c>
      <c r="F27">
        <f t="shared" si="4"/>
        <v>0.91</v>
      </c>
      <c r="G27">
        <f t="shared" si="5"/>
        <v>4.5045000000000002</v>
      </c>
      <c r="H27">
        <f t="shared" si="6"/>
        <v>5.5476000000000001</v>
      </c>
      <c r="I27">
        <f t="shared" si="7"/>
        <v>4.95</v>
      </c>
      <c r="J27">
        <f t="shared" si="8"/>
        <v>-0.44550000000000001</v>
      </c>
    </row>
    <row r="28" spans="1:10">
      <c r="A28">
        <v>20</v>
      </c>
      <c r="B28">
        <f t="shared" si="0"/>
        <v>50</v>
      </c>
      <c r="C28">
        <f t="shared" si="1"/>
        <v>40.865650000000002</v>
      </c>
      <c r="D28">
        <f t="shared" si="2"/>
        <v>204.32825000000003</v>
      </c>
      <c r="E28">
        <f t="shared" si="3"/>
        <v>0.92</v>
      </c>
      <c r="F28">
        <f t="shared" si="4"/>
        <v>0.92</v>
      </c>
      <c r="G28">
        <f t="shared" si="5"/>
        <v>4.5540000000000003</v>
      </c>
      <c r="H28">
        <f t="shared" si="6"/>
        <v>5.5650000000000004</v>
      </c>
      <c r="I28">
        <f t="shared" si="7"/>
        <v>4.95</v>
      </c>
      <c r="J28">
        <f t="shared" si="8"/>
        <v>-0.39599999999999991</v>
      </c>
    </row>
    <row r="29" spans="1:10">
      <c r="A29">
        <v>19</v>
      </c>
      <c r="B29">
        <f t="shared" si="0"/>
        <v>49</v>
      </c>
      <c r="C29">
        <f t="shared" si="1"/>
        <v>40.993424000000005</v>
      </c>
      <c r="D29">
        <f t="shared" si="2"/>
        <v>204.96712000000002</v>
      </c>
      <c r="E29">
        <f t="shared" si="3"/>
        <v>0.92</v>
      </c>
      <c r="F29">
        <f t="shared" si="4"/>
        <v>0.92</v>
      </c>
      <c r="G29">
        <f t="shared" si="5"/>
        <v>4.5540000000000003</v>
      </c>
      <c r="H29">
        <f t="shared" si="6"/>
        <v>5.5823999999999998</v>
      </c>
      <c r="I29">
        <f t="shared" si="7"/>
        <v>4.95</v>
      </c>
      <c r="J29">
        <f t="shared" si="8"/>
        <v>-0.39599999999999991</v>
      </c>
    </row>
    <row r="30" spans="1:10">
      <c r="A30">
        <v>18</v>
      </c>
      <c r="B30">
        <f t="shared" si="0"/>
        <v>48</v>
      </c>
      <c r="C30">
        <f t="shared" si="1"/>
        <v>41.121198</v>
      </c>
      <c r="D30">
        <f t="shared" si="2"/>
        <v>205.60598999999999</v>
      </c>
      <c r="E30">
        <f t="shared" si="3"/>
        <v>0.92</v>
      </c>
      <c r="F30">
        <f t="shared" si="4"/>
        <v>0.92</v>
      </c>
      <c r="G30">
        <f t="shared" si="5"/>
        <v>4.5540000000000003</v>
      </c>
      <c r="H30">
        <f t="shared" si="6"/>
        <v>5.5998000000000001</v>
      </c>
      <c r="I30">
        <f t="shared" si="7"/>
        <v>4.95</v>
      </c>
      <c r="J30">
        <f t="shared" si="8"/>
        <v>-0.39599999999999991</v>
      </c>
    </row>
    <row r="31" spans="1:10">
      <c r="A31">
        <v>17</v>
      </c>
      <c r="B31">
        <f t="shared" si="0"/>
        <v>47</v>
      </c>
      <c r="C31">
        <f t="shared" si="1"/>
        <v>41.248972000000002</v>
      </c>
      <c r="D31">
        <f t="shared" si="2"/>
        <v>206.24486000000002</v>
      </c>
      <c r="E31">
        <f t="shared" si="3"/>
        <v>0.93</v>
      </c>
      <c r="F31">
        <f t="shared" si="4"/>
        <v>0.93</v>
      </c>
      <c r="G31">
        <f t="shared" si="5"/>
        <v>4.6035000000000004</v>
      </c>
      <c r="H31">
        <f t="shared" si="6"/>
        <v>5.6172000000000004</v>
      </c>
      <c r="I31">
        <f t="shared" si="7"/>
        <v>4.95</v>
      </c>
      <c r="J31">
        <f t="shared" si="8"/>
        <v>-0.34649999999999981</v>
      </c>
    </row>
    <row r="32" spans="1:10">
      <c r="A32">
        <v>16</v>
      </c>
      <c r="B32">
        <f t="shared" si="0"/>
        <v>46</v>
      </c>
      <c r="C32">
        <f t="shared" si="1"/>
        <v>41.376746000000004</v>
      </c>
      <c r="D32">
        <f t="shared" si="2"/>
        <v>206.88373000000001</v>
      </c>
      <c r="E32">
        <f t="shared" si="3"/>
        <v>0.93</v>
      </c>
      <c r="F32">
        <f t="shared" si="4"/>
        <v>0.93</v>
      </c>
      <c r="G32">
        <f t="shared" si="5"/>
        <v>4.6035000000000004</v>
      </c>
      <c r="H32">
        <f t="shared" si="6"/>
        <v>5.6346000000000007</v>
      </c>
      <c r="I32">
        <f t="shared" si="7"/>
        <v>4.95</v>
      </c>
      <c r="J32">
        <f t="shared" si="8"/>
        <v>-0.34649999999999981</v>
      </c>
    </row>
    <row r="33" spans="1:10">
      <c r="A33">
        <v>15</v>
      </c>
      <c r="B33">
        <f t="shared" si="0"/>
        <v>45</v>
      </c>
      <c r="C33">
        <f t="shared" si="1"/>
        <v>41.504519999999999</v>
      </c>
      <c r="D33">
        <f t="shared" si="2"/>
        <v>207.52260000000001</v>
      </c>
      <c r="E33">
        <f t="shared" si="3"/>
        <v>0.93</v>
      </c>
      <c r="F33">
        <f t="shared" si="4"/>
        <v>0.93</v>
      </c>
      <c r="G33">
        <f t="shared" si="5"/>
        <v>4.6035000000000004</v>
      </c>
      <c r="H33">
        <f t="shared" si="6"/>
        <v>5.6520000000000001</v>
      </c>
      <c r="I33">
        <f t="shared" si="7"/>
        <v>4.95</v>
      </c>
      <c r="J33">
        <f t="shared" si="8"/>
        <v>-0.34649999999999981</v>
      </c>
    </row>
    <row r="34" spans="1:10">
      <c r="A34">
        <v>14</v>
      </c>
      <c r="B34">
        <f t="shared" si="0"/>
        <v>44</v>
      </c>
      <c r="C34">
        <f t="shared" si="1"/>
        <v>41.632294000000002</v>
      </c>
      <c r="D34">
        <f t="shared" si="2"/>
        <v>208.16147000000001</v>
      </c>
      <c r="E34">
        <f t="shared" si="3"/>
        <v>0.94</v>
      </c>
      <c r="F34">
        <f t="shared" si="4"/>
        <v>0.94</v>
      </c>
      <c r="G34">
        <f t="shared" si="5"/>
        <v>4.6529999999999996</v>
      </c>
      <c r="H34">
        <f t="shared" si="6"/>
        <v>5.6694000000000004</v>
      </c>
      <c r="I34">
        <f t="shared" si="7"/>
        <v>4.95</v>
      </c>
      <c r="J34">
        <f t="shared" si="8"/>
        <v>-0.2970000000000006</v>
      </c>
    </row>
    <row r="35" spans="1:10">
      <c r="A35">
        <v>13</v>
      </c>
      <c r="B35">
        <f t="shared" si="0"/>
        <v>43</v>
      </c>
      <c r="C35">
        <f t="shared" si="1"/>
        <v>41.760068000000004</v>
      </c>
      <c r="D35">
        <f t="shared" si="2"/>
        <v>208.80034000000001</v>
      </c>
      <c r="E35">
        <f t="shared" si="3"/>
        <v>0.94</v>
      </c>
      <c r="F35">
        <f t="shared" si="4"/>
        <v>0.94</v>
      </c>
      <c r="G35">
        <f t="shared" si="5"/>
        <v>4.6529999999999996</v>
      </c>
      <c r="H35">
        <f t="shared" si="6"/>
        <v>5.686799999999999</v>
      </c>
      <c r="I35">
        <f t="shared" si="7"/>
        <v>4.95</v>
      </c>
      <c r="J35">
        <f t="shared" si="8"/>
        <v>-0.2970000000000006</v>
      </c>
    </row>
    <row r="36" spans="1:10">
      <c r="A36">
        <v>12</v>
      </c>
      <c r="B36">
        <f t="shared" si="0"/>
        <v>42</v>
      </c>
      <c r="C36">
        <f t="shared" si="1"/>
        <v>41.887842000000006</v>
      </c>
      <c r="D36">
        <f t="shared" si="2"/>
        <v>209.43921000000003</v>
      </c>
      <c r="E36">
        <f t="shared" si="3"/>
        <v>0.94</v>
      </c>
      <c r="F36">
        <f t="shared" si="4"/>
        <v>0.94</v>
      </c>
      <c r="G36">
        <f t="shared" si="5"/>
        <v>4.6529999999999996</v>
      </c>
      <c r="H36">
        <f t="shared" si="6"/>
        <v>5.7042000000000002</v>
      </c>
      <c r="I36">
        <f t="shared" si="7"/>
        <v>4.95</v>
      </c>
      <c r="J36">
        <f t="shared" si="8"/>
        <v>-0.2970000000000006</v>
      </c>
    </row>
    <row r="37" spans="1:10">
      <c r="A37">
        <v>11</v>
      </c>
      <c r="B37">
        <f t="shared" si="0"/>
        <v>41</v>
      </c>
      <c r="C37">
        <f t="shared" si="1"/>
        <v>42.015616000000001</v>
      </c>
      <c r="D37">
        <f t="shared" si="2"/>
        <v>210.07808</v>
      </c>
      <c r="E37">
        <f t="shared" si="3"/>
        <v>0.95</v>
      </c>
      <c r="F37">
        <f t="shared" si="4"/>
        <v>0.95</v>
      </c>
      <c r="G37">
        <f t="shared" si="5"/>
        <v>4.7024999999999997</v>
      </c>
      <c r="H37">
        <f t="shared" si="6"/>
        <v>5.7215999999999996</v>
      </c>
      <c r="I37">
        <f t="shared" si="7"/>
        <v>4.95</v>
      </c>
      <c r="J37">
        <f t="shared" si="8"/>
        <v>-0.2475000000000005</v>
      </c>
    </row>
    <row r="38" spans="1:10">
      <c r="A38">
        <v>10</v>
      </c>
      <c r="B38">
        <f t="shared" si="0"/>
        <v>40</v>
      </c>
      <c r="C38">
        <f t="shared" si="1"/>
        <v>42.143390000000004</v>
      </c>
      <c r="D38">
        <f t="shared" si="2"/>
        <v>210.71695000000003</v>
      </c>
      <c r="E38">
        <f t="shared" si="3"/>
        <v>0.95</v>
      </c>
      <c r="F38">
        <f t="shared" si="4"/>
        <v>0.95</v>
      </c>
      <c r="G38">
        <f t="shared" si="5"/>
        <v>4.7024999999999997</v>
      </c>
      <c r="H38">
        <f t="shared" si="6"/>
        <v>5.7389999999999999</v>
      </c>
      <c r="I38">
        <f t="shared" si="7"/>
        <v>4.95</v>
      </c>
      <c r="J38">
        <f t="shared" si="8"/>
        <v>-0.2475000000000005</v>
      </c>
    </row>
    <row r="39" spans="1:10">
      <c r="A39">
        <v>9</v>
      </c>
      <c r="B39">
        <f t="shared" si="0"/>
        <v>39</v>
      </c>
      <c r="C39">
        <f t="shared" si="1"/>
        <v>42.271163999999999</v>
      </c>
      <c r="D39">
        <f t="shared" si="2"/>
        <v>211.35581999999999</v>
      </c>
      <c r="E39">
        <f t="shared" si="3"/>
        <v>0.95</v>
      </c>
      <c r="F39">
        <f t="shared" si="4"/>
        <v>0.95</v>
      </c>
      <c r="G39">
        <f t="shared" si="5"/>
        <v>4.7024999999999997</v>
      </c>
      <c r="H39">
        <f t="shared" si="6"/>
        <v>5.7563999999999993</v>
      </c>
      <c r="I39">
        <f t="shared" si="7"/>
        <v>4.95</v>
      </c>
      <c r="J39">
        <f t="shared" si="8"/>
        <v>-0.2475000000000005</v>
      </c>
    </row>
    <row r="40" spans="1:10">
      <c r="A40">
        <v>8</v>
      </c>
      <c r="B40">
        <f t="shared" si="0"/>
        <v>38</v>
      </c>
      <c r="C40">
        <f t="shared" si="1"/>
        <v>42.398938000000001</v>
      </c>
      <c r="D40">
        <f t="shared" si="2"/>
        <v>211.99468999999999</v>
      </c>
      <c r="E40">
        <f t="shared" ref="E40:E68" si="9">ROUNDDOWN((D40-$M$2)/$N$2+$O$2,0)/100</f>
        <v>0.95</v>
      </c>
      <c r="F40">
        <f t="shared" si="4"/>
        <v>0.95</v>
      </c>
      <c r="G40">
        <f t="shared" si="5"/>
        <v>4.7024999999999997</v>
      </c>
      <c r="H40">
        <f t="shared" si="6"/>
        <v>5.7738000000000005</v>
      </c>
      <c r="I40">
        <f t="shared" si="7"/>
        <v>4.95</v>
      </c>
      <c r="J40">
        <f t="shared" si="8"/>
        <v>-0.2475000000000005</v>
      </c>
    </row>
    <row r="41" spans="1:10">
      <c r="A41">
        <v>7</v>
      </c>
      <c r="B41">
        <f t="shared" si="0"/>
        <v>37</v>
      </c>
      <c r="C41">
        <f t="shared" si="1"/>
        <v>42.526712000000003</v>
      </c>
      <c r="D41">
        <f t="shared" si="2"/>
        <v>212.63356000000002</v>
      </c>
      <c r="E41">
        <f t="shared" si="9"/>
        <v>0.96</v>
      </c>
      <c r="F41">
        <f t="shared" si="4"/>
        <v>0.96</v>
      </c>
      <c r="G41">
        <f t="shared" si="5"/>
        <v>4.7519999999999998</v>
      </c>
      <c r="H41">
        <f t="shared" si="6"/>
        <v>5.7911999999999999</v>
      </c>
      <c r="I41">
        <f t="shared" si="7"/>
        <v>4.95</v>
      </c>
      <c r="J41">
        <f t="shared" si="8"/>
        <v>-0.1980000000000004</v>
      </c>
    </row>
    <row r="42" spans="1:10">
      <c r="A42">
        <v>6</v>
      </c>
      <c r="B42">
        <f t="shared" si="0"/>
        <v>36</v>
      </c>
      <c r="C42">
        <f t="shared" si="1"/>
        <v>42.654486000000006</v>
      </c>
      <c r="D42">
        <f t="shared" si="2"/>
        <v>213.27243000000004</v>
      </c>
      <c r="E42">
        <f t="shared" si="9"/>
        <v>0.96</v>
      </c>
      <c r="F42">
        <f t="shared" si="4"/>
        <v>0.96</v>
      </c>
      <c r="G42">
        <f t="shared" si="5"/>
        <v>4.7519999999999998</v>
      </c>
      <c r="H42">
        <f t="shared" si="6"/>
        <v>5.8086000000000002</v>
      </c>
      <c r="I42">
        <f t="shared" si="7"/>
        <v>4.95</v>
      </c>
      <c r="J42">
        <f t="shared" si="8"/>
        <v>-0.1980000000000004</v>
      </c>
    </row>
    <row r="43" spans="1:10">
      <c r="A43">
        <v>5</v>
      </c>
      <c r="B43">
        <f t="shared" si="0"/>
        <v>35</v>
      </c>
      <c r="C43">
        <f t="shared" si="1"/>
        <v>42.782260000000001</v>
      </c>
      <c r="D43">
        <f t="shared" si="2"/>
        <v>213.91130000000001</v>
      </c>
      <c r="E43">
        <f t="shared" si="9"/>
        <v>0.96</v>
      </c>
      <c r="F43">
        <f t="shared" si="4"/>
        <v>0.96</v>
      </c>
      <c r="G43">
        <f t="shared" si="5"/>
        <v>4.7519999999999998</v>
      </c>
      <c r="H43">
        <f t="shared" si="6"/>
        <v>5.8259999999999996</v>
      </c>
      <c r="I43">
        <f t="shared" si="7"/>
        <v>4.95</v>
      </c>
      <c r="J43">
        <f t="shared" si="8"/>
        <v>-0.1980000000000004</v>
      </c>
    </row>
    <row r="44" spans="1:10">
      <c r="A44">
        <v>4</v>
      </c>
      <c r="B44">
        <f t="shared" si="0"/>
        <v>34</v>
      </c>
      <c r="C44">
        <f t="shared" si="1"/>
        <v>42.910034000000003</v>
      </c>
      <c r="D44">
        <f t="shared" si="2"/>
        <v>214.55017000000001</v>
      </c>
      <c r="E44">
        <f t="shared" si="9"/>
        <v>0.97</v>
      </c>
      <c r="F44">
        <f t="shared" si="4"/>
        <v>0.97</v>
      </c>
      <c r="G44">
        <f t="shared" si="5"/>
        <v>4.8014999999999999</v>
      </c>
      <c r="H44">
        <f t="shared" si="6"/>
        <v>5.8434000000000008</v>
      </c>
      <c r="I44">
        <f t="shared" si="7"/>
        <v>4.95</v>
      </c>
      <c r="J44">
        <f t="shared" si="8"/>
        <v>-0.1485000000000003</v>
      </c>
    </row>
    <row r="45" spans="1:10">
      <c r="A45">
        <v>3</v>
      </c>
      <c r="B45">
        <f t="shared" si="0"/>
        <v>33</v>
      </c>
      <c r="C45">
        <f t="shared" si="1"/>
        <v>43.037808000000005</v>
      </c>
      <c r="D45">
        <f t="shared" si="2"/>
        <v>215.18904000000003</v>
      </c>
      <c r="E45">
        <f t="shared" si="9"/>
        <v>0.97</v>
      </c>
      <c r="F45">
        <f t="shared" si="4"/>
        <v>0.97</v>
      </c>
      <c r="G45">
        <f t="shared" si="5"/>
        <v>4.8014999999999999</v>
      </c>
      <c r="H45">
        <f t="shared" si="6"/>
        <v>5.8608000000000002</v>
      </c>
      <c r="I45">
        <f t="shared" si="7"/>
        <v>4.95</v>
      </c>
      <c r="J45">
        <f t="shared" si="8"/>
        <v>-0.1485000000000003</v>
      </c>
    </row>
    <row r="46" spans="1:10">
      <c r="A46">
        <v>2</v>
      </c>
      <c r="B46">
        <f t="shared" si="0"/>
        <v>32</v>
      </c>
      <c r="C46">
        <f t="shared" si="1"/>
        <v>43.165582000000001</v>
      </c>
      <c r="D46">
        <f t="shared" si="2"/>
        <v>215.82791</v>
      </c>
      <c r="E46">
        <f t="shared" si="9"/>
        <v>0.97</v>
      </c>
      <c r="F46">
        <f t="shared" si="4"/>
        <v>0.97</v>
      </c>
      <c r="G46">
        <f t="shared" si="5"/>
        <v>4.8014999999999999</v>
      </c>
      <c r="H46">
        <f t="shared" si="6"/>
        <v>5.8782000000000005</v>
      </c>
      <c r="I46">
        <f t="shared" si="7"/>
        <v>4.95</v>
      </c>
      <c r="J46">
        <f t="shared" si="8"/>
        <v>-0.1485000000000003</v>
      </c>
    </row>
    <row r="47" spans="1:10">
      <c r="A47">
        <v>1</v>
      </c>
      <c r="B47">
        <f t="shared" si="0"/>
        <v>31</v>
      </c>
      <c r="C47">
        <f t="shared" si="1"/>
        <v>43.293356000000003</v>
      </c>
      <c r="D47">
        <f t="shared" si="2"/>
        <v>216.46678000000003</v>
      </c>
      <c r="E47">
        <f t="shared" si="9"/>
        <v>0.98</v>
      </c>
      <c r="F47">
        <f t="shared" si="4"/>
        <v>0.98</v>
      </c>
      <c r="G47">
        <f t="shared" si="5"/>
        <v>4.851</v>
      </c>
      <c r="H47">
        <f t="shared" si="6"/>
        <v>5.8955999999999991</v>
      </c>
      <c r="I47">
        <f t="shared" si="7"/>
        <v>4.95</v>
      </c>
      <c r="J47">
        <f t="shared" si="8"/>
        <v>-9.9000000000000199E-2</v>
      </c>
    </row>
    <row r="48" spans="1:10">
      <c r="A48">
        <v>0</v>
      </c>
      <c r="B48">
        <f t="shared" si="0"/>
        <v>30</v>
      </c>
      <c r="C48">
        <f t="shared" si="1"/>
        <v>43.421130000000005</v>
      </c>
      <c r="D48">
        <f t="shared" si="2"/>
        <v>217.10565000000003</v>
      </c>
      <c r="E48">
        <f t="shared" si="9"/>
        <v>0.98</v>
      </c>
      <c r="F48">
        <f t="shared" si="4"/>
        <v>0.98</v>
      </c>
      <c r="G48">
        <f t="shared" si="5"/>
        <v>4.851</v>
      </c>
      <c r="H48">
        <f t="shared" si="6"/>
        <v>5.9130000000000003</v>
      </c>
      <c r="I48">
        <f t="shared" si="7"/>
        <v>4.95</v>
      </c>
      <c r="J48">
        <f t="shared" si="8"/>
        <v>-9.9000000000000199E-2</v>
      </c>
    </row>
    <row r="49" spans="1:10">
      <c r="A49">
        <v>-1</v>
      </c>
      <c r="B49">
        <f t="shared" si="0"/>
        <v>29</v>
      </c>
      <c r="C49">
        <f t="shared" si="1"/>
        <v>43.548904</v>
      </c>
      <c r="D49">
        <f t="shared" si="2"/>
        <v>217.74451999999999</v>
      </c>
      <c r="E49">
        <f t="shared" si="9"/>
        <v>0.98</v>
      </c>
      <c r="F49">
        <f t="shared" si="4"/>
        <v>0.98</v>
      </c>
      <c r="G49">
        <f t="shared" si="5"/>
        <v>4.851</v>
      </c>
      <c r="H49">
        <f t="shared" si="6"/>
        <v>5.9303999999999997</v>
      </c>
      <c r="I49">
        <f t="shared" si="7"/>
        <v>4.95</v>
      </c>
      <c r="J49">
        <f t="shared" si="8"/>
        <v>-9.9000000000000199E-2</v>
      </c>
    </row>
    <row r="50" spans="1:10">
      <c r="A50">
        <v>-2</v>
      </c>
      <c r="B50">
        <f t="shared" si="0"/>
        <v>28</v>
      </c>
      <c r="C50">
        <f t="shared" si="1"/>
        <v>43.676678000000003</v>
      </c>
      <c r="D50">
        <f t="shared" si="2"/>
        <v>218.38339000000002</v>
      </c>
      <c r="E50">
        <f t="shared" si="9"/>
        <v>0.99</v>
      </c>
      <c r="F50">
        <f t="shared" si="4"/>
        <v>0.99</v>
      </c>
      <c r="G50">
        <f t="shared" si="5"/>
        <v>4.9005000000000001</v>
      </c>
      <c r="H50">
        <f t="shared" si="6"/>
        <v>5.9477999999999991</v>
      </c>
      <c r="I50">
        <f t="shared" si="7"/>
        <v>4.95</v>
      </c>
      <c r="J50">
        <f t="shared" si="8"/>
        <v>-4.9500000000000099E-2</v>
      </c>
    </row>
    <row r="51" spans="1:10">
      <c r="A51">
        <v>-3</v>
      </c>
      <c r="B51">
        <f t="shared" si="0"/>
        <v>27</v>
      </c>
      <c r="C51">
        <f t="shared" si="1"/>
        <v>43.804452000000005</v>
      </c>
      <c r="D51">
        <f t="shared" si="2"/>
        <v>219.02226000000002</v>
      </c>
      <c r="E51">
        <f t="shared" si="9"/>
        <v>0.99</v>
      </c>
      <c r="F51">
        <f t="shared" si="4"/>
        <v>0.99</v>
      </c>
      <c r="G51">
        <f t="shared" si="5"/>
        <v>4.9005000000000001</v>
      </c>
      <c r="H51">
        <f t="shared" si="6"/>
        <v>5.9651999999999994</v>
      </c>
      <c r="I51">
        <f t="shared" si="7"/>
        <v>4.95</v>
      </c>
      <c r="J51">
        <f t="shared" si="8"/>
        <v>-4.9500000000000099E-2</v>
      </c>
    </row>
    <row r="52" spans="1:10">
      <c r="A52">
        <v>-4</v>
      </c>
      <c r="B52">
        <f t="shared" si="0"/>
        <v>26</v>
      </c>
      <c r="C52">
        <f t="shared" si="1"/>
        <v>43.932226</v>
      </c>
      <c r="D52">
        <f t="shared" si="2"/>
        <v>219.66113000000001</v>
      </c>
      <c r="E52">
        <f t="shared" si="9"/>
        <v>0.99</v>
      </c>
      <c r="F52">
        <f t="shared" si="4"/>
        <v>0.99</v>
      </c>
      <c r="G52">
        <f t="shared" si="5"/>
        <v>4.9005000000000001</v>
      </c>
      <c r="H52">
        <f t="shared" si="6"/>
        <v>5.9826000000000006</v>
      </c>
      <c r="I52">
        <f t="shared" si="7"/>
        <v>4.95</v>
      </c>
      <c r="J52">
        <f t="shared" si="8"/>
        <v>-4.9500000000000099E-2</v>
      </c>
    </row>
    <row r="53" spans="1:10">
      <c r="A53">
        <v>-5</v>
      </c>
      <c r="B53">
        <f t="shared" si="0"/>
        <v>25</v>
      </c>
      <c r="C53">
        <f t="shared" si="1"/>
        <v>44.06</v>
      </c>
      <c r="D53">
        <f t="shared" si="2"/>
        <v>220.3</v>
      </c>
      <c r="E53">
        <f t="shared" si="9"/>
        <v>1</v>
      </c>
      <c r="F53">
        <f t="shared" si="4"/>
        <v>1</v>
      </c>
      <c r="G53">
        <f t="shared" si="5"/>
        <v>4.95</v>
      </c>
      <c r="H53">
        <f t="shared" si="6"/>
        <v>6</v>
      </c>
      <c r="I53">
        <f t="shared" si="7"/>
        <v>4.95</v>
      </c>
      <c r="J53">
        <f t="shared" si="8"/>
        <v>0</v>
      </c>
    </row>
    <row r="54" spans="1:10">
      <c r="A54">
        <v>-6</v>
      </c>
      <c r="B54">
        <f t="shared" si="0"/>
        <v>24</v>
      </c>
      <c r="C54">
        <f t="shared" si="1"/>
        <v>44.187774000000005</v>
      </c>
      <c r="D54">
        <f t="shared" si="2"/>
        <v>220.93887000000001</v>
      </c>
      <c r="E54">
        <f t="shared" si="9"/>
        <v>1</v>
      </c>
      <c r="F54">
        <f t="shared" si="4"/>
        <v>1</v>
      </c>
      <c r="G54">
        <f t="shared" si="5"/>
        <v>4.95</v>
      </c>
      <c r="H54">
        <f t="shared" si="6"/>
        <v>6.0173999999999994</v>
      </c>
      <c r="I54">
        <f t="shared" si="7"/>
        <v>4.95</v>
      </c>
      <c r="J54">
        <f t="shared" si="8"/>
        <v>0</v>
      </c>
    </row>
    <row r="55" spans="1:10">
      <c r="A55">
        <v>-7</v>
      </c>
      <c r="B55">
        <f t="shared" si="0"/>
        <v>23</v>
      </c>
      <c r="C55">
        <f t="shared" si="1"/>
        <v>44.315548</v>
      </c>
      <c r="D55">
        <f t="shared" si="2"/>
        <v>221.57774000000001</v>
      </c>
      <c r="E55">
        <f t="shared" si="9"/>
        <v>1</v>
      </c>
      <c r="F55">
        <f t="shared" si="4"/>
        <v>1</v>
      </c>
      <c r="G55">
        <f t="shared" si="5"/>
        <v>4.95</v>
      </c>
      <c r="H55">
        <f t="shared" si="6"/>
        <v>6.0348000000000006</v>
      </c>
      <c r="I55">
        <f t="shared" si="7"/>
        <v>4.95</v>
      </c>
      <c r="J55">
        <f t="shared" si="8"/>
        <v>0</v>
      </c>
    </row>
    <row r="56" spans="1:10">
      <c r="A56">
        <v>-8</v>
      </c>
      <c r="B56">
        <f t="shared" si="0"/>
        <v>22</v>
      </c>
      <c r="C56">
        <f t="shared" si="1"/>
        <v>44.443322000000002</v>
      </c>
      <c r="D56">
        <f t="shared" si="2"/>
        <v>222.21661</v>
      </c>
      <c r="E56">
        <f t="shared" si="9"/>
        <v>1.01</v>
      </c>
      <c r="F56">
        <f t="shared" si="4"/>
        <v>1</v>
      </c>
      <c r="G56">
        <f t="shared" si="5"/>
        <v>4.95</v>
      </c>
      <c r="H56">
        <f t="shared" si="6"/>
        <v>6.0522000000000009</v>
      </c>
      <c r="I56">
        <f t="shared" si="7"/>
        <v>4.95</v>
      </c>
      <c r="J56">
        <f t="shared" si="8"/>
        <v>0</v>
      </c>
    </row>
    <row r="57" spans="1:10">
      <c r="A57">
        <v>-9</v>
      </c>
      <c r="B57">
        <f t="shared" si="0"/>
        <v>21</v>
      </c>
      <c r="C57">
        <f t="shared" si="1"/>
        <v>44.571096000000004</v>
      </c>
      <c r="D57">
        <f t="shared" si="2"/>
        <v>222.85548000000003</v>
      </c>
      <c r="E57">
        <f t="shared" si="9"/>
        <v>1.01</v>
      </c>
      <c r="F57">
        <f t="shared" si="4"/>
        <v>1</v>
      </c>
      <c r="G57">
        <f t="shared" si="5"/>
        <v>4.95</v>
      </c>
      <c r="H57">
        <f t="shared" si="6"/>
        <v>6.0696000000000003</v>
      </c>
      <c r="I57">
        <f t="shared" si="7"/>
        <v>4.95</v>
      </c>
      <c r="J57">
        <f t="shared" si="8"/>
        <v>0</v>
      </c>
    </row>
    <row r="58" spans="1:10">
      <c r="A58">
        <v>-10</v>
      </c>
      <c r="B58">
        <f t="shared" si="0"/>
        <v>20</v>
      </c>
      <c r="C58">
        <f t="shared" si="1"/>
        <v>44.698869999999999</v>
      </c>
      <c r="D58">
        <f t="shared" si="2"/>
        <v>223.49435</v>
      </c>
      <c r="E58">
        <f t="shared" si="9"/>
        <v>1.01</v>
      </c>
      <c r="F58">
        <f t="shared" si="4"/>
        <v>1</v>
      </c>
      <c r="G58">
        <f t="shared" si="5"/>
        <v>4.95</v>
      </c>
      <c r="H58">
        <f t="shared" si="6"/>
        <v>6.0869999999999997</v>
      </c>
      <c r="I58">
        <f t="shared" si="7"/>
        <v>4.95</v>
      </c>
      <c r="J58">
        <f t="shared" si="8"/>
        <v>0</v>
      </c>
    </row>
    <row r="59" spans="1:10">
      <c r="A59">
        <v>-11</v>
      </c>
      <c r="B59">
        <f t="shared" si="0"/>
        <v>19</v>
      </c>
      <c r="C59">
        <f t="shared" si="1"/>
        <v>44.826644000000002</v>
      </c>
      <c r="D59">
        <f t="shared" si="2"/>
        <v>224.13321999999999</v>
      </c>
      <c r="E59">
        <f t="shared" si="9"/>
        <v>1.02</v>
      </c>
      <c r="F59">
        <f t="shared" si="4"/>
        <v>1</v>
      </c>
      <c r="G59">
        <f t="shared" si="5"/>
        <v>4.95</v>
      </c>
      <c r="H59">
        <f t="shared" si="6"/>
        <v>6.1044000000000009</v>
      </c>
      <c r="I59">
        <f t="shared" si="7"/>
        <v>4.95</v>
      </c>
      <c r="J59">
        <f t="shared" si="8"/>
        <v>0</v>
      </c>
    </row>
    <row r="60" spans="1:10">
      <c r="A60">
        <v>-12</v>
      </c>
      <c r="B60">
        <f t="shared" si="0"/>
        <v>18</v>
      </c>
      <c r="C60">
        <f t="shared" si="1"/>
        <v>44.954418000000004</v>
      </c>
      <c r="D60">
        <f t="shared" si="2"/>
        <v>224.77209000000002</v>
      </c>
      <c r="E60">
        <f t="shared" si="9"/>
        <v>1.02</v>
      </c>
      <c r="F60">
        <f t="shared" si="4"/>
        <v>1</v>
      </c>
      <c r="G60">
        <f t="shared" si="5"/>
        <v>4.95</v>
      </c>
      <c r="H60">
        <f t="shared" si="6"/>
        <v>6.1217999999999995</v>
      </c>
      <c r="I60">
        <f t="shared" si="7"/>
        <v>4.95</v>
      </c>
      <c r="J60">
        <f t="shared" si="8"/>
        <v>0</v>
      </c>
    </row>
    <row r="61" spans="1:10">
      <c r="A61">
        <v>-13</v>
      </c>
      <c r="B61">
        <f t="shared" si="0"/>
        <v>17</v>
      </c>
      <c r="C61">
        <f t="shared" si="1"/>
        <v>45.082191999999999</v>
      </c>
      <c r="D61">
        <f t="shared" si="2"/>
        <v>225.41095999999999</v>
      </c>
      <c r="E61">
        <f t="shared" si="9"/>
        <v>1.02</v>
      </c>
      <c r="F61">
        <f t="shared" si="4"/>
        <v>1</v>
      </c>
      <c r="G61">
        <f t="shared" si="5"/>
        <v>4.95</v>
      </c>
      <c r="H61">
        <f t="shared" si="6"/>
        <v>6.1391999999999998</v>
      </c>
      <c r="I61">
        <f t="shared" si="7"/>
        <v>4.95</v>
      </c>
      <c r="J61">
        <f t="shared" si="8"/>
        <v>0</v>
      </c>
    </row>
    <row r="62" spans="1:10">
      <c r="A62">
        <v>-14</v>
      </c>
      <c r="B62">
        <f t="shared" si="0"/>
        <v>16</v>
      </c>
      <c r="C62">
        <f t="shared" si="1"/>
        <v>45.209966000000001</v>
      </c>
      <c r="D62">
        <f t="shared" si="2"/>
        <v>226.04983000000001</v>
      </c>
      <c r="E62">
        <f t="shared" si="9"/>
        <v>1.03</v>
      </c>
      <c r="F62">
        <f t="shared" si="4"/>
        <v>1</v>
      </c>
      <c r="G62">
        <f t="shared" si="5"/>
        <v>4.95</v>
      </c>
      <c r="H62">
        <f t="shared" si="6"/>
        <v>6.1565999999999992</v>
      </c>
      <c r="I62">
        <f t="shared" si="7"/>
        <v>4.95</v>
      </c>
      <c r="J62">
        <f t="shared" si="8"/>
        <v>0</v>
      </c>
    </row>
    <row r="63" spans="1:10">
      <c r="A63">
        <v>-15</v>
      </c>
      <c r="B63">
        <f t="shared" si="0"/>
        <v>15</v>
      </c>
      <c r="C63">
        <f t="shared" si="1"/>
        <v>45.337740000000004</v>
      </c>
      <c r="D63">
        <f t="shared" si="2"/>
        <v>226.68870000000001</v>
      </c>
      <c r="E63">
        <f t="shared" si="9"/>
        <v>1.03</v>
      </c>
      <c r="F63">
        <f t="shared" si="4"/>
        <v>1</v>
      </c>
      <c r="G63">
        <f t="shared" si="5"/>
        <v>4.95</v>
      </c>
      <c r="H63">
        <f t="shared" si="6"/>
        <v>6.1740000000000004</v>
      </c>
      <c r="I63">
        <f t="shared" si="7"/>
        <v>4.95</v>
      </c>
      <c r="J63">
        <f t="shared" si="8"/>
        <v>0</v>
      </c>
    </row>
    <row r="64" spans="1:10">
      <c r="A64">
        <v>-16</v>
      </c>
      <c r="B64">
        <f t="shared" si="0"/>
        <v>14</v>
      </c>
      <c r="C64">
        <f t="shared" si="1"/>
        <v>45.465513999999999</v>
      </c>
      <c r="D64">
        <f t="shared" si="2"/>
        <v>227.32756999999998</v>
      </c>
      <c r="E64">
        <f t="shared" si="9"/>
        <v>1.03</v>
      </c>
      <c r="F64">
        <f t="shared" si="4"/>
        <v>1</v>
      </c>
      <c r="G64">
        <f t="shared" si="5"/>
        <v>4.95</v>
      </c>
      <c r="H64">
        <f t="shared" si="6"/>
        <v>6.1913999999999998</v>
      </c>
      <c r="I64">
        <f t="shared" si="7"/>
        <v>4.95</v>
      </c>
      <c r="J64">
        <f t="shared" si="8"/>
        <v>0</v>
      </c>
    </row>
    <row r="65" spans="1:10">
      <c r="A65">
        <v>-17</v>
      </c>
      <c r="B65">
        <f t="shared" si="0"/>
        <v>13</v>
      </c>
      <c r="C65">
        <f t="shared" si="1"/>
        <v>45.593288000000001</v>
      </c>
      <c r="D65">
        <f t="shared" si="2"/>
        <v>227.96644000000001</v>
      </c>
      <c r="E65">
        <f t="shared" si="9"/>
        <v>1.03</v>
      </c>
      <c r="F65">
        <f t="shared" si="4"/>
        <v>1</v>
      </c>
      <c r="G65">
        <f t="shared" si="5"/>
        <v>4.95</v>
      </c>
      <c r="H65">
        <f t="shared" si="6"/>
        <v>6.2088000000000001</v>
      </c>
      <c r="I65">
        <f t="shared" si="7"/>
        <v>4.95</v>
      </c>
      <c r="J65">
        <f t="shared" si="8"/>
        <v>0</v>
      </c>
    </row>
    <row r="66" spans="1:10">
      <c r="A66">
        <v>-18</v>
      </c>
      <c r="B66">
        <f t="shared" si="0"/>
        <v>12</v>
      </c>
      <c r="C66">
        <f t="shared" si="1"/>
        <v>45.721062000000003</v>
      </c>
      <c r="D66">
        <f t="shared" si="2"/>
        <v>228.60531000000003</v>
      </c>
      <c r="E66">
        <f t="shared" si="9"/>
        <v>1.04</v>
      </c>
      <c r="F66">
        <f t="shared" si="4"/>
        <v>1</v>
      </c>
      <c r="G66">
        <f t="shared" si="5"/>
        <v>4.95</v>
      </c>
      <c r="H66">
        <f t="shared" si="6"/>
        <v>6.2261999999999995</v>
      </c>
      <c r="I66">
        <f t="shared" si="7"/>
        <v>4.95</v>
      </c>
      <c r="J66">
        <f t="shared" si="8"/>
        <v>0</v>
      </c>
    </row>
    <row r="67" spans="1:10">
      <c r="A67">
        <v>-19</v>
      </c>
      <c r="B67">
        <f t="shared" si="0"/>
        <v>11</v>
      </c>
      <c r="C67">
        <f t="shared" si="1"/>
        <v>45.848836000000006</v>
      </c>
      <c r="D67">
        <f t="shared" si="2"/>
        <v>229.24418000000003</v>
      </c>
      <c r="E67">
        <f t="shared" si="9"/>
        <v>1.04</v>
      </c>
      <c r="F67">
        <f t="shared" si="4"/>
        <v>1</v>
      </c>
      <c r="G67">
        <f t="shared" si="5"/>
        <v>4.95</v>
      </c>
      <c r="H67">
        <f t="shared" si="6"/>
        <v>6.2436000000000007</v>
      </c>
      <c r="I67">
        <f t="shared" si="7"/>
        <v>4.95</v>
      </c>
      <c r="J67">
        <f t="shared" si="8"/>
        <v>0</v>
      </c>
    </row>
    <row r="68" spans="1:10">
      <c r="A68">
        <v>-20</v>
      </c>
      <c r="B68">
        <f t="shared" si="0"/>
        <v>10</v>
      </c>
      <c r="C68">
        <f t="shared" si="1"/>
        <v>45.976610000000001</v>
      </c>
      <c r="D68">
        <f t="shared" si="2"/>
        <v>229.88305</v>
      </c>
      <c r="E68">
        <f t="shared" si="9"/>
        <v>1.04</v>
      </c>
      <c r="F68">
        <f t="shared" si="4"/>
        <v>1</v>
      </c>
      <c r="G68">
        <f t="shared" si="5"/>
        <v>4.95</v>
      </c>
      <c r="H68">
        <f t="shared" si="6"/>
        <v>6.2610000000000001</v>
      </c>
      <c r="I68">
        <f t="shared" si="7"/>
        <v>4.95</v>
      </c>
      <c r="J68">
        <f t="shared" si="8"/>
        <v>0</v>
      </c>
    </row>
  </sheetData>
  <mergeCells count="2">
    <mergeCell ref="C3:E3"/>
    <mergeCell ref="J3:K3"/>
  </mergeCells>
  <phoneticPr fontId="21"/>
  <conditionalFormatting sqref="A2">
    <cfRule type="duplicateValues" dxfId="5" priority="17"/>
  </conditionalFormatting>
  <conditionalFormatting sqref="A2">
    <cfRule type="duplicateValues" dxfId="4" priority="16"/>
  </conditionalFormatting>
  <conditionalFormatting sqref="A1">
    <cfRule type="duplicateValues" dxfId="3" priority="2"/>
  </conditionalFormatting>
  <conditionalFormatting sqref="A1">
    <cfRule type="duplicateValues" dxfId="2"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00000000-0002-0000-0A00-000000000000}">
          <x14:formula1>
            <xm:f>太陽電池モジュールリスト!$A:$A</xm:f>
          </x14:formula1>
          <xm:sqref>C3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AO32"/>
  <sheetViews>
    <sheetView zoomScaleNormal="100" workbookViewId="0">
      <selection activeCell="M11" sqref="M11"/>
    </sheetView>
  </sheetViews>
  <sheetFormatPr defaultRowHeight="14.1"/>
  <sheetData>
    <row r="1" spans="1:41">
      <c r="A1" t="s">
        <v>2033</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s="85">
        <f>ROUNDDOWN((高温電圧!B3*高温電圧!B$2-VLOOKUP(HUAWEI製ＰＣＳ接続枚数計算ツール!$C$9,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HUAWEI製ＰＣＳ接続枚数計算ツール!$B$119:$P$149,14,FALSE),0)/100*IF(高温電圧!B3*高温電圧!B$2&lt;VLOOKUP(HUAWEI製ＰＣＳ接続枚数計算ツール!$C$9, HUAWEI製ＰＣＳ接続枚数計算ツール!$B$119:$P$149,12,FALSE),0,1)</f>
        <v>0</v>
      </c>
      <c r="C3" s="85">
        <f>ROUNDDOWN((高温電圧!C3*高温電圧!C$2-VLOOKUP(HUAWEI製ＰＣＳ接続枚数計算ツール!$C$9,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HUAWEI製ＰＣＳ接続枚数計算ツール!$B$119:$P$149,14,FALSE),0)/100*IF(高温電圧!C3*高温電圧!C$2&lt;VLOOKUP(HUAWEI製ＰＣＳ接続枚数計算ツール!$C$9, HUAWEI製ＰＣＳ接続枚数計算ツール!$B$119:$P$149,12,FALSE),0,1)</f>
        <v>0</v>
      </c>
      <c r="D3" s="85">
        <f>ROUNDDOWN((高温電圧!D3*高温電圧!D$2-VLOOKUP(HUAWEI製ＰＣＳ接続枚数計算ツール!$C$9,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HUAWEI製ＰＣＳ接続枚数計算ツール!$B$119:$P$149,14,FALSE),0)/100*IF(高温電圧!D3*高温電圧!D$2&lt;VLOOKUP(HUAWEI製ＰＣＳ接続枚数計算ツール!$C$9, HUAWEI製ＰＣＳ接続枚数計算ツール!$B$119:$P$149,12,FALSE),0,1)</f>
        <v>0</v>
      </c>
      <c r="E3" s="85">
        <f>ROUNDDOWN((高温電圧!E3*高温電圧!E$2-VLOOKUP(HUAWEI製ＰＣＳ接続枚数計算ツール!$C$9,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HUAWEI製ＰＣＳ接続枚数計算ツール!$B$119:$P$149,14,FALSE),0)/100*IF(高温電圧!E3*高温電圧!E$2&lt;VLOOKUP(HUAWEI製ＰＣＳ接続枚数計算ツール!$C$9, HUAWEI製ＰＣＳ接続枚数計算ツール!$B$119:$P$149,12,FALSE),0,1)</f>
        <v>0</v>
      </c>
      <c r="F3" s="85">
        <f>ROUNDDOWN((高温電圧!F3*高温電圧!F$2-VLOOKUP(HUAWEI製ＰＣＳ接続枚数計算ツール!$C$9,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HUAWEI製ＰＣＳ接続枚数計算ツール!$B$119:$P$149,14,FALSE),0)/100*IF(高温電圧!F3*高温電圧!F$2&lt;VLOOKUP(HUAWEI製ＰＣＳ接続枚数計算ツール!$C$9, HUAWEI製ＰＣＳ接続枚数計算ツール!$B$119:$P$149,12,FALSE),0,1)</f>
        <v>0</v>
      </c>
      <c r="G3" s="85">
        <f>ROUNDDOWN((高温電圧!G3*高温電圧!G$2-VLOOKUP(HUAWEI製ＰＣＳ接続枚数計算ツール!$C$9,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HUAWEI製ＰＣＳ接続枚数計算ツール!$B$119:$P$149,14,FALSE),0)/100*IF(高温電圧!G3*高温電圧!G$2&lt;VLOOKUP(HUAWEI製ＰＣＳ接続枚数計算ツール!$C$9, HUAWEI製ＰＣＳ接続枚数計算ツール!$B$119:$P$149,12,FALSE),0,1)</f>
        <v>0</v>
      </c>
      <c r="H3" s="85">
        <f>ROUNDDOWN((高温電圧!H3*高温電圧!H$2-VLOOKUP(HUAWEI製ＰＣＳ接続枚数計算ツール!$C$9,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HUAWEI製ＰＣＳ接続枚数計算ツール!$B$119:$P$149,14,FALSE),0)/100*IF(高温電圧!H3*高温電圧!H$2&lt;VLOOKUP(HUAWEI製ＰＣＳ接続枚数計算ツール!$C$9, HUAWEI製ＰＣＳ接続枚数計算ツール!$B$119:$P$149,12,FALSE),0,1)</f>
        <v>0</v>
      </c>
      <c r="I3" s="85">
        <f>ROUNDDOWN((高温電圧!I3*高温電圧!I$2-VLOOKUP(HUAWEI製ＰＣＳ接続枚数計算ツール!$C$9,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HUAWEI製ＰＣＳ接続枚数計算ツール!$B$119:$P$149,14,FALSE),0)/100*IF(高温電圧!I3*高温電圧!I$2&lt;VLOOKUP(HUAWEI製ＰＣＳ接続枚数計算ツール!$C$9, HUAWEI製ＰＣＳ接続枚数計算ツール!$B$119:$P$149,12,FALSE),0,1)</f>
        <v>0</v>
      </c>
      <c r="J3" s="85">
        <f>ROUNDDOWN((高温電圧!J3*高温電圧!J$2-VLOOKUP(HUAWEI製ＰＣＳ接続枚数計算ツール!$C$9,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HUAWEI製ＰＣＳ接続枚数計算ツール!$B$119:$P$149,14,FALSE),0)/100*IF(高温電圧!J3*高温電圧!J$2&lt;VLOOKUP(HUAWEI製ＰＣＳ接続枚数計算ツール!$C$9, HUAWEI製ＰＣＳ接続枚数計算ツール!$B$119:$P$149,12,FALSE),0,1)</f>
        <v>0</v>
      </c>
      <c r="K3" s="85">
        <f>ROUNDDOWN((高温電圧!K3*高温電圧!K$2-VLOOKUP(HUAWEI製ＰＣＳ接続枚数計算ツール!$C$9,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HUAWEI製ＰＣＳ接続枚数計算ツール!$B$119:$P$149,14,FALSE),0)/100*IF(高温電圧!K3*高温電圧!K$2&lt;VLOOKUP(HUAWEI製ＰＣＳ接続枚数計算ツール!$C$9, HUAWEI製ＰＣＳ接続枚数計算ツール!$B$119:$P$149,12,FALSE),0,1)</f>
        <v>0</v>
      </c>
      <c r="L3" s="85">
        <f>ROUNDDOWN((高温電圧!L3*高温電圧!L$2-VLOOKUP(HUAWEI製ＰＣＳ接続枚数計算ツール!$C$9,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HUAWEI製ＰＣＳ接続枚数計算ツール!$B$119:$P$149,14,FALSE),0)/100*IF(高温電圧!L3*高温電圧!L$2&lt;VLOOKUP(HUAWEI製ＰＣＳ接続枚数計算ツール!$C$9, HUAWEI製ＰＣＳ接続枚数計算ツール!$B$119:$P$149,12,FALSE),0,1)</f>
        <v>0</v>
      </c>
      <c r="M3" s="85">
        <f>ROUNDDOWN((高温電圧!M3*高温電圧!M$2-VLOOKUP(HUAWEI製ＰＣＳ接続枚数計算ツール!$C$9,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HUAWEI製ＰＣＳ接続枚数計算ツール!$B$119:$P$149,14,FALSE),0)/100*IF(高温電圧!M3*高温電圧!M$2&lt;VLOOKUP(HUAWEI製ＰＣＳ接続枚数計算ツール!$C$9, HUAWEI製ＰＣＳ接続枚数計算ツール!$B$119:$P$149,12,FALSE),0,1)</f>
        <v>0</v>
      </c>
      <c r="N3" s="85">
        <f>ROUNDDOWN((高温電圧!N3*高温電圧!N$2-VLOOKUP(HUAWEI製ＰＣＳ接続枚数計算ツール!$C$9,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HUAWEI製ＰＣＳ接続枚数計算ツール!$B$119:$P$149,14,FALSE),0)/100*IF(高温電圧!N3*高温電圧!N$2&lt;VLOOKUP(HUAWEI製ＰＣＳ接続枚数計算ツール!$C$9, HUAWEI製ＰＣＳ接続枚数計算ツール!$B$119:$P$149,12,FALSE),0,1)</f>
        <v>0</v>
      </c>
      <c r="O3" s="85">
        <f>ROUNDDOWN((高温電圧!O3*高温電圧!O$2-VLOOKUP(HUAWEI製ＰＣＳ接続枚数計算ツール!$C$9,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HUAWEI製ＰＣＳ接続枚数計算ツール!$B$119:$P$149,14,FALSE),0)/100*IF(高温電圧!O3*高温電圧!O$2&lt;VLOOKUP(HUAWEI製ＰＣＳ接続枚数計算ツール!$C$9, HUAWEI製ＰＣＳ接続枚数計算ツール!$B$119:$P$149,12,FALSE),0,1)</f>
        <v>0.64</v>
      </c>
      <c r="P3" s="85">
        <f>ROUNDDOWN((高温電圧!P3*高温電圧!P$2-VLOOKUP(HUAWEI製ＰＣＳ接続枚数計算ツール!$C$9,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HUAWEI製ＰＣＳ接続枚数計算ツール!$B$119:$P$149,14,FALSE),0)/100*IF(高温電圧!P3*高温電圧!P$2&lt;VLOOKUP(HUAWEI製ＰＣＳ接続枚数計算ツール!$C$9, HUAWEI製ＰＣＳ接続枚数計算ツール!$B$119:$P$149,12,FALSE),0,1)</f>
        <v>0.7</v>
      </c>
      <c r="Q3" s="85">
        <f>ROUNDDOWN((高温電圧!Q3*高温電圧!Q$2-VLOOKUP(HUAWEI製ＰＣＳ接続枚数計算ツール!$C$9,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HUAWEI製ＰＣＳ接続枚数計算ツール!$B$119:$P$149,14,FALSE),0)/100*IF(高温電圧!Q3*高温電圧!Q$2&lt;VLOOKUP(HUAWEI製ＰＣＳ接続枚数計算ツール!$C$9, HUAWEI製ＰＣＳ接続枚数計算ツール!$B$119:$P$149,12,FALSE),0,1)</f>
        <v>0.75</v>
      </c>
      <c r="R3" s="85">
        <f>ROUNDDOWN((高温電圧!R3*高温電圧!R$2-VLOOKUP(HUAWEI製ＰＣＳ接続枚数計算ツール!$C$9,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HUAWEI製ＰＣＳ接続枚数計算ツール!$B$119:$P$149,14,FALSE),0)/100*IF(高温電圧!R3*高温電圧!R$2&lt;VLOOKUP(HUAWEI製ＰＣＳ接続枚数計算ツール!$C$9, HUAWEI製ＰＣＳ接続枚数計算ツール!$B$119:$P$149,12,FALSE),0,1)</f>
        <v>0.81</v>
      </c>
      <c r="S3" s="85">
        <f>ROUNDDOWN((高温電圧!S3*高温電圧!S$2-VLOOKUP(HUAWEI製ＰＣＳ接続枚数計算ツール!$C$9,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HUAWEI製ＰＣＳ接続枚数計算ツール!$B$119:$P$149,14,FALSE),0)/100*IF(高温電圧!S3*高温電圧!S$2&lt;VLOOKUP(HUAWEI製ＰＣＳ接続枚数計算ツール!$C$9, HUAWEI製ＰＣＳ接続枚数計算ツール!$B$119:$P$149,12,FALSE),0,1)</f>
        <v>0.87</v>
      </c>
      <c r="T3" s="85">
        <f>ROUNDDOWN((高温電圧!T3*高温電圧!T$2-VLOOKUP(HUAWEI製ＰＣＳ接続枚数計算ツール!$C$9,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HUAWEI製ＰＣＳ接続枚数計算ツール!$B$119:$P$149,14,FALSE),0)/100*IF(高温電圧!T3*高温電圧!T$2&lt;VLOOKUP(HUAWEI製ＰＣＳ接続枚数計算ツール!$C$9, HUAWEI製ＰＣＳ接続枚数計算ツール!$B$119:$P$149,12,FALSE),0,1)</f>
        <v>0.92</v>
      </c>
      <c r="U3" s="85">
        <f>ROUNDDOWN((高温電圧!U3*高温電圧!U$2-VLOOKUP(HUAWEI製ＰＣＳ接続枚数計算ツール!$C$9,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HUAWEI製ＰＣＳ接続枚数計算ツール!$B$119:$P$149,14,FALSE),0)/100*IF(高温電圧!U3*高温電圧!U$2&lt;VLOOKUP(HUAWEI製ＰＣＳ接続枚数計算ツール!$C$9, HUAWEI製ＰＣＳ接続枚数計算ツール!$B$119:$P$149,12,FALSE),0,1)</f>
        <v>0.98</v>
      </c>
      <c r="V3" s="85">
        <f>ROUNDDOWN((高温電圧!V3*高温電圧!V$2-VLOOKUP(HUAWEI製ＰＣＳ接続枚数計算ツール!$C$9,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HUAWEI製ＰＣＳ接続枚数計算ツール!$B$119:$P$149,14,FALSE),0)/100*IF(高温電圧!V3*高温電圧!V$2&lt;VLOOKUP(HUAWEI製ＰＣＳ接続枚数計算ツール!$C$9, HUAWEI製ＰＣＳ接続枚数計算ツール!$B$119:$P$149,12,FALSE),0,1)</f>
        <v>1.04</v>
      </c>
      <c r="W3" s="85">
        <f>ROUNDDOWN((高温電圧!W3*高温電圧!W$2-VLOOKUP(HUAWEI製ＰＣＳ接続枚数計算ツール!$C$9,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HUAWEI製ＰＣＳ接続枚数計算ツール!$B$119:$P$149,14,FALSE),0)/100*IF(高温電圧!W3*高温電圧!W$2&lt;VLOOKUP(HUAWEI製ＰＣＳ接続枚数計算ツール!$C$9, HUAWEI製ＰＣＳ接続枚数計算ツール!$B$119:$P$149,12,FALSE),0,1)</f>
        <v>1.0900000000000001</v>
      </c>
      <c r="X3" s="85">
        <f>ROUNDDOWN((高温電圧!X3*高温電圧!X$2-VLOOKUP(HUAWEI製ＰＣＳ接続枚数計算ツール!$C$9,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HUAWEI製ＰＣＳ接続枚数計算ツール!$B$119:$P$149,14,FALSE),0)/100*IF(高温電圧!X3*高温電圧!X$2&lt;VLOOKUP(HUAWEI製ＰＣＳ接続枚数計算ツール!$C$9, HUAWEI製ＰＣＳ接続枚数計算ツール!$B$119:$P$149,12,FALSE),0,1)</f>
        <v>1.1499999999999999</v>
      </c>
      <c r="Y3" s="85">
        <f>ROUNDDOWN((高温電圧!Y3*高温電圧!Y$2-VLOOKUP(HUAWEI製ＰＣＳ接続枚数計算ツール!$C$9,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HUAWEI製ＰＣＳ接続枚数計算ツール!$B$119:$P$149,14,FALSE),0)/100*IF(高温電圧!Y3*高温電圧!Y$2&lt;VLOOKUP(HUAWEI製ＰＣＳ接続枚数計算ツール!$C$9, HUAWEI製ＰＣＳ接続枚数計算ツール!$B$119:$P$149,12,FALSE),0,1)</f>
        <v>1.2</v>
      </c>
      <c r="Z3" s="85">
        <f>ROUNDDOWN((高温電圧!Z3*高温電圧!Z$2-VLOOKUP(HUAWEI製ＰＣＳ接続枚数計算ツール!$C$9,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HUAWEI製ＰＣＳ接続枚数計算ツール!$B$119:$P$149,14,FALSE),0)/100*IF(高温電圧!Z3*高温電圧!Z$2&lt;VLOOKUP(HUAWEI製ＰＣＳ接続枚数計算ツール!$C$9, HUAWEI製ＰＣＳ接続枚数計算ツール!$B$119:$P$149,12,FALSE),0,1)</f>
        <v>1.26</v>
      </c>
      <c r="AA3" s="85">
        <f>ROUNDDOWN((高温電圧!AA3*高温電圧!AA$2-VLOOKUP(HUAWEI製ＰＣＳ接続枚数計算ツール!$C$9,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HUAWEI製ＰＣＳ接続枚数計算ツール!$B$119:$P$149,14,FALSE),0)/100*IF(高温電圧!AA3*高温電圧!AA$2&lt;VLOOKUP(HUAWEI製ＰＣＳ接続枚数計算ツール!$C$9, HUAWEI製ＰＣＳ接続枚数計算ツール!$B$119:$P$149,12,FALSE),0,1)</f>
        <v>1.32</v>
      </c>
      <c r="AB3" s="85">
        <f>ROUNDDOWN((高温電圧!AB3*高温電圧!AB$2-VLOOKUP(HUAWEI製ＰＣＳ接続枚数計算ツール!$C$9,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HUAWEI製ＰＣＳ接続枚数計算ツール!$B$119:$P$149,14,FALSE),0)/100*IF(高温電圧!AB3*高温電圧!AB$2&lt;VLOOKUP(HUAWEI製ＰＣＳ接続枚数計算ツール!$C$9, HUAWEI製ＰＣＳ接続枚数計算ツール!$B$119:$P$149,12,FALSE),0,1)</f>
        <v>1.37</v>
      </c>
      <c r="AC3" s="85">
        <f>ROUNDDOWN((高温電圧!AC3*高温電圧!AC$2-VLOOKUP(HUAWEI製ＰＣＳ接続枚数計算ツール!$C$9,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HUAWEI製ＰＣＳ接続枚数計算ツール!$B$119:$P$149,14,FALSE),0)/100*IF(高温電圧!AC3*高温電圧!AC$2&lt;VLOOKUP(HUAWEI製ＰＣＳ接続枚数計算ツール!$C$9, HUAWEI製ＰＣＳ接続枚数計算ツール!$B$119:$P$149,12,FALSE),0,1)</f>
        <v>1.43</v>
      </c>
      <c r="AD3" s="85">
        <f>ROUNDDOWN((高温電圧!AD3*高温電圧!AD$2-VLOOKUP(HUAWEI製ＰＣＳ接続枚数計算ツール!$C$9,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HUAWEI製ＰＣＳ接続枚数計算ツール!$B$119:$P$149,14,FALSE),0)/100*IF(高温電圧!AD3*高温電圧!AD$2&lt;VLOOKUP(HUAWEI製ＰＣＳ接続枚数計算ツール!$C$9, HUAWEI製ＰＣＳ接続枚数計算ツール!$B$119:$P$149,12,FALSE),0,1)</f>
        <v>1.49</v>
      </c>
      <c r="AE3" s="85">
        <f>ROUNDDOWN((高温電圧!AE3*高温電圧!AE$2-VLOOKUP(HUAWEI製ＰＣＳ接続枚数計算ツール!$C$9,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HUAWEI製ＰＣＳ接続枚数計算ツール!$B$119:$P$149,14,FALSE),0)/100*IF(高温電圧!AE3*高温電圧!AE$2&lt;VLOOKUP(HUAWEI製ＰＣＳ接続枚数計算ツール!$C$9, HUAWEI製ＰＣＳ接続枚数計算ツール!$B$119:$P$149,12,FALSE),0,1)</f>
        <v>1.54</v>
      </c>
      <c r="AF3" s="85">
        <f>ROUNDDOWN((高温電圧!AF3*高温電圧!AF$2-VLOOKUP(HUAWEI製ＰＣＳ接続枚数計算ツール!$C$9,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HUAWEI製ＰＣＳ接続枚数計算ツール!$B$119:$P$149,14,FALSE),0)/100*IF(高温電圧!AF3*高温電圧!AF$2&lt;VLOOKUP(HUAWEI製ＰＣＳ接続枚数計算ツール!$C$9, HUAWEI製ＰＣＳ接続枚数計算ツール!$B$119:$P$149,12,FALSE),0,1)</f>
        <v>1.6</v>
      </c>
      <c r="AG3" s="85">
        <f>ROUNDDOWN((高温電圧!AG3*高温電圧!AG$2-VLOOKUP(HUAWEI製ＰＣＳ接続枚数計算ツール!$C$9,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HUAWEI製ＰＣＳ接続枚数計算ツール!$B$119:$P$149,14,FALSE),0)/100*IF(高温電圧!AG3*高温電圧!AG$2&lt;VLOOKUP(HUAWEI製ＰＣＳ接続枚数計算ツール!$C$9, HUAWEI製ＰＣＳ接続枚数計算ツール!$B$119:$P$149,12,FALSE),0,1)</f>
        <v>1.65</v>
      </c>
      <c r="AH3" s="85">
        <f>ROUNDDOWN((高温電圧!AH3*高温電圧!AH$2-VLOOKUP(HUAWEI製ＰＣＳ接続枚数計算ツール!$C$9,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HUAWEI製ＰＣＳ接続枚数計算ツール!$B$119:$P$149,14,FALSE),0)/100*IF(高温電圧!AH3*高温電圧!AH$2&lt;VLOOKUP(HUAWEI製ＰＣＳ接続枚数計算ツール!$C$9, HUAWEI製ＰＣＳ接続枚数計算ツール!$B$119:$P$149,12,FALSE),0,1)</f>
        <v>1.71</v>
      </c>
      <c r="AI3" s="85">
        <f>ROUNDDOWN((高温電圧!AI3*高温電圧!AI$2-VLOOKUP(HUAWEI製ＰＣＳ接続枚数計算ツール!$C$9,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HUAWEI製ＰＣＳ接続枚数計算ツール!$B$119:$P$149,14,FALSE),0)/100*IF(高温電圧!AI3*高温電圧!AI$2&lt;VLOOKUP(HUAWEI製ＰＣＳ接続枚数計算ツール!$C$9, HUAWEI製ＰＣＳ接続枚数計算ツール!$B$119:$P$149,12,FALSE),0,1)</f>
        <v>1.77</v>
      </c>
      <c r="AJ3" s="85">
        <f>ROUNDDOWN((高温電圧!AJ3*高温電圧!AJ$2-VLOOKUP(HUAWEI製ＰＣＳ接続枚数計算ツール!$C$9,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HUAWEI製ＰＣＳ接続枚数計算ツール!$B$119:$P$149,14,FALSE),0)/100*IF(高温電圧!AJ3*高温電圧!AJ$2&lt;VLOOKUP(HUAWEI製ＰＣＳ接続枚数計算ツール!$C$9, HUAWEI製ＰＣＳ接続枚数計算ツール!$B$119:$P$149,12,FALSE),0,1)</f>
        <v>1.82</v>
      </c>
      <c r="AK3" s="85">
        <f>ROUNDDOWN((高温電圧!AK3*高温電圧!AK$2-VLOOKUP(HUAWEI製ＰＣＳ接続枚数計算ツール!$C$9,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HUAWEI製ＰＣＳ接続枚数計算ツール!$B$119:$P$149,14,FALSE),0)/100*IF(高温電圧!AK3*高温電圧!AK$2&lt;VLOOKUP(HUAWEI製ＰＣＳ接続枚数計算ツール!$C$9, HUAWEI製ＰＣＳ接続枚数計算ツール!$B$119:$P$149,12,FALSE),0,1)</f>
        <v>1.88</v>
      </c>
      <c r="AL3" s="85">
        <f>ROUNDDOWN((高温電圧!AL3*高温電圧!AL$2-VLOOKUP(HUAWEI製ＰＣＳ接続枚数計算ツール!$C$9,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HUAWEI製ＰＣＳ接続枚数計算ツール!$B$119:$P$149,14,FALSE),0)/100*IF(高温電圧!AL3*高温電圧!AL$2&lt;VLOOKUP(HUAWEI製ＰＣＳ接続枚数計算ツール!$C$9, HUAWEI製ＰＣＳ接続枚数計算ツール!$B$119:$P$149,12,FALSE),0,1)</f>
        <v>1.94</v>
      </c>
      <c r="AM3" s="85">
        <f>ROUNDDOWN((高温電圧!AM3*高温電圧!AM$2-VLOOKUP(HUAWEI製ＰＣＳ接続枚数計算ツール!$C$9,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HUAWEI製ＰＣＳ接続枚数計算ツール!$B$119:$P$149,14,FALSE),0)/100*IF(高温電圧!AM3*高温電圧!AM$2&lt;VLOOKUP(HUAWEI製ＰＣＳ接続枚数計算ツール!$C$9, HUAWEI製ＰＣＳ接続枚数計算ツール!$B$119:$P$149,12,FALSE),0,1)</f>
        <v>1.99</v>
      </c>
      <c r="AN3" s="85">
        <f>ROUNDDOWN((高温電圧!AN3*高温電圧!AN$2-VLOOKUP(HUAWEI製ＰＣＳ接続枚数計算ツール!$C$9,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HUAWEI製ＰＣＳ接続枚数計算ツール!$B$119:$P$149,14,FALSE),0)/100*IF(高温電圧!AN3*高温電圧!AN$2&lt;VLOOKUP(HUAWEI製ＰＣＳ接続枚数計算ツール!$C$9, HUAWEI製ＰＣＳ接続枚数計算ツール!$B$119:$P$149,12,FALSE),0,1)</f>
        <v>2.0499999999999998</v>
      </c>
      <c r="AO3" s="85">
        <f>ROUNDDOWN((高温電圧!AO3*高温電圧!AO$2-VLOOKUP(HUAWEI製ＰＣＳ接続枚数計算ツール!$C$9,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HUAWEI製ＰＣＳ接続枚数計算ツール!$B$119:$P$149,14,FALSE),0)/100*IF(高温電圧!AO3*高温電圧!AO$2&lt;VLOOKUP(HUAWEI製ＰＣＳ接続枚数計算ツール!$C$9, HUAWEI製ＰＣＳ接続枚数計算ツール!$B$119:$P$149,12,FALSE),0,1)</f>
        <v>2.1</v>
      </c>
    </row>
    <row r="4" spans="1:41">
      <c r="A4">
        <v>2</v>
      </c>
      <c r="B4" s="85">
        <f>ROUNDDOWN((高温電圧!B4*高温電圧!B$2-VLOOKUP(HUAWEI製ＰＣＳ接続枚数計算ツール!$C$9,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HUAWEI製ＰＣＳ接続枚数計算ツール!$B$119:$P$149,14,FALSE),0)/100*IF(高温電圧!B4*高温電圧!B$2&lt;VLOOKUP(HUAWEI製ＰＣＳ接続枚数計算ツール!$C$9, HUAWEI製ＰＣＳ接続枚数計算ツール!$B$119:$P$149,12,FALSE),0,1)</f>
        <v>0</v>
      </c>
      <c r="C4" s="85">
        <f>ROUNDDOWN((高温電圧!C4*高温電圧!C$2-VLOOKUP(HUAWEI製ＰＣＳ接続枚数計算ツール!$C$9,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HUAWEI製ＰＣＳ接続枚数計算ツール!$B$119:$P$149,14,FALSE),0)/100*IF(高温電圧!C4*高温電圧!C$2&lt;VLOOKUP(HUAWEI製ＰＣＳ接続枚数計算ツール!$C$9, HUAWEI製ＰＣＳ接続枚数計算ツール!$B$119:$P$149,12,FALSE),0,1)</f>
        <v>0</v>
      </c>
      <c r="D4" s="85">
        <f>ROUNDDOWN((高温電圧!D4*高温電圧!D$2-VLOOKUP(HUAWEI製ＰＣＳ接続枚数計算ツール!$C$9,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HUAWEI製ＰＣＳ接続枚数計算ツール!$B$119:$P$149,14,FALSE),0)/100*IF(高温電圧!D4*高温電圧!D$2&lt;VLOOKUP(HUAWEI製ＰＣＳ接続枚数計算ツール!$C$9, HUAWEI製ＰＣＳ接続枚数計算ツール!$B$119:$P$149,12,FALSE),0,1)</f>
        <v>0</v>
      </c>
      <c r="E4" s="85">
        <f>ROUNDDOWN((高温電圧!E4*高温電圧!E$2-VLOOKUP(HUAWEI製ＰＣＳ接続枚数計算ツール!$C$9,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HUAWEI製ＰＣＳ接続枚数計算ツール!$B$119:$P$149,14,FALSE),0)/100*IF(高温電圧!E4*高温電圧!E$2&lt;VLOOKUP(HUAWEI製ＰＣＳ接続枚数計算ツール!$C$9, HUAWEI製ＰＣＳ接続枚数計算ツール!$B$119:$P$149,12,FALSE),0,1)</f>
        <v>0</v>
      </c>
      <c r="F4" s="85">
        <f>ROUNDDOWN((高温電圧!F4*高温電圧!F$2-VLOOKUP(HUAWEI製ＰＣＳ接続枚数計算ツール!$C$9,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HUAWEI製ＰＣＳ接続枚数計算ツール!$B$119:$P$149,14,FALSE),0)/100*IF(高温電圧!F4*高温電圧!F$2&lt;VLOOKUP(HUAWEI製ＰＣＳ接続枚数計算ツール!$C$9, HUAWEI製ＰＣＳ接続枚数計算ツール!$B$119:$P$149,12,FALSE),0,1)</f>
        <v>0</v>
      </c>
      <c r="G4" s="85">
        <f>ROUNDDOWN((高温電圧!G4*高温電圧!G$2-VLOOKUP(HUAWEI製ＰＣＳ接続枚数計算ツール!$C$9,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HUAWEI製ＰＣＳ接続枚数計算ツール!$B$119:$P$149,14,FALSE),0)/100*IF(高温電圧!G4*高温電圧!G$2&lt;VLOOKUP(HUAWEI製ＰＣＳ接続枚数計算ツール!$C$9, HUAWEI製ＰＣＳ接続枚数計算ツール!$B$119:$P$149,12,FALSE),0,1)</f>
        <v>0</v>
      </c>
      <c r="H4" s="85">
        <f>ROUNDDOWN((高温電圧!H4*高温電圧!H$2-VLOOKUP(HUAWEI製ＰＣＳ接続枚数計算ツール!$C$9,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HUAWEI製ＰＣＳ接続枚数計算ツール!$B$119:$P$149,14,FALSE),0)/100*IF(高温電圧!H4*高温電圧!H$2&lt;VLOOKUP(HUAWEI製ＰＣＳ接続枚数計算ツール!$C$9, HUAWEI製ＰＣＳ接続枚数計算ツール!$B$119:$P$149,12,FALSE),0,1)</f>
        <v>0</v>
      </c>
      <c r="I4" s="85">
        <f>ROUNDDOWN((高温電圧!I4*高温電圧!I$2-VLOOKUP(HUAWEI製ＰＣＳ接続枚数計算ツール!$C$9,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HUAWEI製ＰＣＳ接続枚数計算ツール!$B$119:$P$149,14,FALSE),0)/100*IF(高温電圧!I4*高温電圧!I$2&lt;VLOOKUP(HUAWEI製ＰＣＳ接続枚数計算ツール!$C$9, HUAWEI製ＰＣＳ接続枚数計算ツール!$B$119:$P$149,12,FALSE),0,1)</f>
        <v>0</v>
      </c>
      <c r="J4" s="85">
        <f>ROUNDDOWN((高温電圧!J4*高温電圧!J$2-VLOOKUP(HUAWEI製ＰＣＳ接続枚数計算ツール!$C$9,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HUAWEI製ＰＣＳ接続枚数計算ツール!$B$119:$P$149,14,FALSE),0)/100*IF(高温電圧!J4*高温電圧!J$2&lt;VLOOKUP(HUAWEI製ＰＣＳ接続枚数計算ツール!$C$9, HUAWEI製ＰＣＳ接続枚数計算ツール!$B$119:$P$149,12,FALSE),0,1)</f>
        <v>0</v>
      </c>
      <c r="K4" s="85">
        <f>ROUNDDOWN((高温電圧!K4*高温電圧!K$2-VLOOKUP(HUAWEI製ＰＣＳ接続枚数計算ツール!$C$9,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HUAWEI製ＰＣＳ接続枚数計算ツール!$B$119:$P$149,14,FALSE),0)/100*IF(高温電圧!K4*高温電圧!K$2&lt;VLOOKUP(HUAWEI製ＰＣＳ接続枚数計算ツール!$C$9, HUAWEI製ＰＣＳ接続枚数計算ツール!$B$119:$P$149,12,FALSE),0,1)</f>
        <v>0</v>
      </c>
      <c r="L4" s="85">
        <f>ROUNDDOWN((高温電圧!L4*高温電圧!L$2-VLOOKUP(HUAWEI製ＰＣＳ接続枚数計算ツール!$C$9,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HUAWEI製ＰＣＳ接続枚数計算ツール!$B$119:$P$149,14,FALSE),0)/100*IF(高温電圧!L4*高温電圧!L$2&lt;VLOOKUP(HUAWEI製ＰＣＳ接続枚数計算ツール!$C$9, HUAWEI製ＰＣＳ接続枚数計算ツール!$B$119:$P$149,12,FALSE),0,1)</f>
        <v>0</v>
      </c>
      <c r="M4" s="85">
        <f>ROUNDDOWN((高温電圧!M4*高温電圧!M$2-VLOOKUP(HUAWEI製ＰＣＳ接続枚数計算ツール!$C$9,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HUAWEI製ＰＣＳ接続枚数計算ツール!$B$119:$P$149,14,FALSE),0)/100*IF(高温電圧!M4*高温電圧!M$2&lt;VLOOKUP(HUAWEI製ＰＣＳ接続枚数計算ツール!$C$9, HUAWEI製ＰＣＳ接続枚数計算ツール!$B$119:$P$149,12,FALSE),0,1)</f>
        <v>0</v>
      </c>
      <c r="N4" s="85">
        <f>ROUNDDOWN((高温電圧!N4*高温電圧!N$2-VLOOKUP(HUAWEI製ＰＣＳ接続枚数計算ツール!$C$9,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HUAWEI製ＰＣＳ接続枚数計算ツール!$B$119:$P$149,14,FALSE),0)/100*IF(高温電圧!N4*高温電圧!N$2&lt;VLOOKUP(HUAWEI製ＰＣＳ接続枚数計算ツール!$C$9, HUAWEI製ＰＣＳ接続枚数計算ツール!$B$119:$P$149,12,FALSE),0,1)</f>
        <v>0</v>
      </c>
      <c r="O4" s="85">
        <f>ROUNDDOWN((高温電圧!O4*高温電圧!O$2-VLOOKUP(HUAWEI製ＰＣＳ接続枚数計算ツール!$C$9,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HUAWEI製ＰＣＳ接続枚数計算ツール!$B$119:$P$149,14,FALSE),0)/100*IF(高温電圧!O4*高温電圧!O$2&lt;VLOOKUP(HUAWEI製ＰＣＳ接続枚数計算ツール!$C$9, HUAWEI製ＰＣＳ接続枚数計算ツール!$B$119:$P$149,12,FALSE),0,1)</f>
        <v>0.64</v>
      </c>
      <c r="P4" s="85">
        <f>ROUNDDOWN((高温電圧!P4*高温電圧!P$2-VLOOKUP(HUAWEI製ＰＣＳ接続枚数計算ツール!$C$9,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HUAWEI製ＰＣＳ接続枚数計算ツール!$B$119:$P$149,14,FALSE),0)/100*IF(高温電圧!P4*高温電圧!P$2&lt;VLOOKUP(HUAWEI製ＰＣＳ接続枚数計算ツール!$C$9, HUAWEI製ＰＣＳ接続枚数計算ツール!$B$119:$P$149,12,FALSE),0,1)</f>
        <v>0.7</v>
      </c>
      <c r="Q4" s="85">
        <f>ROUNDDOWN((高温電圧!Q4*高温電圧!Q$2-VLOOKUP(HUAWEI製ＰＣＳ接続枚数計算ツール!$C$9,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HUAWEI製ＰＣＳ接続枚数計算ツール!$B$119:$P$149,14,FALSE),0)/100*IF(高温電圧!Q4*高温電圧!Q$2&lt;VLOOKUP(HUAWEI製ＰＣＳ接続枚数計算ツール!$C$9, HUAWEI製ＰＣＳ接続枚数計算ツール!$B$119:$P$149,12,FALSE),0,1)</f>
        <v>0.75</v>
      </c>
      <c r="R4" s="85">
        <f>ROUNDDOWN((高温電圧!R4*高温電圧!R$2-VLOOKUP(HUAWEI製ＰＣＳ接続枚数計算ツール!$C$9,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HUAWEI製ＰＣＳ接続枚数計算ツール!$B$119:$P$149,14,FALSE),0)/100*IF(高温電圧!R4*高温電圧!R$2&lt;VLOOKUP(HUAWEI製ＰＣＳ接続枚数計算ツール!$C$9, HUAWEI製ＰＣＳ接続枚数計算ツール!$B$119:$P$149,12,FALSE),0,1)</f>
        <v>0.81</v>
      </c>
      <c r="S4" s="85">
        <f>ROUNDDOWN((高温電圧!S4*高温電圧!S$2-VLOOKUP(HUAWEI製ＰＣＳ接続枚数計算ツール!$C$9,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HUAWEI製ＰＣＳ接続枚数計算ツール!$B$119:$P$149,14,FALSE),0)/100*IF(高温電圧!S4*高温電圧!S$2&lt;VLOOKUP(HUAWEI製ＰＣＳ接続枚数計算ツール!$C$9, HUAWEI製ＰＣＳ接続枚数計算ツール!$B$119:$P$149,12,FALSE),0,1)</f>
        <v>0.87</v>
      </c>
      <c r="T4" s="85">
        <f>ROUNDDOWN((高温電圧!T4*高温電圧!T$2-VLOOKUP(HUAWEI製ＰＣＳ接続枚数計算ツール!$C$9,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HUAWEI製ＰＣＳ接続枚数計算ツール!$B$119:$P$149,14,FALSE),0)/100*IF(高温電圧!T4*高温電圧!T$2&lt;VLOOKUP(HUAWEI製ＰＣＳ接続枚数計算ツール!$C$9, HUAWEI製ＰＣＳ接続枚数計算ツール!$B$119:$P$149,12,FALSE),0,1)</f>
        <v>0.92</v>
      </c>
      <c r="U4" s="85">
        <f>ROUNDDOWN((高温電圧!U4*高温電圧!U$2-VLOOKUP(HUAWEI製ＰＣＳ接続枚数計算ツール!$C$9,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HUAWEI製ＰＣＳ接続枚数計算ツール!$B$119:$P$149,14,FALSE),0)/100*IF(高温電圧!U4*高温電圧!U$2&lt;VLOOKUP(HUAWEI製ＰＣＳ接続枚数計算ツール!$C$9, HUAWEI製ＰＣＳ接続枚数計算ツール!$B$119:$P$149,12,FALSE),0,1)</f>
        <v>0.98</v>
      </c>
      <c r="V4" s="85">
        <f>ROUNDDOWN((高温電圧!V4*高温電圧!V$2-VLOOKUP(HUAWEI製ＰＣＳ接続枚数計算ツール!$C$9,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HUAWEI製ＰＣＳ接続枚数計算ツール!$B$119:$P$149,14,FALSE),0)/100*IF(高温電圧!V4*高温電圧!V$2&lt;VLOOKUP(HUAWEI製ＰＣＳ接続枚数計算ツール!$C$9, HUAWEI製ＰＣＳ接続枚数計算ツール!$B$119:$P$149,12,FALSE),0,1)</f>
        <v>1.04</v>
      </c>
      <c r="W4" s="85">
        <f>ROUNDDOWN((高温電圧!W4*高温電圧!W$2-VLOOKUP(HUAWEI製ＰＣＳ接続枚数計算ツール!$C$9,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HUAWEI製ＰＣＳ接続枚数計算ツール!$B$119:$P$149,14,FALSE),0)/100*IF(高温電圧!W4*高温電圧!W$2&lt;VLOOKUP(HUAWEI製ＰＣＳ接続枚数計算ツール!$C$9, HUAWEI製ＰＣＳ接続枚数計算ツール!$B$119:$P$149,12,FALSE),0,1)</f>
        <v>1.0900000000000001</v>
      </c>
      <c r="X4" s="85">
        <f>ROUNDDOWN((高温電圧!X4*高温電圧!X$2-VLOOKUP(HUAWEI製ＰＣＳ接続枚数計算ツール!$C$9,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HUAWEI製ＰＣＳ接続枚数計算ツール!$B$119:$P$149,14,FALSE),0)/100*IF(高温電圧!X4*高温電圧!X$2&lt;VLOOKUP(HUAWEI製ＰＣＳ接続枚数計算ツール!$C$9, HUAWEI製ＰＣＳ接続枚数計算ツール!$B$119:$P$149,12,FALSE),0,1)</f>
        <v>1.1499999999999999</v>
      </c>
      <c r="Y4" s="85">
        <f>ROUNDDOWN((高温電圧!Y4*高温電圧!Y$2-VLOOKUP(HUAWEI製ＰＣＳ接続枚数計算ツール!$C$9,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HUAWEI製ＰＣＳ接続枚数計算ツール!$B$119:$P$149,14,FALSE),0)/100*IF(高温電圧!Y4*高温電圧!Y$2&lt;VLOOKUP(HUAWEI製ＰＣＳ接続枚数計算ツール!$C$9, HUAWEI製ＰＣＳ接続枚数計算ツール!$B$119:$P$149,12,FALSE),0,1)</f>
        <v>1.2</v>
      </c>
      <c r="Z4" s="85">
        <f>ROUNDDOWN((高温電圧!Z4*高温電圧!Z$2-VLOOKUP(HUAWEI製ＰＣＳ接続枚数計算ツール!$C$9,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HUAWEI製ＰＣＳ接続枚数計算ツール!$B$119:$P$149,14,FALSE),0)/100*IF(高温電圧!Z4*高温電圧!Z$2&lt;VLOOKUP(HUAWEI製ＰＣＳ接続枚数計算ツール!$C$9, HUAWEI製ＰＣＳ接続枚数計算ツール!$B$119:$P$149,12,FALSE),0,1)</f>
        <v>1.26</v>
      </c>
      <c r="AA4" s="85">
        <f>ROUNDDOWN((高温電圧!AA4*高温電圧!AA$2-VLOOKUP(HUAWEI製ＰＣＳ接続枚数計算ツール!$C$9,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HUAWEI製ＰＣＳ接続枚数計算ツール!$B$119:$P$149,14,FALSE),0)/100*IF(高温電圧!AA4*高温電圧!AA$2&lt;VLOOKUP(HUAWEI製ＰＣＳ接続枚数計算ツール!$C$9, HUAWEI製ＰＣＳ接続枚数計算ツール!$B$119:$P$149,12,FALSE),0,1)</f>
        <v>1.32</v>
      </c>
      <c r="AB4" s="85">
        <f>ROUNDDOWN((高温電圧!AB4*高温電圧!AB$2-VLOOKUP(HUAWEI製ＰＣＳ接続枚数計算ツール!$C$9,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HUAWEI製ＰＣＳ接続枚数計算ツール!$B$119:$P$149,14,FALSE),0)/100*IF(高温電圧!AB4*高温電圧!AB$2&lt;VLOOKUP(HUAWEI製ＰＣＳ接続枚数計算ツール!$C$9, HUAWEI製ＰＣＳ接続枚数計算ツール!$B$119:$P$149,12,FALSE),0,1)</f>
        <v>1.37</v>
      </c>
      <c r="AC4" s="85">
        <f>ROUNDDOWN((高温電圧!AC4*高温電圧!AC$2-VLOOKUP(HUAWEI製ＰＣＳ接続枚数計算ツール!$C$9,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HUAWEI製ＰＣＳ接続枚数計算ツール!$B$119:$P$149,14,FALSE),0)/100*IF(高温電圧!AC4*高温電圧!AC$2&lt;VLOOKUP(HUAWEI製ＰＣＳ接続枚数計算ツール!$C$9, HUAWEI製ＰＣＳ接続枚数計算ツール!$B$119:$P$149,12,FALSE),0,1)</f>
        <v>1.43</v>
      </c>
      <c r="AD4" s="85">
        <f>ROUNDDOWN((高温電圧!AD4*高温電圧!AD$2-VLOOKUP(HUAWEI製ＰＣＳ接続枚数計算ツール!$C$9,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HUAWEI製ＰＣＳ接続枚数計算ツール!$B$119:$P$149,14,FALSE),0)/100*IF(高温電圧!AD4*高温電圧!AD$2&lt;VLOOKUP(HUAWEI製ＰＣＳ接続枚数計算ツール!$C$9, HUAWEI製ＰＣＳ接続枚数計算ツール!$B$119:$P$149,12,FALSE),0,1)</f>
        <v>1.49</v>
      </c>
      <c r="AE4" s="85">
        <f>ROUNDDOWN((高温電圧!AE4*高温電圧!AE$2-VLOOKUP(HUAWEI製ＰＣＳ接続枚数計算ツール!$C$9,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HUAWEI製ＰＣＳ接続枚数計算ツール!$B$119:$P$149,14,FALSE),0)/100*IF(高温電圧!AE4*高温電圧!AE$2&lt;VLOOKUP(HUAWEI製ＰＣＳ接続枚数計算ツール!$C$9, HUAWEI製ＰＣＳ接続枚数計算ツール!$B$119:$P$149,12,FALSE),0,1)</f>
        <v>1.54</v>
      </c>
      <c r="AF4" s="85">
        <f>ROUNDDOWN((高温電圧!AF4*高温電圧!AF$2-VLOOKUP(HUAWEI製ＰＣＳ接続枚数計算ツール!$C$9,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HUAWEI製ＰＣＳ接続枚数計算ツール!$B$119:$P$149,14,FALSE),0)/100*IF(高温電圧!AF4*高温電圧!AF$2&lt;VLOOKUP(HUAWEI製ＰＣＳ接続枚数計算ツール!$C$9, HUAWEI製ＰＣＳ接続枚数計算ツール!$B$119:$P$149,12,FALSE),0,1)</f>
        <v>1.6</v>
      </c>
      <c r="AG4" s="85">
        <f>ROUNDDOWN((高温電圧!AG4*高温電圧!AG$2-VLOOKUP(HUAWEI製ＰＣＳ接続枚数計算ツール!$C$9,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HUAWEI製ＰＣＳ接続枚数計算ツール!$B$119:$P$149,14,FALSE),0)/100*IF(高温電圧!AG4*高温電圧!AG$2&lt;VLOOKUP(HUAWEI製ＰＣＳ接続枚数計算ツール!$C$9, HUAWEI製ＰＣＳ接続枚数計算ツール!$B$119:$P$149,12,FALSE),0,1)</f>
        <v>1.65</v>
      </c>
      <c r="AH4" s="85">
        <f>ROUNDDOWN((高温電圧!AH4*高温電圧!AH$2-VLOOKUP(HUAWEI製ＰＣＳ接続枚数計算ツール!$C$9,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HUAWEI製ＰＣＳ接続枚数計算ツール!$B$119:$P$149,14,FALSE),0)/100*IF(高温電圧!AH4*高温電圧!AH$2&lt;VLOOKUP(HUAWEI製ＰＣＳ接続枚数計算ツール!$C$9, HUAWEI製ＰＣＳ接続枚数計算ツール!$B$119:$P$149,12,FALSE),0,1)</f>
        <v>1.71</v>
      </c>
      <c r="AI4" s="85">
        <f>ROUNDDOWN((高温電圧!AI4*高温電圧!AI$2-VLOOKUP(HUAWEI製ＰＣＳ接続枚数計算ツール!$C$9,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HUAWEI製ＰＣＳ接続枚数計算ツール!$B$119:$P$149,14,FALSE),0)/100*IF(高温電圧!AI4*高温電圧!AI$2&lt;VLOOKUP(HUAWEI製ＰＣＳ接続枚数計算ツール!$C$9, HUAWEI製ＰＣＳ接続枚数計算ツール!$B$119:$P$149,12,FALSE),0,1)</f>
        <v>1.77</v>
      </c>
      <c r="AJ4" s="85">
        <f>ROUNDDOWN((高温電圧!AJ4*高温電圧!AJ$2-VLOOKUP(HUAWEI製ＰＣＳ接続枚数計算ツール!$C$9,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HUAWEI製ＰＣＳ接続枚数計算ツール!$B$119:$P$149,14,FALSE),0)/100*IF(高温電圧!AJ4*高温電圧!AJ$2&lt;VLOOKUP(HUAWEI製ＰＣＳ接続枚数計算ツール!$C$9, HUAWEI製ＰＣＳ接続枚数計算ツール!$B$119:$P$149,12,FALSE),0,1)</f>
        <v>1.82</v>
      </c>
      <c r="AK4" s="85">
        <f>ROUNDDOWN((高温電圧!AK4*高温電圧!AK$2-VLOOKUP(HUAWEI製ＰＣＳ接続枚数計算ツール!$C$9,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HUAWEI製ＰＣＳ接続枚数計算ツール!$B$119:$P$149,14,FALSE),0)/100*IF(高温電圧!AK4*高温電圧!AK$2&lt;VLOOKUP(HUAWEI製ＰＣＳ接続枚数計算ツール!$C$9, HUAWEI製ＰＣＳ接続枚数計算ツール!$B$119:$P$149,12,FALSE),0,1)</f>
        <v>1.88</v>
      </c>
      <c r="AL4" s="85">
        <f>ROUNDDOWN((高温電圧!AL4*高温電圧!AL$2-VLOOKUP(HUAWEI製ＰＣＳ接続枚数計算ツール!$C$9,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HUAWEI製ＰＣＳ接続枚数計算ツール!$B$119:$P$149,14,FALSE),0)/100*IF(高温電圧!AL4*高温電圧!AL$2&lt;VLOOKUP(HUAWEI製ＰＣＳ接続枚数計算ツール!$C$9, HUAWEI製ＰＣＳ接続枚数計算ツール!$B$119:$P$149,12,FALSE),0,1)</f>
        <v>1.94</v>
      </c>
      <c r="AM4" s="85">
        <f>ROUNDDOWN((高温電圧!AM4*高温電圧!AM$2-VLOOKUP(HUAWEI製ＰＣＳ接続枚数計算ツール!$C$9,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HUAWEI製ＰＣＳ接続枚数計算ツール!$B$119:$P$149,14,FALSE),0)/100*IF(高温電圧!AM4*高温電圧!AM$2&lt;VLOOKUP(HUAWEI製ＰＣＳ接続枚数計算ツール!$C$9, HUAWEI製ＰＣＳ接続枚数計算ツール!$B$119:$P$149,12,FALSE),0,1)</f>
        <v>1.99</v>
      </c>
      <c r="AN4" s="85">
        <f>ROUNDDOWN((高温電圧!AN4*高温電圧!AN$2-VLOOKUP(HUAWEI製ＰＣＳ接続枚数計算ツール!$C$9,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HUAWEI製ＰＣＳ接続枚数計算ツール!$B$119:$P$149,14,FALSE),0)/100*IF(高温電圧!AN4*高温電圧!AN$2&lt;VLOOKUP(HUAWEI製ＰＣＳ接続枚数計算ツール!$C$9, HUAWEI製ＰＣＳ接続枚数計算ツール!$B$119:$P$149,12,FALSE),0,1)</f>
        <v>2.0499999999999998</v>
      </c>
      <c r="AO4" s="85">
        <f>ROUNDDOWN((高温電圧!AO4*高温電圧!AO$2-VLOOKUP(HUAWEI製ＰＣＳ接続枚数計算ツール!$C$9,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HUAWEI製ＰＣＳ接続枚数計算ツール!$B$119:$P$149,14,FALSE),0)/100*IF(高温電圧!AO4*高温電圧!AO$2&lt;VLOOKUP(HUAWEI製ＰＣＳ接続枚数計算ツール!$C$9, HUAWEI製ＰＣＳ接続枚数計算ツール!$B$119:$P$149,12,FALSE),0,1)</f>
        <v>2.1</v>
      </c>
    </row>
    <row r="5" spans="1:41">
      <c r="A5">
        <v>3</v>
      </c>
      <c r="B5" s="85">
        <f>ROUNDDOWN((高温電圧!B5*高温電圧!B$2-VLOOKUP(HUAWEI製ＰＣＳ接続枚数計算ツール!$C$9,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HUAWEI製ＰＣＳ接続枚数計算ツール!$B$119:$P$149,14,FALSE),0)/100*IF(高温電圧!B5*高温電圧!B$2&lt;VLOOKUP(HUAWEI製ＰＣＳ接続枚数計算ツール!$C$9, HUAWEI製ＰＣＳ接続枚数計算ツール!$B$119:$P$149,12,FALSE),0,1)</f>
        <v>0</v>
      </c>
      <c r="C5" s="85">
        <f>ROUNDDOWN((高温電圧!C5*高温電圧!C$2-VLOOKUP(HUAWEI製ＰＣＳ接続枚数計算ツール!$C$9,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HUAWEI製ＰＣＳ接続枚数計算ツール!$B$119:$P$149,14,FALSE),0)/100*IF(高温電圧!C5*高温電圧!C$2&lt;VLOOKUP(HUAWEI製ＰＣＳ接続枚数計算ツール!$C$9, HUAWEI製ＰＣＳ接続枚数計算ツール!$B$119:$P$149,12,FALSE),0,1)</f>
        <v>0</v>
      </c>
      <c r="D5" s="85">
        <f>ROUNDDOWN((高温電圧!D5*高温電圧!D$2-VLOOKUP(HUAWEI製ＰＣＳ接続枚数計算ツール!$C$9,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HUAWEI製ＰＣＳ接続枚数計算ツール!$B$119:$P$149,14,FALSE),0)/100*IF(高温電圧!D5*高温電圧!D$2&lt;VLOOKUP(HUAWEI製ＰＣＳ接続枚数計算ツール!$C$9, HUAWEI製ＰＣＳ接続枚数計算ツール!$B$119:$P$149,12,FALSE),0,1)</f>
        <v>0</v>
      </c>
      <c r="E5" s="85">
        <f>ROUNDDOWN((高温電圧!E5*高温電圧!E$2-VLOOKUP(HUAWEI製ＰＣＳ接続枚数計算ツール!$C$9,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HUAWEI製ＰＣＳ接続枚数計算ツール!$B$119:$P$149,14,FALSE),0)/100*IF(高温電圧!E5*高温電圧!E$2&lt;VLOOKUP(HUAWEI製ＰＣＳ接続枚数計算ツール!$C$9, HUAWEI製ＰＣＳ接続枚数計算ツール!$B$119:$P$149,12,FALSE),0,1)</f>
        <v>0</v>
      </c>
      <c r="F5" s="85">
        <f>ROUNDDOWN((高温電圧!F5*高温電圧!F$2-VLOOKUP(HUAWEI製ＰＣＳ接続枚数計算ツール!$C$9,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HUAWEI製ＰＣＳ接続枚数計算ツール!$B$119:$P$149,14,FALSE),0)/100*IF(高温電圧!F5*高温電圧!F$2&lt;VLOOKUP(HUAWEI製ＰＣＳ接続枚数計算ツール!$C$9, HUAWEI製ＰＣＳ接続枚数計算ツール!$B$119:$P$149,12,FALSE),0,1)</f>
        <v>0</v>
      </c>
      <c r="G5" s="85">
        <f>ROUNDDOWN((高温電圧!G5*高温電圧!G$2-VLOOKUP(HUAWEI製ＰＣＳ接続枚数計算ツール!$C$9,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HUAWEI製ＰＣＳ接続枚数計算ツール!$B$119:$P$149,14,FALSE),0)/100*IF(高温電圧!G5*高温電圧!G$2&lt;VLOOKUP(HUAWEI製ＰＣＳ接続枚数計算ツール!$C$9, HUAWEI製ＰＣＳ接続枚数計算ツール!$B$119:$P$149,12,FALSE),0,1)</f>
        <v>0</v>
      </c>
      <c r="H5" s="85">
        <f>ROUNDDOWN((高温電圧!H5*高温電圧!H$2-VLOOKUP(HUAWEI製ＰＣＳ接続枚数計算ツール!$C$9,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HUAWEI製ＰＣＳ接続枚数計算ツール!$B$119:$P$149,14,FALSE),0)/100*IF(高温電圧!H5*高温電圧!H$2&lt;VLOOKUP(HUAWEI製ＰＣＳ接続枚数計算ツール!$C$9, HUAWEI製ＰＣＳ接続枚数計算ツール!$B$119:$P$149,12,FALSE),0,1)</f>
        <v>0</v>
      </c>
      <c r="I5" s="85">
        <f>ROUNDDOWN((高温電圧!I5*高温電圧!I$2-VLOOKUP(HUAWEI製ＰＣＳ接続枚数計算ツール!$C$9,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HUAWEI製ＰＣＳ接続枚数計算ツール!$B$119:$P$149,14,FALSE),0)/100*IF(高温電圧!I5*高温電圧!I$2&lt;VLOOKUP(HUAWEI製ＰＣＳ接続枚数計算ツール!$C$9, HUAWEI製ＰＣＳ接続枚数計算ツール!$B$119:$P$149,12,FALSE),0,1)</f>
        <v>0</v>
      </c>
      <c r="J5" s="85">
        <f>ROUNDDOWN((高温電圧!J5*高温電圧!J$2-VLOOKUP(HUAWEI製ＰＣＳ接続枚数計算ツール!$C$9,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HUAWEI製ＰＣＳ接続枚数計算ツール!$B$119:$P$149,14,FALSE),0)/100*IF(高温電圧!J5*高温電圧!J$2&lt;VLOOKUP(HUAWEI製ＰＣＳ接続枚数計算ツール!$C$9, HUAWEI製ＰＣＳ接続枚数計算ツール!$B$119:$P$149,12,FALSE),0,1)</f>
        <v>0</v>
      </c>
      <c r="K5" s="85">
        <f>ROUNDDOWN((高温電圧!K5*高温電圧!K$2-VLOOKUP(HUAWEI製ＰＣＳ接続枚数計算ツール!$C$9,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HUAWEI製ＰＣＳ接続枚数計算ツール!$B$119:$P$149,14,FALSE),0)/100*IF(高温電圧!K5*高温電圧!K$2&lt;VLOOKUP(HUAWEI製ＰＣＳ接続枚数計算ツール!$C$9, HUAWEI製ＰＣＳ接続枚数計算ツール!$B$119:$P$149,12,FALSE),0,1)</f>
        <v>0</v>
      </c>
      <c r="L5" s="85">
        <f>ROUNDDOWN((高温電圧!L5*高温電圧!L$2-VLOOKUP(HUAWEI製ＰＣＳ接続枚数計算ツール!$C$9,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HUAWEI製ＰＣＳ接続枚数計算ツール!$B$119:$P$149,14,FALSE),0)/100*IF(高温電圧!L5*高温電圧!L$2&lt;VLOOKUP(HUAWEI製ＰＣＳ接続枚数計算ツール!$C$9, HUAWEI製ＰＣＳ接続枚数計算ツール!$B$119:$P$149,12,FALSE),0,1)</f>
        <v>0</v>
      </c>
      <c r="M5" s="85">
        <f>ROUNDDOWN((高温電圧!M5*高温電圧!M$2-VLOOKUP(HUAWEI製ＰＣＳ接続枚数計算ツール!$C$9,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HUAWEI製ＰＣＳ接続枚数計算ツール!$B$119:$P$149,14,FALSE),0)/100*IF(高温電圧!M5*高温電圧!M$2&lt;VLOOKUP(HUAWEI製ＰＣＳ接続枚数計算ツール!$C$9, HUAWEI製ＰＣＳ接続枚数計算ツール!$B$119:$P$149,12,FALSE),0,1)</f>
        <v>0</v>
      </c>
      <c r="N5" s="85">
        <f>ROUNDDOWN((高温電圧!N5*高温電圧!N$2-VLOOKUP(HUAWEI製ＰＣＳ接続枚数計算ツール!$C$9,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HUAWEI製ＰＣＳ接続枚数計算ツール!$B$119:$P$149,14,FALSE),0)/100*IF(高温電圧!N5*高温電圧!N$2&lt;VLOOKUP(HUAWEI製ＰＣＳ接続枚数計算ツール!$C$9, HUAWEI製ＰＣＳ接続枚数計算ツール!$B$119:$P$149,12,FALSE),0,1)</f>
        <v>0</v>
      </c>
      <c r="O5" s="85">
        <f>ROUNDDOWN((高温電圧!O5*高温電圧!O$2-VLOOKUP(HUAWEI製ＰＣＳ接続枚数計算ツール!$C$9,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HUAWEI製ＰＣＳ接続枚数計算ツール!$B$119:$P$149,14,FALSE),0)/100*IF(高温電圧!O5*高温電圧!O$2&lt;VLOOKUP(HUAWEI製ＰＣＳ接続枚数計算ツール!$C$9, HUAWEI製ＰＣＳ接続枚数計算ツール!$B$119:$P$149,12,FALSE),0,1)</f>
        <v>0.64</v>
      </c>
      <c r="P5" s="85">
        <f>ROUNDDOWN((高温電圧!P5*高温電圧!P$2-VLOOKUP(HUAWEI製ＰＣＳ接続枚数計算ツール!$C$9,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HUAWEI製ＰＣＳ接続枚数計算ツール!$B$119:$P$149,14,FALSE),0)/100*IF(高温電圧!P5*高温電圧!P$2&lt;VLOOKUP(HUAWEI製ＰＣＳ接続枚数計算ツール!$C$9, HUAWEI製ＰＣＳ接続枚数計算ツール!$B$119:$P$149,12,FALSE),0,1)</f>
        <v>0.7</v>
      </c>
      <c r="Q5" s="85">
        <f>ROUNDDOWN((高温電圧!Q5*高温電圧!Q$2-VLOOKUP(HUAWEI製ＰＣＳ接続枚数計算ツール!$C$9,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HUAWEI製ＰＣＳ接続枚数計算ツール!$B$119:$P$149,14,FALSE),0)/100*IF(高温電圧!Q5*高温電圧!Q$2&lt;VLOOKUP(HUAWEI製ＰＣＳ接続枚数計算ツール!$C$9, HUAWEI製ＰＣＳ接続枚数計算ツール!$B$119:$P$149,12,FALSE),0,1)</f>
        <v>0.75</v>
      </c>
      <c r="R5" s="85">
        <f>ROUNDDOWN((高温電圧!R5*高温電圧!R$2-VLOOKUP(HUAWEI製ＰＣＳ接続枚数計算ツール!$C$9,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HUAWEI製ＰＣＳ接続枚数計算ツール!$B$119:$P$149,14,FALSE),0)/100*IF(高温電圧!R5*高温電圧!R$2&lt;VLOOKUP(HUAWEI製ＰＣＳ接続枚数計算ツール!$C$9, HUAWEI製ＰＣＳ接続枚数計算ツール!$B$119:$P$149,12,FALSE),0,1)</f>
        <v>0.81</v>
      </c>
      <c r="S5" s="85">
        <f>ROUNDDOWN((高温電圧!S5*高温電圧!S$2-VLOOKUP(HUAWEI製ＰＣＳ接続枚数計算ツール!$C$9,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HUAWEI製ＰＣＳ接続枚数計算ツール!$B$119:$P$149,14,FALSE),0)/100*IF(高温電圧!S5*高温電圧!S$2&lt;VLOOKUP(HUAWEI製ＰＣＳ接続枚数計算ツール!$C$9, HUAWEI製ＰＣＳ接続枚数計算ツール!$B$119:$P$149,12,FALSE),0,1)</f>
        <v>0.87</v>
      </c>
      <c r="T5" s="85">
        <f>ROUNDDOWN((高温電圧!T5*高温電圧!T$2-VLOOKUP(HUAWEI製ＰＣＳ接続枚数計算ツール!$C$9,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HUAWEI製ＰＣＳ接続枚数計算ツール!$B$119:$P$149,14,FALSE),0)/100*IF(高温電圧!T5*高温電圧!T$2&lt;VLOOKUP(HUAWEI製ＰＣＳ接続枚数計算ツール!$C$9, HUAWEI製ＰＣＳ接続枚数計算ツール!$B$119:$P$149,12,FALSE),0,1)</f>
        <v>0.92</v>
      </c>
      <c r="U5" s="85">
        <f>ROUNDDOWN((高温電圧!U5*高温電圧!U$2-VLOOKUP(HUAWEI製ＰＣＳ接続枚数計算ツール!$C$9,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HUAWEI製ＰＣＳ接続枚数計算ツール!$B$119:$P$149,14,FALSE),0)/100*IF(高温電圧!U5*高温電圧!U$2&lt;VLOOKUP(HUAWEI製ＰＣＳ接続枚数計算ツール!$C$9, HUAWEI製ＰＣＳ接続枚数計算ツール!$B$119:$P$149,12,FALSE),0,1)</f>
        <v>0.98</v>
      </c>
      <c r="V5" s="85">
        <f>ROUNDDOWN((高温電圧!V5*高温電圧!V$2-VLOOKUP(HUAWEI製ＰＣＳ接続枚数計算ツール!$C$9,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HUAWEI製ＰＣＳ接続枚数計算ツール!$B$119:$P$149,14,FALSE),0)/100*IF(高温電圧!V5*高温電圧!V$2&lt;VLOOKUP(HUAWEI製ＰＣＳ接続枚数計算ツール!$C$9, HUAWEI製ＰＣＳ接続枚数計算ツール!$B$119:$P$149,12,FALSE),0,1)</f>
        <v>1.04</v>
      </c>
      <c r="W5" s="85">
        <f>ROUNDDOWN((高温電圧!W5*高温電圧!W$2-VLOOKUP(HUAWEI製ＰＣＳ接続枚数計算ツール!$C$9,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HUAWEI製ＰＣＳ接続枚数計算ツール!$B$119:$P$149,14,FALSE),0)/100*IF(高温電圧!W5*高温電圧!W$2&lt;VLOOKUP(HUAWEI製ＰＣＳ接続枚数計算ツール!$C$9, HUAWEI製ＰＣＳ接続枚数計算ツール!$B$119:$P$149,12,FALSE),0,1)</f>
        <v>1.0900000000000001</v>
      </c>
      <c r="X5" s="85">
        <f>ROUNDDOWN((高温電圧!X5*高温電圧!X$2-VLOOKUP(HUAWEI製ＰＣＳ接続枚数計算ツール!$C$9,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HUAWEI製ＰＣＳ接続枚数計算ツール!$B$119:$P$149,14,FALSE),0)/100*IF(高温電圧!X5*高温電圧!X$2&lt;VLOOKUP(HUAWEI製ＰＣＳ接続枚数計算ツール!$C$9, HUAWEI製ＰＣＳ接続枚数計算ツール!$B$119:$P$149,12,FALSE),0,1)</f>
        <v>1.1499999999999999</v>
      </c>
      <c r="Y5" s="85">
        <f>ROUNDDOWN((高温電圧!Y5*高温電圧!Y$2-VLOOKUP(HUAWEI製ＰＣＳ接続枚数計算ツール!$C$9,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HUAWEI製ＰＣＳ接続枚数計算ツール!$B$119:$P$149,14,FALSE),0)/100*IF(高温電圧!Y5*高温電圧!Y$2&lt;VLOOKUP(HUAWEI製ＰＣＳ接続枚数計算ツール!$C$9, HUAWEI製ＰＣＳ接続枚数計算ツール!$B$119:$P$149,12,FALSE),0,1)</f>
        <v>1.2</v>
      </c>
      <c r="Z5" s="85">
        <f>ROUNDDOWN((高温電圧!Z5*高温電圧!Z$2-VLOOKUP(HUAWEI製ＰＣＳ接続枚数計算ツール!$C$9,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HUAWEI製ＰＣＳ接続枚数計算ツール!$B$119:$P$149,14,FALSE),0)/100*IF(高温電圧!Z5*高温電圧!Z$2&lt;VLOOKUP(HUAWEI製ＰＣＳ接続枚数計算ツール!$C$9, HUAWEI製ＰＣＳ接続枚数計算ツール!$B$119:$P$149,12,FALSE),0,1)</f>
        <v>1.26</v>
      </c>
      <c r="AA5" s="85">
        <f>ROUNDDOWN((高温電圧!AA5*高温電圧!AA$2-VLOOKUP(HUAWEI製ＰＣＳ接続枚数計算ツール!$C$9,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HUAWEI製ＰＣＳ接続枚数計算ツール!$B$119:$P$149,14,FALSE),0)/100*IF(高温電圧!AA5*高温電圧!AA$2&lt;VLOOKUP(HUAWEI製ＰＣＳ接続枚数計算ツール!$C$9, HUAWEI製ＰＣＳ接続枚数計算ツール!$B$119:$P$149,12,FALSE),0,1)</f>
        <v>1.32</v>
      </c>
      <c r="AB5" s="85">
        <f>ROUNDDOWN((高温電圧!AB5*高温電圧!AB$2-VLOOKUP(HUAWEI製ＰＣＳ接続枚数計算ツール!$C$9,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HUAWEI製ＰＣＳ接続枚数計算ツール!$B$119:$P$149,14,FALSE),0)/100*IF(高温電圧!AB5*高温電圧!AB$2&lt;VLOOKUP(HUAWEI製ＰＣＳ接続枚数計算ツール!$C$9, HUAWEI製ＰＣＳ接続枚数計算ツール!$B$119:$P$149,12,FALSE),0,1)</f>
        <v>1.37</v>
      </c>
      <c r="AC5" s="85">
        <f>ROUNDDOWN((高温電圧!AC5*高温電圧!AC$2-VLOOKUP(HUAWEI製ＰＣＳ接続枚数計算ツール!$C$9,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HUAWEI製ＰＣＳ接続枚数計算ツール!$B$119:$P$149,14,FALSE),0)/100*IF(高温電圧!AC5*高温電圧!AC$2&lt;VLOOKUP(HUAWEI製ＰＣＳ接続枚数計算ツール!$C$9, HUAWEI製ＰＣＳ接続枚数計算ツール!$B$119:$P$149,12,FALSE),0,1)</f>
        <v>1.43</v>
      </c>
      <c r="AD5" s="85">
        <f>ROUNDDOWN((高温電圧!AD5*高温電圧!AD$2-VLOOKUP(HUAWEI製ＰＣＳ接続枚数計算ツール!$C$9,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HUAWEI製ＰＣＳ接続枚数計算ツール!$B$119:$P$149,14,FALSE),0)/100*IF(高温電圧!AD5*高温電圧!AD$2&lt;VLOOKUP(HUAWEI製ＰＣＳ接続枚数計算ツール!$C$9, HUAWEI製ＰＣＳ接続枚数計算ツール!$B$119:$P$149,12,FALSE),0,1)</f>
        <v>1.49</v>
      </c>
      <c r="AE5" s="85">
        <f>ROUNDDOWN((高温電圧!AE5*高温電圧!AE$2-VLOOKUP(HUAWEI製ＰＣＳ接続枚数計算ツール!$C$9,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HUAWEI製ＰＣＳ接続枚数計算ツール!$B$119:$P$149,14,FALSE),0)/100*IF(高温電圧!AE5*高温電圧!AE$2&lt;VLOOKUP(HUAWEI製ＰＣＳ接続枚数計算ツール!$C$9, HUAWEI製ＰＣＳ接続枚数計算ツール!$B$119:$P$149,12,FALSE),0,1)</f>
        <v>1.54</v>
      </c>
      <c r="AF5" s="85">
        <f>ROUNDDOWN((高温電圧!AF5*高温電圧!AF$2-VLOOKUP(HUAWEI製ＰＣＳ接続枚数計算ツール!$C$9,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HUAWEI製ＰＣＳ接続枚数計算ツール!$B$119:$P$149,14,FALSE),0)/100*IF(高温電圧!AF5*高温電圧!AF$2&lt;VLOOKUP(HUAWEI製ＰＣＳ接続枚数計算ツール!$C$9, HUAWEI製ＰＣＳ接続枚数計算ツール!$B$119:$P$149,12,FALSE),0,1)</f>
        <v>1.6</v>
      </c>
      <c r="AG5" s="85">
        <f>ROUNDDOWN((高温電圧!AG5*高温電圧!AG$2-VLOOKUP(HUAWEI製ＰＣＳ接続枚数計算ツール!$C$9,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HUAWEI製ＰＣＳ接続枚数計算ツール!$B$119:$P$149,14,FALSE),0)/100*IF(高温電圧!AG5*高温電圧!AG$2&lt;VLOOKUP(HUAWEI製ＰＣＳ接続枚数計算ツール!$C$9, HUAWEI製ＰＣＳ接続枚数計算ツール!$B$119:$P$149,12,FALSE),0,1)</f>
        <v>1.65</v>
      </c>
      <c r="AH5" s="85">
        <f>ROUNDDOWN((高温電圧!AH5*高温電圧!AH$2-VLOOKUP(HUAWEI製ＰＣＳ接続枚数計算ツール!$C$9,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HUAWEI製ＰＣＳ接続枚数計算ツール!$B$119:$P$149,14,FALSE),0)/100*IF(高温電圧!AH5*高温電圧!AH$2&lt;VLOOKUP(HUAWEI製ＰＣＳ接続枚数計算ツール!$C$9, HUAWEI製ＰＣＳ接続枚数計算ツール!$B$119:$P$149,12,FALSE),0,1)</f>
        <v>1.71</v>
      </c>
      <c r="AI5" s="85">
        <f>ROUNDDOWN((高温電圧!AI5*高温電圧!AI$2-VLOOKUP(HUAWEI製ＰＣＳ接続枚数計算ツール!$C$9,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HUAWEI製ＰＣＳ接続枚数計算ツール!$B$119:$P$149,14,FALSE),0)/100*IF(高温電圧!AI5*高温電圧!AI$2&lt;VLOOKUP(HUAWEI製ＰＣＳ接続枚数計算ツール!$C$9, HUAWEI製ＰＣＳ接続枚数計算ツール!$B$119:$P$149,12,FALSE),0,1)</f>
        <v>1.77</v>
      </c>
      <c r="AJ5" s="85">
        <f>ROUNDDOWN((高温電圧!AJ5*高温電圧!AJ$2-VLOOKUP(HUAWEI製ＰＣＳ接続枚数計算ツール!$C$9,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HUAWEI製ＰＣＳ接続枚数計算ツール!$B$119:$P$149,14,FALSE),0)/100*IF(高温電圧!AJ5*高温電圧!AJ$2&lt;VLOOKUP(HUAWEI製ＰＣＳ接続枚数計算ツール!$C$9, HUAWEI製ＰＣＳ接続枚数計算ツール!$B$119:$P$149,12,FALSE),0,1)</f>
        <v>1.82</v>
      </c>
      <c r="AK5" s="85">
        <f>ROUNDDOWN((高温電圧!AK5*高温電圧!AK$2-VLOOKUP(HUAWEI製ＰＣＳ接続枚数計算ツール!$C$9,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HUAWEI製ＰＣＳ接続枚数計算ツール!$B$119:$P$149,14,FALSE),0)/100*IF(高温電圧!AK5*高温電圧!AK$2&lt;VLOOKUP(HUAWEI製ＰＣＳ接続枚数計算ツール!$C$9, HUAWEI製ＰＣＳ接続枚数計算ツール!$B$119:$P$149,12,FALSE),0,1)</f>
        <v>1.88</v>
      </c>
      <c r="AL5" s="85">
        <f>ROUNDDOWN((高温電圧!AL5*高温電圧!AL$2-VLOOKUP(HUAWEI製ＰＣＳ接続枚数計算ツール!$C$9,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HUAWEI製ＰＣＳ接続枚数計算ツール!$B$119:$P$149,14,FALSE),0)/100*IF(高温電圧!AL5*高温電圧!AL$2&lt;VLOOKUP(HUAWEI製ＰＣＳ接続枚数計算ツール!$C$9, HUAWEI製ＰＣＳ接続枚数計算ツール!$B$119:$P$149,12,FALSE),0,1)</f>
        <v>1.94</v>
      </c>
      <c r="AM5" s="85">
        <f>ROUNDDOWN((高温電圧!AM5*高温電圧!AM$2-VLOOKUP(HUAWEI製ＰＣＳ接続枚数計算ツール!$C$9,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HUAWEI製ＰＣＳ接続枚数計算ツール!$B$119:$P$149,14,FALSE),0)/100*IF(高温電圧!AM5*高温電圧!AM$2&lt;VLOOKUP(HUAWEI製ＰＣＳ接続枚数計算ツール!$C$9, HUAWEI製ＰＣＳ接続枚数計算ツール!$B$119:$P$149,12,FALSE),0,1)</f>
        <v>1.99</v>
      </c>
      <c r="AN5" s="85">
        <f>ROUNDDOWN((高温電圧!AN5*高温電圧!AN$2-VLOOKUP(HUAWEI製ＰＣＳ接続枚数計算ツール!$C$9,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HUAWEI製ＰＣＳ接続枚数計算ツール!$B$119:$P$149,14,FALSE),0)/100*IF(高温電圧!AN5*高温電圧!AN$2&lt;VLOOKUP(HUAWEI製ＰＣＳ接続枚数計算ツール!$C$9, HUAWEI製ＰＣＳ接続枚数計算ツール!$B$119:$P$149,12,FALSE),0,1)</f>
        <v>2.0499999999999998</v>
      </c>
      <c r="AO5" s="85">
        <f>ROUNDDOWN((高温電圧!AO5*高温電圧!AO$2-VLOOKUP(HUAWEI製ＰＣＳ接続枚数計算ツール!$C$9,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HUAWEI製ＰＣＳ接続枚数計算ツール!$B$119:$P$149,14,FALSE),0)/100*IF(高温電圧!AO5*高温電圧!AO$2&lt;VLOOKUP(HUAWEI製ＰＣＳ接続枚数計算ツール!$C$9, HUAWEI製ＰＣＳ接続枚数計算ツール!$B$119:$P$149,12,FALSE),0,1)</f>
        <v>2.1</v>
      </c>
    </row>
    <row r="6" spans="1:41">
      <c r="A6">
        <v>4</v>
      </c>
      <c r="B6" s="85">
        <f>ROUNDDOWN((高温電圧!B6*高温電圧!B$2-VLOOKUP(HUAWEI製ＰＣＳ接続枚数計算ツール!$C$9,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HUAWEI製ＰＣＳ接続枚数計算ツール!$B$119:$P$149,14,FALSE),0)/100*IF(高温電圧!B6*高温電圧!B$2&lt;VLOOKUP(HUAWEI製ＰＣＳ接続枚数計算ツール!$C$9, HUAWEI製ＰＣＳ接続枚数計算ツール!$B$119:$P$149,12,FALSE),0,1)</f>
        <v>0</v>
      </c>
      <c r="C6" s="85">
        <f>ROUNDDOWN((高温電圧!C6*高温電圧!C$2-VLOOKUP(HUAWEI製ＰＣＳ接続枚数計算ツール!$C$9,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HUAWEI製ＰＣＳ接続枚数計算ツール!$B$119:$P$149,14,FALSE),0)/100*IF(高温電圧!C6*高温電圧!C$2&lt;VLOOKUP(HUAWEI製ＰＣＳ接続枚数計算ツール!$C$9, HUAWEI製ＰＣＳ接続枚数計算ツール!$B$119:$P$149,12,FALSE),0,1)</f>
        <v>0</v>
      </c>
      <c r="D6" s="85">
        <f>ROUNDDOWN((高温電圧!D6*高温電圧!D$2-VLOOKUP(HUAWEI製ＰＣＳ接続枚数計算ツール!$C$9,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HUAWEI製ＰＣＳ接続枚数計算ツール!$B$119:$P$149,14,FALSE),0)/100*IF(高温電圧!D6*高温電圧!D$2&lt;VLOOKUP(HUAWEI製ＰＣＳ接続枚数計算ツール!$C$9, HUAWEI製ＰＣＳ接続枚数計算ツール!$B$119:$P$149,12,FALSE),0,1)</f>
        <v>0</v>
      </c>
      <c r="E6" s="85">
        <f>ROUNDDOWN((高温電圧!E6*高温電圧!E$2-VLOOKUP(HUAWEI製ＰＣＳ接続枚数計算ツール!$C$9,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HUAWEI製ＰＣＳ接続枚数計算ツール!$B$119:$P$149,14,FALSE),0)/100*IF(高温電圧!E6*高温電圧!E$2&lt;VLOOKUP(HUAWEI製ＰＣＳ接続枚数計算ツール!$C$9, HUAWEI製ＰＣＳ接続枚数計算ツール!$B$119:$P$149,12,FALSE),0,1)</f>
        <v>0</v>
      </c>
      <c r="F6" s="85">
        <f>ROUNDDOWN((高温電圧!F6*高温電圧!F$2-VLOOKUP(HUAWEI製ＰＣＳ接続枚数計算ツール!$C$9,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HUAWEI製ＰＣＳ接続枚数計算ツール!$B$119:$P$149,14,FALSE),0)/100*IF(高温電圧!F6*高温電圧!F$2&lt;VLOOKUP(HUAWEI製ＰＣＳ接続枚数計算ツール!$C$9, HUAWEI製ＰＣＳ接続枚数計算ツール!$B$119:$P$149,12,FALSE),0,1)</f>
        <v>0</v>
      </c>
      <c r="G6" s="85">
        <f>ROUNDDOWN((高温電圧!G6*高温電圧!G$2-VLOOKUP(HUAWEI製ＰＣＳ接続枚数計算ツール!$C$9,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HUAWEI製ＰＣＳ接続枚数計算ツール!$B$119:$P$149,14,FALSE),0)/100*IF(高温電圧!G6*高温電圧!G$2&lt;VLOOKUP(HUAWEI製ＰＣＳ接続枚数計算ツール!$C$9, HUAWEI製ＰＣＳ接続枚数計算ツール!$B$119:$P$149,12,FALSE),0,1)</f>
        <v>0</v>
      </c>
      <c r="H6" s="85">
        <f>ROUNDDOWN((高温電圧!H6*高温電圧!H$2-VLOOKUP(HUAWEI製ＰＣＳ接続枚数計算ツール!$C$9,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HUAWEI製ＰＣＳ接続枚数計算ツール!$B$119:$P$149,14,FALSE),0)/100*IF(高温電圧!H6*高温電圧!H$2&lt;VLOOKUP(HUAWEI製ＰＣＳ接続枚数計算ツール!$C$9, HUAWEI製ＰＣＳ接続枚数計算ツール!$B$119:$P$149,12,FALSE),0,1)</f>
        <v>0</v>
      </c>
      <c r="I6" s="85">
        <f>ROUNDDOWN((高温電圧!I6*高温電圧!I$2-VLOOKUP(HUAWEI製ＰＣＳ接続枚数計算ツール!$C$9,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HUAWEI製ＰＣＳ接続枚数計算ツール!$B$119:$P$149,14,FALSE),0)/100*IF(高温電圧!I6*高温電圧!I$2&lt;VLOOKUP(HUAWEI製ＰＣＳ接続枚数計算ツール!$C$9, HUAWEI製ＰＣＳ接続枚数計算ツール!$B$119:$P$149,12,FALSE),0,1)</f>
        <v>0</v>
      </c>
      <c r="J6" s="85">
        <f>ROUNDDOWN((高温電圧!J6*高温電圧!J$2-VLOOKUP(HUAWEI製ＰＣＳ接続枚数計算ツール!$C$9,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HUAWEI製ＰＣＳ接続枚数計算ツール!$B$119:$P$149,14,FALSE),0)/100*IF(高温電圧!J6*高温電圧!J$2&lt;VLOOKUP(HUAWEI製ＰＣＳ接続枚数計算ツール!$C$9, HUAWEI製ＰＣＳ接続枚数計算ツール!$B$119:$P$149,12,FALSE),0,1)</f>
        <v>0</v>
      </c>
      <c r="K6" s="85">
        <f>ROUNDDOWN((高温電圧!K6*高温電圧!K$2-VLOOKUP(HUAWEI製ＰＣＳ接続枚数計算ツール!$C$9,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HUAWEI製ＰＣＳ接続枚数計算ツール!$B$119:$P$149,14,FALSE),0)/100*IF(高温電圧!K6*高温電圧!K$2&lt;VLOOKUP(HUAWEI製ＰＣＳ接続枚数計算ツール!$C$9, HUAWEI製ＰＣＳ接続枚数計算ツール!$B$119:$P$149,12,FALSE),0,1)</f>
        <v>0</v>
      </c>
      <c r="L6" s="85">
        <f>ROUNDDOWN((高温電圧!L6*高温電圧!L$2-VLOOKUP(HUAWEI製ＰＣＳ接続枚数計算ツール!$C$9,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HUAWEI製ＰＣＳ接続枚数計算ツール!$B$119:$P$149,14,FALSE),0)/100*IF(高温電圧!L6*高温電圧!L$2&lt;VLOOKUP(HUAWEI製ＰＣＳ接続枚数計算ツール!$C$9, HUAWEI製ＰＣＳ接続枚数計算ツール!$B$119:$P$149,12,FALSE),0,1)</f>
        <v>0</v>
      </c>
      <c r="M6" s="85">
        <f>ROUNDDOWN((高温電圧!M6*高温電圧!M$2-VLOOKUP(HUAWEI製ＰＣＳ接続枚数計算ツール!$C$9,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HUAWEI製ＰＣＳ接続枚数計算ツール!$B$119:$P$149,14,FALSE),0)/100*IF(高温電圧!M6*高温電圧!M$2&lt;VLOOKUP(HUAWEI製ＰＣＳ接続枚数計算ツール!$C$9, HUAWEI製ＰＣＳ接続枚数計算ツール!$B$119:$P$149,12,FALSE),0,1)</f>
        <v>0</v>
      </c>
      <c r="N6" s="85">
        <f>ROUNDDOWN((高温電圧!N6*高温電圧!N$2-VLOOKUP(HUAWEI製ＰＣＳ接続枚数計算ツール!$C$9,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HUAWEI製ＰＣＳ接続枚数計算ツール!$B$119:$P$149,14,FALSE),0)/100*IF(高温電圧!N6*高温電圧!N$2&lt;VLOOKUP(HUAWEI製ＰＣＳ接続枚数計算ツール!$C$9, HUAWEI製ＰＣＳ接続枚数計算ツール!$B$119:$P$149,12,FALSE),0,1)</f>
        <v>0</v>
      </c>
      <c r="O6" s="85">
        <f>ROUNDDOWN((高温電圧!O6*高温電圧!O$2-VLOOKUP(HUAWEI製ＰＣＳ接続枚数計算ツール!$C$9,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HUAWEI製ＰＣＳ接続枚数計算ツール!$B$119:$P$149,14,FALSE),0)/100*IF(高温電圧!O6*高温電圧!O$2&lt;VLOOKUP(HUAWEI製ＰＣＳ接続枚数計算ツール!$C$9, HUAWEI製ＰＣＳ接続枚数計算ツール!$B$119:$P$149,12,FALSE),0,1)</f>
        <v>0.64</v>
      </c>
      <c r="P6" s="85">
        <f>ROUNDDOWN((高温電圧!P6*高温電圧!P$2-VLOOKUP(HUAWEI製ＰＣＳ接続枚数計算ツール!$C$9,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HUAWEI製ＰＣＳ接続枚数計算ツール!$B$119:$P$149,14,FALSE),0)/100*IF(高温電圧!P6*高温電圧!P$2&lt;VLOOKUP(HUAWEI製ＰＣＳ接続枚数計算ツール!$C$9, HUAWEI製ＰＣＳ接続枚数計算ツール!$B$119:$P$149,12,FALSE),0,1)</f>
        <v>0.7</v>
      </c>
      <c r="Q6" s="85">
        <f>ROUNDDOWN((高温電圧!Q6*高温電圧!Q$2-VLOOKUP(HUAWEI製ＰＣＳ接続枚数計算ツール!$C$9,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HUAWEI製ＰＣＳ接続枚数計算ツール!$B$119:$P$149,14,FALSE),0)/100*IF(高温電圧!Q6*高温電圧!Q$2&lt;VLOOKUP(HUAWEI製ＰＣＳ接続枚数計算ツール!$C$9, HUAWEI製ＰＣＳ接続枚数計算ツール!$B$119:$P$149,12,FALSE),0,1)</f>
        <v>0.75</v>
      </c>
      <c r="R6" s="85">
        <f>ROUNDDOWN((高温電圧!R6*高温電圧!R$2-VLOOKUP(HUAWEI製ＰＣＳ接続枚数計算ツール!$C$9,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HUAWEI製ＰＣＳ接続枚数計算ツール!$B$119:$P$149,14,FALSE),0)/100*IF(高温電圧!R6*高温電圧!R$2&lt;VLOOKUP(HUAWEI製ＰＣＳ接続枚数計算ツール!$C$9, HUAWEI製ＰＣＳ接続枚数計算ツール!$B$119:$P$149,12,FALSE),0,1)</f>
        <v>0.81</v>
      </c>
      <c r="S6" s="85">
        <f>ROUNDDOWN((高温電圧!S6*高温電圧!S$2-VLOOKUP(HUAWEI製ＰＣＳ接続枚数計算ツール!$C$9,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HUAWEI製ＰＣＳ接続枚数計算ツール!$B$119:$P$149,14,FALSE),0)/100*IF(高温電圧!S6*高温電圧!S$2&lt;VLOOKUP(HUAWEI製ＰＣＳ接続枚数計算ツール!$C$9, HUAWEI製ＰＣＳ接続枚数計算ツール!$B$119:$P$149,12,FALSE),0,1)</f>
        <v>0.87</v>
      </c>
      <c r="T6" s="85">
        <f>ROUNDDOWN((高温電圧!T6*高温電圧!T$2-VLOOKUP(HUAWEI製ＰＣＳ接続枚数計算ツール!$C$9,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HUAWEI製ＰＣＳ接続枚数計算ツール!$B$119:$P$149,14,FALSE),0)/100*IF(高温電圧!T6*高温電圧!T$2&lt;VLOOKUP(HUAWEI製ＰＣＳ接続枚数計算ツール!$C$9, HUAWEI製ＰＣＳ接続枚数計算ツール!$B$119:$P$149,12,FALSE),0,1)</f>
        <v>0.92</v>
      </c>
      <c r="U6" s="85">
        <f>ROUNDDOWN((高温電圧!U6*高温電圧!U$2-VLOOKUP(HUAWEI製ＰＣＳ接続枚数計算ツール!$C$9,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HUAWEI製ＰＣＳ接続枚数計算ツール!$B$119:$P$149,14,FALSE),0)/100*IF(高温電圧!U6*高温電圧!U$2&lt;VLOOKUP(HUAWEI製ＰＣＳ接続枚数計算ツール!$C$9, HUAWEI製ＰＣＳ接続枚数計算ツール!$B$119:$P$149,12,FALSE),0,1)</f>
        <v>0.98</v>
      </c>
      <c r="V6" s="85">
        <f>ROUNDDOWN((高温電圧!V6*高温電圧!V$2-VLOOKUP(HUAWEI製ＰＣＳ接続枚数計算ツール!$C$9,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HUAWEI製ＰＣＳ接続枚数計算ツール!$B$119:$P$149,14,FALSE),0)/100*IF(高温電圧!V6*高温電圧!V$2&lt;VLOOKUP(HUAWEI製ＰＣＳ接続枚数計算ツール!$C$9, HUAWEI製ＰＣＳ接続枚数計算ツール!$B$119:$P$149,12,FALSE),0,1)</f>
        <v>1.04</v>
      </c>
      <c r="W6" s="85">
        <f>ROUNDDOWN((高温電圧!W6*高温電圧!W$2-VLOOKUP(HUAWEI製ＰＣＳ接続枚数計算ツール!$C$9,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HUAWEI製ＰＣＳ接続枚数計算ツール!$B$119:$P$149,14,FALSE),0)/100*IF(高温電圧!W6*高温電圧!W$2&lt;VLOOKUP(HUAWEI製ＰＣＳ接続枚数計算ツール!$C$9, HUAWEI製ＰＣＳ接続枚数計算ツール!$B$119:$P$149,12,FALSE),0,1)</f>
        <v>1.0900000000000001</v>
      </c>
      <c r="X6" s="85">
        <f>ROUNDDOWN((高温電圧!X6*高温電圧!X$2-VLOOKUP(HUAWEI製ＰＣＳ接続枚数計算ツール!$C$9,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HUAWEI製ＰＣＳ接続枚数計算ツール!$B$119:$P$149,14,FALSE),0)/100*IF(高温電圧!X6*高温電圧!X$2&lt;VLOOKUP(HUAWEI製ＰＣＳ接続枚数計算ツール!$C$9, HUAWEI製ＰＣＳ接続枚数計算ツール!$B$119:$P$149,12,FALSE),0,1)</f>
        <v>1.1499999999999999</v>
      </c>
      <c r="Y6" s="85">
        <f>ROUNDDOWN((高温電圧!Y6*高温電圧!Y$2-VLOOKUP(HUAWEI製ＰＣＳ接続枚数計算ツール!$C$9,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HUAWEI製ＰＣＳ接続枚数計算ツール!$B$119:$P$149,14,FALSE),0)/100*IF(高温電圧!Y6*高温電圧!Y$2&lt;VLOOKUP(HUAWEI製ＰＣＳ接続枚数計算ツール!$C$9, HUAWEI製ＰＣＳ接続枚数計算ツール!$B$119:$P$149,12,FALSE),0,1)</f>
        <v>1.2</v>
      </c>
      <c r="Z6" s="85">
        <f>ROUNDDOWN((高温電圧!Z6*高温電圧!Z$2-VLOOKUP(HUAWEI製ＰＣＳ接続枚数計算ツール!$C$9,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HUAWEI製ＰＣＳ接続枚数計算ツール!$B$119:$P$149,14,FALSE),0)/100*IF(高温電圧!Z6*高温電圧!Z$2&lt;VLOOKUP(HUAWEI製ＰＣＳ接続枚数計算ツール!$C$9, HUAWEI製ＰＣＳ接続枚数計算ツール!$B$119:$P$149,12,FALSE),0,1)</f>
        <v>1.26</v>
      </c>
      <c r="AA6" s="85">
        <f>ROUNDDOWN((高温電圧!AA6*高温電圧!AA$2-VLOOKUP(HUAWEI製ＰＣＳ接続枚数計算ツール!$C$9,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HUAWEI製ＰＣＳ接続枚数計算ツール!$B$119:$P$149,14,FALSE),0)/100*IF(高温電圧!AA6*高温電圧!AA$2&lt;VLOOKUP(HUAWEI製ＰＣＳ接続枚数計算ツール!$C$9, HUAWEI製ＰＣＳ接続枚数計算ツール!$B$119:$P$149,12,FALSE),0,1)</f>
        <v>1.32</v>
      </c>
      <c r="AB6" s="85">
        <f>ROUNDDOWN((高温電圧!AB6*高温電圧!AB$2-VLOOKUP(HUAWEI製ＰＣＳ接続枚数計算ツール!$C$9,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HUAWEI製ＰＣＳ接続枚数計算ツール!$B$119:$P$149,14,FALSE),0)/100*IF(高温電圧!AB6*高温電圧!AB$2&lt;VLOOKUP(HUAWEI製ＰＣＳ接続枚数計算ツール!$C$9, HUAWEI製ＰＣＳ接続枚数計算ツール!$B$119:$P$149,12,FALSE),0,1)</f>
        <v>1.37</v>
      </c>
      <c r="AC6" s="85">
        <f>ROUNDDOWN((高温電圧!AC6*高温電圧!AC$2-VLOOKUP(HUAWEI製ＰＣＳ接続枚数計算ツール!$C$9,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HUAWEI製ＰＣＳ接続枚数計算ツール!$B$119:$P$149,14,FALSE),0)/100*IF(高温電圧!AC6*高温電圧!AC$2&lt;VLOOKUP(HUAWEI製ＰＣＳ接続枚数計算ツール!$C$9, HUAWEI製ＰＣＳ接続枚数計算ツール!$B$119:$P$149,12,FALSE),0,1)</f>
        <v>1.43</v>
      </c>
      <c r="AD6" s="85">
        <f>ROUNDDOWN((高温電圧!AD6*高温電圧!AD$2-VLOOKUP(HUAWEI製ＰＣＳ接続枚数計算ツール!$C$9,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HUAWEI製ＰＣＳ接続枚数計算ツール!$B$119:$P$149,14,FALSE),0)/100*IF(高温電圧!AD6*高温電圧!AD$2&lt;VLOOKUP(HUAWEI製ＰＣＳ接続枚数計算ツール!$C$9, HUAWEI製ＰＣＳ接続枚数計算ツール!$B$119:$P$149,12,FALSE),0,1)</f>
        <v>1.49</v>
      </c>
      <c r="AE6" s="85">
        <f>ROUNDDOWN((高温電圧!AE6*高温電圧!AE$2-VLOOKUP(HUAWEI製ＰＣＳ接続枚数計算ツール!$C$9,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HUAWEI製ＰＣＳ接続枚数計算ツール!$B$119:$P$149,14,FALSE),0)/100*IF(高温電圧!AE6*高温電圧!AE$2&lt;VLOOKUP(HUAWEI製ＰＣＳ接続枚数計算ツール!$C$9, HUAWEI製ＰＣＳ接続枚数計算ツール!$B$119:$P$149,12,FALSE),0,1)</f>
        <v>1.54</v>
      </c>
      <c r="AF6" s="85">
        <f>ROUNDDOWN((高温電圧!AF6*高温電圧!AF$2-VLOOKUP(HUAWEI製ＰＣＳ接続枚数計算ツール!$C$9,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HUAWEI製ＰＣＳ接続枚数計算ツール!$B$119:$P$149,14,FALSE),0)/100*IF(高温電圧!AF6*高温電圧!AF$2&lt;VLOOKUP(HUAWEI製ＰＣＳ接続枚数計算ツール!$C$9, HUAWEI製ＰＣＳ接続枚数計算ツール!$B$119:$P$149,12,FALSE),0,1)</f>
        <v>1.6</v>
      </c>
      <c r="AG6" s="85">
        <f>ROUNDDOWN((高温電圧!AG6*高温電圧!AG$2-VLOOKUP(HUAWEI製ＰＣＳ接続枚数計算ツール!$C$9,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HUAWEI製ＰＣＳ接続枚数計算ツール!$B$119:$P$149,14,FALSE),0)/100*IF(高温電圧!AG6*高温電圧!AG$2&lt;VLOOKUP(HUAWEI製ＰＣＳ接続枚数計算ツール!$C$9, HUAWEI製ＰＣＳ接続枚数計算ツール!$B$119:$P$149,12,FALSE),0,1)</f>
        <v>1.65</v>
      </c>
      <c r="AH6" s="85">
        <f>ROUNDDOWN((高温電圧!AH6*高温電圧!AH$2-VLOOKUP(HUAWEI製ＰＣＳ接続枚数計算ツール!$C$9,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HUAWEI製ＰＣＳ接続枚数計算ツール!$B$119:$P$149,14,FALSE),0)/100*IF(高温電圧!AH6*高温電圧!AH$2&lt;VLOOKUP(HUAWEI製ＰＣＳ接続枚数計算ツール!$C$9, HUAWEI製ＰＣＳ接続枚数計算ツール!$B$119:$P$149,12,FALSE),0,1)</f>
        <v>1.71</v>
      </c>
      <c r="AI6" s="85">
        <f>ROUNDDOWN((高温電圧!AI6*高温電圧!AI$2-VLOOKUP(HUAWEI製ＰＣＳ接続枚数計算ツール!$C$9,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HUAWEI製ＰＣＳ接続枚数計算ツール!$B$119:$P$149,14,FALSE),0)/100*IF(高温電圧!AI6*高温電圧!AI$2&lt;VLOOKUP(HUAWEI製ＰＣＳ接続枚数計算ツール!$C$9, HUAWEI製ＰＣＳ接続枚数計算ツール!$B$119:$P$149,12,FALSE),0,1)</f>
        <v>1.77</v>
      </c>
      <c r="AJ6" s="85">
        <f>ROUNDDOWN((高温電圧!AJ6*高温電圧!AJ$2-VLOOKUP(HUAWEI製ＰＣＳ接続枚数計算ツール!$C$9,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HUAWEI製ＰＣＳ接続枚数計算ツール!$B$119:$P$149,14,FALSE),0)/100*IF(高温電圧!AJ6*高温電圧!AJ$2&lt;VLOOKUP(HUAWEI製ＰＣＳ接続枚数計算ツール!$C$9, HUAWEI製ＰＣＳ接続枚数計算ツール!$B$119:$P$149,12,FALSE),0,1)</f>
        <v>1.82</v>
      </c>
      <c r="AK6" s="85">
        <f>ROUNDDOWN((高温電圧!AK6*高温電圧!AK$2-VLOOKUP(HUAWEI製ＰＣＳ接続枚数計算ツール!$C$9,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HUAWEI製ＰＣＳ接続枚数計算ツール!$B$119:$P$149,14,FALSE),0)/100*IF(高温電圧!AK6*高温電圧!AK$2&lt;VLOOKUP(HUAWEI製ＰＣＳ接続枚数計算ツール!$C$9, HUAWEI製ＰＣＳ接続枚数計算ツール!$B$119:$P$149,12,FALSE),0,1)</f>
        <v>1.88</v>
      </c>
      <c r="AL6" s="85">
        <f>ROUNDDOWN((高温電圧!AL6*高温電圧!AL$2-VLOOKUP(HUAWEI製ＰＣＳ接続枚数計算ツール!$C$9,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HUAWEI製ＰＣＳ接続枚数計算ツール!$B$119:$P$149,14,FALSE),0)/100*IF(高温電圧!AL6*高温電圧!AL$2&lt;VLOOKUP(HUAWEI製ＰＣＳ接続枚数計算ツール!$C$9, HUAWEI製ＰＣＳ接続枚数計算ツール!$B$119:$P$149,12,FALSE),0,1)</f>
        <v>1.94</v>
      </c>
      <c r="AM6" s="85">
        <f>ROUNDDOWN((高温電圧!AM6*高温電圧!AM$2-VLOOKUP(HUAWEI製ＰＣＳ接続枚数計算ツール!$C$9,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HUAWEI製ＰＣＳ接続枚数計算ツール!$B$119:$P$149,14,FALSE),0)/100*IF(高温電圧!AM6*高温電圧!AM$2&lt;VLOOKUP(HUAWEI製ＰＣＳ接続枚数計算ツール!$C$9, HUAWEI製ＰＣＳ接続枚数計算ツール!$B$119:$P$149,12,FALSE),0,1)</f>
        <v>1.99</v>
      </c>
      <c r="AN6" s="85">
        <f>ROUNDDOWN((高温電圧!AN6*高温電圧!AN$2-VLOOKUP(HUAWEI製ＰＣＳ接続枚数計算ツール!$C$9,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HUAWEI製ＰＣＳ接続枚数計算ツール!$B$119:$P$149,14,FALSE),0)/100*IF(高温電圧!AN6*高温電圧!AN$2&lt;VLOOKUP(HUAWEI製ＰＣＳ接続枚数計算ツール!$C$9, HUAWEI製ＰＣＳ接続枚数計算ツール!$B$119:$P$149,12,FALSE),0,1)</f>
        <v>2.0499999999999998</v>
      </c>
      <c r="AO6" s="85">
        <f>ROUNDDOWN((高温電圧!AO6*高温電圧!AO$2-VLOOKUP(HUAWEI製ＰＣＳ接続枚数計算ツール!$C$9,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HUAWEI製ＰＣＳ接続枚数計算ツール!$B$119:$P$149,14,FALSE),0)/100*IF(高温電圧!AO6*高温電圧!AO$2&lt;VLOOKUP(HUAWEI製ＰＣＳ接続枚数計算ツール!$C$9, HUAWEI製ＰＣＳ接続枚数計算ツール!$B$119:$P$149,12,FALSE),0,1)</f>
        <v>2.1</v>
      </c>
    </row>
    <row r="7" spans="1:41">
      <c r="A7">
        <v>5</v>
      </c>
      <c r="B7" s="85">
        <f>ROUNDDOWN((高温電圧!B7*高温電圧!B$2-VLOOKUP(HUAWEI製ＰＣＳ接続枚数計算ツール!$C$9,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HUAWEI製ＰＣＳ接続枚数計算ツール!$B$119:$P$149,14,FALSE),0)/100*IF(高温電圧!B7*高温電圧!B$2&lt;VLOOKUP(HUAWEI製ＰＣＳ接続枚数計算ツール!$C$9, HUAWEI製ＰＣＳ接続枚数計算ツール!$B$119:$P$149,12,FALSE),0,1)</f>
        <v>0</v>
      </c>
      <c r="C7" s="85">
        <f>ROUNDDOWN((高温電圧!C7*高温電圧!C$2-VLOOKUP(HUAWEI製ＰＣＳ接続枚数計算ツール!$C$9,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HUAWEI製ＰＣＳ接続枚数計算ツール!$B$119:$P$149,14,FALSE),0)/100*IF(高温電圧!C7*高温電圧!C$2&lt;VLOOKUP(HUAWEI製ＰＣＳ接続枚数計算ツール!$C$9, HUAWEI製ＰＣＳ接続枚数計算ツール!$B$119:$P$149,12,FALSE),0,1)</f>
        <v>0</v>
      </c>
      <c r="D7" s="85">
        <f>ROUNDDOWN((高温電圧!D7*高温電圧!D$2-VLOOKUP(HUAWEI製ＰＣＳ接続枚数計算ツール!$C$9,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HUAWEI製ＰＣＳ接続枚数計算ツール!$B$119:$P$149,14,FALSE),0)/100*IF(高温電圧!D7*高温電圧!D$2&lt;VLOOKUP(HUAWEI製ＰＣＳ接続枚数計算ツール!$C$9, HUAWEI製ＰＣＳ接続枚数計算ツール!$B$119:$P$149,12,FALSE),0,1)</f>
        <v>0</v>
      </c>
      <c r="E7" s="85">
        <f>ROUNDDOWN((高温電圧!E7*高温電圧!E$2-VLOOKUP(HUAWEI製ＰＣＳ接続枚数計算ツール!$C$9,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HUAWEI製ＰＣＳ接続枚数計算ツール!$B$119:$P$149,14,FALSE),0)/100*IF(高温電圧!E7*高温電圧!E$2&lt;VLOOKUP(HUAWEI製ＰＣＳ接続枚数計算ツール!$C$9, HUAWEI製ＰＣＳ接続枚数計算ツール!$B$119:$P$149,12,FALSE),0,1)</f>
        <v>0</v>
      </c>
      <c r="F7" s="85">
        <f>ROUNDDOWN((高温電圧!F7*高温電圧!F$2-VLOOKUP(HUAWEI製ＰＣＳ接続枚数計算ツール!$C$9,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HUAWEI製ＰＣＳ接続枚数計算ツール!$B$119:$P$149,14,FALSE),0)/100*IF(高温電圧!F7*高温電圧!F$2&lt;VLOOKUP(HUAWEI製ＰＣＳ接続枚数計算ツール!$C$9, HUAWEI製ＰＣＳ接続枚数計算ツール!$B$119:$P$149,12,FALSE),0,1)</f>
        <v>0</v>
      </c>
      <c r="G7" s="85">
        <f>ROUNDDOWN((高温電圧!G7*高温電圧!G$2-VLOOKUP(HUAWEI製ＰＣＳ接続枚数計算ツール!$C$9,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HUAWEI製ＰＣＳ接続枚数計算ツール!$B$119:$P$149,14,FALSE),0)/100*IF(高温電圧!G7*高温電圧!G$2&lt;VLOOKUP(HUAWEI製ＰＣＳ接続枚数計算ツール!$C$9, HUAWEI製ＰＣＳ接続枚数計算ツール!$B$119:$P$149,12,FALSE),0,1)</f>
        <v>0</v>
      </c>
      <c r="H7" s="85">
        <f>ROUNDDOWN((高温電圧!H7*高温電圧!H$2-VLOOKUP(HUAWEI製ＰＣＳ接続枚数計算ツール!$C$9,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HUAWEI製ＰＣＳ接続枚数計算ツール!$B$119:$P$149,14,FALSE),0)/100*IF(高温電圧!H7*高温電圧!H$2&lt;VLOOKUP(HUAWEI製ＰＣＳ接続枚数計算ツール!$C$9, HUAWEI製ＰＣＳ接続枚数計算ツール!$B$119:$P$149,12,FALSE),0,1)</f>
        <v>0</v>
      </c>
      <c r="I7" s="85">
        <f>ROUNDDOWN((高温電圧!I7*高温電圧!I$2-VLOOKUP(HUAWEI製ＰＣＳ接続枚数計算ツール!$C$9,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HUAWEI製ＰＣＳ接続枚数計算ツール!$B$119:$P$149,14,FALSE),0)/100*IF(高温電圧!I7*高温電圧!I$2&lt;VLOOKUP(HUAWEI製ＰＣＳ接続枚数計算ツール!$C$9, HUAWEI製ＰＣＳ接続枚数計算ツール!$B$119:$P$149,12,FALSE),0,1)</f>
        <v>0</v>
      </c>
      <c r="J7" s="85">
        <f>ROUNDDOWN((高温電圧!J7*高温電圧!J$2-VLOOKUP(HUAWEI製ＰＣＳ接続枚数計算ツール!$C$9,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HUAWEI製ＰＣＳ接続枚数計算ツール!$B$119:$P$149,14,FALSE),0)/100*IF(高温電圧!J7*高温電圧!J$2&lt;VLOOKUP(HUAWEI製ＰＣＳ接続枚数計算ツール!$C$9, HUAWEI製ＰＣＳ接続枚数計算ツール!$B$119:$P$149,12,FALSE),0,1)</f>
        <v>0</v>
      </c>
      <c r="K7" s="85">
        <f>ROUNDDOWN((高温電圧!K7*高温電圧!K$2-VLOOKUP(HUAWEI製ＰＣＳ接続枚数計算ツール!$C$9,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HUAWEI製ＰＣＳ接続枚数計算ツール!$B$119:$P$149,14,FALSE),0)/100*IF(高温電圧!K7*高温電圧!K$2&lt;VLOOKUP(HUAWEI製ＰＣＳ接続枚数計算ツール!$C$9, HUAWEI製ＰＣＳ接続枚数計算ツール!$B$119:$P$149,12,FALSE),0,1)</f>
        <v>0</v>
      </c>
      <c r="L7" s="85">
        <f>ROUNDDOWN((高温電圧!L7*高温電圧!L$2-VLOOKUP(HUAWEI製ＰＣＳ接続枚数計算ツール!$C$9,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HUAWEI製ＰＣＳ接続枚数計算ツール!$B$119:$P$149,14,FALSE),0)/100*IF(高温電圧!L7*高温電圧!L$2&lt;VLOOKUP(HUAWEI製ＰＣＳ接続枚数計算ツール!$C$9, HUAWEI製ＰＣＳ接続枚数計算ツール!$B$119:$P$149,12,FALSE),0,1)</f>
        <v>0</v>
      </c>
      <c r="M7" s="85">
        <f>ROUNDDOWN((高温電圧!M7*高温電圧!M$2-VLOOKUP(HUAWEI製ＰＣＳ接続枚数計算ツール!$C$9,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HUAWEI製ＰＣＳ接続枚数計算ツール!$B$119:$P$149,14,FALSE),0)/100*IF(高温電圧!M7*高温電圧!M$2&lt;VLOOKUP(HUAWEI製ＰＣＳ接続枚数計算ツール!$C$9, HUAWEI製ＰＣＳ接続枚数計算ツール!$B$119:$P$149,12,FALSE),0,1)</f>
        <v>0</v>
      </c>
      <c r="N7" s="85">
        <f>ROUNDDOWN((高温電圧!N7*高温電圧!N$2-VLOOKUP(HUAWEI製ＰＣＳ接続枚数計算ツール!$C$9,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HUAWEI製ＰＣＳ接続枚数計算ツール!$B$119:$P$149,14,FALSE),0)/100*IF(高温電圧!N7*高温電圧!N$2&lt;VLOOKUP(HUAWEI製ＰＣＳ接続枚数計算ツール!$C$9, HUAWEI製ＰＣＳ接続枚数計算ツール!$B$119:$P$149,12,FALSE),0,1)</f>
        <v>0</v>
      </c>
      <c r="O7" s="85">
        <f>ROUNDDOWN((高温電圧!O7*高温電圧!O$2-VLOOKUP(HUAWEI製ＰＣＳ接続枚数計算ツール!$C$9,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HUAWEI製ＰＣＳ接続枚数計算ツール!$B$119:$P$149,14,FALSE),0)/100*IF(高温電圧!O7*高温電圧!O$2&lt;VLOOKUP(HUAWEI製ＰＣＳ接続枚数計算ツール!$C$9, HUAWEI製ＰＣＳ接続枚数計算ツール!$B$119:$P$149,12,FALSE),0,1)</f>
        <v>0.64</v>
      </c>
      <c r="P7" s="85">
        <f>ROUNDDOWN((高温電圧!P7*高温電圧!P$2-VLOOKUP(HUAWEI製ＰＣＳ接続枚数計算ツール!$C$9,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HUAWEI製ＰＣＳ接続枚数計算ツール!$B$119:$P$149,14,FALSE),0)/100*IF(高温電圧!P7*高温電圧!P$2&lt;VLOOKUP(HUAWEI製ＰＣＳ接続枚数計算ツール!$C$9, HUAWEI製ＰＣＳ接続枚数計算ツール!$B$119:$P$149,12,FALSE),0,1)</f>
        <v>0.7</v>
      </c>
      <c r="Q7" s="85">
        <f>ROUNDDOWN((高温電圧!Q7*高温電圧!Q$2-VLOOKUP(HUAWEI製ＰＣＳ接続枚数計算ツール!$C$9,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HUAWEI製ＰＣＳ接続枚数計算ツール!$B$119:$P$149,14,FALSE),0)/100*IF(高温電圧!Q7*高温電圧!Q$2&lt;VLOOKUP(HUAWEI製ＰＣＳ接続枚数計算ツール!$C$9, HUAWEI製ＰＣＳ接続枚数計算ツール!$B$119:$P$149,12,FALSE),0,1)</f>
        <v>0.75</v>
      </c>
      <c r="R7" s="85">
        <f>ROUNDDOWN((高温電圧!R7*高温電圧!R$2-VLOOKUP(HUAWEI製ＰＣＳ接続枚数計算ツール!$C$9,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HUAWEI製ＰＣＳ接続枚数計算ツール!$B$119:$P$149,14,FALSE),0)/100*IF(高温電圧!R7*高温電圧!R$2&lt;VLOOKUP(HUAWEI製ＰＣＳ接続枚数計算ツール!$C$9, HUAWEI製ＰＣＳ接続枚数計算ツール!$B$119:$P$149,12,FALSE),0,1)</f>
        <v>0.81</v>
      </c>
      <c r="S7" s="85">
        <f>ROUNDDOWN((高温電圧!S7*高温電圧!S$2-VLOOKUP(HUAWEI製ＰＣＳ接続枚数計算ツール!$C$9,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HUAWEI製ＰＣＳ接続枚数計算ツール!$B$119:$P$149,14,FALSE),0)/100*IF(高温電圧!S7*高温電圧!S$2&lt;VLOOKUP(HUAWEI製ＰＣＳ接続枚数計算ツール!$C$9, HUAWEI製ＰＣＳ接続枚数計算ツール!$B$119:$P$149,12,FALSE),0,1)</f>
        <v>0.87</v>
      </c>
      <c r="T7" s="85">
        <f>ROUNDDOWN((高温電圧!T7*高温電圧!T$2-VLOOKUP(HUAWEI製ＰＣＳ接続枚数計算ツール!$C$9,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HUAWEI製ＰＣＳ接続枚数計算ツール!$B$119:$P$149,14,FALSE),0)/100*IF(高温電圧!T7*高温電圧!T$2&lt;VLOOKUP(HUAWEI製ＰＣＳ接続枚数計算ツール!$C$9, HUAWEI製ＰＣＳ接続枚数計算ツール!$B$119:$P$149,12,FALSE),0,1)</f>
        <v>0.92</v>
      </c>
      <c r="U7" s="85">
        <f>ROUNDDOWN((高温電圧!U7*高温電圧!U$2-VLOOKUP(HUAWEI製ＰＣＳ接続枚数計算ツール!$C$9,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HUAWEI製ＰＣＳ接続枚数計算ツール!$B$119:$P$149,14,FALSE),0)/100*IF(高温電圧!U7*高温電圧!U$2&lt;VLOOKUP(HUAWEI製ＰＣＳ接続枚数計算ツール!$C$9, HUAWEI製ＰＣＳ接続枚数計算ツール!$B$119:$P$149,12,FALSE),0,1)</f>
        <v>0.98</v>
      </c>
      <c r="V7" s="85">
        <f>ROUNDDOWN((高温電圧!V7*高温電圧!V$2-VLOOKUP(HUAWEI製ＰＣＳ接続枚数計算ツール!$C$9,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HUAWEI製ＰＣＳ接続枚数計算ツール!$B$119:$P$149,14,FALSE),0)/100*IF(高温電圧!V7*高温電圧!V$2&lt;VLOOKUP(HUAWEI製ＰＣＳ接続枚数計算ツール!$C$9, HUAWEI製ＰＣＳ接続枚数計算ツール!$B$119:$P$149,12,FALSE),0,1)</f>
        <v>1.04</v>
      </c>
      <c r="W7" s="85">
        <f>ROUNDDOWN((高温電圧!W7*高温電圧!W$2-VLOOKUP(HUAWEI製ＰＣＳ接続枚数計算ツール!$C$9,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HUAWEI製ＰＣＳ接続枚数計算ツール!$B$119:$P$149,14,FALSE),0)/100*IF(高温電圧!W7*高温電圧!W$2&lt;VLOOKUP(HUAWEI製ＰＣＳ接続枚数計算ツール!$C$9, HUAWEI製ＰＣＳ接続枚数計算ツール!$B$119:$P$149,12,FALSE),0,1)</f>
        <v>1.0900000000000001</v>
      </c>
      <c r="X7" s="85">
        <f>ROUNDDOWN((高温電圧!X7*高温電圧!X$2-VLOOKUP(HUAWEI製ＰＣＳ接続枚数計算ツール!$C$9,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HUAWEI製ＰＣＳ接続枚数計算ツール!$B$119:$P$149,14,FALSE),0)/100*IF(高温電圧!X7*高温電圧!X$2&lt;VLOOKUP(HUAWEI製ＰＣＳ接続枚数計算ツール!$C$9, HUAWEI製ＰＣＳ接続枚数計算ツール!$B$119:$P$149,12,FALSE),0,1)</f>
        <v>1.1499999999999999</v>
      </c>
      <c r="Y7" s="85">
        <f>ROUNDDOWN((高温電圧!Y7*高温電圧!Y$2-VLOOKUP(HUAWEI製ＰＣＳ接続枚数計算ツール!$C$9,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HUAWEI製ＰＣＳ接続枚数計算ツール!$B$119:$P$149,14,FALSE),0)/100*IF(高温電圧!Y7*高温電圧!Y$2&lt;VLOOKUP(HUAWEI製ＰＣＳ接続枚数計算ツール!$C$9, HUAWEI製ＰＣＳ接続枚数計算ツール!$B$119:$P$149,12,FALSE),0,1)</f>
        <v>1.2</v>
      </c>
      <c r="Z7" s="85">
        <f>ROUNDDOWN((高温電圧!Z7*高温電圧!Z$2-VLOOKUP(HUAWEI製ＰＣＳ接続枚数計算ツール!$C$9,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HUAWEI製ＰＣＳ接続枚数計算ツール!$B$119:$P$149,14,FALSE),0)/100*IF(高温電圧!Z7*高温電圧!Z$2&lt;VLOOKUP(HUAWEI製ＰＣＳ接続枚数計算ツール!$C$9, HUAWEI製ＰＣＳ接続枚数計算ツール!$B$119:$P$149,12,FALSE),0,1)</f>
        <v>1.26</v>
      </c>
      <c r="AA7" s="85">
        <f>ROUNDDOWN((高温電圧!AA7*高温電圧!AA$2-VLOOKUP(HUAWEI製ＰＣＳ接続枚数計算ツール!$C$9,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HUAWEI製ＰＣＳ接続枚数計算ツール!$B$119:$P$149,14,FALSE),0)/100*IF(高温電圧!AA7*高温電圧!AA$2&lt;VLOOKUP(HUAWEI製ＰＣＳ接続枚数計算ツール!$C$9, HUAWEI製ＰＣＳ接続枚数計算ツール!$B$119:$P$149,12,FALSE),0,1)</f>
        <v>1.32</v>
      </c>
      <c r="AB7" s="85">
        <f>ROUNDDOWN((高温電圧!AB7*高温電圧!AB$2-VLOOKUP(HUAWEI製ＰＣＳ接続枚数計算ツール!$C$9,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HUAWEI製ＰＣＳ接続枚数計算ツール!$B$119:$P$149,14,FALSE),0)/100*IF(高温電圧!AB7*高温電圧!AB$2&lt;VLOOKUP(HUAWEI製ＰＣＳ接続枚数計算ツール!$C$9, HUAWEI製ＰＣＳ接続枚数計算ツール!$B$119:$P$149,12,FALSE),0,1)</f>
        <v>1.37</v>
      </c>
      <c r="AC7" s="85">
        <f>ROUNDDOWN((高温電圧!AC7*高温電圧!AC$2-VLOOKUP(HUAWEI製ＰＣＳ接続枚数計算ツール!$C$9,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HUAWEI製ＰＣＳ接続枚数計算ツール!$B$119:$P$149,14,FALSE),0)/100*IF(高温電圧!AC7*高温電圧!AC$2&lt;VLOOKUP(HUAWEI製ＰＣＳ接続枚数計算ツール!$C$9, HUAWEI製ＰＣＳ接続枚数計算ツール!$B$119:$P$149,12,FALSE),0,1)</f>
        <v>1.43</v>
      </c>
      <c r="AD7" s="85">
        <f>ROUNDDOWN((高温電圧!AD7*高温電圧!AD$2-VLOOKUP(HUAWEI製ＰＣＳ接続枚数計算ツール!$C$9,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HUAWEI製ＰＣＳ接続枚数計算ツール!$B$119:$P$149,14,FALSE),0)/100*IF(高温電圧!AD7*高温電圧!AD$2&lt;VLOOKUP(HUAWEI製ＰＣＳ接続枚数計算ツール!$C$9, HUAWEI製ＰＣＳ接続枚数計算ツール!$B$119:$P$149,12,FALSE),0,1)</f>
        <v>1.49</v>
      </c>
      <c r="AE7" s="85">
        <f>ROUNDDOWN((高温電圧!AE7*高温電圧!AE$2-VLOOKUP(HUAWEI製ＰＣＳ接続枚数計算ツール!$C$9,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HUAWEI製ＰＣＳ接続枚数計算ツール!$B$119:$P$149,14,FALSE),0)/100*IF(高温電圧!AE7*高温電圧!AE$2&lt;VLOOKUP(HUAWEI製ＰＣＳ接続枚数計算ツール!$C$9, HUAWEI製ＰＣＳ接続枚数計算ツール!$B$119:$P$149,12,FALSE),0,1)</f>
        <v>1.54</v>
      </c>
      <c r="AF7" s="85">
        <f>ROUNDDOWN((高温電圧!AF7*高温電圧!AF$2-VLOOKUP(HUAWEI製ＰＣＳ接続枚数計算ツール!$C$9,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HUAWEI製ＰＣＳ接続枚数計算ツール!$B$119:$P$149,14,FALSE),0)/100*IF(高温電圧!AF7*高温電圧!AF$2&lt;VLOOKUP(HUAWEI製ＰＣＳ接続枚数計算ツール!$C$9, HUAWEI製ＰＣＳ接続枚数計算ツール!$B$119:$P$149,12,FALSE),0,1)</f>
        <v>1.6</v>
      </c>
      <c r="AG7" s="85">
        <f>ROUNDDOWN((高温電圧!AG7*高温電圧!AG$2-VLOOKUP(HUAWEI製ＰＣＳ接続枚数計算ツール!$C$9,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HUAWEI製ＰＣＳ接続枚数計算ツール!$B$119:$P$149,14,FALSE),0)/100*IF(高温電圧!AG7*高温電圧!AG$2&lt;VLOOKUP(HUAWEI製ＰＣＳ接続枚数計算ツール!$C$9, HUAWEI製ＰＣＳ接続枚数計算ツール!$B$119:$P$149,12,FALSE),0,1)</f>
        <v>1.65</v>
      </c>
      <c r="AH7" s="85">
        <f>ROUNDDOWN((高温電圧!AH7*高温電圧!AH$2-VLOOKUP(HUAWEI製ＰＣＳ接続枚数計算ツール!$C$9,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HUAWEI製ＰＣＳ接続枚数計算ツール!$B$119:$P$149,14,FALSE),0)/100*IF(高温電圧!AH7*高温電圧!AH$2&lt;VLOOKUP(HUAWEI製ＰＣＳ接続枚数計算ツール!$C$9, HUAWEI製ＰＣＳ接続枚数計算ツール!$B$119:$P$149,12,FALSE),0,1)</f>
        <v>1.71</v>
      </c>
      <c r="AI7" s="85">
        <f>ROUNDDOWN((高温電圧!AI7*高温電圧!AI$2-VLOOKUP(HUAWEI製ＰＣＳ接続枚数計算ツール!$C$9,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HUAWEI製ＰＣＳ接続枚数計算ツール!$B$119:$P$149,14,FALSE),0)/100*IF(高温電圧!AI7*高温電圧!AI$2&lt;VLOOKUP(HUAWEI製ＰＣＳ接続枚数計算ツール!$C$9, HUAWEI製ＰＣＳ接続枚数計算ツール!$B$119:$P$149,12,FALSE),0,1)</f>
        <v>1.77</v>
      </c>
      <c r="AJ7" s="85">
        <f>ROUNDDOWN((高温電圧!AJ7*高温電圧!AJ$2-VLOOKUP(HUAWEI製ＰＣＳ接続枚数計算ツール!$C$9,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HUAWEI製ＰＣＳ接続枚数計算ツール!$B$119:$P$149,14,FALSE),0)/100*IF(高温電圧!AJ7*高温電圧!AJ$2&lt;VLOOKUP(HUAWEI製ＰＣＳ接続枚数計算ツール!$C$9, HUAWEI製ＰＣＳ接続枚数計算ツール!$B$119:$P$149,12,FALSE),0,1)</f>
        <v>1.82</v>
      </c>
      <c r="AK7" s="85">
        <f>ROUNDDOWN((高温電圧!AK7*高温電圧!AK$2-VLOOKUP(HUAWEI製ＰＣＳ接続枚数計算ツール!$C$9,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HUAWEI製ＰＣＳ接続枚数計算ツール!$B$119:$P$149,14,FALSE),0)/100*IF(高温電圧!AK7*高温電圧!AK$2&lt;VLOOKUP(HUAWEI製ＰＣＳ接続枚数計算ツール!$C$9, HUAWEI製ＰＣＳ接続枚数計算ツール!$B$119:$P$149,12,FALSE),0,1)</f>
        <v>1.88</v>
      </c>
      <c r="AL7" s="85">
        <f>ROUNDDOWN((高温電圧!AL7*高温電圧!AL$2-VLOOKUP(HUAWEI製ＰＣＳ接続枚数計算ツール!$C$9,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HUAWEI製ＰＣＳ接続枚数計算ツール!$B$119:$P$149,14,FALSE),0)/100*IF(高温電圧!AL7*高温電圧!AL$2&lt;VLOOKUP(HUAWEI製ＰＣＳ接続枚数計算ツール!$C$9, HUAWEI製ＰＣＳ接続枚数計算ツール!$B$119:$P$149,12,FALSE),0,1)</f>
        <v>1.94</v>
      </c>
      <c r="AM7" s="85">
        <f>ROUNDDOWN((高温電圧!AM7*高温電圧!AM$2-VLOOKUP(HUAWEI製ＰＣＳ接続枚数計算ツール!$C$9,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HUAWEI製ＰＣＳ接続枚数計算ツール!$B$119:$P$149,14,FALSE),0)/100*IF(高温電圧!AM7*高温電圧!AM$2&lt;VLOOKUP(HUAWEI製ＰＣＳ接続枚数計算ツール!$C$9, HUAWEI製ＰＣＳ接続枚数計算ツール!$B$119:$P$149,12,FALSE),0,1)</f>
        <v>1.99</v>
      </c>
      <c r="AN7" s="85">
        <f>ROUNDDOWN((高温電圧!AN7*高温電圧!AN$2-VLOOKUP(HUAWEI製ＰＣＳ接続枚数計算ツール!$C$9,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HUAWEI製ＰＣＳ接続枚数計算ツール!$B$119:$P$149,14,FALSE),0)/100*IF(高温電圧!AN7*高温電圧!AN$2&lt;VLOOKUP(HUAWEI製ＰＣＳ接続枚数計算ツール!$C$9, HUAWEI製ＰＣＳ接続枚数計算ツール!$B$119:$P$149,12,FALSE),0,1)</f>
        <v>2.0499999999999998</v>
      </c>
      <c r="AO7" s="85">
        <f>ROUNDDOWN((高温電圧!AO7*高温電圧!AO$2-VLOOKUP(HUAWEI製ＰＣＳ接続枚数計算ツール!$C$9,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HUAWEI製ＰＣＳ接続枚数計算ツール!$B$119:$P$149,14,FALSE),0)/100*IF(高温電圧!AO7*高温電圧!AO$2&lt;VLOOKUP(HUAWEI製ＰＣＳ接続枚数計算ツール!$C$9, HUAWEI製ＰＣＳ接続枚数計算ツール!$B$119:$P$149,12,FALSE),0,1)</f>
        <v>2.1</v>
      </c>
    </row>
    <row r="8" spans="1:41">
      <c r="A8">
        <v>6</v>
      </c>
      <c r="B8" s="85">
        <f>ROUNDDOWN((高温電圧!B8*高温電圧!B$2-VLOOKUP(HUAWEI製ＰＣＳ接続枚数計算ツール!$C$9,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HUAWEI製ＰＣＳ接続枚数計算ツール!$B$119:$P$149,14,FALSE),0)/100*IF(高温電圧!B8*高温電圧!B$2&lt;VLOOKUP(HUAWEI製ＰＣＳ接続枚数計算ツール!$C$9, HUAWEI製ＰＣＳ接続枚数計算ツール!$B$119:$P$149,12,FALSE),0,1)</f>
        <v>0</v>
      </c>
      <c r="C8" s="85">
        <f>ROUNDDOWN((高温電圧!C8*高温電圧!C$2-VLOOKUP(HUAWEI製ＰＣＳ接続枚数計算ツール!$C$9,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HUAWEI製ＰＣＳ接続枚数計算ツール!$B$119:$P$149,14,FALSE),0)/100*IF(高温電圧!C8*高温電圧!C$2&lt;VLOOKUP(HUAWEI製ＰＣＳ接続枚数計算ツール!$C$9, HUAWEI製ＰＣＳ接続枚数計算ツール!$B$119:$P$149,12,FALSE),0,1)</f>
        <v>0</v>
      </c>
      <c r="D8" s="85">
        <f>ROUNDDOWN((高温電圧!D8*高温電圧!D$2-VLOOKUP(HUAWEI製ＰＣＳ接続枚数計算ツール!$C$9,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HUAWEI製ＰＣＳ接続枚数計算ツール!$B$119:$P$149,14,FALSE),0)/100*IF(高温電圧!D8*高温電圧!D$2&lt;VLOOKUP(HUAWEI製ＰＣＳ接続枚数計算ツール!$C$9, HUAWEI製ＰＣＳ接続枚数計算ツール!$B$119:$P$149,12,FALSE),0,1)</f>
        <v>0</v>
      </c>
      <c r="E8" s="85">
        <f>ROUNDDOWN((高温電圧!E8*高温電圧!E$2-VLOOKUP(HUAWEI製ＰＣＳ接続枚数計算ツール!$C$9,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HUAWEI製ＰＣＳ接続枚数計算ツール!$B$119:$P$149,14,FALSE),0)/100*IF(高温電圧!E8*高温電圧!E$2&lt;VLOOKUP(HUAWEI製ＰＣＳ接続枚数計算ツール!$C$9, HUAWEI製ＰＣＳ接続枚数計算ツール!$B$119:$P$149,12,FALSE),0,1)</f>
        <v>0</v>
      </c>
      <c r="F8" s="85">
        <f>ROUNDDOWN((高温電圧!F8*高温電圧!F$2-VLOOKUP(HUAWEI製ＰＣＳ接続枚数計算ツール!$C$9,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HUAWEI製ＰＣＳ接続枚数計算ツール!$B$119:$P$149,14,FALSE),0)/100*IF(高温電圧!F8*高温電圧!F$2&lt;VLOOKUP(HUAWEI製ＰＣＳ接続枚数計算ツール!$C$9, HUAWEI製ＰＣＳ接続枚数計算ツール!$B$119:$P$149,12,FALSE),0,1)</f>
        <v>0</v>
      </c>
      <c r="G8" s="85">
        <f>ROUNDDOWN((高温電圧!G8*高温電圧!G$2-VLOOKUP(HUAWEI製ＰＣＳ接続枚数計算ツール!$C$9,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HUAWEI製ＰＣＳ接続枚数計算ツール!$B$119:$P$149,14,FALSE),0)/100*IF(高温電圧!G8*高温電圧!G$2&lt;VLOOKUP(HUAWEI製ＰＣＳ接続枚数計算ツール!$C$9, HUAWEI製ＰＣＳ接続枚数計算ツール!$B$119:$P$149,12,FALSE),0,1)</f>
        <v>0</v>
      </c>
      <c r="H8" s="85">
        <f>ROUNDDOWN((高温電圧!H8*高温電圧!H$2-VLOOKUP(HUAWEI製ＰＣＳ接続枚数計算ツール!$C$9,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HUAWEI製ＰＣＳ接続枚数計算ツール!$B$119:$P$149,14,FALSE),0)/100*IF(高温電圧!H8*高温電圧!H$2&lt;VLOOKUP(HUAWEI製ＰＣＳ接続枚数計算ツール!$C$9, HUAWEI製ＰＣＳ接続枚数計算ツール!$B$119:$P$149,12,FALSE),0,1)</f>
        <v>0</v>
      </c>
      <c r="I8" s="85">
        <f>ROUNDDOWN((高温電圧!I8*高温電圧!I$2-VLOOKUP(HUAWEI製ＰＣＳ接続枚数計算ツール!$C$9,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HUAWEI製ＰＣＳ接続枚数計算ツール!$B$119:$P$149,14,FALSE),0)/100*IF(高温電圧!I8*高温電圧!I$2&lt;VLOOKUP(HUAWEI製ＰＣＳ接続枚数計算ツール!$C$9, HUAWEI製ＰＣＳ接続枚数計算ツール!$B$119:$P$149,12,FALSE),0,1)</f>
        <v>0</v>
      </c>
      <c r="J8" s="85">
        <f>ROUNDDOWN((高温電圧!J8*高温電圧!J$2-VLOOKUP(HUAWEI製ＰＣＳ接続枚数計算ツール!$C$9,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HUAWEI製ＰＣＳ接続枚数計算ツール!$B$119:$P$149,14,FALSE),0)/100*IF(高温電圧!J8*高温電圧!J$2&lt;VLOOKUP(HUAWEI製ＰＣＳ接続枚数計算ツール!$C$9, HUAWEI製ＰＣＳ接続枚数計算ツール!$B$119:$P$149,12,FALSE),0,1)</f>
        <v>0</v>
      </c>
      <c r="K8" s="85">
        <f>ROUNDDOWN((高温電圧!K8*高温電圧!K$2-VLOOKUP(HUAWEI製ＰＣＳ接続枚数計算ツール!$C$9,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HUAWEI製ＰＣＳ接続枚数計算ツール!$B$119:$P$149,14,FALSE),0)/100*IF(高温電圧!K8*高温電圧!K$2&lt;VLOOKUP(HUAWEI製ＰＣＳ接続枚数計算ツール!$C$9, HUAWEI製ＰＣＳ接続枚数計算ツール!$B$119:$P$149,12,FALSE),0,1)</f>
        <v>0</v>
      </c>
      <c r="L8" s="85">
        <f>ROUNDDOWN((高温電圧!L8*高温電圧!L$2-VLOOKUP(HUAWEI製ＰＣＳ接続枚数計算ツール!$C$9,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HUAWEI製ＰＣＳ接続枚数計算ツール!$B$119:$P$149,14,FALSE),0)/100*IF(高温電圧!L8*高温電圧!L$2&lt;VLOOKUP(HUAWEI製ＰＣＳ接続枚数計算ツール!$C$9, HUAWEI製ＰＣＳ接続枚数計算ツール!$B$119:$P$149,12,FALSE),0,1)</f>
        <v>0</v>
      </c>
      <c r="M8" s="85">
        <f>ROUNDDOWN((高温電圧!M8*高温電圧!M$2-VLOOKUP(HUAWEI製ＰＣＳ接続枚数計算ツール!$C$9,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HUAWEI製ＰＣＳ接続枚数計算ツール!$B$119:$P$149,14,FALSE),0)/100*IF(高温電圧!M8*高温電圧!M$2&lt;VLOOKUP(HUAWEI製ＰＣＳ接続枚数計算ツール!$C$9, HUAWEI製ＰＣＳ接続枚数計算ツール!$B$119:$P$149,12,FALSE),0,1)</f>
        <v>0</v>
      </c>
      <c r="N8" s="85">
        <f>ROUNDDOWN((高温電圧!N8*高温電圧!N$2-VLOOKUP(HUAWEI製ＰＣＳ接続枚数計算ツール!$C$9,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HUAWEI製ＰＣＳ接続枚数計算ツール!$B$119:$P$149,14,FALSE),0)/100*IF(高温電圧!N8*高温電圧!N$2&lt;VLOOKUP(HUAWEI製ＰＣＳ接続枚数計算ツール!$C$9, HUAWEI製ＰＣＳ接続枚数計算ツール!$B$119:$P$149,12,FALSE),0,1)</f>
        <v>0</v>
      </c>
      <c r="O8" s="85">
        <f>ROUNDDOWN((高温電圧!O8*高温電圧!O$2-VLOOKUP(HUAWEI製ＰＣＳ接続枚数計算ツール!$C$9,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HUAWEI製ＰＣＳ接続枚数計算ツール!$B$119:$P$149,14,FALSE),0)/100*IF(高温電圧!O8*高温電圧!O$2&lt;VLOOKUP(HUAWEI製ＰＣＳ接続枚数計算ツール!$C$9, HUAWEI製ＰＣＳ接続枚数計算ツール!$B$119:$P$149,12,FALSE),0,1)</f>
        <v>0.64</v>
      </c>
      <c r="P8" s="85">
        <f>ROUNDDOWN((高温電圧!P8*高温電圧!P$2-VLOOKUP(HUAWEI製ＰＣＳ接続枚数計算ツール!$C$9,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HUAWEI製ＰＣＳ接続枚数計算ツール!$B$119:$P$149,14,FALSE),0)/100*IF(高温電圧!P8*高温電圧!P$2&lt;VLOOKUP(HUAWEI製ＰＣＳ接続枚数計算ツール!$C$9, HUAWEI製ＰＣＳ接続枚数計算ツール!$B$119:$P$149,12,FALSE),0,1)</f>
        <v>0.7</v>
      </c>
      <c r="Q8" s="85">
        <f>ROUNDDOWN((高温電圧!Q8*高温電圧!Q$2-VLOOKUP(HUAWEI製ＰＣＳ接続枚数計算ツール!$C$9,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HUAWEI製ＰＣＳ接続枚数計算ツール!$B$119:$P$149,14,FALSE),0)/100*IF(高温電圧!Q8*高温電圧!Q$2&lt;VLOOKUP(HUAWEI製ＰＣＳ接続枚数計算ツール!$C$9, HUAWEI製ＰＣＳ接続枚数計算ツール!$B$119:$P$149,12,FALSE),0,1)</f>
        <v>0.75</v>
      </c>
      <c r="R8" s="85">
        <f>ROUNDDOWN((高温電圧!R8*高温電圧!R$2-VLOOKUP(HUAWEI製ＰＣＳ接続枚数計算ツール!$C$9,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HUAWEI製ＰＣＳ接続枚数計算ツール!$B$119:$P$149,14,FALSE),0)/100*IF(高温電圧!R8*高温電圧!R$2&lt;VLOOKUP(HUAWEI製ＰＣＳ接続枚数計算ツール!$C$9, HUAWEI製ＰＣＳ接続枚数計算ツール!$B$119:$P$149,12,FALSE),0,1)</f>
        <v>0.81</v>
      </c>
      <c r="S8" s="85">
        <f>ROUNDDOWN((高温電圧!S8*高温電圧!S$2-VLOOKUP(HUAWEI製ＰＣＳ接続枚数計算ツール!$C$9,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HUAWEI製ＰＣＳ接続枚数計算ツール!$B$119:$P$149,14,FALSE),0)/100*IF(高温電圧!S8*高温電圧!S$2&lt;VLOOKUP(HUAWEI製ＰＣＳ接続枚数計算ツール!$C$9, HUAWEI製ＰＣＳ接続枚数計算ツール!$B$119:$P$149,12,FALSE),0,1)</f>
        <v>0.87</v>
      </c>
      <c r="T8" s="85">
        <f>ROUNDDOWN((高温電圧!T8*高温電圧!T$2-VLOOKUP(HUAWEI製ＰＣＳ接続枚数計算ツール!$C$9,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HUAWEI製ＰＣＳ接続枚数計算ツール!$B$119:$P$149,14,FALSE),0)/100*IF(高温電圧!T8*高温電圧!T$2&lt;VLOOKUP(HUAWEI製ＰＣＳ接続枚数計算ツール!$C$9, HUAWEI製ＰＣＳ接続枚数計算ツール!$B$119:$P$149,12,FALSE),0,1)</f>
        <v>0.92</v>
      </c>
      <c r="U8" s="85">
        <f>ROUNDDOWN((高温電圧!U8*高温電圧!U$2-VLOOKUP(HUAWEI製ＰＣＳ接続枚数計算ツール!$C$9,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HUAWEI製ＰＣＳ接続枚数計算ツール!$B$119:$P$149,14,FALSE),0)/100*IF(高温電圧!U8*高温電圧!U$2&lt;VLOOKUP(HUAWEI製ＰＣＳ接続枚数計算ツール!$C$9, HUAWEI製ＰＣＳ接続枚数計算ツール!$B$119:$P$149,12,FALSE),0,1)</f>
        <v>0.98</v>
      </c>
      <c r="V8" s="85">
        <f>ROUNDDOWN((高温電圧!V8*高温電圧!V$2-VLOOKUP(HUAWEI製ＰＣＳ接続枚数計算ツール!$C$9,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HUAWEI製ＰＣＳ接続枚数計算ツール!$B$119:$P$149,14,FALSE),0)/100*IF(高温電圧!V8*高温電圧!V$2&lt;VLOOKUP(HUAWEI製ＰＣＳ接続枚数計算ツール!$C$9, HUAWEI製ＰＣＳ接続枚数計算ツール!$B$119:$P$149,12,FALSE),0,1)</f>
        <v>1.04</v>
      </c>
      <c r="W8" s="85">
        <f>ROUNDDOWN((高温電圧!W8*高温電圧!W$2-VLOOKUP(HUAWEI製ＰＣＳ接続枚数計算ツール!$C$9,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HUAWEI製ＰＣＳ接続枚数計算ツール!$B$119:$P$149,14,FALSE),0)/100*IF(高温電圧!W8*高温電圧!W$2&lt;VLOOKUP(HUAWEI製ＰＣＳ接続枚数計算ツール!$C$9, HUAWEI製ＰＣＳ接続枚数計算ツール!$B$119:$P$149,12,FALSE),0,1)</f>
        <v>1.0900000000000001</v>
      </c>
      <c r="X8" s="85">
        <f>ROUNDDOWN((高温電圧!X8*高温電圧!X$2-VLOOKUP(HUAWEI製ＰＣＳ接続枚数計算ツール!$C$9,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HUAWEI製ＰＣＳ接続枚数計算ツール!$B$119:$P$149,14,FALSE),0)/100*IF(高温電圧!X8*高温電圧!X$2&lt;VLOOKUP(HUAWEI製ＰＣＳ接続枚数計算ツール!$C$9, HUAWEI製ＰＣＳ接続枚数計算ツール!$B$119:$P$149,12,FALSE),0,1)</f>
        <v>1.1499999999999999</v>
      </c>
      <c r="Y8" s="85">
        <f>ROUNDDOWN((高温電圧!Y8*高温電圧!Y$2-VLOOKUP(HUAWEI製ＰＣＳ接続枚数計算ツール!$C$9,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HUAWEI製ＰＣＳ接続枚数計算ツール!$B$119:$P$149,14,FALSE),0)/100*IF(高温電圧!Y8*高温電圧!Y$2&lt;VLOOKUP(HUAWEI製ＰＣＳ接続枚数計算ツール!$C$9, HUAWEI製ＰＣＳ接続枚数計算ツール!$B$119:$P$149,12,FALSE),0,1)</f>
        <v>1.2</v>
      </c>
      <c r="Z8" s="85">
        <f>ROUNDDOWN((高温電圧!Z8*高温電圧!Z$2-VLOOKUP(HUAWEI製ＰＣＳ接続枚数計算ツール!$C$9,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HUAWEI製ＰＣＳ接続枚数計算ツール!$B$119:$P$149,14,FALSE),0)/100*IF(高温電圧!Z8*高温電圧!Z$2&lt;VLOOKUP(HUAWEI製ＰＣＳ接続枚数計算ツール!$C$9, HUAWEI製ＰＣＳ接続枚数計算ツール!$B$119:$P$149,12,FALSE),0,1)</f>
        <v>1.26</v>
      </c>
      <c r="AA8" s="85">
        <f>ROUNDDOWN((高温電圧!AA8*高温電圧!AA$2-VLOOKUP(HUAWEI製ＰＣＳ接続枚数計算ツール!$C$9,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HUAWEI製ＰＣＳ接続枚数計算ツール!$B$119:$P$149,14,FALSE),0)/100*IF(高温電圧!AA8*高温電圧!AA$2&lt;VLOOKUP(HUAWEI製ＰＣＳ接続枚数計算ツール!$C$9, HUAWEI製ＰＣＳ接続枚数計算ツール!$B$119:$P$149,12,FALSE),0,1)</f>
        <v>1.32</v>
      </c>
      <c r="AB8" s="85">
        <f>ROUNDDOWN((高温電圧!AB8*高温電圧!AB$2-VLOOKUP(HUAWEI製ＰＣＳ接続枚数計算ツール!$C$9,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HUAWEI製ＰＣＳ接続枚数計算ツール!$B$119:$P$149,14,FALSE),0)/100*IF(高温電圧!AB8*高温電圧!AB$2&lt;VLOOKUP(HUAWEI製ＰＣＳ接続枚数計算ツール!$C$9, HUAWEI製ＰＣＳ接続枚数計算ツール!$B$119:$P$149,12,FALSE),0,1)</f>
        <v>1.37</v>
      </c>
      <c r="AC8" s="85">
        <f>ROUNDDOWN((高温電圧!AC8*高温電圧!AC$2-VLOOKUP(HUAWEI製ＰＣＳ接続枚数計算ツール!$C$9,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HUAWEI製ＰＣＳ接続枚数計算ツール!$B$119:$P$149,14,FALSE),0)/100*IF(高温電圧!AC8*高温電圧!AC$2&lt;VLOOKUP(HUAWEI製ＰＣＳ接続枚数計算ツール!$C$9, HUAWEI製ＰＣＳ接続枚数計算ツール!$B$119:$P$149,12,FALSE),0,1)</f>
        <v>1.43</v>
      </c>
      <c r="AD8" s="85">
        <f>ROUNDDOWN((高温電圧!AD8*高温電圧!AD$2-VLOOKUP(HUAWEI製ＰＣＳ接続枚数計算ツール!$C$9,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HUAWEI製ＰＣＳ接続枚数計算ツール!$B$119:$P$149,14,FALSE),0)/100*IF(高温電圧!AD8*高温電圧!AD$2&lt;VLOOKUP(HUAWEI製ＰＣＳ接続枚数計算ツール!$C$9, HUAWEI製ＰＣＳ接続枚数計算ツール!$B$119:$P$149,12,FALSE),0,1)</f>
        <v>1.49</v>
      </c>
      <c r="AE8" s="85">
        <f>ROUNDDOWN((高温電圧!AE8*高温電圧!AE$2-VLOOKUP(HUAWEI製ＰＣＳ接続枚数計算ツール!$C$9,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HUAWEI製ＰＣＳ接続枚数計算ツール!$B$119:$P$149,14,FALSE),0)/100*IF(高温電圧!AE8*高温電圧!AE$2&lt;VLOOKUP(HUAWEI製ＰＣＳ接続枚数計算ツール!$C$9, HUAWEI製ＰＣＳ接続枚数計算ツール!$B$119:$P$149,12,FALSE),0,1)</f>
        <v>1.54</v>
      </c>
      <c r="AF8" s="85">
        <f>ROUNDDOWN((高温電圧!AF8*高温電圧!AF$2-VLOOKUP(HUAWEI製ＰＣＳ接続枚数計算ツール!$C$9,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HUAWEI製ＰＣＳ接続枚数計算ツール!$B$119:$P$149,14,FALSE),0)/100*IF(高温電圧!AF8*高温電圧!AF$2&lt;VLOOKUP(HUAWEI製ＰＣＳ接続枚数計算ツール!$C$9, HUAWEI製ＰＣＳ接続枚数計算ツール!$B$119:$P$149,12,FALSE),0,1)</f>
        <v>1.6</v>
      </c>
      <c r="AG8" s="85">
        <f>ROUNDDOWN((高温電圧!AG8*高温電圧!AG$2-VLOOKUP(HUAWEI製ＰＣＳ接続枚数計算ツール!$C$9,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HUAWEI製ＰＣＳ接続枚数計算ツール!$B$119:$P$149,14,FALSE),0)/100*IF(高温電圧!AG8*高温電圧!AG$2&lt;VLOOKUP(HUAWEI製ＰＣＳ接続枚数計算ツール!$C$9, HUAWEI製ＰＣＳ接続枚数計算ツール!$B$119:$P$149,12,FALSE),0,1)</f>
        <v>1.65</v>
      </c>
      <c r="AH8" s="85">
        <f>ROUNDDOWN((高温電圧!AH8*高温電圧!AH$2-VLOOKUP(HUAWEI製ＰＣＳ接続枚数計算ツール!$C$9,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HUAWEI製ＰＣＳ接続枚数計算ツール!$B$119:$P$149,14,FALSE),0)/100*IF(高温電圧!AH8*高温電圧!AH$2&lt;VLOOKUP(HUAWEI製ＰＣＳ接続枚数計算ツール!$C$9, HUAWEI製ＰＣＳ接続枚数計算ツール!$B$119:$P$149,12,FALSE),0,1)</f>
        <v>1.71</v>
      </c>
      <c r="AI8" s="85">
        <f>ROUNDDOWN((高温電圧!AI8*高温電圧!AI$2-VLOOKUP(HUAWEI製ＰＣＳ接続枚数計算ツール!$C$9,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HUAWEI製ＰＣＳ接続枚数計算ツール!$B$119:$P$149,14,FALSE),0)/100*IF(高温電圧!AI8*高温電圧!AI$2&lt;VLOOKUP(HUAWEI製ＰＣＳ接続枚数計算ツール!$C$9, HUAWEI製ＰＣＳ接続枚数計算ツール!$B$119:$P$149,12,FALSE),0,1)</f>
        <v>1.77</v>
      </c>
      <c r="AJ8" s="85">
        <f>ROUNDDOWN((高温電圧!AJ8*高温電圧!AJ$2-VLOOKUP(HUAWEI製ＰＣＳ接続枚数計算ツール!$C$9,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HUAWEI製ＰＣＳ接続枚数計算ツール!$B$119:$P$149,14,FALSE),0)/100*IF(高温電圧!AJ8*高温電圧!AJ$2&lt;VLOOKUP(HUAWEI製ＰＣＳ接続枚数計算ツール!$C$9, HUAWEI製ＰＣＳ接続枚数計算ツール!$B$119:$P$149,12,FALSE),0,1)</f>
        <v>1.88</v>
      </c>
      <c r="AK8" s="85">
        <f>ROUNDDOWN((高温電圧!AK8*高温電圧!AK$2-VLOOKUP(HUAWEI製ＰＣＳ接続枚数計算ツール!$C$9,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HUAWEI製ＰＣＳ接続枚数計算ツール!$B$119:$P$149,14,FALSE),0)/100*IF(高温電圧!AK8*高温電圧!AK$2&lt;VLOOKUP(HUAWEI製ＰＣＳ接続枚数計算ツール!$C$9, HUAWEI製ＰＣＳ接続枚数計算ツール!$B$119:$P$149,12,FALSE),0,1)</f>
        <v>1.98</v>
      </c>
      <c r="AL8" s="85">
        <f>ROUNDDOWN((高温電圧!AL8*高温電圧!AL$2-VLOOKUP(HUAWEI製ＰＣＳ接続枚数計算ツール!$C$9,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HUAWEI製ＰＣＳ接続枚数計算ツール!$B$119:$P$149,14,FALSE),0)/100*IF(高温電圧!AL8*高温電圧!AL$2&lt;VLOOKUP(HUAWEI製ＰＣＳ接続枚数計算ツール!$C$9, HUAWEI製ＰＣＳ接続枚数計算ツール!$B$119:$P$149,12,FALSE),0,1)</f>
        <v>2.06</v>
      </c>
      <c r="AM8" s="85">
        <f>ROUNDDOWN((高温電圧!AM8*高温電圧!AM$2-VLOOKUP(HUAWEI製ＰＣＳ接続枚数計算ツール!$C$9,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HUAWEI製ＰＣＳ接続枚数計算ツール!$B$119:$P$149,14,FALSE),0)/100*IF(高温電圧!AM8*高温電圧!AM$2&lt;VLOOKUP(HUAWEI製ＰＣＳ接続枚数計算ツール!$C$9, HUAWEI製ＰＣＳ接続枚数計算ツール!$B$119:$P$149,12,FALSE),0,1)</f>
        <v>2.14</v>
      </c>
      <c r="AN8" s="85">
        <f>ROUNDDOWN((高温電圧!AN8*高温電圧!AN$2-VLOOKUP(HUAWEI製ＰＣＳ接続枚数計算ツール!$C$9,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HUAWEI製ＰＣＳ接続枚数計算ツール!$B$119:$P$149,14,FALSE),0)/100*IF(高温電圧!AN8*高温電圧!AN$2&lt;VLOOKUP(HUAWEI製ＰＣＳ接続枚数計算ツール!$C$9, HUAWEI製ＰＣＳ接続枚数計算ツール!$B$119:$P$149,12,FALSE),0,1)</f>
        <v>2.2200000000000002</v>
      </c>
      <c r="AO8" s="85">
        <f>ROUNDDOWN((高温電圧!AO8*高温電圧!AO$2-VLOOKUP(HUAWEI製ＰＣＳ接続枚数計算ツール!$C$9,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HUAWEI製ＰＣＳ接続枚数計算ツール!$B$119:$P$149,14,FALSE),0)/100*IF(高温電圧!AO8*高温電圧!AO$2&lt;VLOOKUP(HUAWEI製ＰＣＳ接続枚数計算ツール!$C$9, HUAWEI製ＰＣＳ接続枚数計算ツール!$B$119:$P$149,12,FALSE),0,1)</f>
        <v>2.29</v>
      </c>
    </row>
    <row r="9" spans="1:41">
      <c r="A9">
        <v>7</v>
      </c>
      <c r="B9" s="85">
        <f>ROUNDDOWN((高温電圧!B9*高温電圧!B$2-VLOOKUP(HUAWEI製ＰＣＳ接続枚数計算ツール!$C$9,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HUAWEI製ＰＣＳ接続枚数計算ツール!$B$119:$P$149,14,FALSE),0)/100*IF(高温電圧!B9*高温電圧!B$2&lt;VLOOKUP(HUAWEI製ＰＣＳ接続枚数計算ツール!$C$9, HUAWEI製ＰＣＳ接続枚数計算ツール!$B$119:$P$149,12,FALSE),0,1)</f>
        <v>0</v>
      </c>
      <c r="C9" s="85">
        <f>ROUNDDOWN((高温電圧!C9*高温電圧!C$2-VLOOKUP(HUAWEI製ＰＣＳ接続枚数計算ツール!$C$9,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HUAWEI製ＰＣＳ接続枚数計算ツール!$B$119:$P$149,14,FALSE),0)/100*IF(高温電圧!C9*高温電圧!C$2&lt;VLOOKUP(HUAWEI製ＰＣＳ接続枚数計算ツール!$C$9, HUAWEI製ＰＣＳ接続枚数計算ツール!$B$119:$P$149,12,FALSE),0,1)</f>
        <v>0</v>
      </c>
      <c r="D9" s="85">
        <f>ROUNDDOWN((高温電圧!D9*高温電圧!D$2-VLOOKUP(HUAWEI製ＰＣＳ接続枚数計算ツール!$C$9,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HUAWEI製ＰＣＳ接続枚数計算ツール!$B$119:$P$149,14,FALSE),0)/100*IF(高温電圧!D9*高温電圧!D$2&lt;VLOOKUP(HUAWEI製ＰＣＳ接続枚数計算ツール!$C$9, HUAWEI製ＰＣＳ接続枚数計算ツール!$B$119:$P$149,12,FALSE),0,1)</f>
        <v>0</v>
      </c>
      <c r="E9" s="85">
        <f>ROUNDDOWN((高温電圧!E9*高温電圧!E$2-VLOOKUP(HUAWEI製ＰＣＳ接続枚数計算ツール!$C$9,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HUAWEI製ＰＣＳ接続枚数計算ツール!$B$119:$P$149,14,FALSE),0)/100*IF(高温電圧!E9*高温電圧!E$2&lt;VLOOKUP(HUAWEI製ＰＣＳ接続枚数計算ツール!$C$9, HUAWEI製ＰＣＳ接続枚数計算ツール!$B$119:$P$149,12,FALSE),0,1)</f>
        <v>0</v>
      </c>
      <c r="F9" s="85">
        <f>ROUNDDOWN((高温電圧!F9*高温電圧!F$2-VLOOKUP(HUAWEI製ＰＣＳ接続枚数計算ツール!$C$9,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HUAWEI製ＰＣＳ接続枚数計算ツール!$B$119:$P$149,14,FALSE),0)/100*IF(高温電圧!F9*高温電圧!F$2&lt;VLOOKUP(HUAWEI製ＰＣＳ接続枚数計算ツール!$C$9, HUAWEI製ＰＣＳ接続枚数計算ツール!$B$119:$P$149,12,FALSE),0,1)</f>
        <v>0</v>
      </c>
      <c r="G9" s="85">
        <f>ROUNDDOWN((高温電圧!G9*高温電圧!G$2-VLOOKUP(HUAWEI製ＰＣＳ接続枚数計算ツール!$C$9,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HUAWEI製ＰＣＳ接続枚数計算ツール!$B$119:$P$149,14,FALSE),0)/100*IF(高温電圧!G9*高温電圧!G$2&lt;VLOOKUP(HUAWEI製ＰＣＳ接続枚数計算ツール!$C$9, HUAWEI製ＰＣＳ接続枚数計算ツール!$B$119:$P$149,12,FALSE),0,1)</f>
        <v>0</v>
      </c>
      <c r="H9" s="85">
        <f>ROUNDDOWN((高温電圧!H9*高温電圧!H$2-VLOOKUP(HUAWEI製ＰＣＳ接続枚数計算ツール!$C$9,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HUAWEI製ＰＣＳ接続枚数計算ツール!$B$119:$P$149,14,FALSE),0)/100*IF(高温電圧!H9*高温電圧!H$2&lt;VLOOKUP(HUAWEI製ＰＣＳ接続枚数計算ツール!$C$9, HUAWEI製ＰＣＳ接続枚数計算ツール!$B$119:$P$149,12,FALSE),0,1)</f>
        <v>0</v>
      </c>
      <c r="I9" s="85">
        <f>ROUNDDOWN((高温電圧!I9*高温電圧!I$2-VLOOKUP(HUAWEI製ＰＣＳ接続枚数計算ツール!$C$9,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HUAWEI製ＰＣＳ接続枚数計算ツール!$B$119:$P$149,14,FALSE),0)/100*IF(高温電圧!I9*高温電圧!I$2&lt;VLOOKUP(HUAWEI製ＰＣＳ接続枚数計算ツール!$C$9, HUAWEI製ＰＣＳ接続枚数計算ツール!$B$119:$P$149,12,FALSE),0,1)</f>
        <v>0</v>
      </c>
      <c r="J9" s="85">
        <f>ROUNDDOWN((高温電圧!J9*高温電圧!J$2-VLOOKUP(HUAWEI製ＰＣＳ接続枚数計算ツール!$C$9,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HUAWEI製ＰＣＳ接続枚数計算ツール!$B$119:$P$149,14,FALSE),0)/100*IF(高温電圧!J9*高温電圧!J$2&lt;VLOOKUP(HUAWEI製ＰＣＳ接続枚数計算ツール!$C$9, HUAWEI製ＰＣＳ接続枚数計算ツール!$B$119:$P$149,12,FALSE),0,1)</f>
        <v>0</v>
      </c>
      <c r="K9" s="85">
        <f>ROUNDDOWN((高温電圧!K9*高温電圧!K$2-VLOOKUP(HUAWEI製ＰＣＳ接続枚数計算ツール!$C$9,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HUAWEI製ＰＣＳ接続枚数計算ツール!$B$119:$P$149,14,FALSE),0)/100*IF(高温電圧!K9*高温電圧!K$2&lt;VLOOKUP(HUAWEI製ＰＣＳ接続枚数計算ツール!$C$9, HUAWEI製ＰＣＳ接続枚数計算ツール!$B$119:$P$149,12,FALSE),0,1)</f>
        <v>0</v>
      </c>
      <c r="L9" s="85">
        <f>ROUNDDOWN((高温電圧!L9*高温電圧!L$2-VLOOKUP(HUAWEI製ＰＣＳ接続枚数計算ツール!$C$9,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HUAWEI製ＰＣＳ接続枚数計算ツール!$B$119:$P$149,14,FALSE),0)/100*IF(高温電圧!L9*高温電圧!L$2&lt;VLOOKUP(HUAWEI製ＰＣＳ接続枚数計算ツール!$C$9, HUAWEI製ＰＣＳ接続枚数計算ツール!$B$119:$P$149,12,FALSE),0,1)</f>
        <v>0</v>
      </c>
      <c r="M9" s="85">
        <f>ROUNDDOWN((高温電圧!M9*高温電圧!M$2-VLOOKUP(HUAWEI製ＰＣＳ接続枚数計算ツール!$C$9,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HUAWEI製ＰＣＳ接続枚数計算ツール!$B$119:$P$149,14,FALSE),0)/100*IF(高温電圧!M9*高温電圧!M$2&lt;VLOOKUP(HUAWEI製ＰＣＳ接続枚数計算ツール!$C$9, HUAWEI製ＰＣＳ接続枚数計算ツール!$B$119:$P$149,12,FALSE),0,1)</f>
        <v>0</v>
      </c>
      <c r="N9" s="85">
        <f>ROUNDDOWN((高温電圧!N9*高温電圧!N$2-VLOOKUP(HUAWEI製ＰＣＳ接続枚数計算ツール!$C$9,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HUAWEI製ＰＣＳ接続枚数計算ツール!$B$119:$P$149,14,FALSE),0)/100*IF(高温電圧!N9*高温電圧!N$2&lt;VLOOKUP(HUAWEI製ＰＣＳ接続枚数計算ツール!$C$9, HUAWEI製ＰＣＳ接続枚数計算ツール!$B$119:$P$149,12,FALSE),0,1)</f>
        <v>0</v>
      </c>
      <c r="O9" s="85">
        <f>ROUNDDOWN((高温電圧!O9*高温電圧!O$2-VLOOKUP(HUAWEI製ＰＣＳ接続枚数計算ツール!$C$9,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HUAWEI製ＰＣＳ接続枚数計算ツール!$B$119:$P$149,14,FALSE),0)/100*IF(高温電圧!O9*高温電圧!O$2&lt;VLOOKUP(HUAWEI製ＰＣＳ接続枚数計算ツール!$C$9, HUAWEI製ＰＣＳ接続枚数計算ツール!$B$119:$P$149,12,FALSE),0,1)</f>
        <v>0.64</v>
      </c>
      <c r="P9" s="85">
        <f>ROUNDDOWN((高温電圧!P9*高温電圧!P$2-VLOOKUP(HUAWEI製ＰＣＳ接続枚数計算ツール!$C$9,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HUAWEI製ＰＣＳ接続枚数計算ツール!$B$119:$P$149,14,FALSE),0)/100*IF(高温電圧!P9*高温電圧!P$2&lt;VLOOKUP(HUAWEI製ＰＣＳ接続枚数計算ツール!$C$9, HUAWEI製ＰＣＳ接続枚数計算ツール!$B$119:$P$149,12,FALSE),0,1)</f>
        <v>0.7</v>
      </c>
      <c r="Q9" s="85">
        <f>ROUNDDOWN((高温電圧!Q9*高温電圧!Q$2-VLOOKUP(HUAWEI製ＰＣＳ接続枚数計算ツール!$C$9,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HUAWEI製ＰＣＳ接続枚数計算ツール!$B$119:$P$149,14,FALSE),0)/100*IF(高温電圧!Q9*高温電圧!Q$2&lt;VLOOKUP(HUAWEI製ＰＣＳ接続枚数計算ツール!$C$9, HUAWEI製ＰＣＳ接続枚数計算ツール!$B$119:$P$149,12,FALSE),0,1)</f>
        <v>0.75</v>
      </c>
      <c r="R9" s="85">
        <f>ROUNDDOWN((高温電圧!R9*高温電圧!R$2-VLOOKUP(HUAWEI製ＰＣＳ接続枚数計算ツール!$C$9,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HUAWEI製ＰＣＳ接続枚数計算ツール!$B$119:$P$149,14,FALSE),0)/100*IF(高温電圧!R9*高温電圧!R$2&lt;VLOOKUP(HUAWEI製ＰＣＳ接続枚数計算ツール!$C$9, HUAWEI製ＰＣＳ接続枚数計算ツール!$B$119:$P$149,12,FALSE),0,1)</f>
        <v>0.81</v>
      </c>
      <c r="S9" s="85">
        <f>ROUNDDOWN((高温電圧!S9*高温電圧!S$2-VLOOKUP(HUAWEI製ＰＣＳ接続枚数計算ツール!$C$9,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HUAWEI製ＰＣＳ接続枚数計算ツール!$B$119:$P$149,14,FALSE),0)/100*IF(高温電圧!S9*高温電圧!S$2&lt;VLOOKUP(HUAWEI製ＰＣＳ接続枚数計算ツール!$C$9, HUAWEI製ＰＣＳ接続枚数計算ツール!$B$119:$P$149,12,FALSE),0,1)</f>
        <v>0.87</v>
      </c>
      <c r="T9" s="85">
        <f>ROUNDDOWN((高温電圧!T9*高温電圧!T$2-VLOOKUP(HUAWEI製ＰＣＳ接続枚数計算ツール!$C$9,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HUAWEI製ＰＣＳ接続枚数計算ツール!$B$119:$P$149,14,FALSE),0)/100*IF(高温電圧!T9*高温電圧!T$2&lt;VLOOKUP(HUAWEI製ＰＣＳ接続枚数計算ツール!$C$9, HUAWEI製ＰＣＳ接続枚数計算ツール!$B$119:$P$149,12,FALSE),0,1)</f>
        <v>0.92</v>
      </c>
      <c r="U9" s="85">
        <f>ROUNDDOWN((高温電圧!U9*高温電圧!U$2-VLOOKUP(HUAWEI製ＰＣＳ接続枚数計算ツール!$C$9,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HUAWEI製ＰＣＳ接続枚数計算ツール!$B$119:$P$149,14,FALSE),0)/100*IF(高温電圧!U9*高温電圧!U$2&lt;VLOOKUP(HUAWEI製ＰＣＳ接続枚数計算ツール!$C$9, HUAWEI製ＰＣＳ接続枚数計算ツール!$B$119:$P$149,12,FALSE),0,1)</f>
        <v>0.98</v>
      </c>
      <c r="V9" s="85">
        <f>ROUNDDOWN((高温電圧!V9*高温電圧!V$2-VLOOKUP(HUAWEI製ＰＣＳ接続枚数計算ツール!$C$9,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HUAWEI製ＰＣＳ接続枚数計算ツール!$B$119:$P$149,14,FALSE),0)/100*IF(高温電圧!V9*高温電圧!V$2&lt;VLOOKUP(HUAWEI製ＰＣＳ接続枚数計算ツール!$C$9, HUAWEI製ＰＣＳ接続枚数計算ツール!$B$119:$P$149,12,FALSE),0,1)</f>
        <v>1.04</v>
      </c>
      <c r="W9" s="85">
        <f>ROUNDDOWN((高温電圧!W9*高温電圧!W$2-VLOOKUP(HUAWEI製ＰＣＳ接続枚数計算ツール!$C$9,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HUAWEI製ＰＣＳ接続枚数計算ツール!$B$119:$P$149,14,FALSE),0)/100*IF(高温電圧!W9*高温電圧!W$2&lt;VLOOKUP(HUAWEI製ＰＣＳ接続枚数計算ツール!$C$9, HUAWEI製ＰＣＳ接続枚数計算ツール!$B$119:$P$149,12,FALSE),0,1)</f>
        <v>1.0900000000000001</v>
      </c>
      <c r="X9" s="85">
        <f>ROUNDDOWN((高温電圧!X9*高温電圧!X$2-VLOOKUP(HUAWEI製ＰＣＳ接続枚数計算ツール!$C$9,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HUAWEI製ＰＣＳ接続枚数計算ツール!$B$119:$P$149,14,FALSE),0)/100*IF(高温電圧!X9*高温電圧!X$2&lt;VLOOKUP(HUAWEI製ＰＣＳ接続枚数計算ツール!$C$9, HUAWEI製ＰＣＳ接続枚数計算ツール!$B$119:$P$149,12,FALSE),0,1)</f>
        <v>1.1499999999999999</v>
      </c>
      <c r="Y9" s="85">
        <f>ROUNDDOWN((高温電圧!Y9*高温電圧!Y$2-VLOOKUP(HUAWEI製ＰＣＳ接続枚数計算ツール!$C$9,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HUAWEI製ＰＣＳ接続枚数計算ツール!$B$119:$P$149,14,FALSE),0)/100*IF(高温電圧!Y9*高温電圧!Y$2&lt;VLOOKUP(HUAWEI製ＰＣＳ接続枚数計算ツール!$C$9, HUAWEI製ＰＣＳ接続枚数計算ツール!$B$119:$P$149,12,FALSE),0,1)</f>
        <v>1.2</v>
      </c>
      <c r="Z9" s="85">
        <f>ROUNDDOWN((高温電圧!Z9*高温電圧!Z$2-VLOOKUP(HUAWEI製ＰＣＳ接続枚数計算ツール!$C$9,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HUAWEI製ＰＣＳ接続枚数計算ツール!$B$119:$P$149,14,FALSE),0)/100*IF(高温電圧!Z9*高温電圧!Z$2&lt;VLOOKUP(HUAWEI製ＰＣＳ接続枚数計算ツール!$C$9, HUAWEI製ＰＣＳ接続枚数計算ツール!$B$119:$P$149,12,FALSE),0,1)</f>
        <v>1.26</v>
      </c>
      <c r="AA9" s="85">
        <f>ROUNDDOWN((高温電圧!AA9*高温電圧!AA$2-VLOOKUP(HUAWEI製ＰＣＳ接続枚数計算ツール!$C$9,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HUAWEI製ＰＣＳ接続枚数計算ツール!$B$119:$P$149,14,FALSE),0)/100*IF(高温電圧!AA9*高温電圧!AA$2&lt;VLOOKUP(HUAWEI製ＰＣＳ接続枚数計算ツール!$C$9, HUAWEI製ＰＣＳ接続枚数計算ツール!$B$119:$P$149,12,FALSE),0,1)</f>
        <v>1.32</v>
      </c>
      <c r="AB9" s="85">
        <f>ROUNDDOWN((高温電圧!AB9*高温電圧!AB$2-VLOOKUP(HUAWEI製ＰＣＳ接続枚数計算ツール!$C$9,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HUAWEI製ＰＣＳ接続枚数計算ツール!$B$119:$P$149,14,FALSE),0)/100*IF(高温電圧!AB9*高温電圧!AB$2&lt;VLOOKUP(HUAWEI製ＰＣＳ接続枚数計算ツール!$C$9, HUAWEI製ＰＣＳ接続枚数計算ツール!$B$119:$P$149,12,FALSE),0,1)</f>
        <v>1.37</v>
      </c>
      <c r="AC9" s="85">
        <f>ROUNDDOWN((高温電圧!AC9*高温電圧!AC$2-VLOOKUP(HUAWEI製ＰＣＳ接続枚数計算ツール!$C$9,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HUAWEI製ＰＣＳ接続枚数計算ツール!$B$119:$P$149,14,FALSE),0)/100*IF(高温電圧!AC9*高温電圧!AC$2&lt;VLOOKUP(HUAWEI製ＰＣＳ接続枚数計算ツール!$C$9, HUAWEI製ＰＣＳ接続枚数計算ツール!$B$119:$P$149,12,FALSE),0,1)</f>
        <v>1.43</v>
      </c>
      <c r="AD9" s="85">
        <f>ROUNDDOWN((高温電圧!AD9*高温電圧!AD$2-VLOOKUP(HUAWEI製ＰＣＳ接続枚数計算ツール!$C$9,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HUAWEI製ＰＣＳ接続枚数計算ツール!$B$119:$P$149,14,FALSE),0)/100*IF(高温電圧!AD9*高温電圧!AD$2&lt;VLOOKUP(HUAWEI製ＰＣＳ接続枚数計算ツール!$C$9, HUAWEI製ＰＣＳ接続枚数計算ツール!$B$119:$P$149,12,FALSE),0,1)</f>
        <v>1.49</v>
      </c>
      <c r="AE9" s="85">
        <f>ROUNDDOWN((高温電圧!AE9*高温電圧!AE$2-VLOOKUP(HUAWEI製ＰＣＳ接続枚数計算ツール!$C$9,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HUAWEI製ＰＣＳ接続枚数計算ツール!$B$119:$P$149,14,FALSE),0)/100*IF(高温電圧!AE9*高温電圧!AE$2&lt;VLOOKUP(HUAWEI製ＰＣＳ接続枚数計算ツール!$C$9, HUAWEI製ＰＣＳ接続枚数計算ツール!$B$119:$P$149,12,FALSE),0,1)</f>
        <v>1.59</v>
      </c>
      <c r="AF9" s="85">
        <f>ROUNDDOWN((高温電圧!AF9*高温電圧!AF$2-VLOOKUP(HUAWEI製ＰＣＳ接続枚数計算ツール!$C$9,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HUAWEI製ＰＣＳ接続枚数計算ツール!$B$119:$P$149,14,FALSE),0)/100*IF(高温電圧!AF9*高温電圧!AF$2&lt;VLOOKUP(HUAWEI製ＰＣＳ接続枚数計算ツール!$C$9, HUAWEI製ＰＣＳ接続枚数計算ツール!$B$119:$P$149,12,FALSE),0,1)</f>
        <v>1.69</v>
      </c>
      <c r="AG9" s="85">
        <f>ROUNDDOWN((高温電圧!AG9*高温電圧!AG$2-VLOOKUP(HUAWEI製ＰＣＳ接続枚数計算ツール!$C$9,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HUAWEI製ＰＣＳ接続枚数計算ツール!$B$119:$P$149,14,FALSE),0)/100*IF(高温電圧!AG9*高温電圧!AG$2&lt;VLOOKUP(HUAWEI製ＰＣＳ接続枚数計算ツール!$C$9, HUAWEI製ＰＣＳ接続枚数計算ツール!$B$119:$P$149,12,FALSE),0,1)</f>
        <v>1.77</v>
      </c>
      <c r="AH9" s="85">
        <f>ROUNDDOWN((高温電圧!AH9*高温電圧!AH$2-VLOOKUP(HUAWEI製ＰＣＳ接続枚数計算ツール!$C$9,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HUAWEI製ＰＣＳ接続枚数計算ツール!$B$119:$P$149,14,FALSE),0)/100*IF(高温電圧!AH9*高温電圧!AH$2&lt;VLOOKUP(HUAWEI製ＰＣＳ接続枚数計算ツール!$C$9, HUAWEI製ＰＣＳ接続枚数計算ツール!$B$119:$P$149,12,FALSE),0,1)</f>
        <v>1.85</v>
      </c>
      <c r="AI9" s="85">
        <f>ROUNDDOWN((高温電圧!AI9*高温電圧!AI$2-VLOOKUP(HUAWEI製ＰＣＳ接続枚数計算ツール!$C$9,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HUAWEI製ＰＣＳ接続枚数計算ツール!$B$119:$P$149,14,FALSE),0)/100*IF(高温電圧!AI9*高温電圧!AI$2&lt;VLOOKUP(HUAWEI製ＰＣＳ接続枚数計算ツール!$C$9, HUAWEI製ＰＣＳ接続枚数計算ツール!$B$119:$P$149,12,FALSE),0,1)</f>
        <v>1.92</v>
      </c>
      <c r="AJ9" s="85">
        <f>ROUNDDOWN((高温電圧!AJ9*高温電圧!AJ$2-VLOOKUP(HUAWEI製ＰＣＳ接続枚数計算ツール!$C$9,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HUAWEI製ＰＣＳ接続枚数計算ツール!$B$119:$P$149,14,FALSE),0)/100*IF(高温電圧!AJ9*高温電圧!AJ$2&lt;VLOOKUP(HUAWEI製ＰＣＳ接続枚数計算ツール!$C$9, HUAWEI製ＰＣＳ接続枚数計算ツール!$B$119:$P$149,12,FALSE),0,1)</f>
        <v>2</v>
      </c>
      <c r="AK9" s="85">
        <f>ROUNDDOWN((高温電圧!AK9*高温電圧!AK$2-VLOOKUP(HUAWEI製ＰＣＳ接続枚数計算ツール!$C$9,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HUAWEI製ＰＣＳ接続枚数計算ツール!$B$119:$P$149,14,FALSE),0)/100*IF(高温電圧!AK9*高温電圧!AK$2&lt;VLOOKUP(HUAWEI製ＰＣＳ接続枚数計算ツール!$C$9, HUAWEI製ＰＣＳ接続枚数計算ツール!$B$119:$P$149,12,FALSE),0,1)</f>
        <v>2.0699999999999998</v>
      </c>
      <c r="AL9" s="85">
        <f>ROUNDDOWN((高温電圧!AL9*高温電圧!AL$2-VLOOKUP(HUAWEI製ＰＣＳ接続枚数計算ツール!$C$9,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HUAWEI製ＰＣＳ接続枚数計算ツール!$B$119:$P$149,14,FALSE),0)/100*IF(高温電圧!AL9*高温電圧!AL$2&lt;VLOOKUP(HUAWEI製ＰＣＳ接続枚数計算ツール!$C$9, HUAWEI製ＰＣＳ接続枚数計算ツール!$B$119:$P$149,12,FALSE),0,1)</f>
        <v>2.14</v>
      </c>
      <c r="AM9" s="85">
        <f>ROUNDDOWN((高温電圧!AM9*高温電圧!AM$2-VLOOKUP(HUAWEI製ＰＣＳ接続枚数計算ツール!$C$9,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HUAWEI製ＰＣＳ接続枚数計算ツール!$B$119:$P$149,14,FALSE),0)/100*IF(高温電圧!AM9*高温電圧!AM$2&lt;VLOOKUP(HUAWEI製ＰＣＳ接続枚数計算ツール!$C$9, HUAWEI製ＰＣＳ接続枚数計算ツール!$B$119:$P$149,12,FALSE),0,1)</f>
        <v>2.2200000000000002</v>
      </c>
      <c r="AN9" s="85">
        <f>ROUNDDOWN((高温電圧!AN9*高温電圧!AN$2-VLOOKUP(HUAWEI製ＰＣＳ接続枚数計算ツール!$C$9,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HUAWEI製ＰＣＳ接続枚数計算ツール!$B$119:$P$149,14,FALSE),0)/100*IF(高温電圧!AN9*高温電圧!AN$2&lt;VLOOKUP(HUAWEI製ＰＣＳ接続枚数計算ツール!$C$9, HUAWEI製ＰＣＳ接続枚数計算ツール!$B$119:$P$149,12,FALSE),0,1)</f>
        <v>2.29</v>
      </c>
      <c r="AO9" s="85">
        <f>ROUNDDOWN((高温電圧!AO9*高温電圧!AO$2-VLOOKUP(HUAWEI製ＰＣＳ接続枚数計算ツール!$C$9,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HUAWEI製ＰＣＳ接続枚数計算ツール!$B$119:$P$149,14,FALSE),0)/100*IF(高温電圧!AO9*高温電圧!AO$2&lt;VLOOKUP(HUAWEI製ＰＣＳ接続枚数計算ツール!$C$9, HUAWEI製ＰＣＳ接続枚数計算ツール!$B$119:$P$149,12,FALSE),0,1)</f>
        <v>2.36</v>
      </c>
    </row>
    <row r="10" spans="1:41">
      <c r="A10">
        <v>8</v>
      </c>
      <c r="B10" s="85">
        <f>ROUNDDOWN((高温電圧!B10*高温電圧!B$2-VLOOKUP(HUAWEI製ＰＣＳ接続枚数計算ツール!$C$9,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HUAWEI製ＰＣＳ接続枚数計算ツール!$B$119:$P$149,14,FALSE),0)/100*IF(高温電圧!B10*高温電圧!B$2&lt;VLOOKUP(HUAWEI製ＰＣＳ接続枚数計算ツール!$C$9, HUAWEI製ＰＣＳ接続枚数計算ツール!$B$119:$P$149,12,FALSE),0,1)</f>
        <v>0</v>
      </c>
      <c r="C10" s="85">
        <f>ROUNDDOWN((高温電圧!C10*高温電圧!C$2-VLOOKUP(HUAWEI製ＰＣＳ接続枚数計算ツール!$C$9,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HUAWEI製ＰＣＳ接続枚数計算ツール!$B$119:$P$149,14,FALSE),0)/100*IF(高温電圧!C10*高温電圧!C$2&lt;VLOOKUP(HUAWEI製ＰＣＳ接続枚数計算ツール!$C$9, HUAWEI製ＰＣＳ接続枚数計算ツール!$B$119:$P$149,12,FALSE),0,1)</f>
        <v>0</v>
      </c>
      <c r="D10" s="85">
        <f>ROUNDDOWN((高温電圧!D10*高温電圧!D$2-VLOOKUP(HUAWEI製ＰＣＳ接続枚数計算ツール!$C$9,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HUAWEI製ＰＣＳ接続枚数計算ツール!$B$119:$P$149,14,FALSE),0)/100*IF(高温電圧!D10*高温電圧!D$2&lt;VLOOKUP(HUAWEI製ＰＣＳ接続枚数計算ツール!$C$9, HUAWEI製ＰＣＳ接続枚数計算ツール!$B$119:$P$149,12,FALSE),0,1)</f>
        <v>0</v>
      </c>
      <c r="E10" s="85">
        <f>ROUNDDOWN((高温電圧!E10*高温電圧!E$2-VLOOKUP(HUAWEI製ＰＣＳ接続枚数計算ツール!$C$9,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HUAWEI製ＰＣＳ接続枚数計算ツール!$B$119:$P$149,14,FALSE),0)/100*IF(高温電圧!E10*高温電圧!E$2&lt;VLOOKUP(HUAWEI製ＰＣＳ接続枚数計算ツール!$C$9, HUAWEI製ＰＣＳ接続枚数計算ツール!$B$119:$P$149,12,FALSE),0,1)</f>
        <v>0</v>
      </c>
      <c r="F10" s="85">
        <f>ROUNDDOWN((高温電圧!F10*高温電圧!F$2-VLOOKUP(HUAWEI製ＰＣＳ接続枚数計算ツール!$C$9,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HUAWEI製ＰＣＳ接続枚数計算ツール!$B$119:$P$149,14,FALSE),0)/100*IF(高温電圧!F10*高温電圧!F$2&lt;VLOOKUP(HUAWEI製ＰＣＳ接続枚数計算ツール!$C$9, HUAWEI製ＰＣＳ接続枚数計算ツール!$B$119:$P$149,12,FALSE),0,1)</f>
        <v>0</v>
      </c>
      <c r="G10" s="85">
        <f>ROUNDDOWN((高温電圧!G10*高温電圧!G$2-VLOOKUP(HUAWEI製ＰＣＳ接続枚数計算ツール!$C$9,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HUAWEI製ＰＣＳ接続枚数計算ツール!$B$119:$P$149,14,FALSE),0)/100*IF(高温電圧!G10*高温電圧!G$2&lt;VLOOKUP(HUAWEI製ＰＣＳ接続枚数計算ツール!$C$9, HUAWEI製ＰＣＳ接続枚数計算ツール!$B$119:$P$149,12,FALSE),0,1)</f>
        <v>0</v>
      </c>
      <c r="H10" s="85">
        <f>ROUNDDOWN((高温電圧!H10*高温電圧!H$2-VLOOKUP(HUAWEI製ＰＣＳ接続枚数計算ツール!$C$9,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HUAWEI製ＰＣＳ接続枚数計算ツール!$B$119:$P$149,14,FALSE),0)/100*IF(高温電圧!H10*高温電圧!H$2&lt;VLOOKUP(HUAWEI製ＰＣＳ接続枚数計算ツール!$C$9, HUAWEI製ＰＣＳ接続枚数計算ツール!$B$119:$P$149,12,FALSE),0,1)</f>
        <v>0</v>
      </c>
      <c r="I10" s="85">
        <f>ROUNDDOWN((高温電圧!I10*高温電圧!I$2-VLOOKUP(HUAWEI製ＰＣＳ接続枚数計算ツール!$C$9,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HUAWEI製ＰＣＳ接続枚数計算ツール!$B$119:$P$149,14,FALSE),0)/100*IF(高温電圧!I10*高温電圧!I$2&lt;VLOOKUP(HUAWEI製ＰＣＳ接続枚数計算ツール!$C$9, HUAWEI製ＰＣＳ接続枚数計算ツール!$B$119:$P$149,12,FALSE),0,1)</f>
        <v>0</v>
      </c>
      <c r="J10" s="85">
        <f>ROUNDDOWN((高温電圧!J10*高温電圧!J$2-VLOOKUP(HUAWEI製ＰＣＳ接続枚数計算ツール!$C$9,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HUAWEI製ＰＣＳ接続枚数計算ツール!$B$119:$P$149,14,FALSE),0)/100*IF(高温電圧!J10*高温電圧!J$2&lt;VLOOKUP(HUAWEI製ＰＣＳ接続枚数計算ツール!$C$9, HUAWEI製ＰＣＳ接続枚数計算ツール!$B$119:$P$149,12,FALSE),0,1)</f>
        <v>0</v>
      </c>
      <c r="K10" s="85">
        <f>ROUNDDOWN((高温電圧!K10*高温電圧!K$2-VLOOKUP(HUAWEI製ＰＣＳ接続枚数計算ツール!$C$9,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HUAWEI製ＰＣＳ接続枚数計算ツール!$B$119:$P$149,14,FALSE),0)/100*IF(高温電圧!K10*高温電圧!K$2&lt;VLOOKUP(HUAWEI製ＰＣＳ接続枚数計算ツール!$C$9, HUAWEI製ＰＣＳ接続枚数計算ツール!$B$119:$P$149,12,FALSE),0,1)</f>
        <v>0</v>
      </c>
      <c r="L10" s="85">
        <f>ROUNDDOWN((高温電圧!L10*高温電圧!L$2-VLOOKUP(HUAWEI製ＰＣＳ接続枚数計算ツール!$C$9,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HUAWEI製ＰＣＳ接続枚数計算ツール!$B$119:$P$149,14,FALSE),0)/100*IF(高温電圧!L10*高温電圧!L$2&lt;VLOOKUP(HUAWEI製ＰＣＳ接続枚数計算ツール!$C$9, HUAWEI製ＰＣＳ接続枚数計算ツール!$B$119:$P$149,12,FALSE),0,1)</f>
        <v>0</v>
      </c>
      <c r="M10" s="85">
        <f>ROUNDDOWN((高温電圧!M10*高温電圧!M$2-VLOOKUP(HUAWEI製ＰＣＳ接続枚数計算ツール!$C$9,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HUAWEI製ＰＣＳ接続枚数計算ツール!$B$119:$P$149,14,FALSE),0)/100*IF(高温電圧!M10*高温電圧!M$2&lt;VLOOKUP(HUAWEI製ＰＣＳ接続枚数計算ツール!$C$9, HUAWEI製ＰＣＳ接続枚数計算ツール!$B$119:$P$149,12,FALSE),0,1)</f>
        <v>0</v>
      </c>
      <c r="N10" s="85">
        <f>ROUNDDOWN((高温電圧!N10*高温電圧!N$2-VLOOKUP(HUAWEI製ＰＣＳ接続枚数計算ツール!$C$9,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HUAWEI製ＰＣＳ接続枚数計算ツール!$B$119:$P$149,14,FALSE),0)/100*IF(高温電圧!N10*高温電圧!N$2&lt;VLOOKUP(HUAWEI製ＰＣＳ接続枚数計算ツール!$C$9, HUAWEI製ＰＣＳ接続枚数計算ツール!$B$119:$P$149,12,FALSE),0,1)</f>
        <v>0</v>
      </c>
      <c r="O10" s="85">
        <f>ROUNDDOWN((高温電圧!O10*高温電圧!O$2-VLOOKUP(HUAWEI製ＰＣＳ接続枚数計算ツール!$C$9,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HUAWEI製ＰＣＳ接続枚数計算ツール!$B$119:$P$149,14,FALSE),0)/100*IF(高温電圧!O10*高温電圧!O$2&lt;VLOOKUP(HUAWEI製ＰＣＳ接続枚数計算ツール!$C$9, HUAWEI製ＰＣＳ接続枚数計算ツール!$B$119:$P$149,12,FALSE),0,1)</f>
        <v>0.64</v>
      </c>
      <c r="P10" s="85">
        <f>ROUNDDOWN((高温電圧!P10*高温電圧!P$2-VLOOKUP(HUAWEI製ＰＣＳ接続枚数計算ツール!$C$9,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HUAWEI製ＰＣＳ接続枚数計算ツール!$B$119:$P$149,14,FALSE),0)/100*IF(高温電圧!P10*高温電圧!P$2&lt;VLOOKUP(HUAWEI製ＰＣＳ接続枚数計算ツール!$C$9, HUAWEI製ＰＣＳ接続枚数計算ツール!$B$119:$P$149,12,FALSE),0,1)</f>
        <v>0.7</v>
      </c>
      <c r="Q10" s="85">
        <f>ROUNDDOWN((高温電圧!Q10*高温電圧!Q$2-VLOOKUP(HUAWEI製ＰＣＳ接続枚数計算ツール!$C$9,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HUAWEI製ＰＣＳ接続枚数計算ツール!$B$119:$P$149,14,FALSE),0)/100*IF(高温電圧!Q10*高温電圧!Q$2&lt;VLOOKUP(HUAWEI製ＰＣＳ接続枚数計算ツール!$C$9, HUAWEI製ＰＣＳ接続枚数計算ツール!$B$119:$P$149,12,FALSE),0,1)</f>
        <v>0.75</v>
      </c>
      <c r="R10" s="85">
        <f>ROUNDDOWN((高温電圧!R10*高温電圧!R$2-VLOOKUP(HUAWEI製ＰＣＳ接続枚数計算ツール!$C$9,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HUAWEI製ＰＣＳ接続枚数計算ツール!$B$119:$P$149,14,FALSE),0)/100*IF(高温電圧!R10*高温電圧!R$2&lt;VLOOKUP(HUAWEI製ＰＣＳ接続枚数計算ツール!$C$9, HUAWEI製ＰＣＳ接続枚数計算ツール!$B$119:$P$149,12,FALSE),0,1)</f>
        <v>0.81</v>
      </c>
      <c r="S10" s="85">
        <f>ROUNDDOWN((高温電圧!S10*高温電圧!S$2-VLOOKUP(HUAWEI製ＰＣＳ接続枚数計算ツール!$C$9,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HUAWEI製ＰＣＳ接続枚数計算ツール!$B$119:$P$149,14,FALSE),0)/100*IF(高温電圧!S10*高温電圧!S$2&lt;VLOOKUP(HUAWEI製ＰＣＳ接続枚数計算ツール!$C$9, HUAWEI製ＰＣＳ接続枚数計算ツール!$B$119:$P$149,12,FALSE),0,1)</f>
        <v>0.87</v>
      </c>
      <c r="T10" s="85">
        <f>ROUNDDOWN((高温電圧!T10*高温電圧!T$2-VLOOKUP(HUAWEI製ＰＣＳ接続枚数計算ツール!$C$9,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HUAWEI製ＰＣＳ接続枚数計算ツール!$B$119:$P$149,14,FALSE),0)/100*IF(高温電圧!T10*高温電圧!T$2&lt;VLOOKUP(HUAWEI製ＰＣＳ接続枚数計算ツール!$C$9, HUAWEI製ＰＣＳ接続枚数計算ツール!$B$119:$P$149,12,FALSE),0,1)</f>
        <v>0.92</v>
      </c>
      <c r="U10" s="85">
        <f>ROUNDDOWN((高温電圧!U10*高温電圧!U$2-VLOOKUP(HUAWEI製ＰＣＳ接続枚数計算ツール!$C$9,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HUAWEI製ＰＣＳ接続枚数計算ツール!$B$119:$P$149,14,FALSE),0)/100*IF(高温電圧!U10*高温電圧!U$2&lt;VLOOKUP(HUAWEI製ＰＣＳ接続枚数計算ツール!$C$9, HUAWEI製ＰＣＳ接続枚数計算ツール!$B$119:$P$149,12,FALSE),0,1)</f>
        <v>0.98</v>
      </c>
      <c r="V10" s="85">
        <f>ROUNDDOWN((高温電圧!V10*高温電圧!V$2-VLOOKUP(HUAWEI製ＰＣＳ接続枚数計算ツール!$C$9,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HUAWEI製ＰＣＳ接続枚数計算ツール!$B$119:$P$149,14,FALSE),0)/100*IF(高温電圧!V10*高温電圧!V$2&lt;VLOOKUP(HUAWEI製ＰＣＳ接続枚数計算ツール!$C$9, HUAWEI製ＰＣＳ接続枚数計算ツール!$B$119:$P$149,12,FALSE),0,1)</f>
        <v>1.04</v>
      </c>
      <c r="W10" s="85">
        <f>ROUNDDOWN((高温電圧!W10*高温電圧!W$2-VLOOKUP(HUAWEI製ＰＣＳ接続枚数計算ツール!$C$9,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HUAWEI製ＰＣＳ接続枚数計算ツール!$B$119:$P$149,14,FALSE),0)/100*IF(高温電圧!W10*高温電圧!W$2&lt;VLOOKUP(HUAWEI製ＰＣＳ接続枚数計算ツール!$C$9, HUAWEI製ＰＣＳ接続枚数計算ツール!$B$119:$P$149,12,FALSE),0,1)</f>
        <v>1.0900000000000001</v>
      </c>
      <c r="X10" s="85">
        <f>ROUNDDOWN((高温電圧!X10*高温電圧!X$2-VLOOKUP(HUAWEI製ＰＣＳ接続枚数計算ツール!$C$9,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HUAWEI製ＰＣＳ接続枚数計算ツール!$B$119:$P$149,14,FALSE),0)/100*IF(高温電圧!X10*高温電圧!X$2&lt;VLOOKUP(HUAWEI製ＰＣＳ接続枚数計算ツール!$C$9, HUAWEI製ＰＣＳ接続枚数計算ツール!$B$119:$P$149,12,FALSE),0,1)</f>
        <v>1.1499999999999999</v>
      </c>
      <c r="Y10" s="85">
        <f>ROUNDDOWN((高温電圧!Y10*高温電圧!Y$2-VLOOKUP(HUAWEI製ＰＣＳ接続枚数計算ツール!$C$9,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HUAWEI製ＰＣＳ接続枚数計算ツール!$B$119:$P$149,14,FALSE),0)/100*IF(高温電圧!Y10*高温電圧!Y$2&lt;VLOOKUP(HUAWEI製ＰＣＳ接続枚数計算ツール!$C$9, HUAWEI製ＰＣＳ接続枚数計算ツール!$B$119:$P$149,12,FALSE),0,1)</f>
        <v>1.2</v>
      </c>
      <c r="Z10" s="85">
        <f>ROUNDDOWN((高温電圧!Z10*高温電圧!Z$2-VLOOKUP(HUAWEI製ＰＣＳ接続枚数計算ツール!$C$9,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HUAWEI製ＰＣＳ接続枚数計算ツール!$B$119:$P$149,14,FALSE),0)/100*IF(高温電圧!Z10*高温電圧!Z$2&lt;VLOOKUP(HUAWEI製ＰＣＳ接続枚数計算ツール!$C$9, HUAWEI製ＰＣＳ接続枚数計算ツール!$B$119:$P$149,12,FALSE),0,1)</f>
        <v>1.26</v>
      </c>
      <c r="AA10" s="85">
        <f>ROUNDDOWN((高温電圧!AA10*高温電圧!AA$2-VLOOKUP(HUAWEI製ＰＣＳ接続枚数計算ツール!$C$9,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HUAWEI製ＰＣＳ接続枚数計算ツール!$B$119:$P$149,14,FALSE),0)/100*IF(高温電圧!AA10*高温電圧!AA$2&lt;VLOOKUP(HUAWEI製ＰＣＳ接続枚数計算ツール!$C$9, HUAWEI製ＰＣＳ接続枚数計算ツール!$B$119:$P$149,12,FALSE),0,1)</f>
        <v>1.32</v>
      </c>
      <c r="AB10" s="85">
        <f>ROUNDDOWN((高温電圧!AB10*高温電圧!AB$2-VLOOKUP(HUAWEI製ＰＣＳ接続枚数計算ツール!$C$9,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HUAWEI製ＰＣＳ接続枚数計算ツール!$B$119:$P$149,14,FALSE),0)/100*IF(高温電圧!AB10*高温電圧!AB$2&lt;VLOOKUP(HUAWEI製ＰＣＳ接続枚数計算ツール!$C$9, HUAWEI製ＰＣＳ接続枚数計算ツール!$B$119:$P$149,12,FALSE),0,1)</f>
        <v>1.45</v>
      </c>
      <c r="AC10" s="85">
        <f>ROUNDDOWN((高温電圧!AC10*高温電圧!AC$2-VLOOKUP(HUAWEI製ＰＣＳ接続枚数計算ツール!$C$9,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HUAWEI製ＰＣＳ接続枚数計算ツール!$B$119:$P$149,14,FALSE),0)/100*IF(高温電圧!AC10*高温電圧!AC$2&lt;VLOOKUP(HUAWEI製ＰＣＳ接続枚数計算ツール!$C$9, HUAWEI製ＰＣＳ接続枚数計算ツール!$B$119:$P$149,12,FALSE),0,1)</f>
        <v>1.53</v>
      </c>
      <c r="AD10" s="85">
        <f>ROUNDDOWN((高温電圧!AD10*高温電圧!AD$2-VLOOKUP(HUAWEI製ＰＣＳ接続枚数計算ツール!$C$9,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HUAWEI製ＰＣＳ接続枚数計算ツール!$B$119:$P$149,14,FALSE),0)/100*IF(高温電圧!AD10*高温電圧!AD$2&lt;VLOOKUP(HUAWEI製ＰＣＳ接続枚数計算ツール!$C$9, HUAWEI製ＰＣＳ接続枚数計算ツール!$B$119:$P$149,12,FALSE),0,1)</f>
        <v>1.61</v>
      </c>
      <c r="AE10" s="85">
        <f>ROUNDDOWN((高温電圧!AE10*高温電圧!AE$2-VLOOKUP(HUAWEI製ＰＣＳ接続枚数計算ツール!$C$9,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HUAWEI製ＰＣＳ接続枚数計算ツール!$B$119:$P$149,14,FALSE),0)/100*IF(高温電圧!AE10*高温電圧!AE$2&lt;VLOOKUP(HUAWEI製ＰＣＳ接続枚数計算ツール!$C$9, HUAWEI製ＰＣＳ接続枚数計算ツール!$B$119:$P$149,12,FALSE),0,1)</f>
        <v>1.68</v>
      </c>
      <c r="AF10" s="85">
        <f>ROUNDDOWN((高温電圧!AF10*高温電圧!AF$2-VLOOKUP(HUAWEI製ＰＣＳ接続枚数計算ツール!$C$9,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HUAWEI製ＰＣＳ接続枚数計算ツール!$B$119:$P$149,14,FALSE),0)/100*IF(高温電圧!AF10*高温電圧!AF$2&lt;VLOOKUP(HUAWEI製ＰＣＳ接続枚数計算ツール!$C$9, HUAWEI製ＰＣＳ接続枚数計算ツール!$B$119:$P$149,12,FALSE),0,1)</f>
        <v>1.76</v>
      </c>
      <c r="AG10" s="85">
        <f>ROUNDDOWN((高温電圧!AG10*高温電圧!AG$2-VLOOKUP(HUAWEI製ＰＣＳ接続枚数計算ツール!$C$9,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HUAWEI製ＰＣＳ接続枚数計算ツール!$B$119:$P$149,14,FALSE),0)/100*IF(高温電圧!AG10*高温電圧!AG$2&lt;VLOOKUP(HUAWEI製ＰＣＳ接続枚数計算ツール!$C$9, HUAWEI製ＰＣＳ接続枚数計算ツール!$B$119:$P$149,12,FALSE),0,1)</f>
        <v>1.83</v>
      </c>
      <c r="AH10" s="85">
        <f>ROUNDDOWN((高温電圧!AH10*高温電圧!AH$2-VLOOKUP(HUAWEI製ＰＣＳ接続枚数計算ツール!$C$9,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HUAWEI製ＰＣＳ接続枚数計算ツール!$B$119:$P$149,14,FALSE),0)/100*IF(高温電圧!AH10*高温電圧!AH$2&lt;VLOOKUP(HUAWEI製ＰＣＳ接続枚数計算ツール!$C$9, HUAWEI製ＰＣＳ接続枚数計算ツール!$B$119:$P$149,12,FALSE),0,1)</f>
        <v>1.9</v>
      </c>
      <c r="AI10" s="85">
        <f>ROUNDDOWN((高温電圧!AI10*高温電圧!AI$2-VLOOKUP(HUAWEI製ＰＣＳ接続枚数計算ツール!$C$9,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HUAWEI製ＰＣＳ接続枚数計算ツール!$B$119:$P$149,14,FALSE),0)/100*IF(高温電圧!AI10*高温電圧!AI$2&lt;VLOOKUP(HUAWEI製ＰＣＳ接続枚数計算ツール!$C$9, HUAWEI製ＰＣＳ接続枚数計算ツール!$B$119:$P$149,12,FALSE),0,1)</f>
        <v>1.97</v>
      </c>
      <c r="AJ10" s="85">
        <f>ROUNDDOWN((高温電圧!AJ10*高温電圧!AJ$2-VLOOKUP(HUAWEI製ＰＣＳ接続枚数計算ツール!$C$9,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HUAWEI製ＰＣＳ接続枚数計算ツール!$B$119:$P$149,14,FALSE),0)/100*IF(高温電圧!AJ10*高温電圧!AJ$2&lt;VLOOKUP(HUAWEI製ＰＣＳ接続枚数計算ツール!$C$9, HUAWEI製ＰＣＳ接続枚数計算ツール!$B$119:$P$149,12,FALSE),0,1)</f>
        <v>2.0499999999999998</v>
      </c>
      <c r="AK10" s="85">
        <f>ROUNDDOWN((高温電圧!AK10*高温電圧!AK$2-VLOOKUP(HUAWEI製ＰＣＳ接続枚数計算ツール!$C$9,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HUAWEI製ＰＣＳ接続枚数計算ツール!$B$119:$P$149,14,FALSE),0)/100*IF(高温電圧!AK10*高温電圧!AK$2&lt;VLOOKUP(HUAWEI製ＰＣＳ接続枚数計算ツール!$C$9, HUAWEI製ＰＣＳ接続枚数計算ツール!$B$119:$P$149,12,FALSE),0,1)</f>
        <v>2.12</v>
      </c>
      <c r="AL10" s="85">
        <f>ROUNDDOWN((高温電圧!AL10*高温電圧!AL$2-VLOOKUP(HUAWEI製ＰＣＳ接続枚数計算ツール!$C$9,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HUAWEI製ＰＣＳ接続枚数計算ツール!$B$119:$P$149,14,FALSE),0)/100*IF(高温電圧!AL10*高温電圧!AL$2&lt;VLOOKUP(HUAWEI製ＰＣＳ接続枚数計算ツール!$C$9, HUAWEI製ＰＣＳ接続枚数計算ツール!$B$119:$P$149,12,FALSE),0,1)</f>
        <v>2.19</v>
      </c>
      <c r="AM10" s="85">
        <f>ROUNDDOWN((高温電圧!AM10*高温電圧!AM$2-VLOOKUP(HUAWEI製ＰＣＳ接続枚数計算ツール!$C$9,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HUAWEI製ＰＣＳ接続枚数計算ツール!$B$119:$P$149,14,FALSE),0)/100*IF(高温電圧!AM10*高温電圧!AM$2&lt;VLOOKUP(HUAWEI製ＰＣＳ接続枚数計算ツール!$C$9, HUAWEI製ＰＣＳ接続枚数計算ツール!$B$119:$P$149,12,FALSE),0,1)</f>
        <v>2.2599999999999998</v>
      </c>
      <c r="AN10" s="85">
        <f>ROUNDDOWN((高温電圧!AN10*高温電圧!AN$2-VLOOKUP(HUAWEI製ＰＣＳ接続枚数計算ツール!$C$9,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HUAWEI製ＰＣＳ接続枚数計算ツール!$B$119:$P$149,14,FALSE),0)/100*IF(高温電圧!AN10*高温電圧!AN$2&lt;VLOOKUP(HUAWEI製ＰＣＳ接続枚数計算ツール!$C$9, HUAWEI製ＰＣＳ接続枚数計算ツール!$B$119:$P$149,12,FALSE),0,1)</f>
        <v>2.33</v>
      </c>
      <c r="AO10" s="85">
        <f>ROUNDDOWN((高温電圧!AO10*高温電圧!AO$2-VLOOKUP(HUAWEI製ＰＣＳ接続枚数計算ツール!$C$9,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HUAWEI製ＰＣＳ接続枚数計算ツール!$B$119:$P$149,14,FALSE),0)/100*IF(高温電圧!AO10*高温電圧!AO$2&lt;VLOOKUP(HUAWEI製ＰＣＳ接続枚数計算ツール!$C$9, HUAWEI製ＰＣＳ接続枚数計算ツール!$B$119:$P$149,12,FALSE),0,1)</f>
        <v>2.4</v>
      </c>
    </row>
    <row r="11" spans="1:41">
      <c r="A11">
        <v>9</v>
      </c>
      <c r="B11" s="85">
        <f>ROUNDDOWN((高温電圧!B11*高温電圧!B$2-VLOOKUP(HUAWEI製ＰＣＳ接続枚数計算ツール!$C$9,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HUAWEI製ＰＣＳ接続枚数計算ツール!$B$119:$P$149,14,FALSE),0)/100*IF(高温電圧!B11*高温電圧!B$2&lt;VLOOKUP(HUAWEI製ＰＣＳ接続枚数計算ツール!$C$9, HUAWEI製ＰＣＳ接続枚数計算ツール!$B$119:$P$149,12,FALSE),0,1)</f>
        <v>0</v>
      </c>
      <c r="C11" s="85">
        <f>ROUNDDOWN((高温電圧!C11*高温電圧!C$2-VLOOKUP(HUAWEI製ＰＣＳ接続枚数計算ツール!$C$9,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HUAWEI製ＰＣＳ接続枚数計算ツール!$B$119:$P$149,14,FALSE),0)/100*IF(高温電圧!C11*高温電圧!C$2&lt;VLOOKUP(HUAWEI製ＰＣＳ接続枚数計算ツール!$C$9, HUAWEI製ＰＣＳ接続枚数計算ツール!$B$119:$P$149,12,FALSE),0,1)</f>
        <v>0</v>
      </c>
      <c r="D11" s="85">
        <f>ROUNDDOWN((高温電圧!D11*高温電圧!D$2-VLOOKUP(HUAWEI製ＰＣＳ接続枚数計算ツール!$C$9,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HUAWEI製ＰＣＳ接続枚数計算ツール!$B$119:$P$149,14,FALSE),0)/100*IF(高温電圧!D11*高温電圧!D$2&lt;VLOOKUP(HUAWEI製ＰＣＳ接続枚数計算ツール!$C$9, HUAWEI製ＰＣＳ接続枚数計算ツール!$B$119:$P$149,12,FALSE),0,1)</f>
        <v>0</v>
      </c>
      <c r="E11" s="85">
        <f>ROUNDDOWN((高温電圧!E11*高温電圧!E$2-VLOOKUP(HUAWEI製ＰＣＳ接続枚数計算ツール!$C$9,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HUAWEI製ＰＣＳ接続枚数計算ツール!$B$119:$P$149,14,FALSE),0)/100*IF(高温電圧!E11*高温電圧!E$2&lt;VLOOKUP(HUAWEI製ＰＣＳ接続枚数計算ツール!$C$9, HUAWEI製ＰＣＳ接続枚数計算ツール!$B$119:$P$149,12,FALSE),0,1)</f>
        <v>0</v>
      </c>
      <c r="F11" s="85">
        <f>ROUNDDOWN((高温電圧!F11*高温電圧!F$2-VLOOKUP(HUAWEI製ＰＣＳ接続枚数計算ツール!$C$9,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HUAWEI製ＰＣＳ接続枚数計算ツール!$B$119:$P$149,14,FALSE),0)/100*IF(高温電圧!F11*高温電圧!F$2&lt;VLOOKUP(HUAWEI製ＰＣＳ接続枚数計算ツール!$C$9, HUAWEI製ＰＣＳ接続枚数計算ツール!$B$119:$P$149,12,FALSE),0,1)</f>
        <v>0</v>
      </c>
      <c r="G11" s="85">
        <f>ROUNDDOWN((高温電圧!G11*高温電圧!G$2-VLOOKUP(HUAWEI製ＰＣＳ接続枚数計算ツール!$C$9,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HUAWEI製ＰＣＳ接続枚数計算ツール!$B$119:$P$149,14,FALSE),0)/100*IF(高温電圧!G11*高温電圧!G$2&lt;VLOOKUP(HUAWEI製ＰＣＳ接続枚数計算ツール!$C$9, HUAWEI製ＰＣＳ接続枚数計算ツール!$B$119:$P$149,12,FALSE),0,1)</f>
        <v>0</v>
      </c>
      <c r="H11" s="85">
        <f>ROUNDDOWN((高温電圧!H11*高温電圧!H$2-VLOOKUP(HUAWEI製ＰＣＳ接続枚数計算ツール!$C$9,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HUAWEI製ＰＣＳ接続枚数計算ツール!$B$119:$P$149,14,FALSE),0)/100*IF(高温電圧!H11*高温電圧!H$2&lt;VLOOKUP(HUAWEI製ＰＣＳ接続枚数計算ツール!$C$9, HUAWEI製ＰＣＳ接続枚数計算ツール!$B$119:$P$149,12,FALSE),0,1)</f>
        <v>0</v>
      </c>
      <c r="I11" s="85">
        <f>ROUNDDOWN((高温電圧!I11*高温電圧!I$2-VLOOKUP(HUAWEI製ＰＣＳ接続枚数計算ツール!$C$9,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HUAWEI製ＰＣＳ接続枚数計算ツール!$B$119:$P$149,14,FALSE),0)/100*IF(高温電圧!I11*高温電圧!I$2&lt;VLOOKUP(HUAWEI製ＰＣＳ接続枚数計算ツール!$C$9, HUAWEI製ＰＣＳ接続枚数計算ツール!$B$119:$P$149,12,FALSE),0,1)</f>
        <v>0</v>
      </c>
      <c r="J11" s="85">
        <f>ROUNDDOWN((高温電圧!J11*高温電圧!J$2-VLOOKUP(HUAWEI製ＰＣＳ接続枚数計算ツール!$C$9,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HUAWEI製ＰＣＳ接続枚数計算ツール!$B$119:$P$149,14,FALSE),0)/100*IF(高温電圧!J11*高温電圧!J$2&lt;VLOOKUP(HUAWEI製ＰＣＳ接続枚数計算ツール!$C$9, HUAWEI製ＰＣＳ接続枚数計算ツール!$B$119:$P$149,12,FALSE),0,1)</f>
        <v>0</v>
      </c>
      <c r="K11" s="85">
        <f>ROUNDDOWN((高温電圧!K11*高温電圧!K$2-VLOOKUP(HUAWEI製ＰＣＳ接続枚数計算ツール!$C$9,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HUAWEI製ＰＣＳ接続枚数計算ツール!$B$119:$P$149,14,FALSE),0)/100*IF(高温電圧!K11*高温電圧!K$2&lt;VLOOKUP(HUAWEI製ＰＣＳ接続枚数計算ツール!$C$9, HUAWEI製ＰＣＳ接続枚数計算ツール!$B$119:$P$149,12,FALSE),0,1)</f>
        <v>0</v>
      </c>
      <c r="L11" s="85">
        <f>ROUNDDOWN((高温電圧!L11*高温電圧!L$2-VLOOKUP(HUAWEI製ＰＣＳ接続枚数計算ツール!$C$9,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HUAWEI製ＰＣＳ接続枚数計算ツール!$B$119:$P$149,14,FALSE),0)/100*IF(高温電圧!L11*高温電圧!L$2&lt;VLOOKUP(HUAWEI製ＰＣＳ接続枚数計算ツール!$C$9, HUAWEI製ＰＣＳ接続枚数計算ツール!$B$119:$P$149,12,FALSE),0,1)</f>
        <v>0</v>
      </c>
      <c r="M11" s="85">
        <f>ROUNDDOWN((高温電圧!M11*高温電圧!M$2-VLOOKUP(HUAWEI製ＰＣＳ接続枚数計算ツール!$C$9,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HUAWEI製ＰＣＳ接続枚数計算ツール!$B$119:$P$149,14,FALSE),0)/100*IF(高温電圧!M11*高温電圧!M$2&lt;VLOOKUP(HUAWEI製ＰＣＳ接続枚数計算ツール!$C$9, HUAWEI製ＰＣＳ接続枚数計算ツール!$B$119:$P$149,12,FALSE),0,1)</f>
        <v>0</v>
      </c>
      <c r="N11" s="85">
        <f>ROUNDDOWN((高温電圧!N11*高温電圧!N$2-VLOOKUP(HUAWEI製ＰＣＳ接続枚数計算ツール!$C$9,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HUAWEI製ＰＣＳ接続枚数計算ツール!$B$119:$P$149,14,FALSE),0)/100*IF(高温電圧!N11*高温電圧!N$2&lt;VLOOKUP(HUAWEI製ＰＣＳ接続枚数計算ツール!$C$9, HUAWEI製ＰＣＳ接続枚数計算ツール!$B$119:$P$149,12,FALSE),0,1)</f>
        <v>0</v>
      </c>
      <c r="O11" s="85">
        <f>ROUNDDOWN((高温電圧!O11*高温電圧!O$2-VLOOKUP(HUAWEI製ＰＣＳ接続枚数計算ツール!$C$9,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HUAWEI製ＰＣＳ接続枚数計算ツール!$B$119:$P$149,14,FALSE),0)/100*IF(高温電圧!O11*高温電圧!O$2&lt;VLOOKUP(HUAWEI製ＰＣＳ接続枚数計算ツール!$C$9, HUAWEI製ＰＣＳ接続枚数計算ツール!$B$119:$P$149,12,FALSE),0,1)</f>
        <v>0.64</v>
      </c>
      <c r="P11" s="85">
        <f>ROUNDDOWN((高温電圧!P11*高温電圧!P$2-VLOOKUP(HUAWEI製ＰＣＳ接続枚数計算ツール!$C$9,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HUAWEI製ＰＣＳ接続枚数計算ツール!$B$119:$P$149,14,FALSE),0)/100*IF(高温電圧!P11*高温電圧!P$2&lt;VLOOKUP(HUAWEI製ＰＣＳ接続枚数計算ツール!$C$9, HUAWEI製ＰＣＳ接続枚数計算ツール!$B$119:$P$149,12,FALSE),0,1)</f>
        <v>0.7</v>
      </c>
      <c r="Q11" s="85">
        <f>ROUNDDOWN((高温電圧!Q11*高温電圧!Q$2-VLOOKUP(HUAWEI製ＰＣＳ接続枚数計算ツール!$C$9,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HUAWEI製ＰＣＳ接続枚数計算ツール!$B$119:$P$149,14,FALSE),0)/100*IF(高温電圧!Q11*高温電圧!Q$2&lt;VLOOKUP(HUAWEI製ＰＣＳ接続枚数計算ツール!$C$9, HUAWEI製ＰＣＳ接続枚数計算ツール!$B$119:$P$149,12,FALSE),0,1)</f>
        <v>0.75</v>
      </c>
      <c r="R11" s="85">
        <f>ROUNDDOWN((高温電圧!R11*高温電圧!R$2-VLOOKUP(HUAWEI製ＰＣＳ接続枚数計算ツール!$C$9,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HUAWEI製ＰＣＳ接続枚数計算ツール!$B$119:$P$149,14,FALSE),0)/100*IF(高温電圧!R11*高温電圧!R$2&lt;VLOOKUP(HUAWEI製ＰＣＳ接続枚数計算ツール!$C$9, HUAWEI製ＰＣＳ接続枚数計算ツール!$B$119:$P$149,12,FALSE),0,1)</f>
        <v>0.81</v>
      </c>
      <c r="S11" s="85">
        <f>ROUNDDOWN((高温電圧!S11*高温電圧!S$2-VLOOKUP(HUAWEI製ＰＣＳ接続枚数計算ツール!$C$9,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HUAWEI製ＰＣＳ接続枚数計算ツール!$B$119:$P$149,14,FALSE),0)/100*IF(高温電圧!S11*高温電圧!S$2&lt;VLOOKUP(HUAWEI製ＰＣＳ接続枚数計算ツール!$C$9, HUAWEI製ＰＣＳ接続枚数計算ツール!$B$119:$P$149,12,FALSE),0,1)</f>
        <v>0.87</v>
      </c>
      <c r="T11" s="85">
        <f>ROUNDDOWN((高温電圧!T11*高温電圧!T$2-VLOOKUP(HUAWEI製ＰＣＳ接続枚数計算ツール!$C$9,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HUAWEI製ＰＣＳ接続枚数計算ツール!$B$119:$P$149,14,FALSE),0)/100*IF(高温電圧!T11*高温電圧!T$2&lt;VLOOKUP(HUAWEI製ＰＣＳ接続枚数計算ツール!$C$9, HUAWEI製ＰＣＳ接続枚数計算ツール!$B$119:$P$149,12,FALSE),0,1)</f>
        <v>0.92</v>
      </c>
      <c r="U11" s="85">
        <f>ROUNDDOWN((高温電圧!U11*高温電圧!U$2-VLOOKUP(HUAWEI製ＰＣＳ接続枚数計算ツール!$C$9,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HUAWEI製ＰＣＳ接続枚数計算ツール!$B$119:$P$149,14,FALSE),0)/100*IF(高温電圧!U11*高温電圧!U$2&lt;VLOOKUP(HUAWEI製ＰＣＳ接続枚数計算ツール!$C$9, HUAWEI製ＰＣＳ接続枚数計算ツール!$B$119:$P$149,12,FALSE),0,1)</f>
        <v>0.98</v>
      </c>
      <c r="V11" s="85">
        <f>ROUNDDOWN((高温電圧!V11*高温電圧!V$2-VLOOKUP(HUAWEI製ＰＣＳ接続枚数計算ツール!$C$9,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HUAWEI製ＰＣＳ接続枚数計算ツール!$B$119:$P$149,14,FALSE),0)/100*IF(高温電圧!V11*高温電圧!V$2&lt;VLOOKUP(HUAWEI製ＰＣＳ接続枚数計算ツール!$C$9, HUAWEI製ＰＣＳ接続枚数計算ツール!$B$119:$P$149,12,FALSE),0,1)</f>
        <v>1.04</v>
      </c>
      <c r="W11" s="85">
        <f>ROUNDDOWN((高温電圧!W11*高温電圧!W$2-VLOOKUP(HUAWEI製ＰＣＳ接続枚数計算ツール!$C$9,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HUAWEI製ＰＣＳ接続枚数計算ツール!$B$119:$P$149,14,FALSE),0)/100*IF(高温電圧!W11*高温電圧!W$2&lt;VLOOKUP(HUAWEI製ＰＣＳ接続枚数計算ツール!$C$9, HUAWEI製ＰＣＳ接続枚数計算ツール!$B$119:$P$149,12,FALSE),0,1)</f>
        <v>1.0900000000000001</v>
      </c>
      <c r="X11" s="85">
        <f>ROUNDDOWN((高温電圧!X11*高温電圧!X$2-VLOOKUP(HUAWEI製ＰＣＳ接続枚数計算ツール!$C$9,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HUAWEI製ＰＣＳ接続枚数計算ツール!$B$119:$P$149,14,FALSE),0)/100*IF(高温電圧!X11*高温電圧!X$2&lt;VLOOKUP(HUAWEI製ＰＣＳ接続枚数計算ツール!$C$9, HUAWEI製ＰＣＳ接続枚数計算ツール!$B$119:$P$149,12,FALSE),0,1)</f>
        <v>1.1499999999999999</v>
      </c>
      <c r="Y11" s="85">
        <f>ROUNDDOWN((高温電圧!Y11*高温電圧!Y$2-VLOOKUP(HUAWEI製ＰＣＳ接続枚数計算ツール!$C$9,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HUAWEI製ＰＣＳ接続枚数計算ツール!$B$119:$P$149,14,FALSE),0)/100*IF(高温電圧!Y11*高温電圧!Y$2&lt;VLOOKUP(HUAWEI製ＰＣＳ接続枚数計算ツール!$C$9, HUAWEI製ＰＣＳ接続枚数計算ツール!$B$119:$P$149,12,FALSE),0,1)</f>
        <v>1.27</v>
      </c>
      <c r="Z11" s="85">
        <f>ROUNDDOWN((高温電圧!Z11*高温電圧!Z$2-VLOOKUP(HUAWEI製ＰＣＳ接続枚数計算ツール!$C$9,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HUAWEI製ＰＣＳ接続枚数計算ツール!$B$119:$P$149,14,FALSE),0)/100*IF(高温電圧!Z11*高温電圧!Z$2&lt;VLOOKUP(HUAWEI製ＰＣＳ接続枚数計算ツール!$C$9, HUAWEI製ＰＣＳ接続枚数計算ツール!$B$119:$P$149,12,FALSE),0,1)</f>
        <v>1.35</v>
      </c>
      <c r="AA11" s="85">
        <f>ROUNDDOWN((高温電圧!AA11*高温電圧!AA$2-VLOOKUP(HUAWEI製ＰＣＳ接続枚数計算ツール!$C$9,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HUAWEI製ＰＣＳ接続枚数計算ツール!$B$119:$P$149,14,FALSE),0)/100*IF(高温電圧!AA11*高温電圧!AA$2&lt;VLOOKUP(HUAWEI製ＰＣＳ接続枚数計算ツール!$C$9, HUAWEI製ＰＣＳ接続枚数計算ツール!$B$119:$P$149,12,FALSE),0,1)</f>
        <v>1.43</v>
      </c>
      <c r="AB11" s="85">
        <f>ROUNDDOWN((高温電圧!AB11*高温電圧!AB$2-VLOOKUP(HUAWEI製ＰＣＳ接続枚数計算ツール!$C$9,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HUAWEI製ＰＣＳ接続枚数計算ツール!$B$119:$P$149,14,FALSE),0)/100*IF(高温電圧!AB11*高温電圧!AB$2&lt;VLOOKUP(HUAWEI製ＰＣＳ接続枚数計算ツール!$C$9, HUAWEI製ＰＣＳ接続枚数計算ツール!$B$119:$P$149,12,FALSE),0,1)</f>
        <v>1.5</v>
      </c>
      <c r="AC11" s="85">
        <f>ROUNDDOWN((高温電圧!AC11*高温電圧!AC$2-VLOOKUP(HUAWEI製ＰＣＳ接続枚数計算ツール!$C$9,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HUAWEI製ＰＣＳ接続枚数計算ツール!$B$119:$P$149,14,FALSE),0)/100*IF(高温電圧!AC11*高温電圧!AC$2&lt;VLOOKUP(HUAWEI製ＰＣＳ接続枚数計算ツール!$C$9, HUAWEI製ＰＣＳ接続枚数計算ツール!$B$119:$P$149,12,FALSE),0,1)</f>
        <v>1.58</v>
      </c>
      <c r="AD11" s="85">
        <f>ROUNDDOWN((高温電圧!AD11*高温電圧!AD$2-VLOOKUP(HUAWEI製ＰＣＳ接続枚数計算ツール!$C$9,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HUAWEI製ＰＣＳ接続枚数計算ツール!$B$119:$P$149,14,FALSE),0)/100*IF(高温電圧!AD11*高温電圧!AD$2&lt;VLOOKUP(HUAWEI製ＰＣＳ接続枚数計算ツール!$C$9, HUAWEI製ＰＣＳ接続枚数計算ツール!$B$119:$P$149,12,FALSE),0,1)</f>
        <v>1.65</v>
      </c>
      <c r="AE11" s="85">
        <f>ROUNDDOWN((高温電圧!AE11*高温電圧!AE$2-VLOOKUP(HUAWEI製ＰＣＳ接続枚数計算ツール!$C$9,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HUAWEI製ＰＣＳ接続枚数計算ツール!$B$119:$P$149,14,FALSE),0)/100*IF(高温電圧!AE11*高温電圧!AE$2&lt;VLOOKUP(HUAWEI製ＰＣＳ接続枚数計算ツール!$C$9, HUAWEI製ＰＣＳ接続枚数計算ツール!$B$119:$P$149,12,FALSE),0,1)</f>
        <v>1.72</v>
      </c>
      <c r="AF11" s="85">
        <f>ROUNDDOWN((高温電圧!AF11*高温電圧!AF$2-VLOOKUP(HUAWEI製ＰＣＳ接続枚数計算ツール!$C$9,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HUAWEI製ＰＣＳ接続枚数計算ツール!$B$119:$P$149,14,FALSE),0)/100*IF(高温電圧!AF11*高温電圧!AF$2&lt;VLOOKUP(HUAWEI製ＰＣＳ接続枚数計算ツール!$C$9, HUAWEI製ＰＣＳ接続枚数計算ツール!$B$119:$P$149,12,FALSE),0,1)</f>
        <v>1.79</v>
      </c>
      <c r="AG11" s="85">
        <f>ROUNDDOWN((高温電圧!AG11*高温電圧!AG$2-VLOOKUP(HUAWEI製ＰＣＳ接続枚数計算ツール!$C$9,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HUAWEI製ＰＣＳ接続枚数計算ツール!$B$119:$P$149,14,FALSE),0)/100*IF(高温電圧!AG11*高温電圧!AG$2&lt;VLOOKUP(HUAWEI製ＰＣＳ接続枚数計算ツール!$C$9, HUAWEI製ＰＣＳ接続枚数計算ツール!$B$119:$P$149,12,FALSE),0,1)</f>
        <v>1.86</v>
      </c>
      <c r="AH11" s="85">
        <f>ROUNDDOWN((高温電圧!AH11*高温電圧!AH$2-VLOOKUP(HUAWEI製ＰＣＳ接続枚数計算ツール!$C$9,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HUAWEI製ＰＣＳ接続枚数計算ツール!$B$119:$P$149,14,FALSE),0)/100*IF(高温電圧!AH11*高温電圧!AH$2&lt;VLOOKUP(HUAWEI製ＰＣＳ接続枚数計算ツール!$C$9, HUAWEI製ＰＣＳ接続枚数計算ツール!$B$119:$P$149,12,FALSE),0,1)</f>
        <v>1.93</v>
      </c>
      <c r="AI11" s="85">
        <f>ROUNDDOWN((高温電圧!AI11*高温電圧!AI$2-VLOOKUP(HUAWEI製ＰＣＳ接続枚数計算ツール!$C$9,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HUAWEI製ＰＣＳ接続枚数計算ツール!$B$119:$P$149,14,FALSE),0)/100*IF(高温電圧!AI11*高温電圧!AI$2&lt;VLOOKUP(HUAWEI製ＰＣＳ接続枚数計算ツール!$C$9, HUAWEI製ＰＣＳ接続枚数計算ツール!$B$119:$P$149,12,FALSE),0,1)</f>
        <v>2.0099999999999998</v>
      </c>
      <c r="AJ11" s="85">
        <f>ROUNDDOWN((高温電圧!AJ11*高温電圧!AJ$2-VLOOKUP(HUAWEI製ＰＣＳ接続枚数計算ツール!$C$9,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HUAWEI製ＰＣＳ接続枚数計算ツール!$B$119:$P$149,14,FALSE),0)/100*IF(高温電圧!AJ11*高温電圧!AJ$2&lt;VLOOKUP(HUAWEI製ＰＣＳ接続枚数計算ツール!$C$9, HUAWEI製ＰＣＳ接続枚数計算ツール!$B$119:$P$149,12,FALSE),0,1)</f>
        <v>2.08</v>
      </c>
      <c r="AK11" s="85">
        <f>ROUNDDOWN((高温電圧!AK11*高温電圧!AK$2-VLOOKUP(HUAWEI製ＰＣＳ接続枚数計算ツール!$C$9,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HUAWEI製ＰＣＳ接続枚数計算ツール!$B$119:$P$149,14,FALSE),0)/100*IF(高温電圧!AK11*高温電圧!AK$2&lt;VLOOKUP(HUAWEI製ＰＣＳ接続枚数計算ツール!$C$9, HUAWEI製ＰＣＳ接続枚数計算ツール!$B$119:$P$149,12,FALSE),0,1)</f>
        <v>2.14</v>
      </c>
      <c r="AL11" s="85">
        <f>ROUNDDOWN((高温電圧!AL11*高温電圧!AL$2-VLOOKUP(HUAWEI製ＰＣＳ接続枚数計算ツール!$C$9,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HUAWEI製ＰＣＳ接続枚数計算ツール!$B$119:$P$149,14,FALSE),0)/100*IF(高温電圧!AL11*高温電圧!AL$2&lt;VLOOKUP(HUAWEI製ＰＣＳ接続枚数計算ツール!$C$9, HUAWEI製ＰＣＳ接続枚数計算ツール!$B$119:$P$149,12,FALSE),0,1)</f>
        <v>2.21</v>
      </c>
      <c r="AM11" s="85">
        <f>ROUNDDOWN((高温電圧!AM11*高温電圧!AM$2-VLOOKUP(HUAWEI製ＰＣＳ接続枚数計算ツール!$C$9,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HUAWEI製ＰＣＳ接続枚数計算ツール!$B$119:$P$149,14,FALSE),0)/100*IF(高温電圧!AM11*高温電圧!AM$2&lt;VLOOKUP(HUAWEI製ＰＣＳ接続枚数計算ツール!$C$9, HUAWEI製ＰＣＳ接続枚数計算ツール!$B$119:$P$149,12,FALSE),0,1)</f>
        <v>2.2799999999999998</v>
      </c>
      <c r="AN11" s="85">
        <f>ROUNDDOWN((高温電圧!AN11*高温電圧!AN$2-VLOOKUP(HUAWEI製ＰＣＳ接続枚数計算ツール!$C$9,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HUAWEI製ＰＣＳ接続枚数計算ツール!$B$119:$P$149,14,FALSE),0)/100*IF(高温電圧!AN11*高温電圧!AN$2&lt;VLOOKUP(HUAWEI製ＰＣＳ接続枚数計算ツール!$C$9, HUAWEI製ＰＣＳ接続枚数計算ツール!$B$119:$P$149,12,FALSE),0,1)</f>
        <v>2.35</v>
      </c>
      <c r="AO11" s="85">
        <f>ROUNDDOWN((高温電圧!AO11*高温電圧!AO$2-VLOOKUP(HUAWEI製ＰＣＳ接続枚数計算ツール!$C$9,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HUAWEI製ＰＣＳ接続枚数計算ツール!$B$119:$P$149,14,FALSE),0)/100*IF(高温電圧!AO11*高温電圧!AO$2&lt;VLOOKUP(HUAWEI製ＰＣＳ接続枚数計算ツール!$C$9, HUAWEI製ＰＣＳ接続枚数計算ツール!$B$119:$P$149,12,FALSE),0,1)</f>
        <v>2.42</v>
      </c>
    </row>
    <row r="12" spans="1:41">
      <c r="A12">
        <v>10</v>
      </c>
      <c r="B12" s="85">
        <f>ROUNDDOWN((高温電圧!B12*高温電圧!B$2-VLOOKUP(HUAWEI製ＰＣＳ接続枚数計算ツール!$C$9,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HUAWEI製ＰＣＳ接続枚数計算ツール!$B$119:$P$149,14,FALSE),0)/100*IF(高温電圧!B12*高温電圧!B$2&lt;VLOOKUP(HUAWEI製ＰＣＳ接続枚数計算ツール!$C$9, HUAWEI製ＰＣＳ接続枚数計算ツール!$B$119:$P$149,12,FALSE),0,1)</f>
        <v>0</v>
      </c>
      <c r="C12" s="85">
        <f>ROUNDDOWN((高温電圧!C12*高温電圧!C$2-VLOOKUP(HUAWEI製ＰＣＳ接続枚数計算ツール!$C$9,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HUAWEI製ＰＣＳ接続枚数計算ツール!$B$119:$P$149,14,FALSE),0)/100*IF(高温電圧!C12*高温電圧!C$2&lt;VLOOKUP(HUAWEI製ＰＣＳ接続枚数計算ツール!$C$9, HUAWEI製ＰＣＳ接続枚数計算ツール!$B$119:$P$149,12,FALSE),0,1)</f>
        <v>0</v>
      </c>
      <c r="D12" s="85">
        <f>ROUNDDOWN((高温電圧!D12*高温電圧!D$2-VLOOKUP(HUAWEI製ＰＣＳ接続枚数計算ツール!$C$9,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HUAWEI製ＰＣＳ接続枚数計算ツール!$B$119:$P$149,14,FALSE),0)/100*IF(高温電圧!D12*高温電圧!D$2&lt;VLOOKUP(HUAWEI製ＰＣＳ接続枚数計算ツール!$C$9, HUAWEI製ＰＣＳ接続枚数計算ツール!$B$119:$P$149,12,FALSE),0,1)</f>
        <v>0</v>
      </c>
      <c r="E12" s="85">
        <f>ROUNDDOWN((高温電圧!E12*高温電圧!E$2-VLOOKUP(HUAWEI製ＰＣＳ接続枚数計算ツール!$C$9,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HUAWEI製ＰＣＳ接続枚数計算ツール!$B$119:$P$149,14,FALSE),0)/100*IF(高温電圧!E12*高温電圧!E$2&lt;VLOOKUP(HUAWEI製ＰＣＳ接続枚数計算ツール!$C$9, HUAWEI製ＰＣＳ接続枚数計算ツール!$B$119:$P$149,12,FALSE),0,1)</f>
        <v>0</v>
      </c>
      <c r="F12" s="85">
        <f>ROUNDDOWN((高温電圧!F12*高温電圧!F$2-VLOOKUP(HUAWEI製ＰＣＳ接続枚数計算ツール!$C$9,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HUAWEI製ＰＣＳ接続枚数計算ツール!$B$119:$P$149,14,FALSE),0)/100*IF(高温電圧!F12*高温電圧!F$2&lt;VLOOKUP(HUAWEI製ＰＣＳ接続枚数計算ツール!$C$9, HUAWEI製ＰＣＳ接続枚数計算ツール!$B$119:$P$149,12,FALSE),0,1)</f>
        <v>0</v>
      </c>
      <c r="G12" s="85">
        <f>ROUNDDOWN((高温電圧!G12*高温電圧!G$2-VLOOKUP(HUAWEI製ＰＣＳ接続枚数計算ツール!$C$9,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HUAWEI製ＰＣＳ接続枚数計算ツール!$B$119:$P$149,14,FALSE),0)/100*IF(高温電圧!G12*高温電圧!G$2&lt;VLOOKUP(HUAWEI製ＰＣＳ接続枚数計算ツール!$C$9, HUAWEI製ＰＣＳ接続枚数計算ツール!$B$119:$P$149,12,FALSE),0,1)</f>
        <v>0</v>
      </c>
      <c r="H12" s="85">
        <f>ROUNDDOWN((高温電圧!H12*高温電圧!H$2-VLOOKUP(HUAWEI製ＰＣＳ接続枚数計算ツール!$C$9,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HUAWEI製ＰＣＳ接続枚数計算ツール!$B$119:$P$149,14,FALSE),0)/100*IF(高温電圧!H12*高温電圧!H$2&lt;VLOOKUP(HUAWEI製ＰＣＳ接続枚数計算ツール!$C$9, HUAWEI製ＰＣＳ接続枚数計算ツール!$B$119:$P$149,12,FALSE),0,1)</f>
        <v>0</v>
      </c>
      <c r="I12" s="85">
        <f>ROUNDDOWN((高温電圧!I12*高温電圧!I$2-VLOOKUP(HUAWEI製ＰＣＳ接続枚数計算ツール!$C$9,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HUAWEI製ＰＣＳ接続枚数計算ツール!$B$119:$P$149,14,FALSE),0)/100*IF(高温電圧!I12*高温電圧!I$2&lt;VLOOKUP(HUAWEI製ＰＣＳ接続枚数計算ツール!$C$9, HUAWEI製ＰＣＳ接続枚数計算ツール!$B$119:$P$149,12,FALSE),0,1)</f>
        <v>0</v>
      </c>
      <c r="J12" s="85">
        <f>ROUNDDOWN((高温電圧!J12*高温電圧!J$2-VLOOKUP(HUAWEI製ＰＣＳ接続枚数計算ツール!$C$9,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HUAWEI製ＰＣＳ接続枚数計算ツール!$B$119:$P$149,14,FALSE),0)/100*IF(高温電圧!J12*高温電圧!J$2&lt;VLOOKUP(HUAWEI製ＰＣＳ接続枚数計算ツール!$C$9, HUAWEI製ＰＣＳ接続枚数計算ツール!$B$119:$P$149,12,FALSE),0,1)</f>
        <v>0</v>
      </c>
      <c r="K12" s="85">
        <f>ROUNDDOWN((高温電圧!K12*高温電圧!K$2-VLOOKUP(HUAWEI製ＰＣＳ接続枚数計算ツール!$C$9,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HUAWEI製ＰＣＳ接続枚数計算ツール!$B$119:$P$149,14,FALSE),0)/100*IF(高温電圧!K12*高温電圧!K$2&lt;VLOOKUP(HUAWEI製ＰＣＳ接続枚数計算ツール!$C$9, HUAWEI製ＰＣＳ接続枚数計算ツール!$B$119:$P$149,12,FALSE),0,1)</f>
        <v>0</v>
      </c>
      <c r="L12" s="85">
        <f>ROUNDDOWN((高温電圧!L12*高温電圧!L$2-VLOOKUP(HUAWEI製ＰＣＳ接続枚数計算ツール!$C$9,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HUAWEI製ＰＣＳ接続枚数計算ツール!$B$119:$P$149,14,FALSE),0)/100*IF(高温電圧!L12*高温電圧!L$2&lt;VLOOKUP(HUAWEI製ＰＣＳ接続枚数計算ツール!$C$9, HUAWEI製ＰＣＳ接続枚数計算ツール!$B$119:$P$149,12,FALSE),0,1)</f>
        <v>0</v>
      </c>
      <c r="M12" s="85">
        <f>ROUNDDOWN((高温電圧!M12*高温電圧!M$2-VLOOKUP(HUAWEI製ＰＣＳ接続枚数計算ツール!$C$9,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HUAWEI製ＰＣＳ接続枚数計算ツール!$B$119:$P$149,14,FALSE),0)/100*IF(高温電圧!M12*高温電圧!M$2&lt;VLOOKUP(HUAWEI製ＰＣＳ接続枚数計算ツール!$C$9, HUAWEI製ＰＣＳ接続枚数計算ツール!$B$119:$P$149,12,FALSE),0,1)</f>
        <v>0</v>
      </c>
      <c r="N12" s="85">
        <f>ROUNDDOWN((高温電圧!N12*高温電圧!N$2-VLOOKUP(HUAWEI製ＰＣＳ接続枚数計算ツール!$C$9,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HUAWEI製ＰＣＳ接続枚数計算ツール!$B$119:$P$149,14,FALSE),0)/100*IF(高温電圧!N12*高温電圧!N$2&lt;VLOOKUP(HUAWEI製ＰＣＳ接続枚数計算ツール!$C$9, HUAWEI製ＰＣＳ接続枚数計算ツール!$B$119:$P$149,12,FALSE),0,1)</f>
        <v>0</v>
      </c>
      <c r="O12" s="85">
        <f>ROUNDDOWN((高温電圧!O12*高温電圧!O$2-VLOOKUP(HUAWEI製ＰＣＳ接続枚数計算ツール!$C$9,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HUAWEI製ＰＣＳ接続枚数計算ツール!$B$119:$P$149,14,FALSE),0)/100*IF(高温電圧!O12*高温電圧!O$2&lt;VLOOKUP(HUAWEI製ＰＣＳ接続枚数計算ツール!$C$9, HUAWEI製ＰＣＳ接続枚数計算ツール!$B$119:$P$149,12,FALSE),0,1)</f>
        <v>0.64</v>
      </c>
      <c r="P12" s="85">
        <f>ROUNDDOWN((高温電圧!P12*高温電圧!P$2-VLOOKUP(HUAWEI製ＰＣＳ接続枚数計算ツール!$C$9,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HUAWEI製ＰＣＳ接続枚数計算ツール!$B$119:$P$149,14,FALSE),0)/100*IF(高温電圧!P12*高温電圧!P$2&lt;VLOOKUP(HUAWEI製ＰＣＳ接続枚数計算ツール!$C$9, HUAWEI製ＰＣＳ接続枚数計算ツール!$B$119:$P$149,12,FALSE),0,1)</f>
        <v>0.7</v>
      </c>
      <c r="Q12" s="85">
        <f>ROUNDDOWN((高温電圧!Q12*高温電圧!Q$2-VLOOKUP(HUAWEI製ＰＣＳ接続枚数計算ツール!$C$9,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HUAWEI製ＰＣＳ接続枚数計算ツール!$B$119:$P$149,14,FALSE),0)/100*IF(高温電圧!Q12*高温電圧!Q$2&lt;VLOOKUP(HUAWEI製ＰＣＳ接続枚数計算ツール!$C$9, HUAWEI製ＰＣＳ接続枚数計算ツール!$B$119:$P$149,12,FALSE),0,1)</f>
        <v>0.75</v>
      </c>
      <c r="R12" s="85">
        <f>ROUNDDOWN((高温電圧!R12*高温電圧!R$2-VLOOKUP(HUAWEI製ＰＣＳ接続枚数計算ツール!$C$9,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HUAWEI製ＰＣＳ接続枚数計算ツール!$B$119:$P$149,14,FALSE),0)/100*IF(高温電圧!R12*高温電圧!R$2&lt;VLOOKUP(HUAWEI製ＰＣＳ接続枚数計算ツール!$C$9, HUAWEI製ＰＣＳ接続枚数計算ツール!$B$119:$P$149,12,FALSE),0,1)</f>
        <v>0.81</v>
      </c>
      <c r="S12" s="85">
        <f>ROUNDDOWN((高温電圧!S12*高温電圧!S$2-VLOOKUP(HUAWEI製ＰＣＳ接続枚数計算ツール!$C$9,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HUAWEI製ＰＣＳ接続枚数計算ツール!$B$119:$P$149,14,FALSE),0)/100*IF(高温電圧!S12*高温電圧!S$2&lt;VLOOKUP(HUAWEI製ＰＣＳ接続枚数計算ツール!$C$9, HUAWEI製ＰＣＳ接続枚数計算ツール!$B$119:$P$149,12,FALSE),0,1)</f>
        <v>0.87</v>
      </c>
      <c r="T12" s="85">
        <f>ROUNDDOWN((高温電圧!T12*高温電圧!T$2-VLOOKUP(HUAWEI製ＰＣＳ接続枚数計算ツール!$C$9,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HUAWEI製ＰＣＳ接続枚数計算ツール!$B$119:$P$149,14,FALSE),0)/100*IF(高温電圧!T12*高温電圧!T$2&lt;VLOOKUP(HUAWEI製ＰＣＳ接続枚数計算ツール!$C$9, HUAWEI製ＰＣＳ接続枚数計算ツール!$B$119:$P$149,12,FALSE),0,1)</f>
        <v>0.92</v>
      </c>
      <c r="U12" s="85">
        <f>ROUNDDOWN((高温電圧!U12*高温電圧!U$2-VLOOKUP(HUAWEI製ＰＣＳ接続枚数計算ツール!$C$9,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HUAWEI製ＰＣＳ接続枚数計算ツール!$B$119:$P$149,14,FALSE),0)/100*IF(高温電圧!U12*高温電圧!U$2&lt;VLOOKUP(HUAWEI製ＰＣＳ接続枚数計算ツール!$C$9, HUAWEI製ＰＣＳ接続枚数計算ツール!$B$119:$P$149,12,FALSE),0,1)</f>
        <v>0.98</v>
      </c>
      <c r="V12" s="85">
        <f>ROUNDDOWN((高温電圧!V12*高温電圧!V$2-VLOOKUP(HUAWEI製ＰＣＳ接続枚数計算ツール!$C$9,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HUAWEI製ＰＣＳ接続枚数計算ツール!$B$119:$P$149,14,FALSE),0)/100*IF(高温電圧!V12*高温電圧!V$2&lt;VLOOKUP(HUAWEI製ＰＣＳ接続枚数計算ツール!$C$9, HUAWEI製ＰＣＳ接続枚数計算ツール!$B$119:$P$149,12,FALSE),0,1)</f>
        <v>1.07</v>
      </c>
      <c r="W12" s="85">
        <f>ROUNDDOWN((高温電圧!W12*高温電圧!W$2-VLOOKUP(HUAWEI製ＰＣＳ接続枚数計算ツール!$C$9,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HUAWEI製ＰＣＳ接続枚数計算ツール!$B$119:$P$149,14,FALSE),0)/100*IF(高温電圧!W12*高温電圧!W$2&lt;VLOOKUP(HUAWEI製ＰＣＳ接続枚数計算ツール!$C$9, HUAWEI製ＰＣＳ接続枚数計算ツール!$B$119:$P$149,12,FALSE),0,1)</f>
        <v>1.1599999999999999</v>
      </c>
      <c r="X12" s="85">
        <f>ROUNDDOWN((高温電圧!X12*高温電圧!X$2-VLOOKUP(HUAWEI製ＰＣＳ接続枚数計算ツール!$C$9,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HUAWEI製ＰＣＳ接続枚数計算ツール!$B$119:$P$149,14,FALSE),0)/100*IF(高温電圧!X12*高温電圧!X$2&lt;VLOOKUP(HUAWEI製ＰＣＳ接続枚数計算ツール!$C$9, HUAWEI製ＰＣＳ接続枚数計算ツール!$B$119:$P$149,12,FALSE),0,1)</f>
        <v>1.24</v>
      </c>
      <c r="Y12" s="85">
        <f>ROUNDDOWN((高温電圧!Y12*高温電圧!Y$2-VLOOKUP(HUAWEI製ＰＣＳ接続枚数計算ツール!$C$9,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HUAWEI製ＰＣＳ接続枚数計算ツール!$B$119:$P$149,14,FALSE),0)/100*IF(高温電圧!Y12*高温電圧!Y$2&lt;VLOOKUP(HUAWEI製ＰＣＳ接続枚数計算ツール!$C$9, HUAWEI製ＰＣＳ接続枚数計算ツール!$B$119:$P$149,12,FALSE),0,1)</f>
        <v>1.32</v>
      </c>
      <c r="Z12" s="85">
        <f>ROUNDDOWN((高温電圧!Z12*高温電圧!Z$2-VLOOKUP(HUAWEI製ＰＣＳ接続枚数計算ツール!$C$9,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HUAWEI製ＰＣＳ接続枚数計算ツール!$B$119:$P$149,14,FALSE),0)/100*IF(高温電圧!Z12*高温電圧!Z$2&lt;VLOOKUP(HUAWEI製ＰＣＳ接続枚数計算ツール!$C$9, HUAWEI製ＰＣＳ接続枚数計算ツール!$B$119:$P$149,12,FALSE),0,1)</f>
        <v>1.39</v>
      </c>
      <c r="AA12" s="85">
        <f>ROUNDDOWN((高温電圧!AA12*高温電圧!AA$2-VLOOKUP(HUAWEI製ＰＣＳ接続枚数計算ツール!$C$9,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HUAWEI製ＰＣＳ接続枚数計算ツール!$B$119:$P$149,14,FALSE),0)/100*IF(高温電圧!AA12*高温電圧!AA$2&lt;VLOOKUP(HUAWEI製ＰＣＳ接続枚数計算ツール!$C$9, HUAWEI製ＰＣＳ接続枚数計算ツール!$B$119:$P$149,12,FALSE),0,1)</f>
        <v>1.46</v>
      </c>
      <c r="AB12" s="85">
        <f>ROUNDDOWN((高温電圧!AB12*高温電圧!AB$2-VLOOKUP(HUAWEI製ＰＣＳ接続枚数計算ツール!$C$9,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HUAWEI製ＰＣＳ接続枚数計算ツール!$B$119:$P$149,14,FALSE),0)/100*IF(高温電圧!AB12*高温電圧!AB$2&lt;VLOOKUP(HUAWEI製ＰＣＳ接続枚数計算ツール!$C$9, HUAWEI製ＰＣＳ接続枚数計算ツール!$B$119:$P$149,12,FALSE),0,1)</f>
        <v>1.54</v>
      </c>
      <c r="AC12" s="85">
        <f>ROUNDDOWN((高温電圧!AC12*高温電圧!AC$2-VLOOKUP(HUAWEI製ＰＣＳ接続枚数計算ツール!$C$9,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HUAWEI製ＰＣＳ接続枚数計算ツール!$B$119:$P$149,14,FALSE),0)/100*IF(高温電圧!AC12*高温電圧!AC$2&lt;VLOOKUP(HUAWEI製ＰＣＳ接続枚数計算ツール!$C$9, HUAWEI製ＰＣＳ接続枚数計算ツール!$B$119:$P$149,12,FALSE),0,1)</f>
        <v>1.61</v>
      </c>
      <c r="AD12" s="85">
        <f>ROUNDDOWN((高温電圧!AD12*高温電圧!AD$2-VLOOKUP(HUAWEI製ＰＣＳ接続枚数計算ツール!$C$9,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HUAWEI製ＰＣＳ接続枚数計算ツール!$B$119:$P$149,14,FALSE),0)/100*IF(高温電圧!AD12*高温電圧!AD$2&lt;VLOOKUP(HUAWEI製ＰＣＳ接続枚数計算ツール!$C$9, HUAWEI製ＰＣＳ接続枚数計算ツール!$B$119:$P$149,12,FALSE),0,1)</f>
        <v>1.68</v>
      </c>
      <c r="AE12" s="85">
        <f>ROUNDDOWN((高温電圧!AE12*高温電圧!AE$2-VLOOKUP(HUAWEI製ＰＣＳ接続枚数計算ツール!$C$9,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HUAWEI製ＰＣＳ接続枚数計算ツール!$B$119:$P$149,14,FALSE),0)/100*IF(高温電圧!AE12*高温電圧!AE$2&lt;VLOOKUP(HUAWEI製ＰＣＳ接続枚数計算ツール!$C$9, HUAWEI製ＰＣＳ接続枚数計算ツール!$B$119:$P$149,12,FALSE),0,1)</f>
        <v>1.75</v>
      </c>
      <c r="AF12" s="85">
        <f>ROUNDDOWN((高温電圧!AF12*高温電圧!AF$2-VLOOKUP(HUAWEI製ＰＣＳ接続枚数計算ツール!$C$9,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HUAWEI製ＰＣＳ接続枚数計算ツール!$B$119:$P$149,14,FALSE),0)/100*IF(高温電圧!AF12*高温電圧!AF$2&lt;VLOOKUP(HUAWEI製ＰＣＳ接続枚数計算ツール!$C$9, HUAWEI製ＰＣＳ接続枚数計算ツール!$B$119:$P$149,12,FALSE),0,1)</f>
        <v>1.82</v>
      </c>
      <c r="AG12" s="85">
        <f>ROUNDDOWN((高温電圧!AG12*高温電圧!AG$2-VLOOKUP(HUAWEI製ＰＣＳ接続枚数計算ツール!$C$9,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HUAWEI製ＰＣＳ接続枚数計算ツール!$B$119:$P$149,14,FALSE),0)/100*IF(高温電圧!AG12*高温電圧!AG$2&lt;VLOOKUP(HUAWEI製ＰＣＳ接続枚数計算ツール!$C$9, HUAWEI製ＰＣＳ接続枚数計算ツール!$B$119:$P$149,12,FALSE),0,1)</f>
        <v>1.89</v>
      </c>
      <c r="AH12" s="85">
        <f>ROUNDDOWN((高温電圧!AH12*高温電圧!AH$2-VLOOKUP(HUAWEI製ＰＣＳ接続枚数計算ツール!$C$9,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HUAWEI製ＰＣＳ接続枚数計算ツール!$B$119:$P$149,14,FALSE),0)/100*IF(高温電圧!AH12*高温電圧!AH$2&lt;VLOOKUP(HUAWEI製ＰＣＳ接続枚数計算ツール!$C$9, HUAWEI製ＰＣＳ接続枚数計算ツール!$B$119:$P$149,12,FALSE),0,1)</f>
        <v>1.96</v>
      </c>
      <c r="AI12" s="85">
        <f>ROUNDDOWN((高温電圧!AI12*高温電圧!AI$2-VLOOKUP(HUAWEI製ＰＣＳ接続枚数計算ツール!$C$9,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HUAWEI製ＰＣＳ接続枚数計算ツール!$B$119:$P$149,14,FALSE),0)/100*IF(高温電圧!AI12*高温電圧!AI$2&lt;VLOOKUP(HUAWEI製ＰＣＳ接続枚数計算ツール!$C$9, HUAWEI製ＰＣＳ接続枚数計算ツール!$B$119:$P$149,12,FALSE),0,1)</f>
        <v>2.0299999999999998</v>
      </c>
      <c r="AJ12" s="85">
        <f>ROUNDDOWN((高温電圧!AJ12*高温電圧!AJ$2-VLOOKUP(HUAWEI製ＰＣＳ接続枚数計算ツール!$C$9,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HUAWEI製ＰＣＳ接続枚数計算ツール!$B$119:$P$149,14,FALSE),0)/100*IF(高温電圧!AJ12*高温電圧!AJ$2&lt;VLOOKUP(HUAWEI製ＰＣＳ接続枚数計算ツール!$C$9, HUAWEI製ＰＣＳ接続枚数計算ツール!$B$119:$P$149,12,FALSE),0,1)</f>
        <v>2.1</v>
      </c>
      <c r="AK12" s="85">
        <f>ROUNDDOWN((高温電圧!AK12*高温電圧!AK$2-VLOOKUP(HUAWEI製ＰＣＳ接続枚数計算ツール!$C$9,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HUAWEI製ＰＣＳ接続枚数計算ツール!$B$119:$P$149,14,FALSE),0)/100*IF(高温電圧!AK12*高温電圧!AK$2&lt;VLOOKUP(HUAWEI製ＰＣＳ接続枚数計算ツール!$C$9, HUAWEI製ＰＣＳ接続枚数計算ツール!$B$119:$P$149,12,FALSE),0,1)</f>
        <v>2.17</v>
      </c>
      <c r="AL12" s="85">
        <f>ROUNDDOWN((高温電圧!AL12*高温電圧!AL$2-VLOOKUP(HUAWEI製ＰＣＳ接続枚数計算ツール!$C$9,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HUAWEI製ＰＣＳ接続枚数計算ツール!$B$119:$P$149,14,FALSE),0)/100*IF(高温電圧!AL12*高温電圧!AL$2&lt;VLOOKUP(HUAWEI製ＰＣＳ接続枚数計算ツール!$C$9, HUAWEI製ＰＣＳ接続枚数計算ツール!$B$119:$P$149,12,FALSE),0,1)</f>
        <v>2.2400000000000002</v>
      </c>
      <c r="AM12" s="85">
        <f>ROUNDDOWN((高温電圧!AM12*高温電圧!AM$2-VLOOKUP(HUAWEI製ＰＣＳ接続枚数計算ツール!$C$9,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HUAWEI製ＰＣＳ接続枚数計算ツール!$B$119:$P$149,14,FALSE),0)/100*IF(高温電圧!AM12*高温電圧!AM$2&lt;VLOOKUP(HUAWEI製ＰＣＳ接続枚数計算ツール!$C$9, HUAWEI製ＰＣＳ接続枚数計算ツール!$B$119:$P$149,12,FALSE),0,1)</f>
        <v>2.2999999999999998</v>
      </c>
      <c r="AN12" s="85">
        <f>ROUNDDOWN((高温電圧!AN12*高温電圧!AN$2-VLOOKUP(HUAWEI製ＰＣＳ接続枚数計算ツール!$C$9,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HUAWEI製ＰＣＳ接続枚数計算ツール!$B$119:$P$149,14,FALSE),0)/100*IF(高温電圧!AN12*高温電圧!AN$2&lt;VLOOKUP(HUAWEI製ＰＣＳ接続枚数計算ツール!$C$9, HUAWEI製ＰＣＳ接続枚数計算ツール!$B$119:$P$149,12,FALSE),0,1)</f>
        <v>2.37</v>
      </c>
      <c r="AO12" s="85">
        <f>ROUNDDOWN((高温電圧!AO12*高温電圧!AO$2-VLOOKUP(HUAWEI製ＰＣＳ接続枚数計算ツール!$C$9,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HUAWEI製ＰＣＳ接続枚数計算ツール!$B$119:$P$149,14,FALSE),0)/100*IF(高温電圧!AO12*高温電圧!AO$2&lt;VLOOKUP(HUAWEI製ＰＣＳ接続枚数計算ツール!$C$9, HUAWEI製ＰＣＳ接続枚数計算ツール!$B$119:$P$149,12,FALSE),0,1)</f>
        <v>2.44</v>
      </c>
    </row>
    <row r="13" spans="1:41">
      <c r="A13">
        <v>11</v>
      </c>
      <c r="B13" s="85">
        <f>ROUNDDOWN((高温電圧!B13*高温電圧!B$2-VLOOKUP(HUAWEI製ＰＣＳ接続枚数計算ツール!$C$9,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HUAWEI製ＰＣＳ接続枚数計算ツール!$B$119:$P$149,14,FALSE),0)/100*IF(高温電圧!B13*高温電圧!B$2&lt;VLOOKUP(HUAWEI製ＰＣＳ接続枚数計算ツール!$C$9, HUAWEI製ＰＣＳ接続枚数計算ツール!$B$119:$P$149,12,FALSE),0,1)</f>
        <v>0</v>
      </c>
      <c r="C13" s="85">
        <f>ROUNDDOWN((高温電圧!C13*高温電圧!C$2-VLOOKUP(HUAWEI製ＰＣＳ接続枚数計算ツール!$C$9,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HUAWEI製ＰＣＳ接続枚数計算ツール!$B$119:$P$149,14,FALSE),0)/100*IF(高温電圧!C13*高温電圧!C$2&lt;VLOOKUP(HUAWEI製ＰＣＳ接続枚数計算ツール!$C$9, HUAWEI製ＰＣＳ接続枚数計算ツール!$B$119:$P$149,12,FALSE),0,1)</f>
        <v>0</v>
      </c>
      <c r="D13" s="85">
        <f>ROUNDDOWN((高温電圧!D13*高温電圧!D$2-VLOOKUP(HUAWEI製ＰＣＳ接続枚数計算ツール!$C$9,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HUAWEI製ＰＣＳ接続枚数計算ツール!$B$119:$P$149,14,FALSE),0)/100*IF(高温電圧!D13*高温電圧!D$2&lt;VLOOKUP(HUAWEI製ＰＣＳ接続枚数計算ツール!$C$9, HUAWEI製ＰＣＳ接続枚数計算ツール!$B$119:$P$149,12,FALSE),0,1)</f>
        <v>0</v>
      </c>
      <c r="E13" s="85">
        <f>ROUNDDOWN((高温電圧!E13*高温電圧!E$2-VLOOKUP(HUAWEI製ＰＣＳ接続枚数計算ツール!$C$9,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HUAWEI製ＰＣＳ接続枚数計算ツール!$B$119:$P$149,14,FALSE),0)/100*IF(高温電圧!E13*高温電圧!E$2&lt;VLOOKUP(HUAWEI製ＰＣＳ接続枚数計算ツール!$C$9, HUAWEI製ＰＣＳ接続枚数計算ツール!$B$119:$P$149,12,FALSE),0,1)</f>
        <v>0</v>
      </c>
      <c r="F13" s="85">
        <f>ROUNDDOWN((高温電圧!F13*高温電圧!F$2-VLOOKUP(HUAWEI製ＰＣＳ接続枚数計算ツール!$C$9,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HUAWEI製ＰＣＳ接続枚数計算ツール!$B$119:$P$149,14,FALSE),0)/100*IF(高温電圧!F13*高温電圧!F$2&lt;VLOOKUP(HUAWEI製ＰＣＳ接続枚数計算ツール!$C$9, HUAWEI製ＰＣＳ接続枚数計算ツール!$B$119:$P$149,12,FALSE),0,1)</f>
        <v>0</v>
      </c>
      <c r="G13" s="85">
        <f>ROUNDDOWN((高温電圧!G13*高温電圧!G$2-VLOOKUP(HUAWEI製ＰＣＳ接続枚数計算ツール!$C$9,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HUAWEI製ＰＣＳ接続枚数計算ツール!$B$119:$P$149,14,FALSE),0)/100*IF(高温電圧!G13*高温電圧!G$2&lt;VLOOKUP(HUAWEI製ＰＣＳ接続枚数計算ツール!$C$9, HUAWEI製ＰＣＳ接続枚数計算ツール!$B$119:$P$149,12,FALSE),0,1)</f>
        <v>0</v>
      </c>
      <c r="H13" s="85">
        <f>ROUNDDOWN((高温電圧!H13*高温電圧!H$2-VLOOKUP(HUAWEI製ＰＣＳ接続枚数計算ツール!$C$9,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HUAWEI製ＰＣＳ接続枚数計算ツール!$B$119:$P$149,14,FALSE),0)/100*IF(高温電圧!H13*高温電圧!H$2&lt;VLOOKUP(HUAWEI製ＰＣＳ接続枚数計算ツール!$C$9, HUAWEI製ＰＣＳ接続枚数計算ツール!$B$119:$P$149,12,FALSE),0,1)</f>
        <v>0</v>
      </c>
      <c r="I13" s="85">
        <f>ROUNDDOWN((高温電圧!I13*高温電圧!I$2-VLOOKUP(HUAWEI製ＰＣＳ接続枚数計算ツール!$C$9,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HUAWEI製ＰＣＳ接続枚数計算ツール!$B$119:$P$149,14,FALSE),0)/100*IF(高温電圧!I13*高温電圧!I$2&lt;VLOOKUP(HUAWEI製ＰＣＳ接続枚数計算ツール!$C$9, HUAWEI製ＰＣＳ接続枚数計算ツール!$B$119:$P$149,12,FALSE),0,1)</f>
        <v>0</v>
      </c>
      <c r="J13" s="85">
        <f>ROUNDDOWN((高温電圧!J13*高温電圧!J$2-VLOOKUP(HUAWEI製ＰＣＳ接続枚数計算ツール!$C$9,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HUAWEI製ＰＣＳ接続枚数計算ツール!$B$119:$P$149,14,FALSE),0)/100*IF(高温電圧!J13*高温電圧!J$2&lt;VLOOKUP(HUAWEI製ＰＣＳ接続枚数計算ツール!$C$9, HUAWEI製ＰＣＳ接続枚数計算ツール!$B$119:$P$149,12,FALSE),0,1)</f>
        <v>0</v>
      </c>
      <c r="K13" s="85">
        <f>ROUNDDOWN((高温電圧!K13*高温電圧!K$2-VLOOKUP(HUAWEI製ＰＣＳ接続枚数計算ツール!$C$9,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HUAWEI製ＰＣＳ接続枚数計算ツール!$B$119:$P$149,14,FALSE),0)/100*IF(高温電圧!K13*高温電圧!K$2&lt;VLOOKUP(HUAWEI製ＰＣＳ接続枚数計算ツール!$C$9, HUAWEI製ＰＣＳ接続枚数計算ツール!$B$119:$P$149,12,FALSE),0,1)</f>
        <v>0</v>
      </c>
      <c r="L13" s="85">
        <f>ROUNDDOWN((高温電圧!L13*高温電圧!L$2-VLOOKUP(HUAWEI製ＰＣＳ接続枚数計算ツール!$C$9,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HUAWEI製ＰＣＳ接続枚数計算ツール!$B$119:$P$149,14,FALSE),0)/100*IF(高温電圧!L13*高温電圧!L$2&lt;VLOOKUP(HUAWEI製ＰＣＳ接続枚数計算ツール!$C$9, HUAWEI製ＰＣＳ接続枚数計算ツール!$B$119:$P$149,12,FALSE),0,1)</f>
        <v>0</v>
      </c>
      <c r="M13" s="85">
        <f>ROUNDDOWN((高温電圧!M13*高温電圧!M$2-VLOOKUP(HUAWEI製ＰＣＳ接続枚数計算ツール!$C$9,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HUAWEI製ＰＣＳ接続枚数計算ツール!$B$119:$P$149,14,FALSE),0)/100*IF(高温電圧!M13*高温電圧!M$2&lt;VLOOKUP(HUAWEI製ＰＣＳ接続枚数計算ツール!$C$9, HUAWEI製ＰＣＳ接続枚数計算ツール!$B$119:$P$149,12,FALSE),0,1)</f>
        <v>0</v>
      </c>
      <c r="N13" s="85">
        <f>ROUNDDOWN((高温電圧!N13*高温電圧!N$2-VLOOKUP(HUAWEI製ＰＣＳ接続枚数計算ツール!$C$9,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HUAWEI製ＰＣＳ接続枚数計算ツール!$B$119:$P$149,14,FALSE),0)/100*IF(高温電圧!N13*高温電圧!N$2&lt;VLOOKUP(HUAWEI製ＰＣＳ接続枚数計算ツール!$C$9, HUAWEI製ＰＣＳ接続枚数計算ツール!$B$119:$P$149,12,FALSE),0,1)</f>
        <v>0</v>
      </c>
      <c r="O13" s="85">
        <f>ROUNDDOWN((高温電圧!O13*高温電圧!O$2-VLOOKUP(HUAWEI製ＰＣＳ接続枚数計算ツール!$C$9,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HUAWEI製ＰＣＳ接続枚数計算ツール!$B$119:$P$149,14,FALSE),0)/100*IF(高温電圧!O13*高温電圧!O$2&lt;VLOOKUP(HUAWEI製ＰＣＳ接続枚数計算ツール!$C$9, HUAWEI製ＰＣＳ接続枚数計算ツール!$B$119:$P$149,12,FALSE),0,1)</f>
        <v>0.64</v>
      </c>
      <c r="P13" s="85">
        <f>ROUNDDOWN((高温電圧!P13*高温電圧!P$2-VLOOKUP(HUAWEI製ＰＣＳ接続枚数計算ツール!$C$9,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HUAWEI製ＰＣＳ接続枚数計算ツール!$B$119:$P$149,14,FALSE),0)/100*IF(高温電圧!P13*高温電圧!P$2&lt;VLOOKUP(HUAWEI製ＰＣＳ接続枚数計算ツール!$C$9, HUAWEI製ＰＣＳ接続枚数計算ツール!$B$119:$P$149,12,FALSE),0,1)</f>
        <v>0.7</v>
      </c>
      <c r="Q13" s="85">
        <f>ROUNDDOWN((高温電圧!Q13*高温電圧!Q$2-VLOOKUP(HUAWEI製ＰＣＳ接続枚数計算ツール!$C$9,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HUAWEI製ＰＣＳ接続枚数計算ツール!$B$119:$P$149,14,FALSE),0)/100*IF(高温電圧!Q13*高温電圧!Q$2&lt;VLOOKUP(HUAWEI製ＰＣＳ接続枚数計算ツール!$C$9, HUAWEI製ＰＣＳ接続枚数計算ツール!$B$119:$P$149,12,FALSE),0,1)</f>
        <v>0.75</v>
      </c>
      <c r="R13" s="85">
        <f>ROUNDDOWN((高温電圧!R13*高温電圧!R$2-VLOOKUP(HUAWEI製ＰＣＳ接続枚数計算ツール!$C$9,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HUAWEI製ＰＣＳ接続枚数計算ツール!$B$119:$P$149,14,FALSE),0)/100*IF(高温電圧!R13*高温電圧!R$2&lt;VLOOKUP(HUAWEI製ＰＣＳ接続枚数計算ツール!$C$9, HUAWEI製ＰＣＳ接続枚数計算ツール!$B$119:$P$149,12,FALSE),0,1)</f>
        <v>0.81</v>
      </c>
      <c r="S13" s="85">
        <f>ROUNDDOWN((高温電圧!S13*高温電圧!S$2-VLOOKUP(HUAWEI製ＰＣＳ接続枚数計算ツール!$C$9,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HUAWEI製ＰＣＳ接続枚数計算ツール!$B$119:$P$149,14,FALSE),0)/100*IF(高温電圧!S13*高温電圧!S$2&lt;VLOOKUP(HUAWEI製ＰＣＳ接続枚数計算ツール!$C$9, HUAWEI製ＰＣＳ接続枚数計算ツール!$B$119:$P$149,12,FALSE),0,1)</f>
        <v>0.87</v>
      </c>
      <c r="T13" s="85">
        <f>ROUNDDOWN((高温電圧!T13*高温電圧!T$2-VLOOKUP(HUAWEI製ＰＣＳ接続枚数計算ツール!$C$9,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HUAWEI製ＰＣＳ接続枚数計算ツール!$B$119:$P$149,14,FALSE),0)/100*IF(高温電圧!T13*高温電圧!T$2&lt;VLOOKUP(HUAWEI製ＰＣＳ接続枚数計算ツール!$C$9, HUAWEI製ＰＣＳ接続枚数計算ツール!$B$119:$P$149,12,FALSE),0,1)</f>
        <v>0.95</v>
      </c>
      <c r="U13" s="85">
        <f>ROUNDDOWN((高温電圧!U13*高温電圧!U$2-VLOOKUP(HUAWEI製ＰＣＳ接続枚数計算ツール!$C$9,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HUAWEI製ＰＣＳ接続枚数計算ツール!$B$119:$P$149,14,FALSE),0)/100*IF(高温電圧!U13*高温電圧!U$2&lt;VLOOKUP(HUAWEI製ＰＣＳ接続枚数計算ツール!$C$9, HUAWEI製ＰＣＳ接続枚数計算ツール!$B$119:$P$149,12,FALSE),0,1)</f>
        <v>1.04</v>
      </c>
      <c r="V13" s="85">
        <f>ROUNDDOWN((高温電圧!V13*高温電圧!V$2-VLOOKUP(HUAWEI製ＰＣＳ接続枚数計算ツール!$C$9,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HUAWEI製ＰＣＳ接続枚数計算ツール!$B$119:$P$149,14,FALSE),0)/100*IF(高温電圧!V13*高温電圧!V$2&lt;VLOOKUP(HUAWEI製ＰＣＳ接続枚数計算ツール!$C$9, HUAWEI製ＰＣＳ接続枚数計算ツール!$B$119:$P$149,12,FALSE),0,1)</f>
        <v>1.1200000000000001</v>
      </c>
      <c r="W13" s="85">
        <f>ROUNDDOWN((高温電圧!W13*高温電圧!W$2-VLOOKUP(HUAWEI製ＰＣＳ接続枚数計算ツール!$C$9,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HUAWEI製ＰＣＳ接続枚数計算ツール!$B$119:$P$149,14,FALSE),0)/100*IF(高温電圧!W13*高温電圧!W$2&lt;VLOOKUP(HUAWEI製ＰＣＳ接続枚数計算ツール!$C$9, HUAWEI製ＰＣＳ接続枚数計算ツール!$B$119:$P$149,12,FALSE),0,1)</f>
        <v>1.2</v>
      </c>
      <c r="X13" s="85">
        <f>ROUNDDOWN((高温電圧!X13*高温電圧!X$2-VLOOKUP(HUAWEI製ＰＣＳ接続枚数計算ツール!$C$9,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HUAWEI製ＰＣＳ接続枚数計算ツール!$B$119:$P$149,14,FALSE),0)/100*IF(高温電圧!X13*高温電圧!X$2&lt;VLOOKUP(HUAWEI製ＰＣＳ接続枚数計算ツール!$C$9, HUAWEI製ＰＣＳ接続枚数計算ツール!$B$119:$P$149,12,FALSE),0,1)</f>
        <v>1.27</v>
      </c>
      <c r="Y13" s="85">
        <f>ROUNDDOWN((高温電圧!Y13*高温電圧!Y$2-VLOOKUP(HUAWEI製ＰＣＳ接続枚数計算ツール!$C$9,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HUAWEI製ＰＣＳ接続枚数計算ツール!$B$119:$P$149,14,FALSE),0)/100*IF(高温電圧!Y13*高温電圧!Y$2&lt;VLOOKUP(HUAWEI製ＰＣＳ接続枚数計算ツール!$C$9, HUAWEI製ＰＣＳ接続枚数計算ツール!$B$119:$P$149,12,FALSE),0,1)</f>
        <v>1.34</v>
      </c>
      <c r="Z13" s="85">
        <f>ROUNDDOWN((高温電圧!Z13*高温電圧!Z$2-VLOOKUP(HUAWEI製ＰＣＳ接続枚数計算ツール!$C$9,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HUAWEI製ＰＣＳ接続枚数計算ツール!$B$119:$P$149,14,FALSE),0)/100*IF(高温電圧!Z13*高温電圧!Z$2&lt;VLOOKUP(HUAWEI製ＰＣＳ接続枚数計算ツール!$C$9, HUAWEI製ＰＣＳ接続枚数計算ツール!$B$119:$P$149,12,FALSE),0,1)</f>
        <v>1.42</v>
      </c>
      <c r="AA13" s="85">
        <f>ROUNDDOWN((高温電圧!AA13*高温電圧!AA$2-VLOOKUP(HUAWEI製ＰＣＳ接続枚数計算ツール!$C$9,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HUAWEI製ＰＣＳ接続枚数計算ツール!$B$119:$P$149,14,FALSE),0)/100*IF(高温電圧!AA13*高温電圧!AA$2&lt;VLOOKUP(HUAWEI製ＰＣＳ接続枚数計算ツール!$C$9, HUAWEI製ＰＣＳ接続枚数計算ツール!$B$119:$P$149,12,FALSE),0,1)</f>
        <v>1.49</v>
      </c>
      <c r="AB13" s="85">
        <f>ROUNDDOWN((高温電圧!AB13*高温電圧!AB$2-VLOOKUP(HUAWEI製ＰＣＳ接続枚数計算ツール!$C$9,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HUAWEI製ＰＣＳ接続枚数計算ツール!$B$119:$P$149,14,FALSE),0)/100*IF(高温電圧!AB13*高温電圧!AB$2&lt;VLOOKUP(HUAWEI製ＰＣＳ接続枚数計算ツール!$C$9, HUAWEI製ＰＣＳ接続枚数計算ツール!$B$119:$P$149,12,FALSE),0,1)</f>
        <v>1.56</v>
      </c>
      <c r="AC13" s="85">
        <f>ROUNDDOWN((高温電圧!AC13*高温電圧!AC$2-VLOOKUP(HUAWEI製ＰＣＳ接続枚数計算ツール!$C$9,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HUAWEI製ＰＣＳ接続枚数計算ツール!$B$119:$P$149,14,FALSE),0)/100*IF(高温電圧!AC13*高温電圧!AC$2&lt;VLOOKUP(HUAWEI製ＰＣＳ接続枚数計算ツール!$C$9, HUAWEI製ＰＣＳ接続枚数計算ツール!$B$119:$P$149,12,FALSE),0,1)</f>
        <v>1.63</v>
      </c>
      <c r="AD13" s="85">
        <f>ROUNDDOWN((高温電圧!AD13*高温電圧!AD$2-VLOOKUP(HUAWEI製ＰＣＳ接続枚数計算ツール!$C$9,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HUAWEI製ＰＣＳ接続枚数計算ツール!$B$119:$P$149,14,FALSE),0)/100*IF(高温電圧!AD13*高温電圧!AD$2&lt;VLOOKUP(HUAWEI製ＰＣＳ接続枚数計算ツール!$C$9, HUAWEI製ＰＣＳ接続枚数計算ツール!$B$119:$P$149,12,FALSE),0,1)</f>
        <v>1.7</v>
      </c>
      <c r="AE13" s="85">
        <f>ROUNDDOWN((高温電圧!AE13*高温電圧!AE$2-VLOOKUP(HUAWEI製ＰＣＳ接続枚数計算ツール!$C$9,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HUAWEI製ＰＣＳ接続枚数計算ツール!$B$119:$P$149,14,FALSE),0)/100*IF(高温電圧!AE13*高温電圧!AE$2&lt;VLOOKUP(HUAWEI製ＰＣＳ接続枚数計算ツール!$C$9, HUAWEI製ＰＣＳ接続枚数計算ツール!$B$119:$P$149,12,FALSE),0,1)</f>
        <v>1.77</v>
      </c>
      <c r="AF13" s="85">
        <f>ROUNDDOWN((高温電圧!AF13*高温電圧!AF$2-VLOOKUP(HUAWEI製ＰＣＳ接続枚数計算ツール!$C$9,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HUAWEI製ＰＣＳ接続枚数計算ツール!$B$119:$P$149,14,FALSE),0)/100*IF(高温電圧!AF13*高温電圧!AF$2&lt;VLOOKUP(HUAWEI製ＰＣＳ接続枚数計算ツール!$C$9, HUAWEI製ＰＣＳ接続枚数計算ツール!$B$119:$P$149,12,FALSE),0,1)</f>
        <v>1.84</v>
      </c>
      <c r="AG13" s="85">
        <f>ROUNDDOWN((高温電圧!AG13*高温電圧!AG$2-VLOOKUP(HUAWEI製ＰＣＳ接続枚数計算ツール!$C$9,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HUAWEI製ＰＣＳ接続枚数計算ツール!$B$119:$P$149,14,FALSE),0)/100*IF(高温電圧!AG13*高温電圧!AG$2&lt;VLOOKUP(HUAWEI製ＰＣＳ接続枚数計算ツール!$C$9, HUAWEI製ＰＣＳ接続枚数計算ツール!$B$119:$P$149,12,FALSE),0,1)</f>
        <v>1.91</v>
      </c>
      <c r="AH13" s="85">
        <f>ROUNDDOWN((高温電圧!AH13*高温電圧!AH$2-VLOOKUP(HUAWEI製ＰＣＳ接続枚数計算ツール!$C$9,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HUAWEI製ＰＣＳ接続枚数計算ツール!$B$119:$P$149,14,FALSE),0)/100*IF(高温電圧!AH13*高温電圧!AH$2&lt;VLOOKUP(HUAWEI製ＰＣＳ接続枚数計算ツール!$C$9, HUAWEI製ＰＣＳ接続枚数計算ツール!$B$119:$P$149,12,FALSE),0,1)</f>
        <v>1.98</v>
      </c>
      <c r="AI13" s="85">
        <f>ROUNDDOWN((高温電圧!AI13*高温電圧!AI$2-VLOOKUP(HUAWEI製ＰＣＳ接続枚数計算ツール!$C$9,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HUAWEI製ＰＣＳ接続枚数計算ツール!$B$119:$P$149,14,FALSE),0)/100*IF(高温電圧!AI13*高温電圧!AI$2&lt;VLOOKUP(HUAWEI製ＰＣＳ接続枚数計算ツール!$C$9, HUAWEI製ＰＣＳ接続枚数計算ツール!$B$119:$P$149,12,FALSE),0,1)</f>
        <v>2.04</v>
      </c>
      <c r="AJ13" s="85">
        <f>ROUNDDOWN((高温電圧!AJ13*高温電圧!AJ$2-VLOOKUP(HUAWEI製ＰＣＳ接続枚数計算ツール!$C$9,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HUAWEI製ＰＣＳ接続枚数計算ツール!$B$119:$P$149,14,FALSE),0)/100*IF(高温電圧!AJ13*高温電圧!AJ$2&lt;VLOOKUP(HUAWEI製ＰＣＳ接続枚数計算ツール!$C$9, HUAWEI製ＰＣＳ接続枚数計算ツール!$B$119:$P$149,12,FALSE),0,1)</f>
        <v>2.11</v>
      </c>
      <c r="AK13" s="85">
        <f>ROUNDDOWN((高温電圧!AK13*高温電圧!AK$2-VLOOKUP(HUAWEI製ＰＣＳ接続枚数計算ツール!$C$9,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HUAWEI製ＰＣＳ接続枚数計算ツール!$B$119:$P$149,14,FALSE),0)/100*IF(高温電圧!AK13*高温電圧!AK$2&lt;VLOOKUP(HUAWEI製ＰＣＳ接続枚数計算ツール!$C$9, HUAWEI製ＰＣＳ接続枚数計算ツール!$B$119:$P$149,12,FALSE),0,1)</f>
        <v>2.1800000000000002</v>
      </c>
      <c r="AL13" s="85">
        <f>ROUNDDOWN((高温電圧!AL13*高温電圧!AL$2-VLOOKUP(HUAWEI製ＰＣＳ接続枚数計算ツール!$C$9,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HUAWEI製ＰＣＳ接続枚数計算ツール!$B$119:$P$149,14,FALSE),0)/100*IF(高温電圧!AL13*高温電圧!AL$2&lt;VLOOKUP(HUAWEI製ＰＣＳ接続枚数計算ツール!$C$9, HUAWEI製ＰＣＳ接続枚数計算ツール!$B$119:$P$149,12,FALSE),0,1)</f>
        <v>2.25</v>
      </c>
      <c r="AM13" s="85">
        <f>ROUNDDOWN((高温電圧!AM13*高温電圧!AM$2-VLOOKUP(HUAWEI製ＰＣＳ接続枚数計算ツール!$C$9,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HUAWEI製ＰＣＳ接続枚数計算ツール!$B$119:$P$149,14,FALSE),0)/100*IF(高温電圧!AM13*高温電圧!AM$2&lt;VLOOKUP(HUAWEI製ＰＣＳ接続枚数計算ツール!$C$9, HUAWEI製ＰＣＳ接続枚数計算ツール!$B$119:$P$149,12,FALSE),0,1)</f>
        <v>2.3199999999999998</v>
      </c>
      <c r="AN13" s="85">
        <f>ROUNDDOWN((高温電圧!AN13*高温電圧!AN$2-VLOOKUP(HUAWEI製ＰＣＳ接続枚数計算ツール!$C$9,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HUAWEI製ＰＣＳ接続枚数計算ツール!$B$119:$P$149,14,FALSE),0)/100*IF(高温電圧!AN13*高温電圧!AN$2&lt;VLOOKUP(HUAWEI製ＰＣＳ接続枚数計算ツール!$C$9, HUAWEI製ＰＣＳ接続枚数計算ツール!$B$119:$P$149,12,FALSE),0,1)</f>
        <v>2.39</v>
      </c>
      <c r="AO13" s="85">
        <f>ROUNDDOWN((高温電圧!AO13*高温電圧!AO$2-VLOOKUP(HUAWEI製ＰＣＳ接続枚数計算ツール!$C$9,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HUAWEI製ＰＣＳ接続枚数計算ツール!$B$119:$P$149,14,FALSE),0)/100*IF(高温電圧!AO13*高温電圧!AO$2&lt;VLOOKUP(HUAWEI製ＰＣＳ接続枚数計算ツール!$C$9, HUAWEI製ＰＣＳ接続枚数計算ツール!$B$119:$P$149,12,FALSE),0,1)</f>
        <v>2.46</v>
      </c>
    </row>
    <row r="14" spans="1:41">
      <c r="A14">
        <v>12</v>
      </c>
      <c r="B14" s="85">
        <f>ROUNDDOWN((高温電圧!B14*高温電圧!B$2-VLOOKUP(HUAWEI製ＰＣＳ接続枚数計算ツール!$C$9,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HUAWEI製ＰＣＳ接続枚数計算ツール!$B$119:$P$149,14,FALSE),0)/100*IF(高温電圧!B14*高温電圧!B$2&lt;VLOOKUP(HUAWEI製ＰＣＳ接続枚数計算ツール!$C$9, HUAWEI製ＰＣＳ接続枚数計算ツール!$B$119:$P$149,12,FALSE),0,1)</f>
        <v>0</v>
      </c>
      <c r="C14" s="85">
        <f>ROUNDDOWN((高温電圧!C14*高温電圧!C$2-VLOOKUP(HUAWEI製ＰＣＳ接続枚数計算ツール!$C$9,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HUAWEI製ＰＣＳ接続枚数計算ツール!$B$119:$P$149,14,FALSE),0)/100*IF(高温電圧!C14*高温電圧!C$2&lt;VLOOKUP(HUAWEI製ＰＣＳ接続枚数計算ツール!$C$9, HUAWEI製ＰＣＳ接続枚数計算ツール!$B$119:$P$149,12,FALSE),0,1)</f>
        <v>0</v>
      </c>
      <c r="D14" s="85">
        <f>ROUNDDOWN((高温電圧!D14*高温電圧!D$2-VLOOKUP(HUAWEI製ＰＣＳ接続枚数計算ツール!$C$9,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HUAWEI製ＰＣＳ接続枚数計算ツール!$B$119:$P$149,14,FALSE),0)/100*IF(高温電圧!D14*高温電圧!D$2&lt;VLOOKUP(HUAWEI製ＰＣＳ接続枚数計算ツール!$C$9, HUAWEI製ＰＣＳ接続枚数計算ツール!$B$119:$P$149,12,FALSE),0,1)</f>
        <v>0</v>
      </c>
      <c r="E14" s="85">
        <f>ROUNDDOWN((高温電圧!E14*高温電圧!E$2-VLOOKUP(HUAWEI製ＰＣＳ接続枚数計算ツール!$C$9,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HUAWEI製ＰＣＳ接続枚数計算ツール!$B$119:$P$149,14,FALSE),0)/100*IF(高温電圧!E14*高温電圧!E$2&lt;VLOOKUP(HUAWEI製ＰＣＳ接続枚数計算ツール!$C$9, HUAWEI製ＰＣＳ接続枚数計算ツール!$B$119:$P$149,12,FALSE),0,1)</f>
        <v>0</v>
      </c>
      <c r="F14" s="85">
        <f>ROUNDDOWN((高温電圧!F14*高温電圧!F$2-VLOOKUP(HUAWEI製ＰＣＳ接続枚数計算ツール!$C$9,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HUAWEI製ＰＣＳ接続枚数計算ツール!$B$119:$P$149,14,FALSE),0)/100*IF(高温電圧!F14*高温電圧!F$2&lt;VLOOKUP(HUAWEI製ＰＣＳ接続枚数計算ツール!$C$9, HUAWEI製ＰＣＳ接続枚数計算ツール!$B$119:$P$149,12,FALSE),0,1)</f>
        <v>0</v>
      </c>
      <c r="G14" s="85">
        <f>ROUNDDOWN((高温電圧!G14*高温電圧!G$2-VLOOKUP(HUAWEI製ＰＣＳ接続枚数計算ツール!$C$9,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HUAWEI製ＰＣＳ接続枚数計算ツール!$B$119:$P$149,14,FALSE),0)/100*IF(高温電圧!G14*高温電圧!G$2&lt;VLOOKUP(HUAWEI製ＰＣＳ接続枚数計算ツール!$C$9, HUAWEI製ＰＣＳ接続枚数計算ツール!$B$119:$P$149,12,FALSE),0,1)</f>
        <v>0</v>
      </c>
      <c r="H14" s="85">
        <f>ROUNDDOWN((高温電圧!H14*高温電圧!H$2-VLOOKUP(HUAWEI製ＰＣＳ接続枚数計算ツール!$C$9,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HUAWEI製ＰＣＳ接続枚数計算ツール!$B$119:$P$149,14,FALSE),0)/100*IF(高温電圧!H14*高温電圧!H$2&lt;VLOOKUP(HUAWEI製ＰＣＳ接続枚数計算ツール!$C$9, HUAWEI製ＰＣＳ接続枚数計算ツール!$B$119:$P$149,12,FALSE),0,1)</f>
        <v>0</v>
      </c>
      <c r="I14" s="85">
        <f>ROUNDDOWN((高温電圧!I14*高温電圧!I$2-VLOOKUP(HUAWEI製ＰＣＳ接続枚数計算ツール!$C$9,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HUAWEI製ＰＣＳ接続枚数計算ツール!$B$119:$P$149,14,FALSE),0)/100*IF(高温電圧!I14*高温電圧!I$2&lt;VLOOKUP(HUAWEI製ＰＣＳ接続枚数計算ツール!$C$9, HUAWEI製ＰＣＳ接続枚数計算ツール!$B$119:$P$149,12,FALSE),0,1)</f>
        <v>0</v>
      </c>
      <c r="J14" s="85">
        <f>ROUNDDOWN((高温電圧!J14*高温電圧!J$2-VLOOKUP(HUAWEI製ＰＣＳ接続枚数計算ツール!$C$9,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HUAWEI製ＰＣＳ接続枚数計算ツール!$B$119:$P$149,14,FALSE),0)/100*IF(高温電圧!J14*高温電圧!J$2&lt;VLOOKUP(HUAWEI製ＰＣＳ接続枚数計算ツール!$C$9, HUAWEI製ＰＣＳ接続枚数計算ツール!$B$119:$P$149,12,FALSE),0,1)</f>
        <v>0</v>
      </c>
      <c r="K14" s="85">
        <f>ROUNDDOWN((高温電圧!K14*高温電圧!K$2-VLOOKUP(HUAWEI製ＰＣＳ接続枚数計算ツール!$C$9,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HUAWEI製ＰＣＳ接続枚数計算ツール!$B$119:$P$149,14,FALSE),0)/100*IF(高温電圧!K14*高温電圧!K$2&lt;VLOOKUP(HUAWEI製ＰＣＳ接続枚数計算ツール!$C$9, HUAWEI製ＰＣＳ接続枚数計算ツール!$B$119:$P$149,12,FALSE),0,1)</f>
        <v>0</v>
      </c>
      <c r="L14" s="85">
        <f>ROUNDDOWN((高温電圧!L14*高温電圧!L$2-VLOOKUP(HUAWEI製ＰＣＳ接続枚数計算ツール!$C$9,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HUAWEI製ＰＣＳ接続枚数計算ツール!$B$119:$P$149,14,FALSE),0)/100*IF(高温電圧!L14*高温電圧!L$2&lt;VLOOKUP(HUAWEI製ＰＣＳ接続枚数計算ツール!$C$9, HUAWEI製ＰＣＳ接続枚数計算ツール!$B$119:$P$149,12,FALSE),0,1)</f>
        <v>0</v>
      </c>
      <c r="M14" s="85">
        <f>ROUNDDOWN((高温電圧!M14*高温電圧!M$2-VLOOKUP(HUAWEI製ＰＣＳ接続枚数計算ツール!$C$9,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HUAWEI製ＰＣＳ接続枚数計算ツール!$B$119:$P$149,14,FALSE),0)/100*IF(高温電圧!M14*高温電圧!M$2&lt;VLOOKUP(HUAWEI製ＰＣＳ接続枚数計算ツール!$C$9, HUAWEI製ＰＣＳ接続枚数計算ツール!$B$119:$P$149,12,FALSE),0,1)</f>
        <v>0</v>
      </c>
      <c r="N14" s="85">
        <f>ROUNDDOWN((高温電圧!N14*高温電圧!N$2-VLOOKUP(HUAWEI製ＰＣＳ接続枚数計算ツール!$C$9,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HUAWEI製ＰＣＳ接続枚数計算ツール!$B$119:$P$149,14,FALSE),0)/100*IF(高温電圧!N14*高温電圧!N$2&lt;VLOOKUP(HUAWEI製ＰＣＳ接続枚数計算ツール!$C$9, HUAWEI製ＰＣＳ接続枚数計算ツール!$B$119:$P$149,12,FALSE),0,1)</f>
        <v>0</v>
      </c>
      <c r="O14" s="85">
        <f>ROUNDDOWN((高温電圧!O14*高温電圧!O$2-VLOOKUP(HUAWEI製ＰＣＳ接続枚数計算ツール!$C$9,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HUAWEI製ＰＣＳ接続枚数計算ツール!$B$119:$P$149,14,FALSE),0)/100*IF(高温電圧!O14*高温電圧!O$2&lt;VLOOKUP(HUAWEI製ＰＣＳ接続枚数計算ツール!$C$9, HUAWEI製ＰＣＳ接続枚数計算ツール!$B$119:$P$149,12,FALSE),0,1)</f>
        <v>0.64</v>
      </c>
      <c r="P14" s="85">
        <f>ROUNDDOWN((高温電圧!P14*高温電圧!P$2-VLOOKUP(HUAWEI製ＰＣＳ接続枚数計算ツール!$C$9,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HUAWEI製ＰＣＳ接続枚数計算ツール!$B$119:$P$149,14,FALSE),0)/100*IF(高温電圧!P14*高温電圧!P$2&lt;VLOOKUP(HUAWEI製ＰＣＳ接続枚数計算ツール!$C$9, HUAWEI製ＰＣＳ接続枚数計算ツール!$B$119:$P$149,12,FALSE),0,1)</f>
        <v>0.7</v>
      </c>
      <c r="Q14" s="85">
        <f>ROUNDDOWN((高温電圧!Q14*高温電圧!Q$2-VLOOKUP(HUAWEI製ＰＣＳ接続枚数計算ツール!$C$9,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HUAWEI製ＰＣＳ接続枚数計算ツール!$B$119:$P$149,14,FALSE),0)/100*IF(高温電圧!Q14*高温電圧!Q$2&lt;VLOOKUP(HUAWEI製ＰＣＳ接続枚数計算ツール!$C$9, HUAWEI製ＰＣＳ接続枚数計算ツール!$B$119:$P$149,12,FALSE),0,1)</f>
        <v>0.75</v>
      </c>
      <c r="R14" s="85">
        <f>ROUNDDOWN((高温電圧!R14*高温電圧!R$2-VLOOKUP(HUAWEI製ＰＣＳ接続枚数計算ツール!$C$9,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HUAWEI製ＰＣＳ接続枚数計算ツール!$B$119:$P$149,14,FALSE),0)/100*IF(高温電圧!R14*高温電圧!R$2&lt;VLOOKUP(HUAWEI製ＰＣＳ接続枚数計算ツール!$C$9, HUAWEI製ＰＣＳ接続枚数計算ツール!$B$119:$P$149,12,FALSE),0,1)</f>
        <v>0.81</v>
      </c>
      <c r="S14" s="85">
        <f>ROUNDDOWN((高温電圧!S14*高温電圧!S$2-VLOOKUP(HUAWEI製ＰＣＳ接続枚数計算ツール!$C$9,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HUAWEI製ＰＣＳ接続枚数計算ツール!$B$119:$P$149,14,FALSE),0)/100*IF(高温電圧!S14*高温電圧!S$2&lt;VLOOKUP(HUAWEI製ＰＣＳ接続枚数計算ツール!$C$9, HUAWEI製ＰＣＳ接続枚数計算ツール!$B$119:$P$149,12,FALSE),0,1)</f>
        <v>0.92</v>
      </c>
      <c r="T14" s="85">
        <f>ROUNDDOWN((高温電圧!T14*高温電圧!T$2-VLOOKUP(HUAWEI製ＰＣＳ接続枚数計算ツール!$C$9,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HUAWEI製ＰＣＳ接続枚数計算ツール!$B$119:$P$149,14,FALSE),0)/100*IF(高温電圧!T14*高温電圧!T$2&lt;VLOOKUP(HUAWEI製ＰＣＳ接続枚数計算ツール!$C$9, HUAWEI製ＰＣＳ接続枚数計算ツール!$B$119:$P$149,12,FALSE),0,1)</f>
        <v>1</v>
      </c>
      <c r="U14" s="85">
        <f>ROUNDDOWN((高温電圧!U14*高温電圧!U$2-VLOOKUP(HUAWEI製ＰＣＳ接続枚数計算ツール!$C$9,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HUAWEI製ＰＣＳ接続枚数計算ツール!$B$119:$P$149,14,FALSE),0)/100*IF(高温電圧!U14*高温電圧!U$2&lt;VLOOKUP(HUAWEI製ＰＣＳ接続枚数計算ツール!$C$9, HUAWEI製ＰＣＳ接続枚数計算ツール!$B$119:$P$149,12,FALSE),0,1)</f>
        <v>1.07</v>
      </c>
      <c r="V14" s="85">
        <f>ROUNDDOWN((高温電圧!V14*高温電圧!V$2-VLOOKUP(HUAWEI製ＰＣＳ接続枚数計算ツール!$C$9,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HUAWEI製ＰＣＳ接続枚数計算ツール!$B$119:$P$149,14,FALSE),0)/100*IF(高温電圧!V14*高温電圧!V$2&lt;VLOOKUP(HUAWEI製ＰＣＳ接続枚数計算ツール!$C$9, HUAWEI製ＰＣＳ接続枚数計算ツール!$B$119:$P$149,12,FALSE),0,1)</f>
        <v>1.1499999999999999</v>
      </c>
      <c r="W14" s="85">
        <f>ROUNDDOWN((高温電圧!W14*高温電圧!W$2-VLOOKUP(HUAWEI製ＰＣＳ接続枚数計算ツール!$C$9,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HUAWEI製ＰＣＳ接続枚数計算ツール!$B$119:$P$149,14,FALSE),0)/100*IF(高温電圧!W14*高温電圧!W$2&lt;VLOOKUP(HUAWEI製ＰＣＳ接続枚数計算ツール!$C$9, HUAWEI製ＰＣＳ接続枚数計算ツール!$B$119:$P$149,12,FALSE),0,1)</f>
        <v>1.22</v>
      </c>
      <c r="X14" s="85">
        <f>ROUNDDOWN((高温電圧!X14*高温電圧!X$2-VLOOKUP(HUAWEI製ＰＣＳ接続枚数計算ツール!$C$9,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HUAWEI製ＰＣＳ接続枚数計算ツール!$B$119:$P$149,14,FALSE),0)/100*IF(高温電圧!X14*高温電圧!X$2&lt;VLOOKUP(HUAWEI製ＰＣＳ接続枚数計算ツール!$C$9, HUAWEI製ＰＣＳ接続枚数計算ツール!$B$119:$P$149,12,FALSE),0,1)</f>
        <v>1.29</v>
      </c>
      <c r="Y14" s="85">
        <f>ROUNDDOWN((高温電圧!Y14*高温電圧!Y$2-VLOOKUP(HUAWEI製ＰＣＳ接続枚数計算ツール!$C$9,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HUAWEI製ＰＣＳ接続枚数計算ツール!$B$119:$P$149,14,FALSE),0)/100*IF(高温電圧!Y14*高温電圧!Y$2&lt;VLOOKUP(HUAWEI製ＰＣＳ接続枚数計算ツール!$C$9, HUAWEI製ＰＣＳ接続枚数計算ツール!$B$119:$P$149,12,FALSE),0,1)</f>
        <v>1.36</v>
      </c>
      <c r="Z14" s="85">
        <f>ROUNDDOWN((高温電圧!Z14*高温電圧!Z$2-VLOOKUP(HUAWEI製ＰＣＳ接続枚数計算ツール!$C$9,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HUAWEI製ＰＣＳ接続枚数計算ツール!$B$119:$P$149,14,FALSE),0)/100*IF(高温電圧!Z14*高温電圧!Z$2&lt;VLOOKUP(HUAWEI製ＰＣＳ接続枚数計算ツール!$C$9, HUAWEI製ＰＣＳ接続枚数計算ツール!$B$119:$P$149,12,FALSE),0,1)</f>
        <v>1.43</v>
      </c>
      <c r="AA14" s="85">
        <f>ROUNDDOWN((高温電圧!AA14*高温電圧!AA$2-VLOOKUP(HUAWEI製ＰＣＳ接続枚数計算ツール!$C$9,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HUAWEI製ＰＣＳ接続枚数計算ツール!$B$119:$P$149,14,FALSE),0)/100*IF(高温電圧!AA14*高温電圧!AA$2&lt;VLOOKUP(HUAWEI製ＰＣＳ接続枚数計算ツール!$C$9, HUAWEI製ＰＣＳ接続枚数計算ツール!$B$119:$P$149,12,FALSE),0,1)</f>
        <v>1.5</v>
      </c>
      <c r="AB14" s="85">
        <f>ROUNDDOWN((高温電圧!AB14*高温電圧!AB$2-VLOOKUP(HUAWEI製ＰＣＳ接続枚数計算ツール!$C$9,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HUAWEI製ＰＣＳ接続枚数計算ツール!$B$119:$P$149,14,FALSE),0)/100*IF(高温電圧!AB14*高温電圧!AB$2&lt;VLOOKUP(HUAWEI製ＰＣＳ接続枚数計算ツール!$C$9, HUAWEI製ＰＣＳ接続枚数計算ツール!$B$119:$P$149,12,FALSE),0,1)</f>
        <v>1.57</v>
      </c>
      <c r="AC14" s="85">
        <f>ROUNDDOWN((高温電圧!AC14*高温電圧!AC$2-VLOOKUP(HUAWEI製ＰＣＳ接続枚数計算ツール!$C$9,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HUAWEI製ＰＣＳ接続枚数計算ツール!$B$119:$P$149,14,FALSE),0)/100*IF(高温電圧!AC14*高温電圧!AC$2&lt;VLOOKUP(HUAWEI製ＰＣＳ接続枚数計算ツール!$C$9, HUAWEI製ＰＣＳ接続枚数計算ツール!$B$119:$P$149,12,FALSE),0,1)</f>
        <v>1.64</v>
      </c>
      <c r="AD14" s="85">
        <f>ROUNDDOWN((高温電圧!AD14*高温電圧!AD$2-VLOOKUP(HUAWEI製ＰＣＳ接続枚数計算ツール!$C$9,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HUAWEI製ＰＣＳ接続枚数計算ツール!$B$119:$P$149,14,FALSE),0)/100*IF(高温電圧!AD14*高温電圧!AD$2&lt;VLOOKUP(HUAWEI製ＰＣＳ接続枚数計算ツール!$C$9, HUAWEI製ＰＣＳ接続枚数計算ツール!$B$119:$P$149,12,FALSE),0,1)</f>
        <v>1.71</v>
      </c>
      <c r="AE14" s="85">
        <f>ROUNDDOWN((高温電圧!AE14*高温電圧!AE$2-VLOOKUP(HUAWEI製ＰＣＳ接続枚数計算ツール!$C$9,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HUAWEI製ＰＣＳ接続枚数計算ツール!$B$119:$P$149,14,FALSE),0)/100*IF(高温電圧!AE14*高温電圧!AE$2&lt;VLOOKUP(HUAWEI製ＰＣＳ接続枚数計算ツール!$C$9, HUAWEI製ＰＣＳ接続枚数計算ツール!$B$119:$P$149,12,FALSE),0,1)</f>
        <v>1.78</v>
      </c>
      <c r="AF14" s="85">
        <f>ROUNDDOWN((高温電圧!AF14*高温電圧!AF$2-VLOOKUP(HUAWEI製ＰＣＳ接続枚数計算ツール!$C$9,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HUAWEI製ＰＣＳ接続枚数計算ツール!$B$119:$P$149,14,FALSE),0)/100*IF(高温電圧!AF14*高温電圧!AF$2&lt;VLOOKUP(HUAWEI製ＰＣＳ接続枚数計算ツール!$C$9, HUAWEI製ＰＣＳ接続枚数計算ツール!$B$119:$P$149,12,FALSE),0,1)</f>
        <v>1.85</v>
      </c>
      <c r="AG14" s="85">
        <f>ROUNDDOWN((高温電圧!AG14*高温電圧!AG$2-VLOOKUP(HUAWEI製ＰＣＳ接続枚数計算ツール!$C$9,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HUAWEI製ＰＣＳ接続枚数計算ツール!$B$119:$P$149,14,FALSE),0)/100*IF(高温電圧!AG14*高温電圧!AG$2&lt;VLOOKUP(HUAWEI製ＰＣＳ接続枚数計算ツール!$C$9, HUAWEI製ＰＣＳ接続枚数計算ツール!$B$119:$P$149,12,FALSE),0,1)</f>
        <v>1.92</v>
      </c>
      <c r="AH14" s="85">
        <f>ROUNDDOWN((高温電圧!AH14*高温電圧!AH$2-VLOOKUP(HUAWEI製ＰＣＳ接続枚数計算ツール!$C$9,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HUAWEI製ＰＣＳ接続枚数計算ツール!$B$119:$P$149,14,FALSE),0)/100*IF(高温電圧!AH14*高温電圧!AH$2&lt;VLOOKUP(HUAWEI製ＰＣＳ接続枚数計算ツール!$C$9, HUAWEI製ＰＣＳ接続枚数計算ツール!$B$119:$P$149,12,FALSE),0,1)</f>
        <v>1.99</v>
      </c>
      <c r="AI14" s="85">
        <f>ROUNDDOWN((高温電圧!AI14*高温電圧!AI$2-VLOOKUP(HUAWEI製ＰＣＳ接続枚数計算ツール!$C$9,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HUAWEI製ＰＣＳ接続枚数計算ツール!$B$119:$P$149,14,FALSE),0)/100*IF(高温電圧!AI14*高温電圧!AI$2&lt;VLOOKUP(HUAWEI製ＰＣＳ接続枚数計算ツール!$C$9, HUAWEI製ＰＣＳ接続枚数計算ツール!$B$119:$P$149,12,FALSE),0,1)</f>
        <v>2.06</v>
      </c>
      <c r="AJ14" s="85">
        <f>ROUNDDOWN((高温電圧!AJ14*高温電圧!AJ$2-VLOOKUP(HUAWEI製ＰＣＳ接続枚数計算ツール!$C$9,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HUAWEI製ＰＣＳ接続枚数計算ツール!$B$119:$P$149,14,FALSE),0)/100*IF(高温電圧!AJ14*高温電圧!AJ$2&lt;VLOOKUP(HUAWEI製ＰＣＳ接続枚数計算ツール!$C$9, HUAWEI製ＰＣＳ接続枚数計算ツール!$B$119:$P$149,12,FALSE),0,1)</f>
        <v>2.13</v>
      </c>
      <c r="AK14" s="85">
        <f>ROUNDDOWN((高温電圧!AK14*高温電圧!AK$2-VLOOKUP(HUAWEI製ＰＣＳ接続枚数計算ツール!$C$9,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HUAWEI製ＰＣＳ接続枚数計算ツール!$B$119:$P$149,14,FALSE),0)/100*IF(高温電圧!AK14*高温電圧!AK$2&lt;VLOOKUP(HUAWEI製ＰＣＳ接続枚数計算ツール!$C$9, HUAWEI製ＰＣＳ接続枚数計算ツール!$B$119:$P$149,12,FALSE),0,1)</f>
        <v>2.2000000000000002</v>
      </c>
      <c r="AL14" s="85">
        <f>ROUNDDOWN((高温電圧!AL14*高温電圧!AL$2-VLOOKUP(HUAWEI製ＰＣＳ接続枚数計算ツール!$C$9,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HUAWEI製ＰＣＳ接続枚数計算ツール!$B$119:$P$149,14,FALSE),0)/100*IF(高温電圧!AL14*高温電圧!AL$2&lt;VLOOKUP(HUAWEI製ＰＣＳ接続枚数計算ツール!$C$9, HUAWEI製ＰＣＳ接続枚数計算ツール!$B$119:$P$149,12,FALSE),0,1)</f>
        <v>2.2599999999999998</v>
      </c>
      <c r="AM14" s="85">
        <f>ROUNDDOWN((高温電圧!AM14*高温電圧!AM$2-VLOOKUP(HUAWEI製ＰＣＳ接続枚数計算ツール!$C$9,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HUAWEI製ＰＣＳ接続枚数計算ツール!$B$119:$P$149,14,FALSE),0)/100*IF(高温電圧!AM14*高温電圧!AM$2&lt;VLOOKUP(HUAWEI製ＰＣＳ接続枚数計算ツール!$C$9, HUAWEI製ＰＣＳ接続枚数計算ツール!$B$119:$P$149,12,FALSE),0,1)</f>
        <v>2.33</v>
      </c>
      <c r="AN14" s="85">
        <f>ROUNDDOWN((高温電圧!AN14*高温電圧!AN$2-VLOOKUP(HUAWEI製ＰＣＳ接続枚数計算ツール!$C$9,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HUAWEI製ＰＣＳ接続枚数計算ツール!$B$119:$P$149,14,FALSE),0)/100*IF(高温電圧!AN14*高温電圧!AN$2&lt;VLOOKUP(HUAWEI製ＰＣＳ接続枚数計算ツール!$C$9, HUAWEI製ＰＣＳ接続枚数計算ツール!$B$119:$P$149,12,FALSE),0,1)</f>
        <v>2.4</v>
      </c>
      <c r="AO14" s="85">
        <f>ROUNDDOWN((高温電圧!AO14*高温電圧!AO$2-VLOOKUP(HUAWEI製ＰＣＳ接続枚数計算ツール!$C$9,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HUAWEI製ＰＣＳ接続枚数計算ツール!$B$119:$P$149,14,FALSE),0)/100*IF(高温電圧!AO14*高温電圧!AO$2&lt;VLOOKUP(HUAWEI製ＰＣＳ接続枚数計算ツール!$C$9, HUAWEI製ＰＣＳ接続枚数計算ツール!$B$119:$P$149,12,FALSE),0,1)</f>
        <v>2.4700000000000002</v>
      </c>
    </row>
    <row r="15" spans="1:41">
      <c r="A15">
        <v>13</v>
      </c>
      <c r="B15" s="85">
        <f>ROUNDDOWN((高温電圧!B15*高温電圧!B$2-VLOOKUP(HUAWEI製ＰＣＳ接続枚数計算ツール!$C$9,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HUAWEI製ＰＣＳ接続枚数計算ツール!$B$119:$P$149,14,FALSE),0)/100*IF(高温電圧!B15*高温電圧!B$2&lt;VLOOKUP(HUAWEI製ＰＣＳ接続枚数計算ツール!$C$9, HUAWEI製ＰＣＳ接続枚数計算ツール!$B$119:$P$149,12,FALSE),0,1)</f>
        <v>0</v>
      </c>
      <c r="C15" s="85">
        <f>ROUNDDOWN((高温電圧!C15*高温電圧!C$2-VLOOKUP(HUAWEI製ＰＣＳ接続枚数計算ツール!$C$9,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HUAWEI製ＰＣＳ接続枚数計算ツール!$B$119:$P$149,14,FALSE),0)/100*IF(高温電圧!C15*高温電圧!C$2&lt;VLOOKUP(HUAWEI製ＰＣＳ接続枚数計算ツール!$C$9, HUAWEI製ＰＣＳ接続枚数計算ツール!$B$119:$P$149,12,FALSE),0,1)</f>
        <v>0</v>
      </c>
      <c r="D15" s="85">
        <f>ROUNDDOWN((高温電圧!D15*高温電圧!D$2-VLOOKUP(HUAWEI製ＰＣＳ接続枚数計算ツール!$C$9,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HUAWEI製ＰＣＳ接続枚数計算ツール!$B$119:$P$149,14,FALSE),0)/100*IF(高温電圧!D15*高温電圧!D$2&lt;VLOOKUP(HUAWEI製ＰＣＳ接続枚数計算ツール!$C$9, HUAWEI製ＰＣＳ接続枚数計算ツール!$B$119:$P$149,12,FALSE),0,1)</f>
        <v>0</v>
      </c>
      <c r="E15" s="85">
        <f>ROUNDDOWN((高温電圧!E15*高温電圧!E$2-VLOOKUP(HUAWEI製ＰＣＳ接続枚数計算ツール!$C$9,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HUAWEI製ＰＣＳ接続枚数計算ツール!$B$119:$P$149,14,FALSE),0)/100*IF(高温電圧!E15*高温電圧!E$2&lt;VLOOKUP(HUAWEI製ＰＣＳ接続枚数計算ツール!$C$9, HUAWEI製ＰＣＳ接続枚数計算ツール!$B$119:$P$149,12,FALSE),0,1)</f>
        <v>0</v>
      </c>
      <c r="F15" s="85">
        <f>ROUNDDOWN((高温電圧!F15*高温電圧!F$2-VLOOKUP(HUAWEI製ＰＣＳ接続枚数計算ツール!$C$9,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HUAWEI製ＰＣＳ接続枚数計算ツール!$B$119:$P$149,14,FALSE),0)/100*IF(高温電圧!F15*高温電圧!F$2&lt;VLOOKUP(HUAWEI製ＰＣＳ接続枚数計算ツール!$C$9, HUAWEI製ＰＣＳ接続枚数計算ツール!$B$119:$P$149,12,FALSE),0,1)</f>
        <v>0</v>
      </c>
      <c r="G15" s="85">
        <f>ROUNDDOWN((高温電圧!G15*高温電圧!G$2-VLOOKUP(HUAWEI製ＰＣＳ接続枚数計算ツール!$C$9,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HUAWEI製ＰＣＳ接続枚数計算ツール!$B$119:$P$149,14,FALSE),0)/100*IF(高温電圧!G15*高温電圧!G$2&lt;VLOOKUP(HUAWEI製ＰＣＳ接続枚数計算ツール!$C$9, HUAWEI製ＰＣＳ接続枚数計算ツール!$B$119:$P$149,12,FALSE),0,1)</f>
        <v>0</v>
      </c>
      <c r="H15" s="85">
        <f>ROUNDDOWN((高温電圧!H15*高温電圧!H$2-VLOOKUP(HUAWEI製ＰＣＳ接続枚数計算ツール!$C$9,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HUAWEI製ＰＣＳ接続枚数計算ツール!$B$119:$P$149,14,FALSE),0)/100*IF(高温電圧!H15*高温電圧!H$2&lt;VLOOKUP(HUAWEI製ＰＣＳ接続枚数計算ツール!$C$9, HUAWEI製ＰＣＳ接続枚数計算ツール!$B$119:$P$149,12,FALSE),0,1)</f>
        <v>0</v>
      </c>
      <c r="I15" s="85">
        <f>ROUNDDOWN((高温電圧!I15*高温電圧!I$2-VLOOKUP(HUAWEI製ＰＣＳ接続枚数計算ツール!$C$9,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HUAWEI製ＰＣＳ接続枚数計算ツール!$B$119:$P$149,14,FALSE),0)/100*IF(高温電圧!I15*高温電圧!I$2&lt;VLOOKUP(HUAWEI製ＰＣＳ接続枚数計算ツール!$C$9, HUAWEI製ＰＣＳ接続枚数計算ツール!$B$119:$P$149,12,FALSE),0,1)</f>
        <v>0</v>
      </c>
      <c r="J15" s="85">
        <f>ROUNDDOWN((高温電圧!J15*高温電圧!J$2-VLOOKUP(HUAWEI製ＰＣＳ接続枚数計算ツール!$C$9,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HUAWEI製ＰＣＳ接続枚数計算ツール!$B$119:$P$149,14,FALSE),0)/100*IF(高温電圧!J15*高温電圧!J$2&lt;VLOOKUP(HUAWEI製ＰＣＳ接続枚数計算ツール!$C$9, HUAWEI製ＰＣＳ接続枚数計算ツール!$B$119:$P$149,12,FALSE),0,1)</f>
        <v>0</v>
      </c>
      <c r="K15" s="85">
        <f>ROUNDDOWN((高温電圧!K15*高温電圧!K$2-VLOOKUP(HUAWEI製ＰＣＳ接続枚数計算ツール!$C$9,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HUAWEI製ＰＣＳ接続枚数計算ツール!$B$119:$P$149,14,FALSE),0)/100*IF(高温電圧!K15*高温電圧!K$2&lt;VLOOKUP(HUAWEI製ＰＣＳ接続枚数計算ツール!$C$9, HUAWEI製ＰＣＳ接続枚数計算ツール!$B$119:$P$149,12,FALSE),0,1)</f>
        <v>0</v>
      </c>
      <c r="L15" s="85">
        <f>ROUNDDOWN((高温電圧!L15*高温電圧!L$2-VLOOKUP(HUAWEI製ＰＣＳ接続枚数計算ツール!$C$9,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HUAWEI製ＰＣＳ接続枚数計算ツール!$B$119:$P$149,14,FALSE),0)/100*IF(高温電圧!L15*高温電圧!L$2&lt;VLOOKUP(HUAWEI製ＰＣＳ接続枚数計算ツール!$C$9, HUAWEI製ＰＣＳ接続枚数計算ツール!$B$119:$P$149,12,FALSE),0,1)</f>
        <v>0</v>
      </c>
      <c r="M15" s="85">
        <f>ROUNDDOWN((高温電圧!M15*高温電圧!M$2-VLOOKUP(HUAWEI製ＰＣＳ接続枚数計算ツール!$C$9,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HUAWEI製ＰＣＳ接続枚数計算ツール!$B$119:$P$149,14,FALSE),0)/100*IF(高温電圧!M15*高温電圧!M$2&lt;VLOOKUP(HUAWEI製ＰＣＳ接続枚数計算ツール!$C$9, HUAWEI製ＰＣＳ接続枚数計算ツール!$B$119:$P$149,12,FALSE),0,1)</f>
        <v>0</v>
      </c>
      <c r="N15" s="85">
        <f>ROUNDDOWN((高温電圧!N15*高温電圧!N$2-VLOOKUP(HUAWEI製ＰＣＳ接続枚数計算ツール!$C$9,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HUAWEI製ＰＣＳ接続枚数計算ツール!$B$119:$P$149,14,FALSE),0)/100*IF(高温電圧!N15*高温電圧!N$2&lt;VLOOKUP(HUAWEI製ＰＣＳ接続枚数計算ツール!$C$9, HUAWEI製ＰＣＳ接続枚数計算ツール!$B$119:$P$149,12,FALSE),0,1)</f>
        <v>0</v>
      </c>
      <c r="O15" s="85">
        <f>ROUNDDOWN((高温電圧!O15*高温電圧!O$2-VLOOKUP(HUAWEI製ＰＣＳ接続枚数計算ツール!$C$9,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HUAWEI製ＰＣＳ接続枚数計算ツール!$B$119:$P$149,14,FALSE),0)/100*IF(高温電圧!O15*高温電圧!O$2&lt;VLOOKUP(HUAWEI製ＰＣＳ接続枚数計算ツール!$C$9, HUAWEI製ＰＣＳ接続枚数計算ツール!$B$119:$P$149,12,FALSE),0,1)</f>
        <v>0.64</v>
      </c>
      <c r="P15" s="85">
        <f>ROUNDDOWN((高温電圧!P15*高温電圧!P$2-VLOOKUP(HUAWEI製ＰＣＳ接続枚数計算ツール!$C$9,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HUAWEI製ＰＣＳ接続枚数計算ツール!$B$119:$P$149,14,FALSE),0)/100*IF(高温電圧!P15*高温電圧!P$2&lt;VLOOKUP(HUAWEI製ＰＣＳ接続枚数計算ツール!$C$9, HUAWEI製ＰＣＳ接続枚数計算ツール!$B$119:$P$149,12,FALSE),0,1)</f>
        <v>0.7</v>
      </c>
      <c r="Q15" s="85">
        <f>ROUNDDOWN((高温電圧!Q15*高温電圧!Q$2-VLOOKUP(HUAWEI製ＰＣＳ接続枚数計算ツール!$C$9,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HUAWEI製ＰＣＳ接続枚数計算ツール!$B$119:$P$149,14,FALSE),0)/100*IF(高温電圧!Q15*高温電圧!Q$2&lt;VLOOKUP(HUAWEI製ＰＣＳ接続枚数計算ツール!$C$9, HUAWEI製ＰＣＳ接続枚数計算ツール!$B$119:$P$149,12,FALSE),0,1)</f>
        <v>0.75</v>
      </c>
      <c r="R15" s="85">
        <f>ROUNDDOWN((高温電圧!R15*高温電圧!R$2-VLOOKUP(HUAWEI製ＰＣＳ接続枚数計算ツール!$C$9,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HUAWEI製ＰＣＳ接続枚数計算ツール!$B$119:$P$149,14,FALSE),0)/100*IF(高温電圧!R15*高温電圧!R$2&lt;VLOOKUP(HUAWEI製ＰＣＳ接続枚数計算ツール!$C$9, HUAWEI製ＰＣＳ接続枚数計算ツール!$B$119:$P$149,12,FALSE),0,1)</f>
        <v>0.87</v>
      </c>
      <c r="S15" s="85">
        <f>ROUNDDOWN((高温電圧!S15*高温電圧!S$2-VLOOKUP(HUAWEI製ＰＣＳ接続枚数計算ツール!$C$9,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HUAWEI製ＰＣＳ接続枚数計算ツール!$B$119:$P$149,14,FALSE),0)/100*IF(高温電圧!S15*高温電圧!S$2&lt;VLOOKUP(HUAWEI製ＰＣＳ接続枚数計算ツール!$C$9, HUAWEI製ＰＣＳ接続枚数計算ツール!$B$119:$P$149,12,FALSE),0,1)</f>
        <v>0.94</v>
      </c>
      <c r="T15" s="85">
        <f>ROUNDDOWN((高温電圧!T15*高温電圧!T$2-VLOOKUP(HUAWEI製ＰＣＳ接続枚数計算ツール!$C$9,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HUAWEI製ＰＣＳ接続枚数計算ツール!$B$119:$P$149,14,FALSE),0)/100*IF(高温電圧!T15*高温電圧!T$2&lt;VLOOKUP(HUAWEI製ＰＣＳ接続枚数計算ツール!$C$9, HUAWEI製ＰＣＳ接続枚数計算ツール!$B$119:$P$149,12,FALSE),0,1)</f>
        <v>1.02</v>
      </c>
      <c r="U15" s="85">
        <f>ROUNDDOWN((高温電圧!U15*高温電圧!U$2-VLOOKUP(HUAWEI製ＰＣＳ接続枚数計算ツール!$C$9,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HUAWEI製ＰＣＳ接続枚数計算ツール!$B$119:$P$149,14,FALSE),0)/100*IF(高温電圧!U15*高温電圧!U$2&lt;VLOOKUP(HUAWEI製ＰＣＳ接続枚数計算ツール!$C$9, HUAWEI製ＰＣＳ接続枚数計算ツール!$B$119:$P$149,12,FALSE),0,1)</f>
        <v>1.0900000000000001</v>
      </c>
      <c r="V15" s="85">
        <f>ROUNDDOWN((高温電圧!V15*高温電圧!V$2-VLOOKUP(HUAWEI製ＰＣＳ接続枚数計算ツール!$C$9,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HUAWEI製ＰＣＳ接続枚数計算ツール!$B$119:$P$149,14,FALSE),0)/100*IF(高温電圧!V15*高温電圧!V$2&lt;VLOOKUP(HUAWEI製ＰＣＳ接続枚数計算ツール!$C$9, HUAWEI製ＰＣＳ接続枚数計算ツール!$B$119:$P$149,12,FALSE),0,1)</f>
        <v>1.1599999999999999</v>
      </c>
      <c r="W15" s="85">
        <f>ROUNDDOWN((高温電圧!W15*高温電圧!W$2-VLOOKUP(HUAWEI製ＰＣＳ接続枚数計算ツール!$C$9,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HUAWEI製ＰＣＳ接続枚数計算ツール!$B$119:$P$149,14,FALSE),0)/100*IF(高温電圧!W15*高温電圧!W$2&lt;VLOOKUP(HUAWEI製ＰＣＳ接続枚数計算ツール!$C$9, HUAWEI製ＰＣＳ接続枚数計算ツール!$B$119:$P$149,12,FALSE),0,1)</f>
        <v>1.24</v>
      </c>
      <c r="X15" s="85">
        <f>ROUNDDOWN((高温電圧!X15*高温電圧!X$2-VLOOKUP(HUAWEI製ＰＣＳ接続枚数計算ツール!$C$9,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HUAWEI製ＰＣＳ接続枚数計算ツール!$B$119:$P$149,14,FALSE),0)/100*IF(高温電圧!X15*高温電圧!X$2&lt;VLOOKUP(HUAWEI製ＰＣＳ接続枚数計算ツール!$C$9, HUAWEI製ＰＣＳ接続枚数計算ツール!$B$119:$P$149,12,FALSE),0,1)</f>
        <v>1.31</v>
      </c>
      <c r="Y15" s="85">
        <f>ROUNDDOWN((高温電圧!Y15*高温電圧!Y$2-VLOOKUP(HUAWEI製ＰＣＳ接続枚数計算ツール!$C$9,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HUAWEI製ＰＣＳ接続枚数計算ツール!$B$119:$P$149,14,FALSE),0)/100*IF(高温電圧!Y15*高温電圧!Y$2&lt;VLOOKUP(HUAWEI製ＰＣＳ接続枚数計算ツール!$C$9, HUAWEI製ＰＣＳ接続枚数計算ツール!$B$119:$P$149,12,FALSE),0,1)</f>
        <v>1.38</v>
      </c>
      <c r="Z15" s="85">
        <f>ROUNDDOWN((高温電圧!Z15*高温電圧!Z$2-VLOOKUP(HUAWEI製ＰＣＳ接続枚数計算ツール!$C$9,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HUAWEI製ＰＣＳ接続枚数計算ツール!$B$119:$P$149,14,FALSE),0)/100*IF(高温電圧!Z15*高温電圧!Z$2&lt;VLOOKUP(HUAWEI製ＰＣＳ接続枚数計算ツール!$C$9, HUAWEI製ＰＣＳ接続枚数計算ツール!$B$119:$P$149,12,FALSE),0,1)</f>
        <v>1.45</v>
      </c>
      <c r="AA15" s="85">
        <f>ROUNDDOWN((高温電圧!AA15*高温電圧!AA$2-VLOOKUP(HUAWEI製ＰＣＳ接続枚数計算ツール!$C$9,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HUAWEI製ＰＣＳ接続枚数計算ツール!$B$119:$P$149,14,FALSE),0)/100*IF(高温電圧!AA15*高温電圧!AA$2&lt;VLOOKUP(HUAWEI製ＰＣＳ接続枚数計算ツール!$C$9, HUAWEI製ＰＣＳ接続枚数計算ツール!$B$119:$P$149,12,FALSE),0,1)</f>
        <v>1.52</v>
      </c>
      <c r="AB15" s="85">
        <f>ROUNDDOWN((高温電圧!AB15*高温電圧!AB$2-VLOOKUP(HUAWEI製ＰＣＳ接続枚数計算ツール!$C$9,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HUAWEI製ＰＣＳ接続枚数計算ツール!$B$119:$P$149,14,FALSE),0)/100*IF(高温電圧!AB15*高温電圧!AB$2&lt;VLOOKUP(HUAWEI製ＰＣＳ接続枚数計算ツール!$C$9, HUAWEI製ＰＣＳ接続枚数計算ツール!$B$119:$P$149,12,FALSE),0,1)</f>
        <v>1.58</v>
      </c>
      <c r="AC15" s="85">
        <f>ROUNDDOWN((高温電圧!AC15*高温電圧!AC$2-VLOOKUP(HUAWEI製ＰＣＳ接続枚数計算ツール!$C$9,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HUAWEI製ＰＣＳ接続枚数計算ツール!$B$119:$P$149,14,FALSE),0)/100*IF(高温電圧!AC15*高温電圧!AC$2&lt;VLOOKUP(HUAWEI製ＰＣＳ接続枚数計算ツール!$C$9, HUAWEI製ＰＣＳ接続枚数計算ツール!$B$119:$P$149,12,FALSE),0,1)</f>
        <v>1.65</v>
      </c>
      <c r="AD15" s="85">
        <f>ROUNDDOWN((高温電圧!AD15*高温電圧!AD$2-VLOOKUP(HUAWEI製ＰＣＳ接続枚数計算ツール!$C$9,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HUAWEI製ＰＣＳ接続枚数計算ツール!$B$119:$P$149,14,FALSE),0)/100*IF(高温電圧!AD15*高温電圧!AD$2&lt;VLOOKUP(HUAWEI製ＰＣＳ接続枚数計算ツール!$C$9, HUAWEI製ＰＣＳ接続枚数計算ツール!$B$119:$P$149,12,FALSE),0,1)</f>
        <v>1.72</v>
      </c>
      <c r="AE15" s="85">
        <f>ROUNDDOWN((高温電圧!AE15*高温電圧!AE$2-VLOOKUP(HUAWEI製ＰＣＳ接続枚数計算ツール!$C$9,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HUAWEI製ＰＣＳ接続枚数計算ツール!$B$119:$P$149,14,FALSE),0)/100*IF(高温電圧!AE15*高温電圧!AE$2&lt;VLOOKUP(HUAWEI製ＰＣＳ接続枚数計算ツール!$C$9, HUAWEI製ＰＣＳ接続枚数計算ツール!$B$119:$P$149,12,FALSE),0,1)</f>
        <v>1.79</v>
      </c>
      <c r="AF15" s="85">
        <f>ROUNDDOWN((高温電圧!AF15*高温電圧!AF$2-VLOOKUP(HUAWEI製ＰＣＳ接続枚数計算ツール!$C$9,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HUAWEI製ＰＣＳ接続枚数計算ツール!$B$119:$P$149,14,FALSE),0)/100*IF(高温電圧!AF15*高温電圧!AF$2&lt;VLOOKUP(HUAWEI製ＰＣＳ接続枚数計算ツール!$C$9, HUAWEI製ＰＣＳ接続枚数計算ツール!$B$119:$P$149,12,FALSE),0,1)</f>
        <v>1.86</v>
      </c>
      <c r="AG15" s="85">
        <f>ROUNDDOWN((高温電圧!AG15*高温電圧!AG$2-VLOOKUP(HUAWEI製ＰＣＳ接続枚数計算ツール!$C$9,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HUAWEI製ＰＣＳ接続枚数計算ツール!$B$119:$P$149,14,FALSE),0)/100*IF(高温電圧!AG15*高温電圧!AG$2&lt;VLOOKUP(HUAWEI製ＰＣＳ接続枚数計算ツール!$C$9, HUAWEI製ＰＣＳ接続枚数計算ツール!$B$119:$P$149,12,FALSE),0,1)</f>
        <v>1.93</v>
      </c>
      <c r="AH15" s="85">
        <f>ROUNDDOWN((高温電圧!AH15*高温電圧!AH$2-VLOOKUP(HUAWEI製ＰＣＳ接続枚数計算ツール!$C$9,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HUAWEI製ＰＣＳ接続枚数計算ツール!$B$119:$P$149,14,FALSE),0)/100*IF(高温電圧!AH15*高温電圧!AH$2&lt;VLOOKUP(HUAWEI製ＰＣＳ接続枚数計算ツール!$C$9, HUAWEI製ＰＣＳ接続枚数計算ツール!$B$119:$P$149,12,FALSE),0,1)</f>
        <v>2</v>
      </c>
      <c r="AI15" s="85">
        <f>ROUNDDOWN((高温電圧!AI15*高温電圧!AI$2-VLOOKUP(HUAWEI製ＰＣＳ接続枚数計算ツール!$C$9,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HUAWEI製ＰＣＳ接続枚数計算ツール!$B$119:$P$149,14,FALSE),0)/100*IF(高温電圧!AI15*高温電圧!AI$2&lt;VLOOKUP(HUAWEI製ＰＣＳ接続枚数計算ツール!$C$9, HUAWEI製ＰＣＳ接続枚数計算ツール!$B$119:$P$149,12,FALSE),0,1)</f>
        <v>2.0699999999999998</v>
      </c>
      <c r="AJ15" s="85">
        <f>ROUNDDOWN((高温電圧!AJ15*高温電圧!AJ$2-VLOOKUP(HUAWEI製ＰＣＳ接続枚数計算ツール!$C$9,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HUAWEI製ＰＣＳ接続枚数計算ツール!$B$119:$P$149,14,FALSE),0)/100*IF(高温電圧!AJ15*高温電圧!AJ$2&lt;VLOOKUP(HUAWEI製ＰＣＳ接続枚数計算ツール!$C$9, HUAWEI製ＰＣＳ接続枚数計算ツール!$B$119:$P$149,12,FALSE),0,1)</f>
        <v>2.14</v>
      </c>
      <c r="AK15" s="85">
        <f>ROUNDDOWN((高温電圧!AK15*高温電圧!AK$2-VLOOKUP(HUAWEI製ＰＣＳ接続枚数計算ツール!$C$9,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HUAWEI製ＰＣＳ接続枚数計算ツール!$B$119:$P$149,14,FALSE),0)/100*IF(高温電圧!AK15*高温電圧!AK$2&lt;VLOOKUP(HUAWEI製ＰＣＳ接続枚数計算ツール!$C$9, HUAWEI製ＰＣＳ接続枚数計算ツール!$B$119:$P$149,12,FALSE),0,1)</f>
        <v>2.21</v>
      </c>
      <c r="AL15" s="85">
        <f>ROUNDDOWN((高温電圧!AL15*高温電圧!AL$2-VLOOKUP(HUAWEI製ＰＣＳ接続枚数計算ツール!$C$9,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HUAWEI製ＰＣＳ接続枚数計算ツール!$B$119:$P$149,14,FALSE),0)/100*IF(高温電圧!AL15*高温電圧!AL$2&lt;VLOOKUP(HUAWEI製ＰＣＳ接続枚数計算ツール!$C$9, HUAWEI製ＰＣＳ接続枚数計算ツール!$B$119:$P$149,12,FALSE),0,1)</f>
        <v>2.27</v>
      </c>
      <c r="AM15" s="85">
        <f>ROUNDDOWN((高温電圧!AM15*高温電圧!AM$2-VLOOKUP(HUAWEI製ＰＣＳ接続枚数計算ツール!$C$9,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HUAWEI製ＰＣＳ接続枚数計算ツール!$B$119:$P$149,14,FALSE),0)/100*IF(高温電圧!AM15*高温電圧!AM$2&lt;VLOOKUP(HUAWEI製ＰＣＳ接続枚数計算ツール!$C$9, HUAWEI製ＰＣＳ接続枚数計算ツール!$B$119:$P$149,12,FALSE),0,1)</f>
        <v>2.34</v>
      </c>
      <c r="AN15" s="85">
        <f>ROUNDDOWN((高温電圧!AN15*高温電圧!AN$2-VLOOKUP(HUAWEI製ＰＣＳ接続枚数計算ツール!$C$9,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HUAWEI製ＰＣＳ接続枚数計算ツール!$B$119:$P$149,14,FALSE),0)/100*IF(高温電圧!AN15*高温電圧!AN$2&lt;VLOOKUP(HUAWEI製ＰＣＳ接続枚数計算ツール!$C$9, HUAWEI製ＰＣＳ接続枚数計算ツール!$B$119:$P$149,12,FALSE),0,1)</f>
        <v>2.41</v>
      </c>
      <c r="AO15" s="85">
        <f>ROUNDDOWN((高温電圧!AO15*高温電圧!AO$2-VLOOKUP(HUAWEI製ＰＣＳ接続枚数計算ツール!$C$9,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HUAWEI製ＰＣＳ接続枚数計算ツール!$B$119:$P$149,14,FALSE),0)/100*IF(高温電圧!AO15*高温電圧!AO$2&lt;VLOOKUP(HUAWEI製ＰＣＳ接続枚数計算ツール!$C$9, HUAWEI製ＰＣＳ接続枚数計算ツール!$B$119:$P$149,12,FALSE),0,1)</f>
        <v>2.48</v>
      </c>
    </row>
    <row r="16" spans="1:41">
      <c r="A16">
        <v>14</v>
      </c>
      <c r="B16" s="85">
        <f>ROUNDDOWN((高温電圧!B16*高温電圧!B$2-VLOOKUP(HUAWEI製ＰＣＳ接続枚数計算ツール!$C$9,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HUAWEI製ＰＣＳ接続枚数計算ツール!$B$119:$P$149,14,FALSE),0)/100*IF(高温電圧!B16*高温電圧!B$2&lt;VLOOKUP(HUAWEI製ＰＣＳ接続枚数計算ツール!$C$9, HUAWEI製ＰＣＳ接続枚数計算ツール!$B$119:$P$149,12,FALSE),0,1)</f>
        <v>0</v>
      </c>
      <c r="C16" s="85">
        <f>ROUNDDOWN((高温電圧!C16*高温電圧!C$2-VLOOKUP(HUAWEI製ＰＣＳ接続枚数計算ツール!$C$9,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HUAWEI製ＰＣＳ接続枚数計算ツール!$B$119:$P$149,14,FALSE),0)/100*IF(高温電圧!C16*高温電圧!C$2&lt;VLOOKUP(HUAWEI製ＰＣＳ接続枚数計算ツール!$C$9, HUAWEI製ＰＣＳ接続枚数計算ツール!$B$119:$P$149,12,FALSE),0,1)</f>
        <v>0</v>
      </c>
      <c r="D16" s="85">
        <f>ROUNDDOWN((高温電圧!D16*高温電圧!D$2-VLOOKUP(HUAWEI製ＰＣＳ接続枚数計算ツール!$C$9,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HUAWEI製ＰＣＳ接続枚数計算ツール!$B$119:$P$149,14,FALSE),0)/100*IF(高温電圧!D16*高温電圧!D$2&lt;VLOOKUP(HUAWEI製ＰＣＳ接続枚数計算ツール!$C$9, HUAWEI製ＰＣＳ接続枚数計算ツール!$B$119:$P$149,12,FALSE),0,1)</f>
        <v>0</v>
      </c>
      <c r="E16" s="85">
        <f>ROUNDDOWN((高温電圧!E16*高温電圧!E$2-VLOOKUP(HUAWEI製ＰＣＳ接続枚数計算ツール!$C$9,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HUAWEI製ＰＣＳ接続枚数計算ツール!$B$119:$P$149,14,FALSE),0)/100*IF(高温電圧!E16*高温電圧!E$2&lt;VLOOKUP(HUAWEI製ＰＣＳ接続枚数計算ツール!$C$9, HUAWEI製ＰＣＳ接続枚数計算ツール!$B$119:$P$149,12,FALSE),0,1)</f>
        <v>0</v>
      </c>
      <c r="F16" s="85">
        <f>ROUNDDOWN((高温電圧!F16*高温電圧!F$2-VLOOKUP(HUAWEI製ＰＣＳ接続枚数計算ツール!$C$9,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HUAWEI製ＰＣＳ接続枚数計算ツール!$B$119:$P$149,14,FALSE),0)/100*IF(高温電圧!F16*高温電圧!F$2&lt;VLOOKUP(HUAWEI製ＰＣＳ接続枚数計算ツール!$C$9, HUAWEI製ＰＣＳ接続枚数計算ツール!$B$119:$P$149,12,FALSE),0,1)</f>
        <v>0</v>
      </c>
      <c r="G16" s="85">
        <f>ROUNDDOWN((高温電圧!G16*高温電圧!G$2-VLOOKUP(HUAWEI製ＰＣＳ接続枚数計算ツール!$C$9,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HUAWEI製ＰＣＳ接続枚数計算ツール!$B$119:$P$149,14,FALSE),0)/100*IF(高温電圧!G16*高温電圧!G$2&lt;VLOOKUP(HUAWEI製ＰＣＳ接続枚数計算ツール!$C$9, HUAWEI製ＰＣＳ接続枚数計算ツール!$B$119:$P$149,12,FALSE),0,1)</f>
        <v>0</v>
      </c>
      <c r="H16" s="85">
        <f>ROUNDDOWN((高温電圧!H16*高温電圧!H$2-VLOOKUP(HUAWEI製ＰＣＳ接続枚数計算ツール!$C$9,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HUAWEI製ＰＣＳ接続枚数計算ツール!$B$119:$P$149,14,FALSE),0)/100*IF(高温電圧!H16*高温電圧!H$2&lt;VLOOKUP(HUAWEI製ＰＣＳ接続枚数計算ツール!$C$9, HUAWEI製ＰＣＳ接続枚数計算ツール!$B$119:$P$149,12,FALSE),0,1)</f>
        <v>0</v>
      </c>
      <c r="I16" s="85">
        <f>ROUNDDOWN((高温電圧!I16*高温電圧!I$2-VLOOKUP(HUAWEI製ＰＣＳ接続枚数計算ツール!$C$9,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HUAWEI製ＰＣＳ接続枚数計算ツール!$B$119:$P$149,14,FALSE),0)/100*IF(高温電圧!I16*高温電圧!I$2&lt;VLOOKUP(HUAWEI製ＰＣＳ接続枚数計算ツール!$C$9, HUAWEI製ＰＣＳ接続枚数計算ツール!$B$119:$P$149,12,FALSE),0,1)</f>
        <v>0</v>
      </c>
      <c r="J16" s="85">
        <f>ROUNDDOWN((高温電圧!J16*高温電圧!J$2-VLOOKUP(HUAWEI製ＰＣＳ接続枚数計算ツール!$C$9,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HUAWEI製ＰＣＳ接続枚数計算ツール!$B$119:$P$149,14,FALSE),0)/100*IF(高温電圧!J16*高温電圧!J$2&lt;VLOOKUP(HUAWEI製ＰＣＳ接続枚数計算ツール!$C$9, HUAWEI製ＰＣＳ接続枚数計算ツール!$B$119:$P$149,12,FALSE),0,1)</f>
        <v>0</v>
      </c>
      <c r="K16" s="85">
        <f>ROUNDDOWN((高温電圧!K16*高温電圧!K$2-VLOOKUP(HUAWEI製ＰＣＳ接続枚数計算ツール!$C$9,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HUAWEI製ＰＣＳ接続枚数計算ツール!$B$119:$P$149,14,FALSE),0)/100*IF(高温電圧!K16*高温電圧!K$2&lt;VLOOKUP(HUAWEI製ＰＣＳ接続枚数計算ツール!$C$9, HUAWEI製ＰＣＳ接続枚数計算ツール!$B$119:$P$149,12,FALSE),0,1)</f>
        <v>0</v>
      </c>
      <c r="L16" s="85">
        <f>ROUNDDOWN((高温電圧!L16*高温電圧!L$2-VLOOKUP(HUAWEI製ＰＣＳ接続枚数計算ツール!$C$9,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HUAWEI製ＰＣＳ接続枚数計算ツール!$B$119:$P$149,14,FALSE),0)/100*IF(高温電圧!L16*高温電圧!L$2&lt;VLOOKUP(HUAWEI製ＰＣＳ接続枚数計算ツール!$C$9, HUAWEI製ＰＣＳ接続枚数計算ツール!$B$119:$P$149,12,FALSE),0,1)</f>
        <v>0</v>
      </c>
      <c r="M16" s="85">
        <f>ROUNDDOWN((高温電圧!M16*高温電圧!M$2-VLOOKUP(HUAWEI製ＰＣＳ接続枚数計算ツール!$C$9,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HUAWEI製ＰＣＳ接続枚数計算ツール!$B$119:$P$149,14,FALSE),0)/100*IF(高温電圧!M16*高温電圧!M$2&lt;VLOOKUP(HUAWEI製ＰＣＳ接続枚数計算ツール!$C$9, HUAWEI製ＰＣＳ接続枚数計算ツール!$B$119:$P$149,12,FALSE),0,1)</f>
        <v>0</v>
      </c>
      <c r="N16" s="85">
        <f>ROUNDDOWN((高温電圧!N16*高温電圧!N$2-VLOOKUP(HUAWEI製ＰＣＳ接続枚数計算ツール!$C$9,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HUAWEI製ＰＣＳ接続枚数計算ツール!$B$119:$P$149,14,FALSE),0)/100*IF(高温電圧!N16*高温電圧!N$2&lt;VLOOKUP(HUAWEI製ＰＣＳ接続枚数計算ツール!$C$9, HUAWEI製ＰＣＳ接続枚数計算ツール!$B$119:$P$149,12,FALSE),0,1)</f>
        <v>0</v>
      </c>
      <c r="O16" s="85">
        <f>ROUNDDOWN((高温電圧!O16*高温電圧!O$2-VLOOKUP(HUAWEI製ＰＣＳ接続枚数計算ツール!$C$9,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HUAWEI製ＰＣＳ接続枚数計算ツール!$B$119:$P$149,14,FALSE),0)/100*IF(高温電圧!O16*高温電圧!O$2&lt;VLOOKUP(HUAWEI製ＰＣＳ接続枚数計算ツール!$C$9, HUAWEI製ＰＣＳ接続枚数計算ツール!$B$119:$P$149,12,FALSE),0,1)</f>
        <v>0.64</v>
      </c>
      <c r="P16" s="85">
        <f>ROUNDDOWN((高温電圧!P16*高温電圧!P$2-VLOOKUP(HUAWEI製ＰＣＳ接続枚数計算ツール!$C$9,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HUAWEI製ＰＣＳ接続枚数計算ツール!$B$119:$P$149,14,FALSE),0)/100*IF(高温電圧!P16*高温電圧!P$2&lt;VLOOKUP(HUAWEI製ＰＣＳ接続枚数計算ツール!$C$9, HUAWEI製ＰＣＳ接続枚数計算ツール!$B$119:$P$149,12,FALSE),0,1)</f>
        <v>0.72</v>
      </c>
      <c r="Q16" s="85">
        <f>ROUNDDOWN((高温電圧!Q16*高温電圧!Q$2-VLOOKUP(HUAWEI製ＰＣＳ接続枚数計算ツール!$C$9,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HUAWEI製ＰＣＳ接続枚数計算ツール!$B$119:$P$149,14,FALSE),0)/100*IF(高温電圧!Q16*高温電圧!Q$2&lt;VLOOKUP(HUAWEI製ＰＣＳ接続枚数計算ツール!$C$9, HUAWEI製ＰＣＳ接続枚数計算ツール!$B$119:$P$149,12,FALSE),0,1)</f>
        <v>0.81</v>
      </c>
      <c r="R16" s="85">
        <f>ROUNDDOWN((高温電圧!R16*高温電圧!R$2-VLOOKUP(HUAWEI製ＰＣＳ接続枚数計算ツール!$C$9,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HUAWEI製ＰＣＳ接続枚数計算ツール!$B$119:$P$149,14,FALSE),0)/100*IF(高温電圧!R16*高温電圧!R$2&lt;VLOOKUP(HUAWEI製ＰＣＳ接続枚数計算ツール!$C$9, HUAWEI製ＰＣＳ接続枚数計算ツール!$B$119:$P$149,12,FALSE),0,1)</f>
        <v>0.89</v>
      </c>
      <c r="S16" s="85">
        <f>ROUNDDOWN((高温電圧!S16*高温電圧!S$2-VLOOKUP(HUAWEI製ＰＣＳ接続枚数計算ツール!$C$9,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HUAWEI製ＰＣＳ接続枚数計算ツール!$B$119:$P$149,14,FALSE),0)/100*IF(高温電圧!S16*高温電圧!S$2&lt;VLOOKUP(HUAWEI製ＰＣＳ接続枚数計算ツール!$C$9, HUAWEI製ＰＣＳ接続枚数計算ツール!$B$119:$P$149,12,FALSE),0,1)</f>
        <v>0.96</v>
      </c>
      <c r="T16" s="85">
        <f>ROUNDDOWN((高温電圧!T16*高温電圧!T$2-VLOOKUP(HUAWEI製ＰＣＳ接続枚数計算ツール!$C$9,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HUAWEI製ＰＣＳ接続枚数計算ツール!$B$119:$P$149,14,FALSE),0)/100*IF(高温電圧!T16*高温電圧!T$2&lt;VLOOKUP(HUAWEI製ＰＣＳ接続枚数計算ツール!$C$9, HUAWEI製ＰＣＳ接続枚数計算ツール!$B$119:$P$149,12,FALSE),0,1)</f>
        <v>1.03</v>
      </c>
      <c r="U16" s="85">
        <f>ROUNDDOWN((高温電圧!U16*高温電圧!U$2-VLOOKUP(HUAWEI製ＰＣＳ接続枚数計算ツール!$C$9,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HUAWEI製ＰＣＳ接続枚数計算ツール!$B$119:$P$149,14,FALSE),0)/100*IF(高温電圧!U16*高温電圧!U$2&lt;VLOOKUP(HUAWEI製ＰＣＳ接続枚数計算ツール!$C$9, HUAWEI製ＰＣＳ接続枚数計算ツール!$B$119:$P$149,12,FALSE),0,1)</f>
        <v>1.1100000000000001</v>
      </c>
      <c r="V16" s="85">
        <f>ROUNDDOWN((高温電圧!V16*高温電圧!V$2-VLOOKUP(HUAWEI製ＰＣＳ接続枚数計算ツール!$C$9,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HUAWEI製ＰＣＳ接続枚数計算ツール!$B$119:$P$149,14,FALSE),0)/100*IF(高温電圧!V16*高温電圧!V$2&lt;VLOOKUP(HUAWEI製ＰＣＳ接続枚数計算ツール!$C$9, HUAWEI製ＰＣＳ接続枚数計算ツール!$B$119:$P$149,12,FALSE),0,1)</f>
        <v>1.18</v>
      </c>
      <c r="W16" s="85">
        <f>ROUNDDOWN((高温電圧!W16*高温電圧!W$2-VLOOKUP(HUAWEI製ＰＣＳ接続枚数計算ツール!$C$9,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HUAWEI製ＰＣＳ接続枚数計算ツール!$B$119:$P$149,14,FALSE),0)/100*IF(高温電圧!W16*高温電圧!W$2&lt;VLOOKUP(HUAWEI製ＰＣＳ接続枚数計算ツール!$C$9, HUAWEI製ＰＣＳ接続枚数計算ツール!$B$119:$P$149,12,FALSE),0,1)</f>
        <v>1.25</v>
      </c>
      <c r="X16" s="85">
        <f>ROUNDDOWN((高温電圧!X16*高温電圧!X$2-VLOOKUP(HUAWEI製ＰＣＳ接続枚数計算ツール!$C$9,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HUAWEI製ＰＣＳ接続枚数計算ツール!$B$119:$P$149,14,FALSE),0)/100*IF(高温電圧!X16*高温電圧!X$2&lt;VLOOKUP(HUAWEI製ＰＣＳ接続枚数計算ツール!$C$9, HUAWEI製ＰＣＳ接続枚数計算ツール!$B$119:$P$149,12,FALSE),0,1)</f>
        <v>1.32</v>
      </c>
      <c r="Y16" s="85">
        <f>ROUNDDOWN((高温電圧!Y16*高温電圧!Y$2-VLOOKUP(HUAWEI製ＰＣＳ接続枚数計算ツール!$C$9,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HUAWEI製ＰＣＳ接続枚数計算ツール!$B$119:$P$149,14,FALSE),0)/100*IF(高温電圧!Y16*高温電圧!Y$2&lt;VLOOKUP(HUAWEI製ＰＣＳ接続枚数計算ツール!$C$9, HUAWEI製ＰＣＳ接続枚数計算ツール!$B$119:$P$149,12,FALSE),0,1)</f>
        <v>1.39</v>
      </c>
      <c r="Z16" s="85">
        <f>ROUNDDOWN((高温電圧!Z16*高温電圧!Z$2-VLOOKUP(HUAWEI製ＰＣＳ接続枚数計算ツール!$C$9,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HUAWEI製ＰＣＳ接続枚数計算ツール!$B$119:$P$149,14,FALSE),0)/100*IF(高温電圧!Z16*高温電圧!Z$2&lt;VLOOKUP(HUAWEI製ＰＣＳ接続枚数計算ツール!$C$9, HUAWEI製ＰＣＳ接続枚数計算ツール!$B$119:$P$149,12,FALSE),0,1)</f>
        <v>1.46</v>
      </c>
      <c r="AA16" s="85">
        <f>ROUNDDOWN((高温電圧!AA16*高温電圧!AA$2-VLOOKUP(HUAWEI製ＰＣＳ接続枚数計算ツール!$C$9,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HUAWEI製ＰＣＳ接続枚数計算ツール!$B$119:$P$149,14,FALSE),0)/100*IF(高温電圧!AA16*高温電圧!AA$2&lt;VLOOKUP(HUAWEI製ＰＣＳ接続枚数計算ツール!$C$9, HUAWEI製ＰＣＳ接続枚数計算ツール!$B$119:$P$149,12,FALSE),0,1)</f>
        <v>1.53</v>
      </c>
      <c r="AB16" s="85">
        <f>ROUNDDOWN((高温電圧!AB16*高温電圧!AB$2-VLOOKUP(HUAWEI製ＰＣＳ接続枚数計算ツール!$C$9,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HUAWEI製ＰＣＳ接続枚数計算ツール!$B$119:$P$149,14,FALSE),0)/100*IF(高温電圧!AB16*高温電圧!AB$2&lt;VLOOKUP(HUAWEI製ＰＣＳ接続枚数計算ツール!$C$9, HUAWEI製ＰＣＳ接続枚数計算ツール!$B$119:$P$149,12,FALSE),0,1)</f>
        <v>1.59</v>
      </c>
      <c r="AC16" s="85">
        <f>ROUNDDOWN((高温電圧!AC16*高温電圧!AC$2-VLOOKUP(HUAWEI製ＰＣＳ接続枚数計算ツール!$C$9,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HUAWEI製ＰＣＳ接続枚数計算ツール!$B$119:$P$149,14,FALSE),0)/100*IF(高温電圧!AC16*高温電圧!AC$2&lt;VLOOKUP(HUAWEI製ＰＣＳ接続枚数計算ツール!$C$9, HUAWEI製ＰＣＳ接続枚数計算ツール!$B$119:$P$149,12,FALSE),0,1)</f>
        <v>1.66</v>
      </c>
      <c r="AD16" s="85">
        <f>ROUNDDOWN((高温電圧!AD16*高温電圧!AD$2-VLOOKUP(HUAWEI製ＰＣＳ接続枚数計算ツール!$C$9,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HUAWEI製ＰＣＳ接続枚数計算ツール!$B$119:$P$149,14,FALSE),0)/100*IF(高温電圧!AD16*高温電圧!AD$2&lt;VLOOKUP(HUAWEI製ＰＣＳ接続枚数計算ツール!$C$9, HUAWEI製ＰＣＳ接続枚数計算ツール!$B$119:$P$149,12,FALSE),0,1)</f>
        <v>1.73</v>
      </c>
      <c r="AE16" s="85">
        <f>ROUNDDOWN((高温電圧!AE16*高温電圧!AE$2-VLOOKUP(HUAWEI製ＰＣＳ接続枚数計算ツール!$C$9,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HUAWEI製ＰＣＳ接続枚数計算ツール!$B$119:$P$149,14,FALSE),0)/100*IF(高温電圧!AE16*高温電圧!AE$2&lt;VLOOKUP(HUAWEI製ＰＣＳ接続枚数計算ツール!$C$9, HUAWEI製ＰＣＳ接続枚数計算ツール!$B$119:$P$149,12,FALSE),0,1)</f>
        <v>1.8</v>
      </c>
      <c r="AF16" s="85">
        <f>ROUNDDOWN((高温電圧!AF16*高温電圧!AF$2-VLOOKUP(HUAWEI製ＰＣＳ接続枚数計算ツール!$C$9,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HUAWEI製ＰＣＳ接続枚数計算ツール!$B$119:$P$149,14,FALSE),0)/100*IF(高温電圧!AF16*高温電圧!AF$2&lt;VLOOKUP(HUAWEI製ＰＣＳ接続枚数計算ツール!$C$9, HUAWEI製ＰＣＳ接続枚数計算ツール!$B$119:$P$149,12,FALSE),0,1)</f>
        <v>1.87</v>
      </c>
      <c r="AG16" s="85">
        <f>ROUNDDOWN((高温電圧!AG16*高温電圧!AG$2-VLOOKUP(HUAWEI製ＰＣＳ接続枚数計算ツール!$C$9,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HUAWEI製ＰＣＳ接続枚数計算ツール!$B$119:$P$149,14,FALSE),0)/100*IF(高温電圧!AG16*高温電圧!AG$2&lt;VLOOKUP(HUAWEI製ＰＣＳ接続枚数計算ツール!$C$9, HUAWEI製ＰＣＳ接続枚数計算ツール!$B$119:$P$149,12,FALSE),0,1)</f>
        <v>1.94</v>
      </c>
      <c r="AH16" s="85">
        <f>ROUNDDOWN((高温電圧!AH16*高温電圧!AH$2-VLOOKUP(HUAWEI製ＰＣＳ接続枚数計算ツール!$C$9,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HUAWEI製ＰＣＳ接続枚数計算ツール!$B$119:$P$149,14,FALSE),0)/100*IF(高温電圧!AH16*高温電圧!AH$2&lt;VLOOKUP(HUAWEI製ＰＣＳ接続枚数計算ツール!$C$9, HUAWEI製ＰＣＳ接続枚数計算ツール!$B$119:$P$149,12,FALSE),0,1)</f>
        <v>2.0099999999999998</v>
      </c>
      <c r="AI16" s="85">
        <f>ROUNDDOWN((高温電圧!AI16*高温電圧!AI$2-VLOOKUP(HUAWEI製ＰＣＳ接続枚数計算ツール!$C$9,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HUAWEI製ＰＣＳ接続枚数計算ツール!$B$119:$P$149,14,FALSE),0)/100*IF(高温電圧!AI16*高温電圧!AI$2&lt;VLOOKUP(HUAWEI製ＰＣＳ接続枚数計算ツール!$C$9, HUAWEI製ＰＣＳ接続枚数計算ツール!$B$119:$P$149,12,FALSE),0,1)</f>
        <v>2.08</v>
      </c>
      <c r="AJ16" s="85">
        <f>ROUNDDOWN((高温電圧!AJ16*高温電圧!AJ$2-VLOOKUP(HUAWEI製ＰＣＳ接続枚数計算ツール!$C$9,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HUAWEI製ＰＣＳ接続枚数計算ツール!$B$119:$P$149,14,FALSE),0)/100*IF(高温電圧!AJ16*高温電圧!AJ$2&lt;VLOOKUP(HUAWEI製ＰＣＳ接続枚数計算ツール!$C$9, HUAWEI製ＰＣＳ接続枚数計算ツール!$B$119:$P$149,12,FALSE),0,1)</f>
        <v>2.15</v>
      </c>
      <c r="AK16" s="85">
        <f>ROUNDDOWN((高温電圧!AK16*高温電圧!AK$2-VLOOKUP(HUAWEI製ＰＣＳ接続枚数計算ツール!$C$9,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HUAWEI製ＰＣＳ接続枚数計算ツール!$B$119:$P$149,14,FALSE),0)/100*IF(高温電圧!AK16*高温電圧!AK$2&lt;VLOOKUP(HUAWEI製ＰＣＳ接続枚数計算ツール!$C$9, HUAWEI製ＰＣＳ接続枚数計算ツール!$B$119:$P$149,12,FALSE),0,1)</f>
        <v>2.21</v>
      </c>
      <c r="AL16" s="85">
        <f>ROUNDDOWN((高温電圧!AL16*高温電圧!AL$2-VLOOKUP(HUAWEI製ＰＣＳ接続枚数計算ツール!$C$9,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HUAWEI製ＰＣＳ接続枚数計算ツール!$B$119:$P$149,14,FALSE),0)/100*IF(高温電圧!AL16*高温電圧!AL$2&lt;VLOOKUP(HUAWEI製ＰＣＳ接続枚数計算ツール!$C$9, HUAWEI製ＰＣＳ接続枚数計算ツール!$B$119:$P$149,12,FALSE),0,1)</f>
        <v>2.2799999999999998</v>
      </c>
      <c r="AM16" s="85">
        <f>ROUNDDOWN((高温電圧!AM16*高温電圧!AM$2-VLOOKUP(HUAWEI製ＰＣＳ接続枚数計算ツール!$C$9,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HUAWEI製ＰＣＳ接続枚数計算ツール!$B$119:$P$149,14,FALSE),0)/100*IF(高温電圧!AM16*高温電圧!AM$2&lt;VLOOKUP(HUAWEI製ＰＣＳ接続枚数計算ツール!$C$9, HUAWEI製ＰＣＳ接続枚数計算ツール!$B$119:$P$149,12,FALSE),0,1)</f>
        <v>2.35</v>
      </c>
      <c r="AN16" s="85">
        <f>ROUNDDOWN((高温電圧!AN16*高温電圧!AN$2-VLOOKUP(HUAWEI製ＰＣＳ接続枚数計算ツール!$C$9,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HUAWEI製ＰＣＳ接続枚数計算ツール!$B$119:$P$149,14,FALSE),0)/100*IF(高温電圧!AN16*高温電圧!AN$2&lt;VLOOKUP(HUAWEI製ＰＣＳ接続枚数計算ツール!$C$9, HUAWEI製ＰＣＳ接続枚数計算ツール!$B$119:$P$149,12,FALSE),0,1)</f>
        <v>2.42</v>
      </c>
      <c r="AO16" s="85">
        <f>ROUNDDOWN((高温電圧!AO16*高温電圧!AO$2-VLOOKUP(HUAWEI製ＰＣＳ接続枚数計算ツール!$C$9,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HUAWEI製ＰＣＳ接続枚数計算ツール!$B$119:$P$149,14,FALSE),0)/100*IF(高温電圧!AO16*高温電圧!AO$2&lt;VLOOKUP(HUAWEI製ＰＣＳ接続枚数計算ツール!$C$9, HUAWEI製ＰＣＳ接続枚数計算ツール!$B$119:$P$149,12,FALSE),0,1)</f>
        <v>2.4900000000000002</v>
      </c>
    </row>
    <row r="17" spans="1:41">
      <c r="A17">
        <v>15</v>
      </c>
      <c r="B17" s="85">
        <f>ROUNDDOWN((高温電圧!B17*高温電圧!B$2-VLOOKUP(HUAWEI製ＰＣＳ接続枚数計算ツール!$C$9,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HUAWEI製ＰＣＳ接続枚数計算ツール!$B$119:$P$149,14,FALSE),0)/100*IF(高温電圧!B17*高温電圧!B$2&lt;VLOOKUP(HUAWEI製ＰＣＳ接続枚数計算ツール!$C$9, HUAWEI製ＰＣＳ接続枚数計算ツール!$B$119:$P$149,12,FALSE),0,1)</f>
        <v>0</v>
      </c>
      <c r="C17" s="85">
        <f>ROUNDDOWN((高温電圧!C17*高温電圧!C$2-VLOOKUP(HUAWEI製ＰＣＳ接続枚数計算ツール!$C$9,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HUAWEI製ＰＣＳ接続枚数計算ツール!$B$119:$P$149,14,FALSE),0)/100*IF(高温電圧!C17*高温電圧!C$2&lt;VLOOKUP(HUAWEI製ＰＣＳ接続枚数計算ツール!$C$9, HUAWEI製ＰＣＳ接続枚数計算ツール!$B$119:$P$149,12,FALSE),0,1)</f>
        <v>0</v>
      </c>
      <c r="D17" s="85">
        <f>ROUNDDOWN((高温電圧!D17*高温電圧!D$2-VLOOKUP(HUAWEI製ＰＣＳ接続枚数計算ツール!$C$9,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HUAWEI製ＰＣＳ接続枚数計算ツール!$B$119:$P$149,14,FALSE),0)/100*IF(高温電圧!D17*高温電圧!D$2&lt;VLOOKUP(HUAWEI製ＰＣＳ接続枚数計算ツール!$C$9, HUAWEI製ＰＣＳ接続枚数計算ツール!$B$119:$P$149,12,FALSE),0,1)</f>
        <v>0</v>
      </c>
      <c r="E17" s="85">
        <f>ROUNDDOWN((高温電圧!E17*高温電圧!E$2-VLOOKUP(HUAWEI製ＰＣＳ接続枚数計算ツール!$C$9,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HUAWEI製ＰＣＳ接続枚数計算ツール!$B$119:$P$149,14,FALSE),0)/100*IF(高温電圧!E17*高温電圧!E$2&lt;VLOOKUP(HUAWEI製ＰＣＳ接続枚数計算ツール!$C$9, HUAWEI製ＰＣＳ接続枚数計算ツール!$B$119:$P$149,12,FALSE),0,1)</f>
        <v>0</v>
      </c>
      <c r="F17" s="85">
        <f>ROUNDDOWN((高温電圧!F17*高温電圧!F$2-VLOOKUP(HUAWEI製ＰＣＳ接続枚数計算ツール!$C$9,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HUAWEI製ＰＣＳ接続枚数計算ツール!$B$119:$P$149,14,FALSE),0)/100*IF(高温電圧!F17*高温電圧!F$2&lt;VLOOKUP(HUAWEI製ＰＣＳ接続枚数計算ツール!$C$9, HUAWEI製ＰＣＳ接続枚数計算ツール!$B$119:$P$149,12,FALSE),0,1)</f>
        <v>0</v>
      </c>
      <c r="G17" s="85">
        <f>ROUNDDOWN((高温電圧!G17*高温電圧!G$2-VLOOKUP(HUAWEI製ＰＣＳ接続枚数計算ツール!$C$9,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HUAWEI製ＰＣＳ接続枚数計算ツール!$B$119:$P$149,14,FALSE),0)/100*IF(高温電圧!G17*高温電圧!G$2&lt;VLOOKUP(HUAWEI製ＰＣＳ接続枚数計算ツール!$C$9, HUAWEI製ＰＣＳ接続枚数計算ツール!$B$119:$P$149,12,FALSE),0,1)</f>
        <v>0</v>
      </c>
      <c r="H17" s="85">
        <f>ROUNDDOWN((高温電圧!H17*高温電圧!H$2-VLOOKUP(HUAWEI製ＰＣＳ接続枚数計算ツール!$C$9,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HUAWEI製ＰＣＳ接続枚数計算ツール!$B$119:$P$149,14,FALSE),0)/100*IF(高温電圧!H17*高温電圧!H$2&lt;VLOOKUP(HUAWEI製ＰＣＳ接続枚数計算ツール!$C$9, HUAWEI製ＰＣＳ接続枚数計算ツール!$B$119:$P$149,12,FALSE),0,1)</f>
        <v>0</v>
      </c>
      <c r="I17" s="85">
        <f>ROUNDDOWN((高温電圧!I17*高温電圧!I$2-VLOOKUP(HUAWEI製ＰＣＳ接続枚数計算ツール!$C$9,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HUAWEI製ＰＣＳ接続枚数計算ツール!$B$119:$P$149,14,FALSE),0)/100*IF(高温電圧!I17*高温電圧!I$2&lt;VLOOKUP(HUAWEI製ＰＣＳ接続枚数計算ツール!$C$9, HUAWEI製ＰＣＳ接続枚数計算ツール!$B$119:$P$149,12,FALSE),0,1)</f>
        <v>0</v>
      </c>
      <c r="J17" s="85">
        <f>ROUNDDOWN((高温電圧!J17*高温電圧!J$2-VLOOKUP(HUAWEI製ＰＣＳ接続枚数計算ツール!$C$9,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HUAWEI製ＰＣＳ接続枚数計算ツール!$B$119:$P$149,14,FALSE),0)/100*IF(高温電圧!J17*高温電圧!J$2&lt;VLOOKUP(HUAWEI製ＰＣＳ接続枚数計算ツール!$C$9, HUAWEI製ＰＣＳ接続枚数計算ツール!$B$119:$P$149,12,FALSE),0,1)</f>
        <v>0</v>
      </c>
      <c r="K17" s="85">
        <f>ROUNDDOWN((高温電圧!K17*高温電圧!K$2-VLOOKUP(HUAWEI製ＰＣＳ接続枚数計算ツール!$C$9,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HUAWEI製ＰＣＳ接続枚数計算ツール!$B$119:$P$149,14,FALSE),0)/100*IF(高温電圧!K17*高温電圧!K$2&lt;VLOOKUP(HUAWEI製ＰＣＳ接続枚数計算ツール!$C$9, HUAWEI製ＰＣＳ接続枚数計算ツール!$B$119:$P$149,12,FALSE),0,1)</f>
        <v>0</v>
      </c>
      <c r="L17" s="85">
        <f>ROUNDDOWN((高温電圧!L17*高温電圧!L$2-VLOOKUP(HUAWEI製ＰＣＳ接続枚数計算ツール!$C$9,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HUAWEI製ＰＣＳ接続枚数計算ツール!$B$119:$P$149,14,FALSE),0)/100*IF(高温電圧!L17*高温電圧!L$2&lt;VLOOKUP(HUAWEI製ＰＣＳ接続枚数計算ツール!$C$9, HUAWEI製ＰＣＳ接続枚数計算ツール!$B$119:$P$149,12,FALSE),0,1)</f>
        <v>0</v>
      </c>
      <c r="M17" s="85">
        <f>ROUNDDOWN((高温電圧!M17*高温電圧!M$2-VLOOKUP(HUAWEI製ＰＣＳ接続枚数計算ツール!$C$9,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HUAWEI製ＰＣＳ接続枚数計算ツール!$B$119:$P$149,14,FALSE),0)/100*IF(高温電圧!M17*高温電圧!M$2&lt;VLOOKUP(HUAWEI製ＰＣＳ接続枚数計算ツール!$C$9, HUAWEI製ＰＣＳ接続枚数計算ツール!$B$119:$P$149,12,FALSE),0,1)</f>
        <v>0</v>
      </c>
      <c r="N17" s="85">
        <f>ROUNDDOWN((高温電圧!N17*高温電圧!N$2-VLOOKUP(HUAWEI製ＰＣＳ接続枚数計算ツール!$C$9,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HUAWEI製ＰＣＳ接続枚数計算ツール!$B$119:$P$149,14,FALSE),0)/100*IF(高温電圧!N17*高温電圧!N$2&lt;VLOOKUP(HUAWEI製ＰＣＳ接続枚数計算ツール!$C$9, HUAWEI製ＰＣＳ接続枚数計算ツール!$B$119:$P$149,12,FALSE),0,1)</f>
        <v>0</v>
      </c>
      <c r="O17" s="85">
        <f>ROUNDDOWN((高温電圧!O17*高温電圧!O$2-VLOOKUP(HUAWEI製ＰＣＳ接続枚数計算ツール!$C$9,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HUAWEI製ＰＣＳ接続枚数計算ツール!$B$119:$P$149,14,FALSE),0)/100*IF(高温電圧!O17*高温電圧!O$2&lt;VLOOKUP(HUAWEI製ＰＣＳ接続枚数計算ツール!$C$9, HUAWEI製ＰＣＳ接続枚数計算ツール!$B$119:$P$149,12,FALSE),0,1)</f>
        <v>0.66</v>
      </c>
      <c r="P17" s="85">
        <f>ROUNDDOWN((高温電圧!P17*高温電圧!P$2-VLOOKUP(HUAWEI製ＰＣＳ接続枚数計算ツール!$C$9,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HUAWEI製ＰＣＳ接続枚数計算ツール!$B$119:$P$149,14,FALSE),0)/100*IF(高温電圧!P17*高温電圧!P$2&lt;VLOOKUP(HUAWEI製ＰＣＳ接続枚数計算ツール!$C$9, HUAWEI製ＰＣＳ接続枚数計算ツール!$B$119:$P$149,12,FALSE),0,1)</f>
        <v>0.75</v>
      </c>
      <c r="Q17" s="85">
        <f>ROUNDDOWN((高温電圧!Q17*高温電圧!Q$2-VLOOKUP(HUAWEI製ＰＣＳ接続枚数計算ツール!$C$9,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HUAWEI製ＰＣＳ接続枚数計算ツール!$B$119:$P$149,14,FALSE),0)/100*IF(高温電圧!Q17*高温電圧!Q$2&lt;VLOOKUP(HUAWEI製ＰＣＳ接続枚数計算ツール!$C$9, HUAWEI製ＰＣＳ接続枚数計算ツール!$B$119:$P$149,12,FALSE),0,1)</f>
        <v>0.83</v>
      </c>
      <c r="R17" s="85">
        <f>ROUNDDOWN((高温電圧!R17*高温電圧!R$2-VLOOKUP(HUAWEI製ＰＣＳ接続枚数計算ツール!$C$9,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HUAWEI製ＰＣＳ接続枚数計算ツール!$B$119:$P$149,14,FALSE),0)/100*IF(高温電圧!R17*高温電圧!R$2&lt;VLOOKUP(HUAWEI製ＰＣＳ接続枚数計算ツール!$C$9, HUAWEI製ＰＣＳ接続枚数計算ツール!$B$119:$P$149,12,FALSE),0,1)</f>
        <v>0.9</v>
      </c>
      <c r="S17" s="85">
        <f>ROUNDDOWN((高温電圧!S17*高温電圧!S$2-VLOOKUP(HUAWEI製ＰＣＳ接続枚数計算ツール!$C$9,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HUAWEI製ＰＣＳ接続枚数計算ツール!$B$119:$P$149,14,FALSE),0)/100*IF(高温電圧!S17*高温電圧!S$2&lt;VLOOKUP(HUAWEI製ＰＣＳ接続枚数計算ツール!$C$9, HUAWEI製ＰＣＳ接続枚数計算ツール!$B$119:$P$149,12,FALSE),0,1)</f>
        <v>0.98</v>
      </c>
      <c r="T17" s="85">
        <f>ROUNDDOWN((高温電圧!T17*高温電圧!T$2-VLOOKUP(HUAWEI製ＰＣＳ接続枚数計算ツール!$C$9,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HUAWEI製ＰＣＳ接続枚数計算ツール!$B$119:$P$149,14,FALSE),0)/100*IF(高温電圧!T17*高温電圧!T$2&lt;VLOOKUP(HUAWEI製ＰＣＳ接続枚数計算ツール!$C$9, HUAWEI製ＰＣＳ接続枚数計算ツール!$B$119:$P$149,12,FALSE),0,1)</f>
        <v>1.05</v>
      </c>
      <c r="U17" s="85">
        <f>ROUNDDOWN((高温電圧!U17*高温電圧!U$2-VLOOKUP(HUAWEI製ＰＣＳ接続枚数計算ツール!$C$9,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HUAWEI製ＰＣＳ接続枚数計算ツール!$B$119:$P$149,14,FALSE),0)/100*IF(高温電圧!U17*高温電圧!U$2&lt;VLOOKUP(HUAWEI製ＰＣＳ接続枚数計算ツール!$C$9, HUAWEI製ＰＣＳ接続枚数計算ツール!$B$119:$P$149,12,FALSE),0,1)</f>
        <v>1.1200000000000001</v>
      </c>
      <c r="V17" s="85">
        <f>ROUNDDOWN((高温電圧!V17*高温電圧!V$2-VLOOKUP(HUAWEI製ＰＣＳ接続枚数計算ツール!$C$9,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HUAWEI製ＰＣＳ接続枚数計算ツール!$B$119:$P$149,14,FALSE),0)/100*IF(高温電圧!V17*高温電圧!V$2&lt;VLOOKUP(HUAWEI製ＰＣＳ接続枚数計算ツール!$C$9, HUAWEI製ＰＣＳ接続枚数計算ツール!$B$119:$P$149,12,FALSE),0,1)</f>
        <v>1.19</v>
      </c>
      <c r="W17" s="85">
        <f>ROUNDDOWN((高温電圧!W17*高温電圧!W$2-VLOOKUP(HUAWEI製ＰＣＳ接続枚数計算ツール!$C$9,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HUAWEI製ＰＣＳ接続枚数計算ツール!$B$119:$P$149,14,FALSE),0)/100*IF(高温電圧!W17*高温電圧!W$2&lt;VLOOKUP(HUAWEI製ＰＣＳ接続枚数計算ツール!$C$9, HUAWEI製ＰＣＳ接続枚数計算ツール!$B$119:$P$149,12,FALSE),0,1)</f>
        <v>1.26</v>
      </c>
      <c r="X17" s="85">
        <f>ROUNDDOWN((高温電圧!X17*高温電圧!X$2-VLOOKUP(HUAWEI製ＰＣＳ接続枚数計算ツール!$C$9,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HUAWEI製ＰＣＳ接続枚数計算ツール!$B$119:$P$149,14,FALSE),0)/100*IF(高温電圧!X17*高温電圧!X$2&lt;VLOOKUP(HUAWEI製ＰＣＳ接続枚数計算ツール!$C$9, HUAWEI製ＰＣＳ接続枚数計算ツール!$B$119:$P$149,12,FALSE),0,1)</f>
        <v>1.33</v>
      </c>
      <c r="Y17" s="85">
        <f>ROUNDDOWN((高温電圧!Y17*高温電圧!Y$2-VLOOKUP(HUAWEI製ＰＣＳ接続枚数計算ツール!$C$9,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HUAWEI製ＰＣＳ接続枚数計算ツール!$B$119:$P$149,14,FALSE),0)/100*IF(高温電圧!Y17*高温電圧!Y$2&lt;VLOOKUP(HUAWEI製ＰＣＳ接続枚数計算ツール!$C$9, HUAWEI製ＰＣＳ接続枚数計算ツール!$B$119:$P$149,12,FALSE),0,1)</f>
        <v>1.4</v>
      </c>
      <c r="Z17" s="85">
        <f>ROUNDDOWN((高温電圧!Z17*高温電圧!Z$2-VLOOKUP(HUAWEI製ＰＣＳ接続枚数計算ツール!$C$9,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HUAWEI製ＰＣＳ接続枚数計算ツール!$B$119:$P$149,14,FALSE),0)/100*IF(高温電圧!Z17*高温電圧!Z$2&lt;VLOOKUP(HUAWEI製ＰＣＳ接続枚数計算ツール!$C$9, HUAWEI製ＰＣＳ接続枚数計算ツール!$B$119:$P$149,12,FALSE),0,1)</f>
        <v>1.47</v>
      </c>
      <c r="AA17" s="85">
        <f>ROUNDDOWN((高温電圧!AA17*高温電圧!AA$2-VLOOKUP(HUAWEI製ＰＣＳ接続枚数計算ツール!$C$9,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HUAWEI製ＰＣＳ接続枚数計算ツール!$B$119:$P$149,14,FALSE),0)/100*IF(高温電圧!AA17*高温電圧!AA$2&lt;VLOOKUP(HUAWEI製ＰＣＳ接続枚数計算ツール!$C$9, HUAWEI製ＰＣＳ接続枚数計算ツール!$B$119:$P$149,12,FALSE),0,1)</f>
        <v>1.53</v>
      </c>
      <c r="AB17" s="85">
        <f>ROUNDDOWN((高温電圧!AB17*高温電圧!AB$2-VLOOKUP(HUAWEI製ＰＣＳ接続枚数計算ツール!$C$9,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HUAWEI製ＰＣＳ接続枚数計算ツール!$B$119:$P$149,14,FALSE),0)/100*IF(高温電圧!AB17*高温電圧!AB$2&lt;VLOOKUP(HUAWEI製ＰＣＳ接続枚数計算ツール!$C$9, HUAWEI製ＰＣＳ接続枚数計算ツール!$B$119:$P$149,12,FALSE),0,1)</f>
        <v>1.6</v>
      </c>
      <c r="AC17" s="85">
        <f>ROUNDDOWN((高温電圧!AC17*高温電圧!AC$2-VLOOKUP(HUAWEI製ＰＣＳ接続枚数計算ツール!$C$9,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HUAWEI製ＰＣＳ接続枚数計算ツール!$B$119:$P$149,14,FALSE),0)/100*IF(高温電圧!AC17*高温電圧!AC$2&lt;VLOOKUP(HUAWEI製ＰＣＳ接続枚数計算ツール!$C$9, HUAWEI製ＰＣＳ接続枚数計算ツール!$B$119:$P$149,12,FALSE),0,1)</f>
        <v>1.67</v>
      </c>
      <c r="AD17" s="85">
        <f>ROUNDDOWN((高温電圧!AD17*高温電圧!AD$2-VLOOKUP(HUAWEI製ＰＣＳ接続枚数計算ツール!$C$9,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HUAWEI製ＰＣＳ接続枚数計算ツール!$B$119:$P$149,14,FALSE),0)/100*IF(高温電圧!AD17*高温電圧!AD$2&lt;VLOOKUP(HUAWEI製ＰＣＳ接続枚数計算ツール!$C$9, HUAWEI製ＰＣＳ接続枚数計算ツール!$B$119:$P$149,12,FALSE),0,1)</f>
        <v>1.74</v>
      </c>
      <c r="AE17" s="85">
        <f>ROUNDDOWN((高温電圧!AE17*高温電圧!AE$2-VLOOKUP(HUAWEI製ＰＣＳ接続枚数計算ツール!$C$9,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HUAWEI製ＰＣＳ接続枚数計算ツール!$B$119:$P$149,14,FALSE),0)/100*IF(高温電圧!AE17*高温電圧!AE$2&lt;VLOOKUP(HUAWEI製ＰＣＳ接続枚数計算ツール!$C$9, HUAWEI製ＰＣＳ接続枚数計算ツール!$B$119:$P$149,12,FALSE),0,1)</f>
        <v>1.81</v>
      </c>
      <c r="AF17" s="85">
        <f>ROUNDDOWN((高温電圧!AF17*高温電圧!AF$2-VLOOKUP(HUAWEI製ＰＣＳ接続枚数計算ツール!$C$9,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HUAWEI製ＰＣＳ接続枚数計算ツール!$B$119:$P$149,14,FALSE),0)/100*IF(高温電圧!AF17*高温電圧!AF$2&lt;VLOOKUP(HUAWEI製ＰＣＳ接続枚数計算ツール!$C$9, HUAWEI製ＰＣＳ接続枚数計算ツール!$B$119:$P$149,12,FALSE),0,1)</f>
        <v>1.88</v>
      </c>
      <c r="AG17" s="85">
        <f>ROUNDDOWN((高温電圧!AG17*高温電圧!AG$2-VLOOKUP(HUAWEI製ＰＣＳ接続枚数計算ツール!$C$9,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HUAWEI製ＰＣＳ接続枚数計算ツール!$B$119:$P$149,14,FALSE),0)/100*IF(高温電圧!AG17*高温電圧!AG$2&lt;VLOOKUP(HUAWEI製ＰＣＳ接続枚数計算ツール!$C$9, HUAWEI製ＰＣＳ接続枚数計算ツール!$B$119:$P$149,12,FALSE),0,1)</f>
        <v>1.95</v>
      </c>
      <c r="AH17" s="85">
        <f>ROUNDDOWN((高温電圧!AH17*高温電圧!AH$2-VLOOKUP(HUAWEI製ＰＣＳ接続枚数計算ツール!$C$9,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HUAWEI製ＰＣＳ接続枚数計算ツール!$B$119:$P$149,14,FALSE),0)/100*IF(高温電圧!AH17*高温電圧!AH$2&lt;VLOOKUP(HUAWEI製ＰＣＳ接続枚数計算ツール!$C$9, HUAWEI製ＰＣＳ接続枚数計算ツール!$B$119:$P$149,12,FALSE),0,1)</f>
        <v>2.02</v>
      </c>
      <c r="AI17" s="85">
        <f>ROUNDDOWN((高温電圧!AI17*高温電圧!AI$2-VLOOKUP(HUAWEI製ＰＣＳ接続枚数計算ツール!$C$9,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HUAWEI製ＰＣＳ接続枚数計算ツール!$B$119:$P$149,14,FALSE),0)/100*IF(高温電圧!AI17*高温電圧!AI$2&lt;VLOOKUP(HUAWEI製ＰＣＳ接続枚数計算ツール!$C$9, HUAWEI製ＰＣＳ接続枚数計算ツール!$B$119:$P$149,12,FALSE),0,1)</f>
        <v>2.08</v>
      </c>
      <c r="AJ17" s="85">
        <f>ROUNDDOWN((高温電圧!AJ17*高温電圧!AJ$2-VLOOKUP(HUAWEI製ＰＣＳ接続枚数計算ツール!$C$9,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HUAWEI製ＰＣＳ接続枚数計算ツール!$B$119:$P$149,14,FALSE),0)/100*IF(高温電圧!AJ17*高温電圧!AJ$2&lt;VLOOKUP(HUAWEI製ＰＣＳ接続枚数計算ツール!$C$9, HUAWEI製ＰＣＳ接続枚数計算ツール!$B$119:$P$149,12,FALSE),0,1)</f>
        <v>2.15</v>
      </c>
      <c r="AK17" s="85">
        <f>ROUNDDOWN((高温電圧!AK17*高温電圧!AK$2-VLOOKUP(HUAWEI製ＰＣＳ接続枚数計算ツール!$C$9,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HUAWEI製ＰＣＳ接続枚数計算ツール!$B$119:$P$149,14,FALSE),0)/100*IF(高温電圧!AK17*高温電圧!AK$2&lt;VLOOKUP(HUAWEI製ＰＣＳ接続枚数計算ツール!$C$9, HUAWEI製ＰＣＳ接続枚数計算ツール!$B$119:$P$149,12,FALSE),0,1)</f>
        <v>2.2200000000000002</v>
      </c>
      <c r="AL17" s="85">
        <f>ROUNDDOWN((高温電圧!AL17*高温電圧!AL$2-VLOOKUP(HUAWEI製ＰＣＳ接続枚数計算ツール!$C$9,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HUAWEI製ＰＣＳ接続枚数計算ツール!$B$119:$P$149,14,FALSE),0)/100*IF(高温電圧!AL17*高温電圧!AL$2&lt;VLOOKUP(HUAWEI製ＰＣＳ接続枚数計算ツール!$C$9, HUAWEI製ＰＣＳ接続枚数計算ツール!$B$119:$P$149,12,FALSE),0,1)</f>
        <v>2.29</v>
      </c>
      <c r="AM17" s="85">
        <f>ROUNDDOWN((高温電圧!AM17*高温電圧!AM$2-VLOOKUP(HUAWEI製ＰＣＳ接続枚数計算ツール!$C$9,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HUAWEI製ＰＣＳ接続枚数計算ツール!$B$119:$P$149,14,FALSE),0)/100*IF(高温電圧!AM17*高温電圧!AM$2&lt;VLOOKUP(HUAWEI製ＰＣＳ接続枚数計算ツール!$C$9, HUAWEI製ＰＣＳ接続枚数計算ツール!$B$119:$P$149,12,FALSE),0,1)</f>
        <v>2.36</v>
      </c>
      <c r="AN17" s="85">
        <f>ROUNDDOWN((高温電圧!AN17*高温電圧!AN$2-VLOOKUP(HUAWEI製ＰＣＳ接続枚数計算ツール!$C$9,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HUAWEI製ＰＣＳ接続枚数計算ツール!$B$119:$P$149,14,FALSE),0)/100*IF(高温電圧!AN17*高温電圧!AN$2&lt;VLOOKUP(HUAWEI製ＰＣＳ接続枚数計算ツール!$C$9, HUAWEI製ＰＣＳ接続枚数計算ツール!$B$119:$P$149,12,FALSE),0,1)</f>
        <v>2.4300000000000002</v>
      </c>
      <c r="AO17" s="85">
        <f>ROUNDDOWN((高温電圧!AO17*高温電圧!AO$2-VLOOKUP(HUAWEI製ＰＣＳ接続枚数計算ツール!$C$9,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HUAWEI製ＰＣＳ接続枚数計算ツール!$B$119:$P$149,14,FALSE),0)/100*IF(高温電圧!AO17*高温電圧!AO$2&lt;VLOOKUP(HUAWEI製ＰＣＳ接続枚数計算ツール!$C$9, HUAWEI製ＰＣＳ接続枚数計算ツール!$B$119:$P$149,12,FALSE),0,1)</f>
        <v>2.5</v>
      </c>
    </row>
    <row r="18" spans="1:41">
      <c r="A18">
        <v>16</v>
      </c>
      <c r="B18" s="85">
        <f>ROUNDDOWN((高温電圧!B18*高温電圧!B$2-VLOOKUP(HUAWEI製ＰＣＳ接続枚数計算ツール!$C$9,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HUAWEI製ＰＣＳ接続枚数計算ツール!$B$119:$P$149,14,FALSE),0)/100*IF(高温電圧!B18*高温電圧!B$2&lt;VLOOKUP(HUAWEI製ＰＣＳ接続枚数計算ツール!$C$9, HUAWEI製ＰＣＳ接続枚数計算ツール!$B$119:$P$149,12,FALSE),0,1)</f>
        <v>0</v>
      </c>
      <c r="C18" s="85">
        <f>ROUNDDOWN((高温電圧!C18*高温電圧!C$2-VLOOKUP(HUAWEI製ＰＣＳ接続枚数計算ツール!$C$9,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HUAWEI製ＰＣＳ接続枚数計算ツール!$B$119:$P$149,14,FALSE),0)/100*IF(高温電圧!C18*高温電圧!C$2&lt;VLOOKUP(HUAWEI製ＰＣＳ接続枚数計算ツール!$C$9, HUAWEI製ＰＣＳ接続枚数計算ツール!$B$119:$P$149,12,FALSE),0,1)</f>
        <v>0</v>
      </c>
      <c r="D18" s="85">
        <f>ROUNDDOWN((高温電圧!D18*高温電圧!D$2-VLOOKUP(HUAWEI製ＰＣＳ接続枚数計算ツール!$C$9,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HUAWEI製ＰＣＳ接続枚数計算ツール!$B$119:$P$149,14,FALSE),0)/100*IF(高温電圧!D18*高温電圧!D$2&lt;VLOOKUP(HUAWEI製ＰＣＳ接続枚数計算ツール!$C$9, HUAWEI製ＰＣＳ接続枚数計算ツール!$B$119:$P$149,12,FALSE),0,1)</f>
        <v>0</v>
      </c>
      <c r="E18" s="85">
        <f>ROUNDDOWN((高温電圧!E18*高温電圧!E$2-VLOOKUP(HUAWEI製ＰＣＳ接続枚数計算ツール!$C$9,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HUAWEI製ＰＣＳ接続枚数計算ツール!$B$119:$P$149,14,FALSE),0)/100*IF(高温電圧!E18*高温電圧!E$2&lt;VLOOKUP(HUAWEI製ＰＣＳ接続枚数計算ツール!$C$9, HUAWEI製ＰＣＳ接続枚数計算ツール!$B$119:$P$149,12,FALSE),0,1)</f>
        <v>0</v>
      </c>
      <c r="F18" s="85">
        <f>ROUNDDOWN((高温電圧!F18*高温電圧!F$2-VLOOKUP(HUAWEI製ＰＣＳ接続枚数計算ツール!$C$9,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HUAWEI製ＰＣＳ接続枚数計算ツール!$B$119:$P$149,14,FALSE),0)/100*IF(高温電圧!F18*高温電圧!F$2&lt;VLOOKUP(HUAWEI製ＰＣＳ接続枚数計算ツール!$C$9, HUAWEI製ＰＣＳ接続枚数計算ツール!$B$119:$P$149,12,FALSE),0,1)</f>
        <v>0</v>
      </c>
      <c r="G18" s="85">
        <f>ROUNDDOWN((高温電圧!G18*高温電圧!G$2-VLOOKUP(HUAWEI製ＰＣＳ接続枚数計算ツール!$C$9,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HUAWEI製ＰＣＳ接続枚数計算ツール!$B$119:$P$149,14,FALSE),0)/100*IF(高温電圧!G18*高温電圧!G$2&lt;VLOOKUP(HUAWEI製ＰＣＳ接続枚数計算ツール!$C$9, HUAWEI製ＰＣＳ接続枚数計算ツール!$B$119:$P$149,12,FALSE),0,1)</f>
        <v>0</v>
      </c>
      <c r="H18" s="85">
        <f>ROUNDDOWN((高温電圧!H18*高温電圧!H$2-VLOOKUP(HUAWEI製ＰＣＳ接続枚数計算ツール!$C$9,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HUAWEI製ＰＣＳ接続枚数計算ツール!$B$119:$P$149,14,FALSE),0)/100*IF(高温電圧!H18*高温電圧!H$2&lt;VLOOKUP(HUAWEI製ＰＣＳ接続枚数計算ツール!$C$9, HUAWEI製ＰＣＳ接続枚数計算ツール!$B$119:$P$149,12,FALSE),0,1)</f>
        <v>0</v>
      </c>
      <c r="I18" s="85">
        <f>ROUNDDOWN((高温電圧!I18*高温電圧!I$2-VLOOKUP(HUAWEI製ＰＣＳ接続枚数計算ツール!$C$9,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HUAWEI製ＰＣＳ接続枚数計算ツール!$B$119:$P$149,14,FALSE),0)/100*IF(高温電圧!I18*高温電圧!I$2&lt;VLOOKUP(HUAWEI製ＰＣＳ接続枚数計算ツール!$C$9, HUAWEI製ＰＣＳ接続枚数計算ツール!$B$119:$P$149,12,FALSE),0,1)</f>
        <v>0</v>
      </c>
      <c r="J18" s="85">
        <f>ROUNDDOWN((高温電圧!J18*高温電圧!J$2-VLOOKUP(HUAWEI製ＰＣＳ接続枚数計算ツール!$C$9,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HUAWEI製ＰＣＳ接続枚数計算ツール!$B$119:$P$149,14,FALSE),0)/100*IF(高温電圧!J18*高温電圧!J$2&lt;VLOOKUP(HUAWEI製ＰＣＳ接続枚数計算ツール!$C$9, HUAWEI製ＰＣＳ接続枚数計算ツール!$B$119:$P$149,12,FALSE),0,1)</f>
        <v>0</v>
      </c>
      <c r="K18" s="85">
        <f>ROUNDDOWN((高温電圧!K18*高温電圧!K$2-VLOOKUP(HUAWEI製ＰＣＳ接続枚数計算ツール!$C$9,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HUAWEI製ＰＣＳ接続枚数計算ツール!$B$119:$P$149,14,FALSE),0)/100*IF(高温電圧!K18*高温電圧!K$2&lt;VLOOKUP(HUAWEI製ＰＣＳ接続枚数計算ツール!$C$9, HUAWEI製ＰＣＳ接続枚数計算ツール!$B$119:$P$149,12,FALSE),0,1)</f>
        <v>0</v>
      </c>
      <c r="L18" s="85">
        <f>ROUNDDOWN((高温電圧!L18*高温電圧!L$2-VLOOKUP(HUAWEI製ＰＣＳ接続枚数計算ツール!$C$9,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HUAWEI製ＰＣＳ接続枚数計算ツール!$B$119:$P$149,14,FALSE),0)/100*IF(高温電圧!L18*高温電圧!L$2&lt;VLOOKUP(HUAWEI製ＰＣＳ接続枚数計算ツール!$C$9, HUAWEI製ＰＣＳ接続枚数計算ツール!$B$119:$P$149,12,FALSE),0,1)</f>
        <v>0</v>
      </c>
      <c r="M18" s="85">
        <f>ROUNDDOWN((高温電圧!M18*高温電圧!M$2-VLOOKUP(HUAWEI製ＰＣＳ接続枚数計算ツール!$C$9,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HUAWEI製ＰＣＳ接続枚数計算ツール!$B$119:$P$149,14,FALSE),0)/100*IF(高温電圧!M18*高温電圧!M$2&lt;VLOOKUP(HUAWEI製ＰＣＳ接続枚数計算ツール!$C$9, HUAWEI製ＰＣＳ接続枚数計算ツール!$B$119:$P$149,12,FALSE),0,1)</f>
        <v>0</v>
      </c>
      <c r="N18" s="85">
        <f>ROUNDDOWN((高温電圧!N18*高温電圧!N$2-VLOOKUP(HUAWEI製ＰＣＳ接続枚数計算ツール!$C$9,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HUAWEI製ＰＣＳ接続枚数計算ツール!$B$119:$P$149,14,FALSE),0)/100*IF(高温電圧!N18*高温電圧!N$2&lt;VLOOKUP(HUAWEI製ＰＣＳ接続枚数計算ツール!$C$9, HUAWEI製ＰＣＳ接続枚数計算ツール!$B$119:$P$149,12,FALSE),0,1)</f>
        <v>0</v>
      </c>
      <c r="O18" s="85">
        <f>ROUNDDOWN((高温電圧!O18*高温電圧!O$2-VLOOKUP(HUAWEI製ＰＣＳ接続枚数計算ツール!$C$9,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HUAWEI製ＰＣＳ接続枚数計算ツール!$B$119:$P$149,14,FALSE),0)/100*IF(高温電圧!O18*高温電圧!O$2&lt;VLOOKUP(HUAWEI製ＰＣＳ接続枚数計算ツール!$C$9, HUAWEI製ＰＣＳ接続枚数計算ツール!$B$119:$P$149,12,FALSE),0,1)</f>
        <v>0.69</v>
      </c>
      <c r="P18" s="85">
        <f>ROUNDDOWN((高温電圧!P18*高温電圧!P$2-VLOOKUP(HUAWEI製ＰＣＳ接続枚数計算ツール!$C$9,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HUAWEI製ＰＣＳ接続枚数計算ツール!$B$119:$P$149,14,FALSE),0)/100*IF(高温電圧!P18*高温電圧!P$2&lt;VLOOKUP(HUAWEI製ＰＣＳ接続枚数計算ツール!$C$9, HUAWEI製ＰＣＳ接続枚数計算ツール!$B$119:$P$149,12,FALSE),0,1)</f>
        <v>0.77</v>
      </c>
      <c r="Q18" s="85">
        <f>ROUNDDOWN((高温電圧!Q18*高温電圧!Q$2-VLOOKUP(HUAWEI製ＰＣＳ接続枚数計算ツール!$C$9,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HUAWEI製ＰＣＳ接続枚数計算ツール!$B$119:$P$149,14,FALSE),0)/100*IF(高温電圧!Q18*高温電圧!Q$2&lt;VLOOKUP(HUAWEI製ＰＣＳ接続枚数計算ツール!$C$9, HUAWEI製ＰＣＳ接続枚数計算ツール!$B$119:$P$149,12,FALSE),0,1)</f>
        <v>0.84</v>
      </c>
      <c r="R18" s="85">
        <f>ROUNDDOWN((高温電圧!R18*高温電圧!R$2-VLOOKUP(HUAWEI製ＰＣＳ接続枚数計算ツール!$C$9,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HUAWEI製ＰＣＳ接続枚数計算ツール!$B$119:$P$149,14,FALSE),0)/100*IF(高温電圧!R18*高温電圧!R$2&lt;VLOOKUP(HUAWEI製ＰＣＳ接続枚数計算ツール!$C$9, HUAWEI製ＰＣＳ接続枚数計算ツール!$B$119:$P$149,12,FALSE),0,1)</f>
        <v>0.91</v>
      </c>
      <c r="S18" s="85">
        <f>ROUNDDOWN((高温電圧!S18*高温電圧!S$2-VLOOKUP(HUAWEI製ＰＣＳ接続枚数計算ツール!$C$9,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HUAWEI製ＰＣＳ接続枚数計算ツール!$B$119:$P$149,14,FALSE),0)/100*IF(高温電圧!S18*高温電圧!S$2&lt;VLOOKUP(HUAWEI製ＰＣＳ接続枚数計算ツール!$C$9, HUAWEI製ＰＣＳ接続枚数計算ツール!$B$119:$P$149,12,FALSE),0,1)</f>
        <v>0.98</v>
      </c>
      <c r="T18" s="85">
        <f>ROUNDDOWN((高温電圧!T18*高温電圧!T$2-VLOOKUP(HUAWEI製ＰＣＳ接続枚数計算ツール!$C$9,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HUAWEI製ＰＣＳ接続枚数計算ツール!$B$119:$P$149,14,FALSE),0)/100*IF(高温電圧!T18*高温電圧!T$2&lt;VLOOKUP(HUAWEI製ＰＣＳ接続枚数計算ツール!$C$9, HUAWEI製ＰＣＳ接続枚数計算ツール!$B$119:$P$149,12,FALSE),0,1)</f>
        <v>1.06</v>
      </c>
      <c r="U18" s="85">
        <f>ROUNDDOWN((高温電圧!U18*高温電圧!U$2-VLOOKUP(HUAWEI製ＰＣＳ接続枚数計算ツール!$C$9,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HUAWEI製ＰＣＳ接続枚数計算ツール!$B$119:$P$149,14,FALSE),0)/100*IF(高温電圧!U18*高温電圧!U$2&lt;VLOOKUP(HUAWEI製ＰＣＳ接続枚数計算ツール!$C$9, HUAWEI製ＰＣＳ接続枚数計算ツール!$B$119:$P$149,12,FALSE),0,1)</f>
        <v>1.1299999999999999</v>
      </c>
      <c r="V18" s="85">
        <f>ROUNDDOWN((高温電圧!V18*高温電圧!V$2-VLOOKUP(HUAWEI製ＰＣＳ接続枚数計算ツール!$C$9,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HUAWEI製ＰＣＳ接続枚数計算ツール!$B$119:$P$149,14,FALSE),0)/100*IF(高温電圧!V18*高温電圧!V$2&lt;VLOOKUP(HUAWEI製ＰＣＳ接続枚数計算ツール!$C$9, HUAWEI製ＰＣＳ接続枚数計算ツール!$B$119:$P$149,12,FALSE),0,1)</f>
        <v>1.2</v>
      </c>
      <c r="W18" s="85">
        <f>ROUNDDOWN((高温電圧!W18*高温電圧!W$2-VLOOKUP(HUAWEI製ＰＣＳ接続枚数計算ツール!$C$9,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HUAWEI製ＰＣＳ接続枚数計算ツール!$B$119:$P$149,14,FALSE),0)/100*IF(高温電圧!W18*高温電圧!W$2&lt;VLOOKUP(HUAWEI製ＰＣＳ接続枚数計算ツール!$C$9, HUAWEI製ＰＣＳ接続枚数計算ツール!$B$119:$P$149,12,FALSE),0,1)</f>
        <v>1.26</v>
      </c>
      <c r="X18" s="85">
        <f>ROUNDDOWN((高温電圧!X18*高温電圧!X$2-VLOOKUP(HUAWEI製ＰＣＳ接続枚数計算ツール!$C$9,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HUAWEI製ＰＣＳ接続枚数計算ツール!$B$119:$P$149,14,FALSE),0)/100*IF(高温電圧!X18*高温電圧!X$2&lt;VLOOKUP(HUAWEI製ＰＣＳ接続枚数計算ツール!$C$9, HUAWEI製ＰＣＳ接続枚数計算ツール!$B$119:$P$149,12,FALSE),0,1)</f>
        <v>1.33</v>
      </c>
      <c r="Y18" s="85">
        <f>ROUNDDOWN((高温電圧!Y18*高温電圧!Y$2-VLOOKUP(HUAWEI製ＰＣＳ接続枚数計算ツール!$C$9,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HUAWEI製ＰＣＳ接続枚数計算ツール!$B$119:$P$149,14,FALSE),0)/100*IF(高温電圧!Y18*高温電圧!Y$2&lt;VLOOKUP(HUAWEI製ＰＣＳ接続枚数計算ツール!$C$9, HUAWEI製ＰＣＳ接続枚数計算ツール!$B$119:$P$149,12,FALSE),0,1)</f>
        <v>1.4</v>
      </c>
      <c r="Z18" s="85">
        <f>ROUNDDOWN((高温電圧!Z18*高温電圧!Z$2-VLOOKUP(HUAWEI製ＰＣＳ接続枚数計算ツール!$C$9,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HUAWEI製ＰＣＳ接続枚数計算ツール!$B$119:$P$149,14,FALSE),0)/100*IF(高温電圧!Z18*高温電圧!Z$2&lt;VLOOKUP(HUAWEI製ＰＣＳ接続枚数計算ツール!$C$9, HUAWEI製ＰＣＳ接続枚数計算ツール!$B$119:$P$149,12,FALSE),0,1)</f>
        <v>1.47</v>
      </c>
      <c r="AA18" s="85">
        <f>ROUNDDOWN((高温電圧!AA18*高温電圧!AA$2-VLOOKUP(HUAWEI製ＰＣＳ接続枚数計算ツール!$C$9,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HUAWEI製ＰＣＳ接続枚数計算ツール!$B$119:$P$149,14,FALSE),0)/100*IF(高温電圧!AA18*高温電圧!AA$2&lt;VLOOKUP(HUAWEI製ＰＣＳ接続枚数計算ツール!$C$9, HUAWEI製ＰＣＳ接続枚数計算ツール!$B$119:$P$149,12,FALSE),0,1)</f>
        <v>1.54</v>
      </c>
      <c r="AB18" s="85">
        <f>ROUNDDOWN((高温電圧!AB18*高温電圧!AB$2-VLOOKUP(HUAWEI製ＰＣＳ接続枚数計算ツール!$C$9,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HUAWEI製ＰＣＳ接続枚数計算ツール!$B$119:$P$149,14,FALSE),0)/100*IF(高温電圧!AB18*高温電圧!AB$2&lt;VLOOKUP(HUAWEI製ＰＣＳ接続枚数計算ツール!$C$9, HUAWEI製ＰＣＳ接続枚数計算ツール!$B$119:$P$149,12,FALSE),0,1)</f>
        <v>1.61</v>
      </c>
      <c r="AC18" s="85">
        <f>ROUNDDOWN((高温電圧!AC18*高温電圧!AC$2-VLOOKUP(HUAWEI製ＰＣＳ接続枚数計算ツール!$C$9,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HUAWEI製ＰＣＳ接続枚数計算ツール!$B$119:$P$149,14,FALSE),0)/100*IF(高温電圧!AC18*高温電圧!AC$2&lt;VLOOKUP(HUAWEI製ＰＣＳ接続枚数計算ツール!$C$9, HUAWEI製ＰＣＳ接続枚数計算ツール!$B$119:$P$149,12,FALSE),0,1)</f>
        <v>1.68</v>
      </c>
      <c r="AD18" s="85">
        <f>ROUNDDOWN((高温電圧!AD18*高温電圧!AD$2-VLOOKUP(HUAWEI製ＰＣＳ接続枚数計算ツール!$C$9,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HUAWEI製ＰＣＳ接続枚数計算ツール!$B$119:$P$149,14,FALSE),0)/100*IF(高温電圧!AD18*高温電圧!AD$2&lt;VLOOKUP(HUAWEI製ＰＣＳ接続枚数計算ツール!$C$9, HUAWEI製ＰＣＳ接続枚数計算ツール!$B$119:$P$149,12,FALSE),0,1)</f>
        <v>1.75</v>
      </c>
      <c r="AE18" s="85">
        <f>ROUNDDOWN((高温電圧!AE18*高温電圧!AE$2-VLOOKUP(HUAWEI製ＰＣＳ接続枚数計算ツール!$C$9,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HUAWEI製ＰＣＳ接続枚数計算ツール!$B$119:$P$149,14,FALSE),0)/100*IF(高温電圧!AE18*高温電圧!AE$2&lt;VLOOKUP(HUAWEI製ＰＣＳ接続枚数計算ツール!$C$9, HUAWEI製ＰＣＳ接続枚数計算ツール!$B$119:$P$149,12,FALSE),0,1)</f>
        <v>1.82</v>
      </c>
      <c r="AF18" s="85">
        <f>ROUNDDOWN((高温電圧!AF18*高温電圧!AF$2-VLOOKUP(HUAWEI製ＰＣＳ接続枚数計算ツール!$C$9,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HUAWEI製ＰＣＳ接続枚数計算ツール!$B$119:$P$149,14,FALSE),0)/100*IF(高温電圧!AF18*高温電圧!AF$2&lt;VLOOKUP(HUAWEI製ＰＣＳ接続枚数計算ツール!$C$9, HUAWEI製ＰＣＳ接続枚数計算ツール!$B$119:$P$149,12,FALSE),0,1)</f>
        <v>1.89</v>
      </c>
      <c r="AG18" s="85">
        <f>ROUNDDOWN((高温電圧!AG18*高温電圧!AG$2-VLOOKUP(HUAWEI製ＰＣＳ接続枚数計算ツール!$C$9,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HUAWEI製ＰＣＳ接続枚数計算ツール!$B$119:$P$149,14,FALSE),0)/100*IF(高温電圧!AG18*高温電圧!AG$2&lt;VLOOKUP(HUAWEI製ＰＣＳ接続枚数計算ツール!$C$9, HUAWEI製ＰＣＳ接続枚数計算ツール!$B$119:$P$149,12,FALSE),0,1)</f>
        <v>1.95</v>
      </c>
      <c r="AH18" s="85">
        <f>ROUNDDOWN((高温電圧!AH18*高温電圧!AH$2-VLOOKUP(HUAWEI製ＰＣＳ接続枚数計算ツール!$C$9,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HUAWEI製ＰＣＳ接続枚数計算ツール!$B$119:$P$149,14,FALSE),0)/100*IF(高温電圧!AH18*高温電圧!AH$2&lt;VLOOKUP(HUAWEI製ＰＣＳ接続枚数計算ツール!$C$9, HUAWEI製ＰＣＳ接続枚数計算ツール!$B$119:$P$149,12,FALSE),0,1)</f>
        <v>2.02</v>
      </c>
      <c r="AI18" s="85">
        <f>ROUNDDOWN((高温電圧!AI18*高温電圧!AI$2-VLOOKUP(HUAWEI製ＰＣＳ接続枚数計算ツール!$C$9,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HUAWEI製ＰＣＳ接続枚数計算ツール!$B$119:$P$149,14,FALSE),0)/100*IF(高温電圧!AI18*高温電圧!AI$2&lt;VLOOKUP(HUAWEI製ＰＣＳ接続枚数計算ツール!$C$9, HUAWEI製ＰＣＳ接続枚数計算ツール!$B$119:$P$149,12,FALSE),0,1)</f>
        <v>2.09</v>
      </c>
      <c r="AJ18" s="85">
        <f>ROUNDDOWN((高温電圧!AJ18*高温電圧!AJ$2-VLOOKUP(HUAWEI製ＰＣＳ接続枚数計算ツール!$C$9,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HUAWEI製ＰＣＳ接続枚数計算ツール!$B$119:$P$149,14,FALSE),0)/100*IF(高温電圧!AJ18*高温電圧!AJ$2&lt;VLOOKUP(HUAWEI製ＰＣＳ接続枚数計算ツール!$C$9, HUAWEI製ＰＣＳ接続枚数計算ツール!$B$119:$P$149,12,FALSE),0,1)</f>
        <v>2.16</v>
      </c>
      <c r="AK18" s="85">
        <f>ROUNDDOWN((高温電圧!AK18*高温電圧!AK$2-VLOOKUP(HUAWEI製ＰＣＳ接続枚数計算ツール!$C$9,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HUAWEI製ＰＣＳ接続枚数計算ツール!$B$119:$P$149,14,FALSE),0)/100*IF(高温電圧!AK18*高温電圧!AK$2&lt;VLOOKUP(HUAWEI製ＰＣＳ接続枚数計算ツール!$C$9, HUAWEI製ＰＣＳ接続枚数計算ツール!$B$119:$P$149,12,FALSE),0,1)</f>
        <v>2.23</v>
      </c>
      <c r="AL18" s="85">
        <f>ROUNDDOWN((高温電圧!AL18*高温電圧!AL$2-VLOOKUP(HUAWEI製ＰＣＳ接続枚数計算ツール!$C$9,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HUAWEI製ＰＣＳ接続枚数計算ツール!$B$119:$P$149,14,FALSE),0)/100*IF(高温電圧!AL18*高温電圧!AL$2&lt;VLOOKUP(HUAWEI製ＰＣＳ接続枚数計算ツール!$C$9, HUAWEI製ＰＣＳ接続枚数計算ツール!$B$119:$P$149,12,FALSE),0,1)</f>
        <v>2.2999999999999998</v>
      </c>
      <c r="AM18" s="85">
        <f>ROUNDDOWN((高温電圧!AM18*高温電圧!AM$2-VLOOKUP(HUAWEI製ＰＣＳ接続枚数計算ツール!$C$9,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HUAWEI製ＰＣＳ接続枚数計算ツール!$B$119:$P$149,14,FALSE),0)/100*IF(高温電圧!AM18*高温電圧!AM$2&lt;VLOOKUP(HUAWEI製ＰＣＳ接続枚数計算ツール!$C$9, HUAWEI製ＰＣＳ接続枚数計算ツール!$B$119:$P$149,12,FALSE),0,1)</f>
        <v>2.37</v>
      </c>
      <c r="AN18" s="85">
        <f>ROUNDDOWN((高温電圧!AN18*高温電圧!AN$2-VLOOKUP(HUAWEI製ＰＣＳ接続枚数計算ツール!$C$9,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HUAWEI製ＰＣＳ接続枚数計算ツール!$B$119:$P$149,14,FALSE),0)/100*IF(高温電圧!AN18*高温電圧!AN$2&lt;VLOOKUP(HUAWEI製ＰＣＳ接続枚数計算ツール!$C$9, HUAWEI製ＰＣＳ接続枚数計算ツール!$B$119:$P$149,12,FALSE),0,1)</f>
        <v>2.4300000000000002</v>
      </c>
      <c r="AO18" s="85">
        <f>ROUNDDOWN((高温電圧!AO18*高温電圧!AO$2-VLOOKUP(HUAWEI製ＰＣＳ接続枚数計算ツール!$C$9,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HUAWEI製ＰＣＳ接続枚数計算ツール!$B$119:$P$149,14,FALSE),0)/100*IF(高温電圧!AO18*高温電圧!AO$2&lt;VLOOKUP(HUAWEI製ＰＣＳ接続枚数計算ツール!$C$9, HUAWEI製ＰＣＳ接続枚数計算ツール!$B$119:$P$149,12,FALSE),0,1)</f>
        <v>2.5</v>
      </c>
    </row>
    <row r="19" spans="1:41">
      <c r="A19">
        <v>17</v>
      </c>
      <c r="B19" s="85">
        <f>ROUNDDOWN((高温電圧!B19*高温電圧!B$2-VLOOKUP(HUAWEI製ＰＣＳ接続枚数計算ツール!$C$9,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HUAWEI製ＰＣＳ接続枚数計算ツール!$B$119:$P$149,14,FALSE),0)/100*IF(高温電圧!B19*高温電圧!B$2&lt;VLOOKUP(HUAWEI製ＰＣＳ接続枚数計算ツール!$C$9, HUAWEI製ＰＣＳ接続枚数計算ツール!$B$119:$P$149,12,FALSE),0,1)</f>
        <v>0</v>
      </c>
      <c r="C19" s="85">
        <f>ROUNDDOWN((高温電圧!C19*高温電圧!C$2-VLOOKUP(HUAWEI製ＰＣＳ接続枚数計算ツール!$C$9,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HUAWEI製ＰＣＳ接続枚数計算ツール!$B$119:$P$149,14,FALSE),0)/100*IF(高温電圧!C19*高温電圧!C$2&lt;VLOOKUP(HUAWEI製ＰＣＳ接続枚数計算ツール!$C$9, HUAWEI製ＰＣＳ接続枚数計算ツール!$B$119:$P$149,12,FALSE),0,1)</f>
        <v>0</v>
      </c>
      <c r="D19" s="85">
        <f>ROUNDDOWN((高温電圧!D19*高温電圧!D$2-VLOOKUP(HUAWEI製ＰＣＳ接続枚数計算ツール!$C$9,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HUAWEI製ＰＣＳ接続枚数計算ツール!$B$119:$P$149,14,FALSE),0)/100*IF(高温電圧!D19*高温電圧!D$2&lt;VLOOKUP(HUAWEI製ＰＣＳ接続枚数計算ツール!$C$9, HUAWEI製ＰＣＳ接続枚数計算ツール!$B$119:$P$149,12,FALSE),0,1)</f>
        <v>0</v>
      </c>
      <c r="E19" s="85">
        <f>ROUNDDOWN((高温電圧!E19*高温電圧!E$2-VLOOKUP(HUAWEI製ＰＣＳ接続枚数計算ツール!$C$9,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HUAWEI製ＰＣＳ接続枚数計算ツール!$B$119:$P$149,14,FALSE),0)/100*IF(高温電圧!E19*高温電圧!E$2&lt;VLOOKUP(HUAWEI製ＰＣＳ接続枚数計算ツール!$C$9, HUAWEI製ＰＣＳ接続枚数計算ツール!$B$119:$P$149,12,FALSE),0,1)</f>
        <v>0</v>
      </c>
      <c r="F19" s="85">
        <f>ROUNDDOWN((高温電圧!F19*高温電圧!F$2-VLOOKUP(HUAWEI製ＰＣＳ接続枚数計算ツール!$C$9,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HUAWEI製ＰＣＳ接続枚数計算ツール!$B$119:$P$149,14,FALSE),0)/100*IF(高温電圧!F19*高温電圧!F$2&lt;VLOOKUP(HUAWEI製ＰＣＳ接続枚数計算ツール!$C$9, HUAWEI製ＰＣＳ接続枚数計算ツール!$B$119:$P$149,12,FALSE),0,1)</f>
        <v>0</v>
      </c>
      <c r="G19" s="85">
        <f>ROUNDDOWN((高温電圧!G19*高温電圧!G$2-VLOOKUP(HUAWEI製ＰＣＳ接続枚数計算ツール!$C$9,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HUAWEI製ＰＣＳ接続枚数計算ツール!$B$119:$P$149,14,FALSE),0)/100*IF(高温電圧!G19*高温電圧!G$2&lt;VLOOKUP(HUAWEI製ＰＣＳ接続枚数計算ツール!$C$9, HUAWEI製ＰＣＳ接続枚数計算ツール!$B$119:$P$149,12,FALSE),0,1)</f>
        <v>0</v>
      </c>
      <c r="H19" s="85">
        <f>ROUNDDOWN((高温電圧!H19*高温電圧!H$2-VLOOKUP(HUAWEI製ＰＣＳ接続枚数計算ツール!$C$9,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HUAWEI製ＰＣＳ接続枚数計算ツール!$B$119:$P$149,14,FALSE),0)/100*IF(高温電圧!H19*高温電圧!H$2&lt;VLOOKUP(HUAWEI製ＰＣＳ接続枚数計算ツール!$C$9, HUAWEI製ＰＣＳ接続枚数計算ツール!$B$119:$P$149,12,FALSE),0,1)</f>
        <v>0</v>
      </c>
      <c r="I19" s="85">
        <f>ROUNDDOWN((高温電圧!I19*高温電圧!I$2-VLOOKUP(HUAWEI製ＰＣＳ接続枚数計算ツール!$C$9,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HUAWEI製ＰＣＳ接続枚数計算ツール!$B$119:$P$149,14,FALSE),0)/100*IF(高温電圧!I19*高温電圧!I$2&lt;VLOOKUP(HUAWEI製ＰＣＳ接続枚数計算ツール!$C$9, HUAWEI製ＰＣＳ接続枚数計算ツール!$B$119:$P$149,12,FALSE),0,1)</f>
        <v>0</v>
      </c>
      <c r="J19" s="85">
        <f>ROUNDDOWN((高温電圧!J19*高温電圧!J$2-VLOOKUP(HUAWEI製ＰＣＳ接続枚数計算ツール!$C$9,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HUAWEI製ＰＣＳ接続枚数計算ツール!$B$119:$P$149,14,FALSE),0)/100*IF(高温電圧!J19*高温電圧!J$2&lt;VLOOKUP(HUAWEI製ＰＣＳ接続枚数計算ツール!$C$9, HUAWEI製ＰＣＳ接続枚数計算ツール!$B$119:$P$149,12,FALSE),0,1)</f>
        <v>0</v>
      </c>
      <c r="K19" s="85">
        <f>ROUNDDOWN((高温電圧!K19*高温電圧!K$2-VLOOKUP(HUAWEI製ＰＣＳ接続枚数計算ツール!$C$9,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HUAWEI製ＰＣＳ接続枚数計算ツール!$B$119:$P$149,14,FALSE),0)/100*IF(高温電圧!K19*高温電圧!K$2&lt;VLOOKUP(HUAWEI製ＰＣＳ接続枚数計算ツール!$C$9, HUAWEI製ＰＣＳ接続枚数計算ツール!$B$119:$P$149,12,FALSE),0,1)</f>
        <v>0</v>
      </c>
      <c r="L19" s="85">
        <f>ROUNDDOWN((高温電圧!L19*高温電圧!L$2-VLOOKUP(HUAWEI製ＰＣＳ接続枚数計算ツール!$C$9,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HUAWEI製ＰＣＳ接続枚数計算ツール!$B$119:$P$149,14,FALSE),0)/100*IF(高温電圧!L19*高温電圧!L$2&lt;VLOOKUP(HUAWEI製ＰＣＳ接続枚数計算ツール!$C$9, HUAWEI製ＰＣＳ接続枚数計算ツール!$B$119:$P$149,12,FALSE),0,1)</f>
        <v>0</v>
      </c>
      <c r="M19" s="85">
        <f>ROUNDDOWN((高温電圧!M19*高温電圧!M$2-VLOOKUP(HUAWEI製ＰＣＳ接続枚数計算ツール!$C$9,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HUAWEI製ＰＣＳ接続枚数計算ツール!$B$119:$P$149,14,FALSE),0)/100*IF(高温電圧!M19*高温電圧!M$2&lt;VLOOKUP(HUAWEI製ＰＣＳ接続枚数計算ツール!$C$9, HUAWEI製ＰＣＳ接続枚数計算ツール!$B$119:$P$149,12,FALSE),0,1)</f>
        <v>0</v>
      </c>
      <c r="N19" s="85">
        <f>ROUNDDOWN((高温電圧!N19*高温電圧!N$2-VLOOKUP(HUAWEI製ＰＣＳ接続枚数計算ツール!$C$9,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HUAWEI製ＰＣＳ接続枚数計算ツール!$B$119:$P$149,14,FALSE),0)/100*IF(高温電圧!N19*高温電圧!N$2&lt;VLOOKUP(HUAWEI製ＰＣＳ接続枚数計算ツール!$C$9, HUAWEI製ＰＣＳ接続枚数計算ツール!$B$119:$P$149,12,FALSE),0,1)</f>
        <v>0.63</v>
      </c>
      <c r="O19" s="85">
        <f>ROUNDDOWN((高温電圧!O19*高温電圧!O$2-VLOOKUP(HUAWEI製ＰＣＳ接続枚数計算ツール!$C$9,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HUAWEI製ＰＣＳ接続枚数計算ツール!$B$119:$P$149,14,FALSE),0)/100*IF(高温電圧!O19*高温電圧!O$2&lt;VLOOKUP(HUAWEI製ＰＣＳ接続枚数計算ツール!$C$9, HUAWEI製ＰＣＳ接続枚数計算ツール!$B$119:$P$149,12,FALSE),0,1)</f>
        <v>0.71</v>
      </c>
      <c r="P19" s="85">
        <f>ROUNDDOWN((高温電圧!P19*高温電圧!P$2-VLOOKUP(HUAWEI製ＰＣＳ接続枚数計算ツール!$C$9,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HUAWEI製ＰＣＳ接続枚数計算ツール!$B$119:$P$149,14,FALSE),0)/100*IF(高温電圧!P19*高温電圧!P$2&lt;VLOOKUP(HUAWEI製ＰＣＳ接続枚数計算ツール!$C$9, HUAWEI製ＰＣＳ接続枚数計算ツール!$B$119:$P$149,12,FALSE),0,1)</f>
        <v>0.78</v>
      </c>
      <c r="Q19" s="85">
        <f>ROUNDDOWN((高温電圧!Q19*高温電圧!Q$2-VLOOKUP(HUAWEI製ＰＣＳ接続枚数計算ツール!$C$9,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HUAWEI製ＰＣＳ接続枚数計算ツール!$B$119:$P$149,14,FALSE),0)/100*IF(高温電圧!Q19*高温電圧!Q$2&lt;VLOOKUP(HUAWEI製ＰＣＳ接続枚数計算ツール!$C$9, HUAWEI製ＰＣＳ接続枚数計算ツール!$B$119:$P$149,12,FALSE),0,1)</f>
        <v>0.85</v>
      </c>
      <c r="R19" s="85">
        <f>ROUNDDOWN((高温電圧!R19*高温電圧!R$2-VLOOKUP(HUAWEI製ＰＣＳ接続枚数計算ツール!$C$9,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HUAWEI製ＰＣＳ接続枚数計算ツール!$B$119:$P$149,14,FALSE),0)/100*IF(高温電圧!R19*高温電圧!R$2&lt;VLOOKUP(HUAWEI製ＰＣＳ接続枚数計算ツール!$C$9, HUAWEI製ＰＣＳ接続枚数計算ツール!$B$119:$P$149,12,FALSE),0,1)</f>
        <v>0.92</v>
      </c>
      <c r="S19" s="85">
        <f>ROUNDDOWN((高温電圧!S19*高温電圧!S$2-VLOOKUP(HUAWEI製ＰＣＳ接続枚数計算ツール!$C$9,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HUAWEI製ＰＣＳ接続枚数計算ツール!$B$119:$P$149,14,FALSE),0)/100*IF(高温電圧!S19*高温電圧!S$2&lt;VLOOKUP(HUAWEI製ＰＣＳ接続枚数計算ツール!$C$9, HUAWEI製ＰＣＳ接続枚数計算ツール!$B$119:$P$149,12,FALSE),0,1)</f>
        <v>0.99</v>
      </c>
      <c r="T19" s="85">
        <f>ROUNDDOWN((高温電圧!T19*高温電圧!T$2-VLOOKUP(HUAWEI製ＰＣＳ接続枚数計算ツール!$C$9,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HUAWEI製ＰＣＳ接続枚数計算ツール!$B$119:$P$149,14,FALSE),0)/100*IF(高温電圧!T19*高温電圧!T$2&lt;VLOOKUP(HUAWEI製ＰＣＳ接続枚数計算ツール!$C$9, HUAWEI製ＰＣＳ接続枚数計算ツール!$B$119:$P$149,12,FALSE),0,1)</f>
        <v>1.06</v>
      </c>
      <c r="U19" s="85">
        <f>ROUNDDOWN((高温電圧!U19*高温電圧!U$2-VLOOKUP(HUAWEI製ＰＣＳ接続枚数計算ツール!$C$9,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HUAWEI製ＰＣＳ接続枚数計算ツール!$B$119:$P$149,14,FALSE),0)/100*IF(高温電圧!U19*高温電圧!U$2&lt;VLOOKUP(HUAWEI製ＰＣＳ接続枚数計算ツール!$C$9, HUAWEI製ＰＣＳ接続枚数計算ツール!$B$119:$P$149,12,FALSE),0,1)</f>
        <v>1.1299999999999999</v>
      </c>
      <c r="V19" s="85">
        <f>ROUNDDOWN((高温電圧!V19*高温電圧!V$2-VLOOKUP(HUAWEI製ＰＣＳ接続枚数計算ツール!$C$9,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HUAWEI製ＰＣＳ接続枚数計算ツール!$B$119:$P$149,14,FALSE),0)/100*IF(高温電圧!V19*高温電圧!V$2&lt;VLOOKUP(HUAWEI製ＰＣＳ接続枚数計算ツール!$C$9, HUAWEI製ＰＣＳ接続枚数計算ツール!$B$119:$P$149,12,FALSE),0,1)</f>
        <v>1.2</v>
      </c>
      <c r="W19" s="85">
        <f>ROUNDDOWN((高温電圧!W19*高温電圧!W$2-VLOOKUP(HUAWEI製ＰＣＳ接続枚数計算ツール!$C$9,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HUAWEI製ＰＣＳ接続枚数計算ツール!$B$119:$P$149,14,FALSE),0)/100*IF(高温電圧!W19*高温電圧!W$2&lt;VLOOKUP(HUAWEI製ＰＣＳ接続枚数計算ツール!$C$9, HUAWEI製ＰＣＳ接続枚数計算ツール!$B$119:$P$149,12,FALSE),0,1)</f>
        <v>1.27</v>
      </c>
      <c r="X19" s="85">
        <f>ROUNDDOWN((高温電圧!X19*高温電圧!X$2-VLOOKUP(HUAWEI製ＰＣＳ接続枚数計算ツール!$C$9,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HUAWEI製ＰＣＳ接続枚数計算ツール!$B$119:$P$149,14,FALSE),0)/100*IF(高温電圧!X19*高温電圧!X$2&lt;VLOOKUP(HUAWEI製ＰＣＳ接続枚数計算ツール!$C$9, HUAWEI製ＰＣＳ接続枚数計算ツール!$B$119:$P$149,12,FALSE),0,1)</f>
        <v>1.34</v>
      </c>
      <c r="Y19" s="85">
        <f>ROUNDDOWN((高温電圧!Y19*高温電圧!Y$2-VLOOKUP(HUAWEI製ＰＣＳ接続枚数計算ツール!$C$9,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HUAWEI製ＰＣＳ接続枚数計算ツール!$B$119:$P$149,14,FALSE),0)/100*IF(高温電圧!Y19*高温電圧!Y$2&lt;VLOOKUP(HUAWEI製ＰＣＳ接続枚数計算ツール!$C$9, HUAWEI製ＰＣＳ接続枚数計算ツール!$B$119:$P$149,12,FALSE),0,1)</f>
        <v>1.41</v>
      </c>
      <c r="Z19" s="85">
        <f>ROUNDDOWN((高温電圧!Z19*高温電圧!Z$2-VLOOKUP(HUAWEI製ＰＣＳ接続枚数計算ツール!$C$9,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HUAWEI製ＰＣＳ接続枚数計算ツール!$B$119:$P$149,14,FALSE),0)/100*IF(高温電圧!Z19*高温電圧!Z$2&lt;VLOOKUP(HUAWEI製ＰＣＳ接続枚数計算ツール!$C$9, HUAWEI製ＰＣＳ接続枚数計算ツール!$B$119:$P$149,12,FALSE),0,1)</f>
        <v>1.48</v>
      </c>
      <c r="AA19" s="85">
        <f>ROUNDDOWN((高温電圧!AA19*高温電圧!AA$2-VLOOKUP(HUAWEI製ＰＣＳ接続枚数計算ツール!$C$9,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HUAWEI製ＰＣＳ接続枚数計算ツール!$B$119:$P$149,14,FALSE),0)/100*IF(高温電圧!AA19*高温電圧!AA$2&lt;VLOOKUP(HUAWEI製ＰＣＳ接続枚数計算ツール!$C$9, HUAWEI製ＰＣＳ接続枚数計算ツール!$B$119:$P$149,12,FALSE),0,1)</f>
        <v>1.55</v>
      </c>
      <c r="AB19" s="85">
        <f>ROUNDDOWN((高温電圧!AB19*高温電圧!AB$2-VLOOKUP(HUAWEI製ＰＣＳ接続枚数計算ツール!$C$9,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HUAWEI製ＰＣＳ接続枚数計算ツール!$B$119:$P$149,14,FALSE),0)/100*IF(高温電圧!AB19*高温電圧!AB$2&lt;VLOOKUP(HUAWEI製ＰＣＳ接続枚数計算ツール!$C$9, HUAWEI製ＰＣＳ接続枚数計算ツール!$B$119:$P$149,12,FALSE),0,1)</f>
        <v>1.62</v>
      </c>
      <c r="AC19" s="85">
        <f>ROUNDDOWN((高温電圧!AC19*高温電圧!AC$2-VLOOKUP(HUAWEI製ＰＣＳ接続枚数計算ツール!$C$9,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HUAWEI製ＰＣＳ接続枚数計算ツール!$B$119:$P$149,14,FALSE),0)/100*IF(高温電圧!AC19*高温電圧!AC$2&lt;VLOOKUP(HUAWEI製ＰＣＳ接続枚数計算ツール!$C$9, HUAWEI製ＰＣＳ接続枚数計算ツール!$B$119:$P$149,12,FALSE),0,1)</f>
        <v>1.68</v>
      </c>
      <c r="AD19" s="85">
        <f>ROUNDDOWN((高温電圧!AD19*高温電圧!AD$2-VLOOKUP(HUAWEI製ＰＣＳ接続枚数計算ツール!$C$9,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HUAWEI製ＰＣＳ接続枚数計算ツール!$B$119:$P$149,14,FALSE),0)/100*IF(高温電圧!AD19*高温電圧!AD$2&lt;VLOOKUP(HUAWEI製ＰＣＳ接続枚数計算ツール!$C$9, HUAWEI製ＰＣＳ接続枚数計算ツール!$B$119:$P$149,12,FALSE),0,1)</f>
        <v>1.75</v>
      </c>
      <c r="AE19" s="85">
        <f>ROUNDDOWN((高温電圧!AE19*高温電圧!AE$2-VLOOKUP(HUAWEI製ＰＣＳ接続枚数計算ツール!$C$9,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HUAWEI製ＰＣＳ接続枚数計算ツール!$B$119:$P$149,14,FALSE),0)/100*IF(高温電圧!AE19*高温電圧!AE$2&lt;VLOOKUP(HUAWEI製ＰＣＳ接続枚数計算ツール!$C$9, HUAWEI製ＰＣＳ接続枚数計算ツール!$B$119:$P$149,12,FALSE),0,1)</f>
        <v>1.82</v>
      </c>
      <c r="AF19" s="85">
        <f>ROUNDDOWN((高温電圧!AF19*高温電圧!AF$2-VLOOKUP(HUAWEI製ＰＣＳ接続枚数計算ツール!$C$9,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HUAWEI製ＰＣＳ接続枚数計算ツール!$B$119:$P$149,14,FALSE),0)/100*IF(高温電圧!AF19*高温電圧!AF$2&lt;VLOOKUP(HUAWEI製ＰＣＳ接続枚数計算ツール!$C$9, HUAWEI製ＰＣＳ接続枚数計算ツール!$B$119:$P$149,12,FALSE),0,1)</f>
        <v>1.89</v>
      </c>
      <c r="AG19" s="85">
        <f>ROUNDDOWN((高温電圧!AG19*高温電圧!AG$2-VLOOKUP(HUAWEI製ＰＣＳ接続枚数計算ツール!$C$9,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HUAWEI製ＰＣＳ接続枚数計算ツール!$B$119:$P$149,14,FALSE),0)/100*IF(高温電圧!AG19*高温電圧!AG$2&lt;VLOOKUP(HUAWEI製ＰＣＳ接続枚数計算ツール!$C$9, HUAWEI製ＰＣＳ接続枚数計算ツール!$B$119:$P$149,12,FALSE),0,1)</f>
        <v>1.96</v>
      </c>
      <c r="AH19" s="85">
        <f>ROUNDDOWN((高温電圧!AH19*高温電圧!AH$2-VLOOKUP(HUAWEI製ＰＣＳ接続枚数計算ツール!$C$9,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HUAWEI製ＰＣＳ接続枚数計算ツール!$B$119:$P$149,14,FALSE),0)/100*IF(高温電圧!AH19*高温電圧!AH$2&lt;VLOOKUP(HUAWEI製ＰＣＳ接続枚数計算ツール!$C$9, HUAWEI製ＰＣＳ接続枚数計算ツール!$B$119:$P$149,12,FALSE),0,1)</f>
        <v>2.0299999999999998</v>
      </c>
      <c r="AI19" s="85">
        <f>ROUNDDOWN((高温電圧!AI19*高温電圧!AI$2-VLOOKUP(HUAWEI製ＰＣＳ接続枚数計算ツール!$C$9,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HUAWEI製ＰＣＳ接続枚数計算ツール!$B$119:$P$149,14,FALSE),0)/100*IF(高温電圧!AI19*高温電圧!AI$2&lt;VLOOKUP(HUAWEI製ＰＣＳ接続枚数計算ツール!$C$9, HUAWEI製ＰＣＳ接続枚数計算ツール!$B$119:$P$149,12,FALSE),0,1)</f>
        <v>2.1</v>
      </c>
      <c r="AJ19" s="85">
        <f>ROUNDDOWN((高温電圧!AJ19*高温電圧!AJ$2-VLOOKUP(HUAWEI製ＰＣＳ接続枚数計算ツール!$C$9,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HUAWEI製ＰＣＳ接続枚数計算ツール!$B$119:$P$149,14,FALSE),0)/100*IF(高温電圧!AJ19*高温電圧!AJ$2&lt;VLOOKUP(HUAWEI製ＰＣＳ接続枚数計算ツール!$C$9, HUAWEI製ＰＣＳ接続枚数計算ツール!$B$119:$P$149,12,FALSE),0,1)</f>
        <v>2.16</v>
      </c>
      <c r="AK19" s="85">
        <f>ROUNDDOWN((高温電圧!AK19*高温電圧!AK$2-VLOOKUP(HUAWEI製ＰＣＳ接続枚数計算ツール!$C$9,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HUAWEI製ＰＣＳ接続枚数計算ツール!$B$119:$P$149,14,FALSE),0)/100*IF(高温電圧!AK19*高温電圧!AK$2&lt;VLOOKUP(HUAWEI製ＰＣＳ接続枚数計算ツール!$C$9, HUAWEI製ＰＣＳ接続枚数計算ツール!$B$119:$P$149,12,FALSE),0,1)</f>
        <v>2.23</v>
      </c>
      <c r="AL19" s="85">
        <f>ROUNDDOWN((高温電圧!AL19*高温電圧!AL$2-VLOOKUP(HUAWEI製ＰＣＳ接続枚数計算ツール!$C$9,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HUAWEI製ＰＣＳ接続枚数計算ツール!$B$119:$P$149,14,FALSE),0)/100*IF(高温電圧!AL19*高温電圧!AL$2&lt;VLOOKUP(HUAWEI製ＰＣＳ接続枚数計算ツール!$C$9, HUAWEI製ＰＣＳ接続枚数計算ツール!$B$119:$P$149,12,FALSE),0,1)</f>
        <v>2.2999999999999998</v>
      </c>
      <c r="AM19" s="85">
        <f>ROUNDDOWN((高温電圧!AM19*高温電圧!AM$2-VLOOKUP(HUAWEI製ＰＣＳ接続枚数計算ツール!$C$9,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HUAWEI製ＰＣＳ接続枚数計算ツール!$B$119:$P$149,14,FALSE),0)/100*IF(高温電圧!AM19*高温電圧!AM$2&lt;VLOOKUP(HUAWEI製ＰＣＳ接続枚数計算ツール!$C$9, HUAWEI製ＰＣＳ接続枚数計算ツール!$B$119:$P$149,12,FALSE),0,1)</f>
        <v>2.37</v>
      </c>
      <c r="AN19" s="85">
        <f>ROUNDDOWN((高温電圧!AN19*高温電圧!AN$2-VLOOKUP(HUAWEI製ＰＣＳ接続枚数計算ツール!$C$9,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HUAWEI製ＰＣＳ接続枚数計算ツール!$B$119:$P$149,14,FALSE),0)/100*IF(高温電圧!AN19*高温電圧!AN$2&lt;VLOOKUP(HUAWEI製ＰＣＳ接続枚数計算ツール!$C$9, HUAWEI製ＰＣＳ接続枚数計算ツール!$B$119:$P$149,12,FALSE),0,1)</f>
        <v>2.44</v>
      </c>
      <c r="AO19" s="85">
        <f>ROUNDDOWN((高温電圧!AO19*高温電圧!AO$2-VLOOKUP(HUAWEI製ＰＣＳ接続枚数計算ツール!$C$9,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HUAWEI製ＰＣＳ接続枚数計算ツール!$B$119:$P$149,14,FALSE),0)/100*IF(高温電圧!AO19*高温電圧!AO$2&lt;VLOOKUP(HUAWEI製ＰＣＳ接続枚数計算ツール!$C$9, HUAWEI製ＰＣＳ接続枚数計算ツール!$B$119:$P$149,12,FALSE),0,1)</f>
        <v>2.5099999999999998</v>
      </c>
    </row>
    <row r="20" spans="1:41">
      <c r="A20">
        <v>18</v>
      </c>
      <c r="B20" s="85">
        <f>ROUNDDOWN((高温電圧!B20*高温電圧!B$2-VLOOKUP(HUAWEI製ＰＣＳ接続枚数計算ツール!$C$9,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HUAWEI製ＰＣＳ接続枚数計算ツール!$B$119:$P$149,14,FALSE),0)/100*IF(高温電圧!B20*高温電圧!B$2&lt;VLOOKUP(HUAWEI製ＰＣＳ接続枚数計算ツール!$C$9, HUAWEI製ＰＣＳ接続枚数計算ツール!$B$119:$P$149,12,FALSE),0,1)</f>
        <v>0</v>
      </c>
      <c r="C20" s="85">
        <f>ROUNDDOWN((高温電圧!C20*高温電圧!C$2-VLOOKUP(HUAWEI製ＰＣＳ接続枚数計算ツール!$C$9,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HUAWEI製ＰＣＳ接続枚数計算ツール!$B$119:$P$149,14,FALSE),0)/100*IF(高温電圧!C20*高温電圧!C$2&lt;VLOOKUP(HUAWEI製ＰＣＳ接続枚数計算ツール!$C$9, HUAWEI製ＰＣＳ接続枚数計算ツール!$B$119:$P$149,12,FALSE),0,1)</f>
        <v>0</v>
      </c>
      <c r="D20" s="85">
        <f>ROUNDDOWN((高温電圧!D20*高温電圧!D$2-VLOOKUP(HUAWEI製ＰＣＳ接続枚数計算ツール!$C$9,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HUAWEI製ＰＣＳ接続枚数計算ツール!$B$119:$P$149,14,FALSE),0)/100*IF(高温電圧!D20*高温電圧!D$2&lt;VLOOKUP(HUAWEI製ＰＣＳ接続枚数計算ツール!$C$9, HUAWEI製ＰＣＳ接続枚数計算ツール!$B$119:$P$149,12,FALSE),0,1)</f>
        <v>0</v>
      </c>
      <c r="E20" s="85">
        <f>ROUNDDOWN((高温電圧!E20*高温電圧!E$2-VLOOKUP(HUAWEI製ＰＣＳ接続枚数計算ツール!$C$9,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HUAWEI製ＰＣＳ接続枚数計算ツール!$B$119:$P$149,14,FALSE),0)/100*IF(高温電圧!E20*高温電圧!E$2&lt;VLOOKUP(HUAWEI製ＰＣＳ接続枚数計算ツール!$C$9, HUAWEI製ＰＣＳ接続枚数計算ツール!$B$119:$P$149,12,FALSE),0,1)</f>
        <v>0</v>
      </c>
      <c r="F20" s="85">
        <f>ROUNDDOWN((高温電圧!F20*高温電圧!F$2-VLOOKUP(HUAWEI製ＰＣＳ接続枚数計算ツール!$C$9,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HUAWEI製ＰＣＳ接続枚数計算ツール!$B$119:$P$149,14,FALSE),0)/100*IF(高温電圧!F20*高温電圧!F$2&lt;VLOOKUP(HUAWEI製ＰＣＳ接続枚数計算ツール!$C$9, HUAWEI製ＰＣＳ接続枚数計算ツール!$B$119:$P$149,12,FALSE),0,1)</f>
        <v>0</v>
      </c>
      <c r="G20" s="85">
        <f>ROUNDDOWN((高温電圧!G20*高温電圧!G$2-VLOOKUP(HUAWEI製ＰＣＳ接続枚数計算ツール!$C$9,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HUAWEI製ＰＣＳ接続枚数計算ツール!$B$119:$P$149,14,FALSE),0)/100*IF(高温電圧!G20*高温電圧!G$2&lt;VLOOKUP(HUAWEI製ＰＣＳ接続枚数計算ツール!$C$9, HUAWEI製ＰＣＳ接続枚数計算ツール!$B$119:$P$149,12,FALSE),0,1)</f>
        <v>0</v>
      </c>
      <c r="H20" s="85">
        <f>ROUNDDOWN((高温電圧!H20*高温電圧!H$2-VLOOKUP(HUAWEI製ＰＣＳ接続枚数計算ツール!$C$9,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HUAWEI製ＰＣＳ接続枚数計算ツール!$B$119:$P$149,14,FALSE),0)/100*IF(高温電圧!H20*高温電圧!H$2&lt;VLOOKUP(HUAWEI製ＰＣＳ接続枚数計算ツール!$C$9, HUAWEI製ＰＣＳ接続枚数計算ツール!$B$119:$P$149,12,FALSE),0,1)</f>
        <v>0</v>
      </c>
      <c r="I20" s="85">
        <f>ROUNDDOWN((高温電圧!I20*高温電圧!I$2-VLOOKUP(HUAWEI製ＰＣＳ接続枚数計算ツール!$C$9,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HUAWEI製ＰＣＳ接続枚数計算ツール!$B$119:$P$149,14,FALSE),0)/100*IF(高温電圧!I20*高温電圧!I$2&lt;VLOOKUP(HUAWEI製ＰＣＳ接続枚数計算ツール!$C$9, HUAWEI製ＰＣＳ接続枚数計算ツール!$B$119:$P$149,12,FALSE),0,1)</f>
        <v>0</v>
      </c>
      <c r="J20" s="85">
        <f>ROUNDDOWN((高温電圧!J20*高温電圧!J$2-VLOOKUP(HUAWEI製ＰＣＳ接続枚数計算ツール!$C$9,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HUAWEI製ＰＣＳ接続枚数計算ツール!$B$119:$P$149,14,FALSE),0)/100*IF(高温電圧!J20*高温電圧!J$2&lt;VLOOKUP(HUAWEI製ＰＣＳ接続枚数計算ツール!$C$9, HUAWEI製ＰＣＳ接続枚数計算ツール!$B$119:$P$149,12,FALSE),0,1)</f>
        <v>0</v>
      </c>
      <c r="K20" s="85">
        <f>ROUNDDOWN((高温電圧!K20*高温電圧!K$2-VLOOKUP(HUAWEI製ＰＣＳ接続枚数計算ツール!$C$9,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HUAWEI製ＰＣＳ接続枚数計算ツール!$B$119:$P$149,14,FALSE),0)/100*IF(高温電圧!K20*高温電圧!K$2&lt;VLOOKUP(HUAWEI製ＰＣＳ接続枚数計算ツール!$C$9, HUAWEI製ＰＣＳ接続枚数計算ツール!$B$119:$P$149,12,FALSE),0,1)</f>
        <v>0</v>
      </c>
      <c r="L20" s="85">
        <f>ROUNDDOWN((高温電圧!L20*高温電圧!L$2-VLOOKUP(HUAWEI製ＰＣＳ接続枚数計算ツール!$C$9,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HUAWEI製ＰＣＳ接続枚数計算ツール!$B$119:$P$149,14,FALSE),0)/100*IF(高温電圧!L20*高温電圧!L$2&lt;VLOOKUP(HUAWEI製ＰＣＳ接続枚数計算ツール!$C$9, HUAWEI製ＰＣＳ接続枚数計算ツール!$B$119:$P$149,12,FALSE),0,1)</f>
        <v>0</v>
      </c>
      <c r="M20" s="85">
        <f>ROUNDDOWN((高温電圧!M20*高温電圧!M$2-VLOOKUP(HUAWEI製ＰＣＳ接続枚数計算ツール!$C$9,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HUAWEI製ＰＣＳ接続枚数計算ツール!$B$119:$P$149,14,FALSE),0)/100*IF(高温電圧!M20*高温電圧!M$2&lt;VLOOKUP(HUAWEI製ＰＣＳ接続枚数計算ツール!$C$9, HUAWEI製ＰＣＳ接続枚数計算ツール!$B$119:$P$149,12,FALSE),0,1)</f>
        <v>0</v>
      </c>
      <c r="N20" s="85">
        <f>ROUNDDOWN((高温電圧!N20*高温電圧!N$2-VLOOKUP(HUAWEI製ＰＣＳ接続枚数計算ツール!$C$9,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HUAWEI製ＰＣＳ接続枚数計算ツール!$B$119:$P$149,14,FALSE),0)/100*IF(高温電圧!N20*高温電圧!N$2&lt;VLOOKUP(HUAWEI製ＰＣＳ接続枚数計算ツール!$C$9, HUAWEI製ＰＣＳ接続枚数計算ツール!$B$119:$P$149,12,FALSE),0,1)</f>
        <v>0.64</v>
      </c>
      <c r="O20" s="85">
        <f>ROUNDDOWN((高温電圧!O20*高温電圧!O$2-VLOOKUP(HUAWEI製ＰＣＳ接続枚数計算ツール!$C$9,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HUAWEI製ＰＣＳ接続枚数計算ツール!$B$119:$P$149,14,FALSE),0)/100*IF(高温電圧!O20*高温電圧!O$2&lt;VLOOKUP(HUAWEI製ＰＣＳ接続枚数計算ツール!$C$9, HUAWEI製ＰＣＳ接続枚数計算ツール!$B$119:$P$149,12,FALSE),0,1)</f>
        <v>0.72</v>
      </c>
      <c r="P20" s="85">
        <f>ROUNDDOWN((高温電圧!P20*高温電圧!P$2-VLOOKUP(HUAWEI製ＰＣＳ接続枚数計算ツール!$C$9,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HUAWEI製ＰＣＳ接続枚数計算ツール!$B$119:$P$149,14,FALSE),0)/100*IF(高温電圧!P20*高温電圧!P$2&lt;VLOOKUP(HUAWEI製ＰＣＳ接続枚数計算ツール!$C$9, HUAWEI製ＰＣＳ接続枚数計算ツール!$B$119:$P$149,12,FALSE),0,1)</f>
        <v>0.79</v>
      </c>
      <c r="Q20" s="85">
        <f>ROUNDDOWN((高温電圧!Q20*高温電圧!Q$2-VLOOKUP(HUAWEI製ＰＣＳ接続枚数計算ツール!$C$9,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HUAWEI製ＰＣＳ接続枚数計算ツール!$B$119:$P$149,14,FALSE),0)/100*IF(高温電圧!Q20*高温電圧!Q$2&lt;VLOOKUP(HUAWEI製ＰＣＳ接続枚数計算ツール!$C$9, HUAWEI製ＰＣＳ接続枚数計算ツール!$B$119:$P$149,12,FALSE),0,1)</f>
        <v>0.86</v>
      </c>
      <c r="R20" s="85">
        <f>ROUNDDOWN((高温電圧!R20*高温電圧!R$2-VLOOKUP(HUAWEI製ＰＣＳ接続枚数計算ツール!$C$9,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HUAWEI製ＰＣＳ接続枚数計算ツール!$B$119:$P$149,14,FALSE),0)/100*IF(高温電圧!R20*高温電圧!R$2&lt;VLOOKUP(HUAWEI製ＰＣＳ接続枚数計算ツール!$C$9, HUAWEI製ＰＣＳ接続枚数計算ツール!$B$119:$P$149,12,FALSE),0,1)</f>
        <v>0.93</v>
      </c>
      <c r="S20" s="85">
        <f>ROUNDDOWN((高温電圧!S20*高温電圧!S$2-VLOOKUP(HUAWEI製ＰＣＳ接続枚数計算ツール!$C$9,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HUAWEI製ＰＣＳ接続枚数計算ツール!$B$119:$P$149,14,FALSE),0)/100*IF(高温電圧!S20*高温電圧!S$2&lt;VLOOKUP(HUAWEI製ＰＣＳ接続枚数計算ツール!$C$9, HUAWEI製ＰＣＳ接続枚数計算ツール!$B$119:$P$149,12,FALSE),0,1)</f>
        <v>1</v>
      </c>
      <c r="T20" s="85">
        <f>ROUNDDOWN((高温電圧!T20*高温電圧!T$2-VLOOKUP(HUAWEI製ＰＣＳ接続枚数計算ツール!$C$9,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HUAWEI製ＰＣＳ接続枚数計算ツール!$B$119:$P$149,14,FALSE),0)/100*IF(高温電圧!T20*高温電圧!T$2&lt;VLOOKUP(HUAWEI製ＰＣＳ接続枚数計算ツール!$C$9, HUAWEI製ＰＣＳ接続枚数計算ツール!$B$119:$P$149,12,FALSE),0,1)</f>
        <v>1.07</v>
      </c>
      <c r="U20" s="85">
        <f>ROUNDDOWN((高温電圧!U20*高温電圧!U$2-VLOOKUP(HUAWEI製ＰＣＳ接続枚数計算ツール!$C$9,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HUAWEI製ＰＣＳ接続枚数計算ツール!$B$119:$P$149,14,FALSE),0)/100*IF(高温電圧!U20*高温電圧!U$2&lt;VLOOKUP(HUAWEI製ＰＣＳ接続枚数計算ツール!$C$9, HUAWEI製ＰＣＳ接続枚数計算ツール!$B$119:$P$149,12,FALSE),0,1)</f>
        <v>1.1399999999999999</v>
      </c>
      <c r="V20" s="85">
        <f>ROUNDDOWN((高温電圧!V20*高温電圧!V$2-VLOOKUP(HUAWEI製ＰＣＳ接続枚数計算ツール!$C$9,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HUAWEI製ＰＣＳ接続枚数計算ツール!$B$119:$P$149,14,FALSE),0)/100*IF(高温電圧!V20*高温電圧!V$2&lt;VLOOKUP(HUAWEI製ＰＣＳ接続枚数計算ツール!$C$9, HUAWEI製ＰＣＳ接続枚数計算ツール!$B$119:$P$149,12,FALSE),0,1)</f>
        <v>1.21</v>
      </c>
      <c r="W20" s="85">
        <f>ROUNDDOWN((高温電圧!W20*高温電圧!W$2-VLOOKUP(HUAWEI製ＰＣＳ接続枚数計算ツール!$C$9,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HUAWEI製ＰＣＳ接続枚数計算ツール!$B$119:$P$149,14,FALSE),0)/100*IF(高温電圧!W20*高温電圧!W$2&lt;VLOOKUP(HUAWEI製ＰＣＳ接続枚数計算ツール!$C$9, HUAWEI製ＰＣＳ接続枚数計算ツール!$B$119:$P$149,12,FALSE),0,1)</f>
        <v>1.28</v>
      </c>
      <c r="X20" s="85">
        <f>ROUNDDOWN((高温電圧!X20*高温電圧!X$2-VLOOKUP(HUAWEI製ＰＣＳ接続枚数計算ツール!$C$9,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HUAWEI製ＰＣＳ接続枚数計算ツール!$B$119:$P$149,14,FALSE),0)/100*IF(高温電圧!X20*高温電圧!X$2&lt;VLOOKUP(HUAWEI製ＰＣＳ接続枚数計算ツール!$C$9, HUAWEI製ＰＣＳ接続枚数計算ツール!$B$119:$P$149,12,FALSE),0,1)</f>
        <v>1.35</v>
      </c>
      <c r="Y20" s="85">
        <f>ROUNDDOWN((高温電圧!Y20*高温電圧!Y$2-VLOOKUP(HUAWEI製ＰＣＳ接続枚数計算ツール!$C$9,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HUAWEI製ＰＣＳ接続枚数計算ツール!$B$119:$P$149,14,FALSE),0)/100*IF(高温電圧!Y20*高温電圧!Y$2&lt;VLOOKUP(HUAWEI製ＰＣＳ接続枚数計算ツール!$C$9, HUAWEI製ＰＣＳ接続枚数計算ツール!$B$119:$P$149,12,FALSE),0,1)</f>
        <v>1.41</v>
      </c>
      <c r="Z20" s="85">
        <f>ROUNDDOWN((高温電圧!Z20*高温電圧!Z$2-VLOOKUP(HUAWEI製ＰＣＳ接続枚数計算ツール!$C$9,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HUAWEI製ＰＣＳ接続枚数計算ツール!$B$119:$P$149,14,FALSE),0)/100*IF(高温電圧!Z20*高温電圧!Z$2&lt;VLOOKUP(HUAWEI製ＰＣＳ接続枚数計算ツール!$C$9, HUAWEI製ＰＣＳ接続枚数計算ツール!$B$119:$P$149,12,FALSE),0,1)</f>
        <v>1.48</v>
      </c>
      <c r="AA20" s="85">
        <f>ROUNDDOWN((高温電圧!AA20*高温電圧!AA$2-VLOOKUP(HUAWEI製ＰＣＳ接続枚数計算ツール!$C$9,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HUAWEI製ＰＣＳ接続枚数計算ツール!$B$119:$P$149,14,FALSE),0)/100*IF(高温電圧!AA20*高温電圧!AA$2&lt;VLOOKUP(HUAWEI製ＰＣＳ接続枚数計算ツール!$C$9, HUAWEI製ＰＣＳ接続枚数計算ツール!$B$119:$P$149,12,FALSE),0,1)</f>
        <v>1.55</v>
      </c>
      <c r="AB20" s="85">
        <f>ROUNDDOWN((高温電圧!AB20*高温電圧!AB$2-VLOOKUP(HUAWEI製ＰＣＳ接続枚数計算ツール!$C$9,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HUAWEI製ＰＣＳ接続枚数計算ツール!$B$119:$P$149,14,FALSE),0)/100*IF(高温電圧!AB20*高温電圧!AB$2&lt;VLOOKUP(HUAWEI製ＰＣＳ接続枚数計算ツール!$C$9, HUAWEI製ＰＣＳ接続枚数計算ツール!$B$119:$P$149,12,FALSE),0,1)</f>
        <v>1.62</v>
      </c>
      <c r="AC20" s="85">
        <f>ROUNDDOWN((高温電圧!AC20*高温電圧!AC$2-VLOOKUP(HUAWEI製ＰＣＳ接続枚数計算ツール!$C$9,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HUAWEI製ＰＣＳ接続枚数計算ツール!$B$119:$P$149,14,FALSE),0)/100*IF(高温電圧!AC20*高温電圧!AC$2&lt;VLOOKUP(HUAWEI製ＰＣＳ接続枚数計算ツール!$C$9, HUAWEI製ＰＣＳ接続枚数計算ツール!$B$119:$P$149,12,FALSE),0,1)</f>
        <v>1.69</v>
      </c>
      <c r="AD20" s="85">
        <f>ROUNDDOWN((高温電圧!AD20*高温電圧!AD$2-VLOOKUP(HUAWEI製ＰＣＳ接続枚数計算ツール!$C$9,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HUAWEI製ＰＣＳ接続枚数計算ツール!$B$119:$P$149,14,FALSE),0)/100*IF(高温電圧!AD20*高温電圧!AD$2&lt;VLOOKUP(HUAWEI製ＰＣＳ接続枚数計算ツール!$C$9, HUAWEI製ＰＣＳ接続枚数計算ツール!$B$119:$P$149,12,FALSE),0,1)</f>
        <v>1.76</v>
      </c>
      <c r="AE20" s="85">
        <f>ROUNDDOWN((高温電圧!AE20*高温電圧!AE$2-VLOOKUP(HUAWEI製ＰＣＳ接続枚数計算ツール!$C$9,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HUAWEI製ＰＣＳ接続枚数計算ツール!$B$119:$P$149,14,FALSE),0)/100*IF(高温電圧!AE20*高温電圧!AE$2&lt;VLOOKUP(HUAWEI製ＰＣＳ接続枚数計算ツール!$C$9, HUAWEI製ＰＣＳ接続枚数計算ツール!$B$119:$P$149,12,FALSE),0,1)</f>
        <v>1.83</v>
      </c>
      <c r="AF20" s="85">
        <f>ROUNDDOWN((高温電圧!AF20*高温電圧!AF$2-VLOOKUP(HUAWEI製ＰＣＳ接続枚数計算ツール!$C$9,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HUAWEI製ＰＣＳ接続枚数計算ツール!$B$119:$P$149,14,FALSE),0)/100*IF(高温電圧!AF20*高温電圧!AF$2&lt;VLOOKUP(HUAWEI製ＰＣＳ接続枚数計算ツール!$C$9, HUAWEI製ＰＣＳ接続枚数計算ツール!$B$119:$P$149,12,FALSE),0,1)</f>
        <v>1.9</v>
      </c>
      <c r="AG20" s="85">
        <f>ROUNDDOWN((高温電圧!AG20*高温電圧!AG$2-VLOOKUP(HUAWEI製ＰＣＳ接続枚数計算ツール!$C$9,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HUAWEI製ＰＣＳ接続枚数計算ツール!$B$119:$P$149,14,FALSE),0)/100*IF(高温電圧!AG20*高温電圧!AG$2&lt;VLOOKUP(HUAWEI製ＰＣＳ接続枚数計算ツール!$C$9, HUAWEI製ＰＣＳ接続枚数計算ツール!$B$119:$P$149,12,FALSE),0,1)</f>
        <v>1.96</v>
      </c>
      <c r="AH20" s="85">
        <f>ROUNDDOWN((高温電圧!AH20*高温電圧!AH$2-VLOOKUP(HUAWEI製ＰＣＳ接続枚数計算ツール!$C$9,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HUAWEI製ＰＣＳ接続枚数計算ツール!$B$119:$P$149,14,FALSE),0)/100*IF(高温電圧!AH20*高温電圧!AH$2&lt;VLOOKUP(HUAWEI製ＰＣＳ接続枚数計算ツール!$C$9, HUAWEI製ＰＣＳ接続枚数計算ツール!$B$119:$P$149,12,FALSE),0,1)</f>
        <v>2.0299999999999998</v>
      </c>
      <c r="AI20" s="85">
        <f>ROUNDDOWN((高温電圧!AI20*高温電圧!AI$2-VLOOKUP(HUAWEI製ＰＣＳ接続枚数計算ツール!$C$9,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HUAWEI製ＰＣＳ接続枚数計算ツール!$B$119:$P$149,14,FALSE),0)/100*IF(高温電圧!AI20*高温電圧!AI$2&lt;VLOOKUP(HUAWEI製ＰＣＳ接続枚数計算ツール!$C$9, HUAWEI製ＰＣＳ接続枚数計算ツール!$B$119:$P$149,12,FALSE),0,1)</f>
        <v>2.1</v>
      </c>
      <c r="AJ20" s="85">
        <f>ROUNDDOWN((高温電圧!AJ20*高温電圧!AJ$2-VLOOKUP(HUAWEI製ＰＣＳ接続枚数計算ツール!$C$9,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HUAWEI製ＰＣＳ接続枚数計算ツール!$B$119:$P$149,14,FALSE),0)/100*IF(高温電圧!AJ20*高温電圧!AJ$2&lt;VLOOKUP(HUAWEI製ＰＣＳ接続枚数計算ツール!$C$9, HUAWEI製ＰＣＳ接続枚数計算ツール!$B$119:$P$149,12,FALSE),0,1)</f>
        <v>2.17</v>
      </c>
      <c r="AK20" s="85">
        <f>ROUNDDOWN((高温電圧!AK20*高温電圧!AK$2-VLOOKUP(HUAWEI製ＰＣＳ接続枚数計算ツール!$C$9,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HUAWEI製ＰＣＳ接続枚数計算ツール!$B$119:$P$149,14,FALSE),0)/100*IF(高温電圧!AK20*高温電圧!AK$2&lt;VLOOKUP(HUAWEI製ＰＣＳ接続枚数計算ツール!$C$9, HUAWEI製ＰＣＳ接続枚数計算ツール!$B$119:$P$149,12,FALSE),0,1)</f>
        <v>2.2400000000000002</v>
      </c>
      <c r="AL20" s="85">
        <f>ROUNDDOWN((高温電圧!AL20*高温電圧!AL$2-VLOOKUP(HUAWEI製ＰＣＳ接続枚数計算ツール!$C$9,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HUAWEI製ＰＣＳ接続枚数計算ツール!$B$119:$P$149,14,FALSE),0)/100*IF(高温電圧!AL20*高温電圧!AL$2&lt;VLOOKUP(HUAWEI製ＰＣＳ接続枚数計算ツール!$C$9, HUAWEI製ＰＣＳ接続枚数計算ツール!$B$119:$P$149,12,FALSE),0,1)</f>
        <v>2.31</v>
      </c>
      <c r="AM20" s="85">
        <f>ROUNDDOWN((高温電圧!AM20*高温電圧!AM$2-VLOOKUP(HUAWEI製ＰＣＳ接続枚数計算ツール!$C$9,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HUAWEI製ＰＣＳ接続枚数計算ツール!$B$119:$P$149,14,FALSE),0)/100*IF(高温電圧!AM20*高温電圧!AM$2&lt;VLOOKUP(HUAWEI製ＰＣＳ接続枚数計算ツール!$C$9, HUAWEI製ＰＣＳ接続枚数計算ツール!$B$119:$P$149,12,FALSE),0,1)</f>
        <v>2.37</v>
      </c>
      <c r="AN20" s="85">
        <f>ROUNDDOWN((高温電圧!AN20*高温電圧!AN$2-VLOOKUP(HUAWEI製ＰＣＳ接続枚数計算ツール!$C$9,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HUAWEI製ＰＣＳ接続枚数計算ツール!$B$119:$P$149,14,FALSE),0)/100*IF(高温電圧!AN20*高温電圧!AN$2&lt;VLOOKUP(HUAWEI製ＰＣＳ接続枚数計算ツール!$C$9, HUAWEI製ＰＣＳ接続枚数計算ツール!$B$119:$P$149,12,FALSE),0,1)</f>
        <v>2.44</v>
      </c>
      <c r="AO20" s="85">
        <f>ROUNDDOWN((高温電圧!AO20*高温電圧!AO$2-VLOOKUP(HUAWEI製ＰＣＳ接続枚数計算ツール!$C$9,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HUAWEI製ＰＣＳ接続枚数計算ツール!$B$119:$P$149,14,FALSE),0)/100*IF(高温電圧!AO20*高温電圧!AO$2&lt;VLOOKUP(HUAWEI製ＰＣＳ接続枚数計算ツール!$C$9, HUAWEI製ＰＣＳ接続枚数計算ツール!$B$119:$P$149,12,FALSE),0,1)</f>
        <v>2.5099999999999998</v>
      </c>
    </row>
    <row r="21" spans="1:41">
      <c r="A21">
        <v>19</v>
      </c>
      <c r="B21" s="85">
        <f>ROUNDDOWN((高温電圧!B21*高温電圧!B$2-VLOOKUP(HUAWEI製ＰＣＳ接続枚数計算ツール!$C$9,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HUAWEI製ＰＣＳ接続枚数計算ツール!$B$119:$P$149,14,FALSE),0)/100*IF(高温電圧!B21*高温電圧!B$2&lt;VLOOKUP(HUAWEI製ＰＣＳ接続枚数計算ツール!$C$9, HUAWEI製ＰＣＳ接続枚数計算ツール!$B$119:$P$149,12,FALSE),0,1)</f>
        <v>0</v>
      </c>
      <c r="C21" s="85">
        <f>ROUNDDOWN((高温電圧!C21*高温電圧!C$2-VLOOKUP(HUAWEI製ＰＣＳ接続枚数計算ツール!$C$9,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HUAWEI製ＰＣＳ接続枚数計算ツール!$B$119:$P$149,14,FALSE),0)/100*IF(高温電圧!C21*高温電圧!C$2&lt;VLOOKUP(HUAWEI製ＰＣＳ接続枚数計算ツール!$C$9, HUAWEI製ＰＣＳ接続枚数計算ツール!$B$119:$P$149,12,FALSE),0,1)</f>
        <v>0</v>
      </c>
      <c r="D21" s="85">
        <f>ROUNDDOWN((高温電圧!D21*高温電圧!D$2-VLOOKUP(HUAWEI製ＰＣＳ接続枚数計算ツール!$C$9,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HUAWEI製ＰＣＳ接続枚数計算ツール!$B$119:$P$149,14,FALSE),0)/100*IF(高温電圧!D21*高温電圧!D$2&lt;VLOOKUP(HUAWEI製ＰＣＳ接続枚数計算ツール!$C$9, HUAWEI製ＰＣＳ接続枚数計算ツール!$B$119:$P$149,12,FALSE),0,1)</f>
        <v>0</v>
      </c>
      <c r="E21" s="85">
        <f>ROUNDDOWN((高温電圧!E21*高温電圧!E$2-VLOOKUP(HUAWEI製ＰＣＳ接続枚数計算ツール!$C$9,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HUAWEI製ＰＣＳ接続枚数計算ツール!$B$119:$P$149,14,FALSE),0)/100*IF(高温電圧!E21*高温電圧!E$2&lt;VLOOKUP(HUAWEI製ＰＣＳ接続枚数計算ツール!$C$9, HUAWEI製ＰＣＳ接続枚数計算ツール!$B$119:$P$149,12,FALSE),0,1)</f>
        <v>0</v>
      </c>
      <c r="F21" s="85">
        <f>ROUNDDOWN((高温電圧!F21*高温電圧!F$2-VLOOKUP(HUAWEI製ＰＣＳ接続枚数計算ツール!$C$9,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HUAWEI製ＰＣＳ接続枚数計算ツール!$B$119:$P$149,14,FALSE),0)/100*IF(高温電圧!F21*高温電圧!F$2&lt;VLOOKUP(HUAWEI製ＰＣＳ接続枚数計算ツール!$C$9, HUAWEI製ＰＣＳ接続枚数計算ツール!$B$119:$P$149,12,FALSE),0,1)</f>
        <v>0</v>
      </c>
      <c r="G21" s="85">
        <f>ROUNDDOWN((高温電圧!G21*高温電圧!G$2-VLOOKUP(HUAWEI製ＰＣＳ接続枚数計算ツール!$C$9,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HUAWEI製ＰＣＳ接続枚数計算ツール!$B$119:$P$149,14,FALSE),0)/100*IF(高温電圧!G21*高温電圧!G$2&lt;VLOOKUP(HUAWEI製ＰＣＳ接続枚数計算ツール!$C$9, HUAWEI製ＰＣＳ接続枚数計算ツール!$B$119:$P$149,12,FALSE),0,1)</f>
        <v>0</v>
      </c>
      <c r="H21" s="85">
        <f>ROUNDDOWN((高温電圧!H21*高温電圧!H$2-VLOOKUP(HUAWEI製ＰＣＳ接続枚数計算ツール!$C$9,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HUAWEI製ＰＣＳ接続枚数計算ツール!$B$119:$P$149,14,FALSE),0)/100*IF(高温電圧!H21*高温電圧!H$2&lt;VLOOKUP(HUAWEI製ＰＣＳ接続枚数計算ツール!$C$9, HUAWEI製ＰＣＳ接続枚数計算ツール!$B$119:$P$149,12,FALSE),0,1)</f>
        <v>0</v>
      </c>
      <c r="I21" s="85">
        <f>ROUNDDOWN((高温電圧!I21*高温電圧!I$2-VLOOKUP(HUAWEI製ＰＣＳ接続枚数計算ツール!$C$9,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HUAWEI製ＰＣＳ接続枚数計算ツール!$B$119:$P$149,14,FALSE),0)/100*IF(高温電圧!I21*高温電圧!I$2&lt;VLOOKUP(HUAWEI製ＰＣＳ接続枚数計算ツール!$C$9, HUAWEI製ＰＣＳ接続枚数計算ツール!$B$119:$P$149,12,FALSE),0,1)</f>
        <v>0</v>
      </c>
      <c r="J21" s="85">
        <f>ROUNDDOWN((高温電圧!J21*高温電圧!J$2-VLOOKUP(HUAWEI製ＰＣＳ接続枚数計算ツール!$C$9,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HUAWEI製ＰＣＳ接続枚数計算ツール!$B$119:$P$149,14,FALSE),0)/100*IF(高温電圧!J21*高温電圧!J$2&lt;VLOOKUP(HUAWEI製ＰＣＳ接続枚数計算ツール!$C$9, HUAWEI製ＰＣＳ接続枚数計算ツール!$B$119:$P$149,12,FALSE),0,1)</f>
        <v>0</v>
      </c>
      <c r="K21" s="85">
        <f>ROUNDDOWN((高温電圧!K21*高温電圧!K$2-VLOOKUP(HUAWEI製ＰＣＳ接続枚数計算ツール!$C$9,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HUAWEI製ＰＣＳ接続枚数計算ツール!$B$119:$P$149,14,FALSE),0)/100*IF(高温電圧!K21*高温電圧!K$2&lt;VLOOKUP(HUAWEI製ＰＣＳ接続枚数計算ツール!$C$9, HUAWEI製ＰＣＳ接続枚数計算ツール!$B$119:$P$149,12,FALSE),0,1)</f>
        <v>0</v>
      </c>
      <c r="L21" s="85">
        <f>ROUNDDOWN((高温電圧!L21*高温電圧!L$2-VLOOKUP(HUAWEI製ＰＣＳ接続枚数計算ツール!$C$9,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HUAWEI製ＰＣＳ接続枚数計算ツール!$B$119:$P$149,14,FALSE),0)/100*IF(高温電圧!L21*高温電圧!L$2&lt;VLOOKUP(HUAWEI製ＰＣＳ接続枚数計算ツール!$C$9, HUAWEI製ＰＣＳ接続枚数計算ツール!$B$119:$P$149,12,FALSE),0,1)</f>
        <v>0</v>
      </c>
      <c r="M21" s="85">
        <f>ROUNDDOWN((高温電圧!M21*高温電圧!M$2-VLOOKUP(HUAWEI製ＰＣＳ接続枚数計算ツール!$C$9,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HUAWEI製ＰＣＳ接続枚数計算ツール!$B$119:$P$149,14,FALSE),0)/100*IF(高温電圧!M21*高温電圧!M$2&lt;VLOOKUP(HUAWEI製ＰＣＳ接続枚数計算ツール!$C$9, HUAWEI製ＰＣＳ接続枚数計算ツール!$B$119:$P$149,12,FALSE),0,1)</f>
        <v>0</v>
      </c>
      <c r="N21" s="85">
        <f>ROUNDDOWN((高温電圧!N21*高温電圧!N$2-VLOOKUP(HUAWEI製ＰＣＳ接続枚数計算ツール!$C$9,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HUAWEI製ＰＣＳ接続枚数計算ツール!$B$119:$P$149,14,FALSE),0)/100*IF(高温電圧!N21*高温電圧!N$2&lt;VLOOKUP(HUAWEI製ＰＣＳ接続枚数計算ツール!$C$9, HUAWEI製ＰＣＳ接続枚数計算ツール!$B$119:$P$149,12,FALSE),0,1)</f>
        <v>0</v>
      </c>
      <c r="O21" s="85">
        <f>ROUNDDOWN((高温電圧!O21*高温電圧!O$2-VLOOKUP(HUAWEI製ＰＣＳ接続枚数計算ツール!$C$9,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HUAWEI製ＰＣＳ接続枚数計算ツール!$B$119:$P$149,14,FALSE),0)/100*IF(高温電圧!O21*高温電圧!O$2&lt;VLOOKUP(HUAWEI製ＰＣＳ接続枚数計算ツール!$C$9, HUAWEI製ＰＣＳ接続枚数計算ツール!$B$119:$P$149,12,FALSE),0,1)</f>
        <v>0.64</v>
      </c>
      <c r="P21" s="85">
        <f>ROUNDDOWN((高温電圧!P21*高温電圧!P$2-VLOOKUP(HUAWEI製ＰＣＳ接続枚数計算ツール!$C$9,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HUAWEI製ＰＣＳ接続枚数計算ツール!$B$119:$P$149,14,FALSE),0)/100*IF(高温電圧!P21*高温電圧!P$2&lt;VLOOKUP(HUAWEI製ＰＣＳ接続枚数計算ツール!$C$9, HUAWEI製ＰＣＳ接続枚数計算ツール!$B$119:$P$149,12,FALSE),0,1)</f>
        <v>0.7</v>
      </c>
      <c r="Q21" s="85">
        <f>ROUNDDOWN((高温電圧!Q21*高温電圧!Q$2-VLOOKUP(HUAWEI製ＰＣＳ接続枚数計算ツール!$C$9,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HUAWEI製ＰＣＳ接続枚数計算ツール!$B$119:$P$149,14,FALSE),0)/100*IF(高温電圧!Q21*高温電圧!Q$2&lt;VLOOKUP(HUAWEI製ＰＣＳ接続枚数計算ツール!$C$9, HUAWEI製ＰＣＳ接続枚数計算ツール!$B$119:$P$149,12,FALSE),0,1)</f>
        <v>0.75</v>
      </c>
      <c r="R21" s="85">
        <f>ROUNDDOWN((高温電圧!R21*高温電圧!R$2-VLOOKUP(HUAWEI製ＰＣＳ接続枚数計算ツール!$C$9,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HUAWEI製ＰＣＳ接続枚数計算ツール!$B$119:$P$149,14,FALSE),0)/100*IF(高温電圧!R21*高温電圧!R$2&lt;VLOOKUP(HUAWEI製ＰＣＳ接続枚数計算ツール!$C$9, HUAWEI製ＰＣＳ接続枚数計算ツール!$B$119:$P$149,12,FALSE),0,1)</f>
        <v>0.81</v>
      </c>
      <c r="S21" s="85">
        <f>ROUNDDOWN((高温電圧!S21*高温電圧!S$2-VLOOKUP(HUAWEI製ＰＣＳ接続枚数計算ツール!$C$9,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HUAWEI製ＰＣＳ接続枚数計算ツール!$B$119:$P$149,14,FALSE),0)/100*IF(高温電圧!S21*高温電圧!S$2&lt;VLOOKUP(HUAWEI製ＰＣＳ接続枚数計算ツール!$C$9, HUAWEI製ＰＣＳ接続枚数計算ツール!$B$119:$P$149,12,FALSE),0,1)</f>
        <v>0.87</v>
      </c>
      <c r="T21" s="85">
        <f>ROUNDDOWN((高温電圧!T21*高温電圧!T$2-VLOOKUP(HUAWEI製ＰＣＳ接続枚数計算ツール!$C$9,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HUAWEI製ＰＣＳ接続枚数計算ツール!$B$119:$P$149,14,FALSE),0)/100*IF(高温電圧!T21*高温電圧!T$2&lt;VLOOKUP(HUAWEI製ＰＣＳ接続枚数計算ツール!$C$9, HUAWEI製ＰＣＳ接続枚数計算ツール!$B$119:$P$149,12,FALSE),0,1)</f>
        <v>0.92</v>
      </c>
      <c r="U21" s="85">
        <f>ROUNDDOWN((高温電圧!U21*高温電圧!U$2-VLOOKUP(HUAWEI製ＰＣＳ接続枚数計算ツール!$C$9,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HUAWEI製ＰＣＳ接続枚数計算ツール!$B$119:$P$149,14,FALSE),0)/100*IF(高温電圧!U21*高温電圧!U$2&lt;VLOOKUP(HUAWEI製ＰＣＳ接続枚数計算ツール!$C$9, HUAWEI製ＰＣＳ接続枚数計算ツール!$B$119:$P$149,12,FALSE),0,1)</f>
        <v>0.98</v>
      </c>
      <c r="V21" s="85">
        <f>ROUNDDOWN((高温電圧!V21*高温電圧!V$2-VLOOKUP(HUAWEI製ＰＣＳ接続枚数計算ツール!$C$9,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HUAWEI製ＰＣＳ接続枚数計算ツール!$B$119:$P$149,14,FALSE),0)/100*IF(高温電圧!V21*高温電圧!V$2&lt;VLOOKUP(HUAWEI製ＰＣＳ接続枚数計算ツール!$C$9, HUAWEI製ＰＣＳ接続枚数計算ツール!$B$119:$P$149,12,FALSE),0,1)</f>
        <v>1.04</v>
      </c>
      <c r="W21" s="85">
        <f>ROUNDDOWN((高温電圧!W21*高温電圧!W$2-VLOOKUP(HUAWEI製ＰＣＳ接続枚数計算ツール!$C$9,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HUAWEI製ＰＣＳ接続枚数計算ツール!$B$119:$P$149,14,FALSE),0)/100*IF(高温電圧!W21*高温電圧!W$2&lt;VLOOKUP(HUAWEI製ＰＣＳ接続枚数計算ツール!$C$9, HUAWEI製ＰＣＳ接続枚数計算ツール!$B$119:$P$149,12,FALSE),0,1)</f>
        <v>1.0900000000000001</v>
      </c>
      <c r="X21" s="85">
        <f>ROUNDDOWN((高温電圧!X21*高温電圧!X$2-VLOOKUP(HUAWEI製ＰＣＳ接続枚数計算ツール!$C$9,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HUAWEI製ＰＣＳ接続枚数計算ツール!$B$119:$P$149,14,FALSE),0)/100*IF(高温電圧!X21*高温電圧!X$2&lt;VLOOKUP(HUAWEI製ＰＣＳ接続枚数計算ツール!$C$9, HUAWEI製ＰＣＳ接続枚数計算ツール!$B$119:$P$149,12,FALSE),0,1)</f>
        <v>1.1499999999999999</v>
      </c>
      <c r="Y21" s="85">
        <f>ROUNDDOWN((高温電圧!Y21*高温電圧!Y$2-VLOOKUP(HUAWEI製ＰＣＳ接続枚数計算ツール!$C$9,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HUAWEI製ＰＣＳ接続枚数計算ツール!$B$119:$P$149,14,FALSE),0)/100*IF(高温電圧!Y21*高温電圧!Y$2&lt;VLOOKUP(HUAWEI製ＰＣＳ接続枚数計算ツール!$C$9, HUAWEI製ＰＣＳ接続枚数計算ツール!$B$119:$P$149,12,FALSE),0,1)</f>
        <v>1.2</v>
      </c>
      <c r="Z21" s="85">
        <f>ROUNDDOWN((高温電圧!Z21*高温電圧!Z$2-VLOOKUP(HUAWEI製ＰＣＳ接続枚数計算ツール!$C$9,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HUAWEI製ＰＣＳ接続枚数計算ツール!$B$119:$P$149,14,FALSE),0)/100*IF(高温電圧!Z21*高温電圧!Z$2&lt;VLOOKUP(HUAWEI製ＰＣＳ接続枚数計算ツール!$C$9, HUAWEI製ＰＣＳ接続枚数計算ツール!$B$119:$P$149,12,FALSE),0,1)</f>
        <v>1.26</v>
      </c>
      <c r="AA21" s="85">
        <f>ROUNDDOWN((高温電圧!AA21*高温電圧!AA$2-VLOOKUP(HUAWEI製ＰＣＳ接続枚数計算ツール!$C$9,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HUAWEI製ＰＣＳ接続枚数計算ツール!$B$119:$P$149,14,FALSE),0)/100*IF(高温電圧!AA21*高温電圧!AA$2&lt;VLOOKUP(HUAWEI製ＰＣＳ接続枚数計算ツール!$C$9, HUAWEI製ＰＣＳ接続枚数計算ツール!$B$119:$P$149,12,FALSE),0,1)</f>
        <v>1.32</v>
      </c>
      <c r="AB21" s="85">
        <f>ROUNDDOWN((高温電圧!AB21*高温電圧!AB$2-VLOOKUP(HUAWEI製ＰＣＳ接続枚数計算ツール!$C$9,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HUAWEI製ＰＣＳ接続枚数計算ツール!$B$119:$P$149,14,FALSE),0)/100*IF(高温電圧!AB21*高温電圧!AB$2&lt;VLOOKUP(HUAWEI製ＰＣＳ接続枚数計算ツール!$C$9, HUAWEI製ＰＣＳ接続枚数計算ツール!$B$119:$P$149,12,FALSE),0,1)</f>
        <v>1.37</v>
      </c>
      <c r="AC21" s="85">
        <f>ROUNDDOWN((高温電圧!AC21*高温電圧!AC$2-VLOOKUP(HUAWEI製ＰＣＳ接続枚数計算ツール!$C$9,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HUAWEI製ＰＣＳ接続枚数計算ツール!$B$119:$P$149,14,FALSE),0)/100*IF(高温電圧!AC21*高温電圧!AC$2&lt;VLOOKUP(HUAWEI製ＰＣＳ接続枚数計算ツール!$C$9, HUAWEI製ＰＣＳ接続枚数計算ツール!$B$119:$P$149,12,FALSE),0,1)</f>
        <v>1.43</v>
      </c>
      <c r="AD21" s="85">
        <f>ROUNDDOWN((高温電圧!AD21*高温電圧!AD$2-VLOOKUP(HUAWEI製ＰＣＳ接続枚数計算ツール!$C$9,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HUAWEI製ＰＣＳ接続枚数計算ツール!$B$119:$P$149,14,FALSE),0)/100*IF(高温電圧!AD21*高温電圧!AD$2&lt;VLOOKUP(HUAWEI製ＰＣＳ接続枚数計算ツール!$C$9, HUAWEI製ＰＣＳ接続枚数計算ツール!$B$119:$P$149,12,FALSE),0,1)</f>
        <v>1.49</v>
      </c>
      <c r="AE21" s="85">
        <f>ROUNDDOWN((高温電圧!AE21*高温電圧!AE$2-VLOOKUP(HUAWEI製ＰＣＳ接続枚数計算ツール!$C$9,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HUAWEI製ＰＣＳ接続枚数計算ツール!$B$119:$P$149,14,FALSE),0)/100*IF(高温電圧!AE21*高温電圧!AE$2&lt;VLOOKUP(HUAWEI製ＰＣＳ接続枚数計算ツール!$C$9, HUAWEI製ＰＣＳ接続枚数計算ツール!$B$119:$P$149,12,FALSE),0,1)</f>
        <v>1.54</v>
      </c>
      <c r="AF21" s="85">
        <f>ROUNDDOWN((高温電圧!AF21*高温電圧!AF$2-VLOOKUP(HUAWEI製ＰＣＳ接続枚数計算ツール!$C$9,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HUAWEI製ＰＣＳ接続枚数計算ツール!$B$119:$P$149,14,FALSE),0)/100*IF(高温電圧!AF21*高温電圧!AF$2&lt;VLOOKUP(HUAWEI製ＰＣＳ接続枚数計算ツール!$C$9, HUAWEI製ＰＣＳ接続枚数計算ツール!$B$119:$P$149,12,FALSE),0,1)</f>
        <v>1.6</v>
      </c>
      <c r="AG21" s="85">
        <f>ROUNDDOWN((高温電圧!AG21*高温電圧!AG$2-VLOOKUP(HUAWEI製ＰＣＳ接続枚数計算ツール!$C$9,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HUAWEI製ＰＣＳ接続枚数計算ツール!$B$119:$P$149,14,FALSE),0)/100*IF(高温電圧!AG21*高温電圧!AG$2&lt;VLOOKUP(HUAWEI製ＰＣＳ接続枚数計算ツール!$C$9, HUAWEI製ＰＣＳ接続枚数計算ツール!$B$119:$P$149,12,FALSE),0,1)</f>
        <v>1.65</v>
      </c>
      <c r="AH21" s="85">
        <f>ROUNDDOWN((高温電圧!AH21*高温電圧!AH$2-VLOOKUP(HUAWEI製ＰＣＳ接続枚数計算ツール!$C$9,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HUAWEI製ＰＣＳ接続枚数計算ツール!$B$119:$P$149,14,FALSE),0)/100*IF(高温電圧!AH21*高温電圧!AH$2&lt;VLOOKUP(HUAWEI製ＰＣＳ接続枚数計算ツール!$C$9, HUAWEI製ＰＣＳ接続枚数計算ツール!$B$119:$P$149,12,FALSE),0,1)</f>
        <v>1.71</v>
      </c>
      <c r="AI21" s="85">
        <f>ROUNDDOWN((高温電圧!AI21*高温電圧!AI$2-VLOOKUP(HUAWEI製ＰＣＳ接続枚数計算ツール!$C$9,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HUAWEI製ＰＣＳ接続枚数計算ツール!$B$119:$P$149,14,FALSE),0)/100*IF(高温電圧!AI21*高温電圧!AI$2&lt;VLOOKUP(HUAWEI製ＰＣＳ接続枚数計算ツール!$C$9, HUAWEI製ＰＣＳ接続枚数計算ツール!$B$119:$P$149,12,FALSE),0,1)</f>
        <v>1.77</v>
      </c>
      <c r="AJ21" s="85">
        <f>ROUNDDOWN((高温電圧!AJ21*高温電圧!AJ$2-VLOOKUP(HUAWEI製ＰＣＳ接続枚数計算ツール!$C$9,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HUAWEI製ＰＣＳ接続枚数計算ツール!$B$119:$P$149,14,FALSE),0)/100*IF(高温電圧!AJ21*高温電圧!AJ$2&lt;VLOOKUP(HUAWEI製ＰＣＳ接続枚数計算ツール!$C$9, HUAWEI製ＰＣＳ接続枚数計算ツール!$B$119:$P$149,12,FALSE),0,1)</f>
        <v>1.82</v>
      </c>
      <c r="AK21" s="85">
        <f>ROUNDDOWN((高温電圧!AK21*高温電圧!AK$2-VLOOKUP(HUAWEI製ＰＣＳ接続枚数計算ツール!$C$9,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HUAWEI製ＰＣＳ接続枚数計算ツール!$B$119:$P$149,14,FALSE),0)/100*IF(高温電圧!AK21*高温電圧!AK$2&lt;VLOOKUP(HUAWEI製ＰＣＳ接続枚数計算ツール!$C$9, HUAWEI製ＰＣＳ接続枚数計算ツール!$B$119:$P$149,12,FALSE),0,1)</f>
        <v>1.88</v>
      </c>
      <c r="AL21" s="85">
        <f>ROUNDDOWN((高温電圧!AL21*高温電圧!AL$2-VLOOKUP(HUAWEI製ＰＣＳ接続枚数計算ツール!$C$9,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HUAWEI製ＰＣＳ接続枚数計算ツール!$B$119:$P$149,14,FALSE),0)/100*IF(高温電圧!AL21*高温電圧!AL$2&lt;VLOOKUP(HUAWEI製ＰＣＳ接続枚数計算ツール!$C$9, HUAWEI製ＰＣＳ接続枚数計算ツール!$B$119:$P$149,12,FALSE),0,1)</f>
        <v>1.94</v>
      </c>
      <c r="AM21" s="85">
        <f>ROUNDDOWN((高温電圧!AM21*高温電圧!AM$2-VLOOKUP(HUAWEI製ＰＣＳ接続枚数計算ツール!$C$9,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HUAWEI製ＰＣＳ接続枚数計算ツール!$B$119:$P$149,14,FALSE),0)/100*IF(高温電圧!AM21*高温電圧!AM$2&lt;VLOOKUP(HUAWEI製ＰＣＳ接続枚数計算ツール!$C$9, HUAWEI製ＰＣＳ接続枚数計算ツール!$B$119:$P$149,12,FALSE),0,1)</f>
        <v>1.99</v>
      </c>
      <c r="AN21" s="85">
        <f>ROUNDDOWN((高温電圧!AN21*高温電圧!AN$2-VLOOKUP(HUAWEI製ＰＣＳ接続枚数計算ツール!$C$9,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HUAWEI製ＰＣＳ接続枚数計算ツール!$B$119:$P$149,14,FALSE),0)/100*IF(高温電圧!AN21*高温電圧!AN$2&lt;VLOOKUP(HUAWEI製ＰＣＳ接続枚数計算ツール!$C$9, HUAWEI製ＰＣＳ接続枚数計算ツール!$B$119:$P$149,12,FALSE),0,1)</f>
        <v>2.0499999999999998</v>
      </c>
      <c r="AO21" s="85">
        <f>ROUNDDOWN((高温電圧!AO21*高温電圧!AO$2-VLOOKUP(HUAWEI製ＰＣＳ接続枚数計算ツール!$C$9,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HUAWEI製ＰＣＳ接続枚数計算ツール!$B$119:$P$149,14,FALSE),0)/100*IF(高温電圧!AO21*高温電圧!AO$2&lt;VLOOKUP(HUAWEI製ＰＣＳ接続枚数計算ツール!$C$9, HUAWEI製ＰＣＳ接続枚数計算ツール!$B$119:$P$149,12,FALSE),0,1)</f>
        <v>2.1</v>
      </c>
    </row>
    <row r="22" spans="1:41">
      <c r="A22">
        <v>20</v>
      </c>
      <c r="B22" s="85">
        <f>ROUNDDOWN((高温電圧!B22*高温電圧!B$2-VLOOKUP(HUAWEI製ＰＣＳ接続枚数計算ツール!$C$9,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HUAWEI製ＰＣＳ接続枚数計算ツール!$B$119:$P$149,14,FALSE),0)/100*IF(高温電圧!B22*高温電圧!B$2&lt;VLOOKUP(HUAWEI製ＰＣＳ接続枚数計算ツール!$C$9, HUAWEI製ＰＣＳ接続枚数計算ツール!$B$119:$P$149,12,FALSE),0,1)</f>
        <v>0</v>
      </c>
      <c r="C22" s="85">
        <f>ROUNDDOWN((高温電圧!C22*高温電圧!C$2-VLOOKUP(HUAWEI製ＰＣＳ接続枚数計算ツール!$C$9,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HUAWEI製ＰＣＳ接続枚数計算ツール!$B$119:$P$149,14,FALSE),0)/100*IF(高温電圧!C22*高温電圧!C$2&lt;VLOOKUP(HUAWEI製ＰＣＳ接続枚数計算ツール!$C$9, HUAWEI製ＰＣＳ接続枚数計算ツール!$B$119:$P$149,12,FALSE),0,1)</f>
        <v>0</v>
      </c>
      <c r="D22" s="85">
        <f>ROUNDDOWN((高温電圧!D22*高温電圧!D$2-VLOOKUP(HUAWEI製ＰＣＳ接続枚数計算ツール!$C$9,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HUAWEI製ＰＣＳ接続枚数計算ツール!$B$119:$P$149,14,FALSE),0)/100*IF(高温電圧!D22*高温電圧!D$2&lt;VLOOKUP(HUAWEI製ＰＣＳ接続枚数計算ツール!$C$9, HUAWEI製ＰＣＳ接続枚数計算ツール!$B$119:$P$149,12,FALSE),0,1)</f>
        <v>0</v>
      </c>
      <c r="E22" s="85">
        <f>ROUNDDOWN((高温電圧!E22*高温電圧!E$2-VLOOKUP(HUAWEI製ＰＣＳ接続枚数計算ツール!$C$9,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HUAWEI製ＰＣＳ接続枚数計算ツール!$B$119:$P$149,14,FALSE),0)/100*IF(高温電圧!E22*高温電圧!E$2&lt;VLOOKUP(HUAWEI製ＰＣＳ接続枚数計算ツール!$C$9, HUAWEI製ＰＣＳ接続枚数計算ツール!$B$119:$P$149,12,FALSE),0,1)</f>
        <v>0</v>
      </c>
      <c r="F22" s="85">
        <f>ROUNDDOWN((高温電圧!F22*高温電圧!F$2-VLOOKUP(HUAWEI製ＰＣＳ接続枚数計算ツール!$C$9,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HUAWEI製ＰＣＳ接続枚数計算ツール!$B$119:$P$149,14,FALSE),0)/100*IF(高温電圧!F22*高温電圧!F$2&lt;VLOOKUP(HUAWEI製ＰＣＳ接続枚数計算ツール!$C$9, HUAWEI製ＰＣＳ接続枚数計算ツール!$B$119:$P$149,12,FALSE),0,1)</f>
        <v>0</v>
      </c>
      <c r="G22" s="85">
        <f>ROUNDDOWN((高温電圧!G22*高温電圧!G$2-VLOOKUP(HUAWEI製ＰＣＳ接続枚数計算ツール!$C$9,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HUAWEI製ＰＣＳ接続枚数計算ツール!$B$119:$P$149,14,FALSE),0)/100*IF(高温電圧!G22*高温電圧!G$2&lt;VLOOKUP(HUAWEI製ＰＣＳ接続枚数計算ツール!$C$9, HUAWEI製ＰＣＳ接続枚数計算ツール!$B$119:$P$149,12,FALSE),0,1)</f>
        <v>0</v>
      </c>
      <c r="H22" s="85">
        <f>ROUNDDOWN((高温電圧!H22*高温電圧!H$2-VLOOKUP(HUAWEI製ＰＣＳ接続枚数計算ツール!$C$9,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HUAWEI製ＰＣＳ接続枚数計算ツール!$B$119:$P$149,14,FALSE),0)/100*IF(高温電圧!H22*高温電圧!H$2&lt;VLOOKUP(HUAWEI製ＰＣＳ接続枚数計算ツール!$C$9, HUAWEI製ＰＣＳ接続枚数計算ツール!$B$119:$P$149,12,FALSE),0,1)</f>
        <v>0</v>
      </c>
      <c r="I22" s="85">
        <f>ROUNDDOWN((高温電圧!I22*高温電圧!I$2-VLOOKUP(HUAWEI製ＰＣＳ接続枚数計算ツール!$C$9,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HUAWEI製ＰＣＳ接続枚数計算ツール!$B$119:$P$149,14,FALSE),0)/100*IF(高温電圧!I22*高温電圧!I$2&lt;VLOOKUP(HUAWEI製ＰＣＳ接続枚数計算ツール!$C$9, HUAWEI製ＰＣＳ接続枚数計算ツール!$B$119:$P$149,12,FALSE),0,1)</f>
        <v>0</v>
      </c>
      <c r="J22" s="85">
        <f>ROUNDDOWN((高温電圧!J22*高温電圧!J$2-VLOOKUP(HUAWEI製ＰＣＳ接続枚数計算ツール!$C$9,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HUAWEI製ＰＣＳ接続枚数計算ツール!$B$119:$P$149,14,FALSE),0)/100*IF(高温電圧!J22*高温電圧!J$2&lt;VLOOKUP(HUAWEI製ＰＣＳ接続枚数計算ツール!$C$9, HUAWEI製ＰＣＳ接続枚数計算ツール!$B$119:$P$149,12,FALSE),0,1)</f>
        <v>0</v>
      </c>
      <c r="K22" s="85">
        <f>ROUNDDOWN((高温電圧!K22*高温電圧!K$2-VLOOKUP(HUAWEI製ＰＣＳ接続枚数計算ツール!$C$9,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HUAWEI製ＰＣＳ接続枚数計算ツール!$B$119:$P$149,14,FALSE),0)/100*IF(高温電圧!K22*高温電圧!K$2&lt;VLOOKUP(HUAWEI製ＰＣＳ接続枚数計算ツール!$C$9, HUAWEI製ＰＣＳ接続枚数計算ツール!$B$119:$P$149,12,FALSE),0,1)</f>
        <v>0</v>
      </c>
      <c r="L22" s="85">
        <f>ROUNDDOWN((高温電圧!L22*高温電圧!L$2-VLOOKUP(HUAWEI製ＰＣＳ接続枚数計算ツール!$C$9,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HUAWEI製ＰＣＳ接続枚数計算ツール!$B$119:$P$149,14,FALSE),0)/100*IF(高温電圧!L22*高温電圧!L$2&lt;VLOOKUP(HUAWEI製ＰＣＳ接続枚数計算ツール!$C$9, HUAWEI製ＰＣＳ接続枚数計算ツール!$B$119:$P$149,12,FALSE),0,1)</f>
        <v>0</v>
      </c>
      <c r="M22" s="85">
        <f>ROUNDDOWN((高温電圧!M22*高温電圧!M$2-VLOOKUP(HUAWEI製ＰＣＳ接続枚数計算ツール!$C$9,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HUAWEI製ＰＣＳ接続枚数計算ツール!$B$119:$P$149,14,FALSE),0)/100*IF(高温電圧!M22*高温電圧!M$2&lt;VLOOKUP(HUAWEI製ＰＣＳ接続枚数計算ツール!$C$9, HUAWEI製ＰＣＳ接続枚数計算ツール!$B$119:$P$149,12,FALSE),0,1)</f>
        <v>0</v>
      </c>
      <c r="N22" s="85">
        <f>ROUNDDOWN((高温電圧!N22*高温電圧!N$2-VLOOKUP(HUAWEI製ＰＣＳ接続枚数計算ツール!$C$9,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HUAWEI製ＰＣＳ接続枚数計算ツール!$B$119:$P$149,14,FALSE),0)/100*IF(高温電圧!N22*高温電圧!N$2&lt;VLOOKUP(HUAWEI製ＰＣＳ接続枚数計算ツール!$C$9, HUAWEI製ＰＣＳ接続枚数計算ツール!$B$119:$P$149,12,FALSE),0,1)</f>
        <v>0</v>
      </c>
      <c r="O22" s="85">
        <f>ROUNDDOWN((高温電圧!O22*高温電圧!O$2-VLOOKUP(HUAWEI製ＰＣＳ接続枚数計算ツール!$C$9,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HUAWEI製ＰＣＳ接続枚数計算ツール!$B$119:$P$149,14,FALSE),0)/100*IF(高温電圧!O22*高温電圧!O$2&lt;VLOOKUP(HUAWEI製ＰＣＳ接続枚数計算ツール!$C$9, HUAWEI製ＰＣＳ接続枚数計算ツール!$B$119:$P$149,12,FALSE),0,1)</f>
        <v>0.64</v>
      </c>
      <c r="P22" s="85">
        <f>ROUNDDOWN((高温電圧!P22*高温電圧!P$2-VLOOKUP(HUAWEI製ＰＣＳ接続枚数計算ツール!$C$9,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HUAWEI製ＰＣＳ接続枚数計算ツール!$B$119:$P$149,14,FALSE),0)/100*IF(高温電圧!P22*高温電圧!P$2&lt;VLOOKUP(HUAWEI製ＰＣＳ接続枚数計算ツール!$C$9, HUAWEI製ＰＣＳ接続枚数計算ツール!$B$119:$P$149,12,FALSE),0,1)</f>
        <v>0.7</v>
      </c>
      <c r="Q22" s="85">
        <f>ROUNDDOWN((高温電圧!Q22*高温電圧!Q$2-VLOOKUP(HUAWEI製ＰＣＳ接続枚数計算ツール!$C$9,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HUAWEI製ＰＣＳ接続枚数計算ツール!$B$119:$P$149,14,FALSE),0)/100*IF(高温電圧!Q22*高温電圧!Q$2&lt;VLOOKUP(HUAWEI製ＰＣＳ接続枚数計算ツール!$C$9, HUAWEI製ＰＣＳ接続枚数計算ツール!$B$119:$P$149,12,FALSE),0,1)</f>
        <v>0.75</v>
      </c>
      <c r="R22" s="85">
        <f>ROUNDDOWN((高温電圧!R22*高温電圧!R$2-VLOOKUP(HUAWEI製ＰＣＳ接続枚数計算ツール!$C$9,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HUAWEI製ＰＣＳ接続枚数計算ツール!$B$119:$P$149,14,FALSE),0)/100*IF(高温電圧!R22*高温電圧!R$2&lt;VLOOKUP(HUAWEI製ＰＣＳ接続枚数計算ツール!$C$9, HUAWEI製ＰＣＳ接続枚数計算ツール!$B$119:$P$149,12,FALSE),0,1)</f>
        <v>0.81</v>
      </c>
      <c r="S22" s="85">
        <f>ROUNDDOWN((高温電圧!S22*高温電圧!S$2-VLOOKUP(HUAWEI製ＰＣＳ接続枚数計算ツール!$C$9,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HUAWEI製ＰＣＳ接続枚数計算ツール!$B$119:$P$149,14,FALSE),0)/100*IF(高温電圧!S22*高温電圧!S$2&lt;VLOOKUP(HUAWEI製ＰＣＳ接続枚数計算ツール!$C$9, HUAWEI製ＰＣＳ接続枚数計算ツール!$B$119:$P$149,12,FALSE),0,1)</f>
        <v>0.87</v>
      </c>
      <c r="T22" s="85">
        <f>ROUNDDOWN((高温電圧!T22*高温電圧!T$2-VLOOKUP(HUAWEI製ＰＣＳ接続枚数計算ツール!$C$9,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HUAWEI製ＰＣＳ接続枚数計算ツール!$B$119:$P$149,14,FALSE),0)/100*IF(高温電圧!T22*高温電圧!T$2&lt;VLOOKUP(HUAWEI製ＰＣＳ接続枚数計算ツール!$C$9, HUAWEI製ＰＣＳ接続枚数計算ツール!$B$119:$P$149,12,FALSE),0,1)</f>
        <v>0.92</v>
      </c>
      <c r="U22" s="85">
        <f>ROUNDDOWN((高温電圧!U22*高温電圧!U$2-VLOOKUP(HUAWEI製ＰＣＳ接続枚数計算ツール!$C$9,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HUAWEI製ＰＣＳ接続枚数計算ツール!$B$119:$P$149,14,FALSE),0)/100*IF(高温電圧!U22*高温電圧!U$2&lt;VLOOKUP(HUAWEI製ＰＣＳ接続枚数計算ツール!$C$9, HUAWEI製ＰＣＳ接続枚数計算ツール!$B$119:$P$149,12,FALSE),0,1)</f>
        <v>0.98</v>
      </c>
      <c r="V22" s="85">
        <f>ROUNDDOWN((高温電圧!V22*高温電圧!V$2-VLOOKUP(HUAWEI製ＰＣＳ接続枚数計算ツール!$C$9,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HUAWEI製ＰＣＳ接続枚数計算ツール!$B$119:$P$149,14,FALSE),0)/100*IF(高温電圧!V22*高温電圧!V$2&lt;VLOOKUP(HUAWEI製ＰＣＳ接続枚数計算ツール!$C$9, HUAWEI製ＰＣＳ接続枚数計算ツール!$B$119:$P$149,12,FALSE),0,1)</f>
        <v>1.04</v>
      </c>
      <c r="W22" s="85">
        <f>ROUNDDOWN((高温電圧!W22*高温電圧!W$2-VLOOKUP(HUAWEI製ＰＣＳ接続枚数計算ツール!$C$9,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HUAWEI製ＰＣＳ接続枚数計算ツール!$B$119:$P$149,14,FALSE),0)/100*IF(高温電圧!W22*高温電圧!W$2&lt;VLOOKUP(HUAWEI製ＰＣＳ接続枚数計算ツール!$C$9, HUAWEI製ＰＣＳ接続枚数計算ツール!$B$119:$P$149,12,FALSE),0,1)</f>
        <v>1.0900000000000001</v>
      </c>
      <c r="X22" s="85">
        <f>ROUNDDOWN((高温電圧!X22*高温電圧!X$2-VLOOKUP(HUAWEI製ＰＣＳ接続枚数計算ツール!$C$9,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HUAWEI製ＰＣＳ接続枚数計算ツール!$B$119:$P$149,14,FALSE),0)/100*IF(高温電圧!X22*高温電圧!X$2&lt;VLOOKUP(HUAWEI製ＰＣＳ接続枚数計算ツール!$C$9, HUAWEI製ＰＣＳ接続枚数計算ツール!$B$119:$P$149,12,FALSE),0,1)</f>
        <v>1.1499999999999999</v>
      </c>
      <c r="Y22" s="85">
        <f>ROUNDDOWN((高温電圧!Y22*高温電圧!Y$2-VLOOKUP(HUAWEI製ＰＣＳ接続枚数計算ツール!$C$9,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HUAWEI製ＰＣＳ接続枚数計算ツール!$B$119:$P$149,14,FALSE),0)/100*IF(高温電圧!Y22*高温電圧!Y$2&lt;VLOOKUP(HUAWEI製ＰＣＳ接続枚数計算ツール!$C$9, HUAWEI製ＰＣＳ接続枚数計算ツール!$B$119:$P$149,12,FALSE),0,1)</f>
        <v>1.2</v>
      </c>
      <c r="Z22" s="85">
        <f>ROUNDDOWN((高温電圧!Z22*高温電圧!Z$2-VLOOKUP(HUAWEI製ＰＣＳ接続枚数計算ツール!$C$9,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HUAWEI製ＰＣＳ接続枚数計算ツール!$B$119:$P$149,14,FALSE),0)/100*IF(高温電圧!Z22*高温電圧!Z$2&lt;VLOOKUP(HUAWEI製ＰＣＳ接続枚数計算ツール!$C$9, HUAWEI製ＰＣＳ接続枚数計算ツール!$B$119:$P$149,12,FALSE),0,1)</f>
        <v>1.26</v>
      </c>
      <c r="AA22" s="85">
        <f>ROUNDDOWN((高温電圧!AA22*高温電圧!AA$2-VLOOKUP(HUAWEI製ＰＣＳ接続枚数計算ツール!$C$9,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HUAWEI製ＰＣＳ接続枚数計算ツール!$B$119:$P$149,14,FALSE),0)/100*IF(高温電圧!AA22*高温電圧!AA$2&lt;VLOOKUP(HUAWEI製ＰＣＳ接続枚数計算ツール!$C$9, HUAWEI製ＰＣＳ接続枚数計算ツール!$B$119:$P$149,12,FALSE),0,1)</f>
        <v>1.32</v>
      </c>
      <c r="AB22" s="85">
        <f>ROUNDDOWN((高温電圧!AB22*高温電圧!AB$2-VLOOKUP(HUAWEI製ＰＣＳ接続枚数計算ツール!$C$9,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HUAWEI製ＰＣＳ接続枚数計算ツール!$B$119:$P$149,14,FALSE),0)/100*IF(高温電圧!AB22*高温電圧!AB$2&lt;VLOOKUP(HUAWEI製ＰＣＳ接続枚数計算ツール!$C$9, HUAWEI製ＰＣＳ接続枚数計算ツール!$B$119:$P$149,12,FALSE),0,1)</f>
        <v>1.37</v>
      </c>
      <c r="AC22" s="85">
        <f>ROUNDDOWN((高温電圧!AC22*高温電圧!AC$2-VLOOKUP(HUAWEI製ＰＣＳ接続枚数計算ツール!$C$9,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HUAWEI製ＰＣＳ接続枚数計算ツール!$B$119:$P$149,14,FALSE),0)/100*IF(高温電圧!AC22*高温電圧!AC$2&lt;VLOOKUP(HUAWEI製ＰＣＳ接続枚数計算ツール!$C$9, HUAWEI製ＰＣＳ接続枚数計算ツール!$B$119:$P$149,12,FALSE),0,1)</f>
        <v>1.43</v>
      </c>
      <c r="AD22" s="85">
        <f>ROUNDDOWN((高温電圧!AD22*高温電圧!AD$2-VLOOKUP(HUAWEI製ＰＣＳ接続枚数計算ツール!$C$9,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HUAWEI製ＰＣＳ接続枚数計算ツール!$B$119:$P$149,14,FALSE),0)/100*IF(高温電圧!AD22*高温電圧!AD$2&lt;VLOOKUP(HUAWEI製ＰＣＳ接続枚数計算ツール!$C$9, HUAWEI製ＰＣＳ接続枚数計算ツール!$B$119:$P$149,12,FALSE),0,1)</f>
        <v>1.49</v>
      </c>
      <c r="AE22" s="85">
        <f>ROUNDDOWN((高温電圧!AE22*高温電圧!AE$2-VLOOKUP(HUAWEI製ＰＣＳ接続枚数計算ツール!$C$9,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HUAWEI製ＰＣＳ接続枚数計算ツール!$B$119:$P$149,14,FALSE),0)/100*IF(高温電圧!AE22*高温電圧!AE$2&lt;VLOOKUP(HUAWEI製ＰＣＳ接続枚数計算ツール!$C$9, HUAWEI製ＰＣＳ接続枚数計算ツール!$B$119:$P$149,12,FALSE),0,1)</f>
        <v>1.54</v>
      </c>
      <c r="AF22" s="85">
        <f>ROUNDDOWN((高温電圧!AF22*高温電圧!AF$2-VLOOKUP(HUAWEI製ＰＣＳ接続枚数計算ツール!$C$9,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HUAWEI製ＰＣＳ接続枚数計算ツール!$B$119:$P$149,14,FALSE),0)/100*IF(高温電圧!AF22*高温電圧!AF$2&lt;VLOOKUP(HUAWEI製ＰＣＳ接続枚数計算ツール!$C$9, HUAWEI製ＰＣＳ接続枚数計算ツール!$B$119:$P$149,12,FALSE),0,1)</f>
        <v>1.6</v>
      </c>
      <c r="AG22" s="85">
        <f>ROUNDDOWN((高温電圧!AG22*高温電圧!AG$2-VLOOKUP(HUAWEI製ＰＣＳ接続枚数計算ツール!$C$9,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HUAWEI製ＰＣＳ接続枚数計算ツール!$B$119:$P$149,14,FALSE),0)/100*IF(高温電圧!AG22*高温電圧!AG$2&lt;VLOOKUP(HUAWEI製ＰＣＳ接続枚数計算ツール!$C$9, HUAWEI製ＰＣＳ接続枚数計算ツール!$B$119:$P$149,12,FALSE),0,1)</f>
        <v>1.65</v>
      </c>
      <c r="AH22" s="85">
        <f>ROUNDDOWN((高温電圧!AH22*高温電圧!AH$2-VLOOKUP(HUAWEI製ＰＣＳ接続枚数計算ツール!$C$9,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HUAWEI製ＰＣＳ接続枚数計算ツール!$B$119:$P$149,14,FALSE),0)/100*IF(高温電圧!AH22*高温電圧!AH$2&lt;VLOOKUP(HUAWEI製ＰＣＳ接続枚数計算ツール!$C$9, HUAWEI製ＰＣＳ接続枚数計算ツール!$B$119:$P$149,12,FALSE),0,1)</f>
        <v>1.71</v>
      </c>
      <c r="AI22" s="85">
        <f>ROUNDDOWN((高温電圧!AI22*高温電圧!AI$2-VLOOKUP(HUAWEI製ＰＣＳ接続枚数計算ツール!$C$9,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HUAWEI製ＰＣＳ接続枚数計算ツール!$B$119:$P$149,14,FALSE),0)/100*IF(高温電圧!AI22*高温電圧!AI$2&lt;VLOOKUP(HUAWEI製ＰＣＳ接続枚数計算ツール!$C$9, HUAWEI製ＰＣＳ接続枚数計算ツール!$B$119:$P$149,12,FALSE),0,1)</f>
        <v>1.77</v>
      </c>
      <c r="AJ22" s="85">
        <f>ROUNDDOWN((高温電圧!AJ22*高温電圧!AJ$2-VLOOKUP(HUAWEI製ＰＣＳ接続枚数計算ツール!$C$9,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HUAWEI製ＰＣＳ接続枚数計算ツール!$B$119:$P$149,14,FALSE),0)/100*IF(高温電圧!AJ22*高温電圧!AJ$2&lt;VLOOKUP(HUAWEI製ＰＣＳ接続枚数計算ツール!$C$9, HUAWEI製ＰＣＳ接続枚数計算ツール!$B$119:$P$149,12,FALSE),0,1)</f>
        <v>1.82</v>
      </c>
      <c r="AK22" s="85">
        <f>ROUNDDOWN((高温電圧!AK22*高温電圧!AK$2-VLOOKUP(HUAWEI製ＰＣＳ接続枚数計算ツール!$C$9,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HUAWEI製ＰＣＳ接続枚数計算ツール!$B$119:$P$149,14,FALSE),0)/100*IF(高温電圧!AK22*高温電圧!AK$2&lt;VLOOKUP(HUAWEI製ＰＣＳ接続枚数計算ツール!$C$9, HUAWEI製ＰＣＳ接続枚数計算ツール!$B$119:$P$149,12,FALSE),0,1)</f>
        <v>1.88</v>
      </c>
      <c r="AL22" s="85">
        <f>ROUNDDOWN((高温電圧!AL22*高温電圧!AL$2-VLOOKUP(HUAWEI製ＰＣＳ接続枚数計算ツール!$C$9,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HUAWEI製ＰＣＳ接続枚数計算ツール!$B$119:$P$149,14,FALSE),0)/100*IF(高温電圧!AL22*高温電圧!AL$2&lt;VLOOKUP(HUAWEI製ＰＣＳ接続枚数計算ツール!$C$9, HUAWEI製ＰＣＳ接続枚数計算ツール!$B$119:$P$149,12,FALSE),0,1)</f>
        <v>1.94</v>
      </c>
      <c r="AM22" s="85">
        <f>ROUNDDOWN((高温電圧!AM22*高温電圧!AM$2-VLOOKUP(HUAWEI製ＰＣＳ接続枚数計算ツール!$C$9,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HUAWEI製ＰＣＳ接続枚数計算ツール!$B$119:$P$149,14,FALSE),0)/100*IF(高温電圧!AM22*高温電圧!AM$2&lt;VLOOKUP(HUAWEI製ＰＣＳ接続枚数計算ツール!$C$9, HUAWEI製ＰＣＳ接続枚数計算ツール!$B$119:$P$149,12,FALSE),0,1)</f>
        <v>1.99</v>
      </c>
      <c r="AN22" s="85">
        <f>ROUNDDOWN((高温電圧!AN22*高温電圧!AN$2-VLOOKUP(HUAWEI製ＰＣＳ接続枚数計算ツール!$C$9,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HUAWEI製ＰＣＳ接続枚数計算ツール!$B$119:$P$149,14,FALSE),0)/100*IF(高温電圧!AN22*高温電圧!AN$2&lt;VLOOKUP(HUAWEI製ＰＣＳ接続枚数計算ツール!$C$9, HUAWEI製ＰＣＳ接続枚数計算ツール!$B$119:$P$149,12,FALSE),0,1)</f>
        <v>2.0499999999999998</v>
      </c>
      <c r="AO22" s="85">
        <f>ROUNDDOWN((高温電圧!AO22*高温電圧!AO$2-VLOOKUP(HUAWEI製ＰＣＳ接続枚数計算ツール!$C$9,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HUAWEI製ＰＣＳ接続枚数計算ツール!$B$119:$P$149,14,FALSE),0)/100*IF(高温電圧!AO22*高温電圧!AO$2&lt;VLOOKUP(HUAWEI製ＰＣＳ接続枚数計算ツール!$C$9, HUAWEI製ＰＣＳ接続枚数計算ツール!$B$119:$P$149,12,FALSE),0,1)</f>
        <v>2.1</v>
      </c>
    </row>
    <row r="23" spans="1:41">
      <c r="A23">
        <v>21</v>
      </c>
      <c r="B23" s="85">
        <f>ROUNDDOWN((高温電圧!B23*高温電圧!B$2-VLOOKUP(HUAWEI製ＰＣＳ接続枚数計算ツール!$C$9,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HUAWEI製ＰＣＳ接続枚数計算ツール!$B$119:$P$149,14,FALSE),0)/100*IF(高温電圧!B23*高温電圧!B$2&lt;VLOOKUP(HUAWEI製ＰＣＳ接続枚数計算ツール!$C$9, HUAWEI製ＰＣＳ接続枚数計算ツール!$B$119:$P$149,12,FALSE),0,1)</f>
        <v>0</v>
      </c>
      <c r="C23" s="85">
        <f>ROUNDDOWN((高温電圧!C23*高温電圧!C$2-VLOOKUP(HUAWEI製ＰＣＳ接続枚数計算ツール!$C$9,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HUAWEI製ＰＣＳ接続枚数計算ツール!$B$119:$P$149,14,FALSE),0)/100*IF(高温電圧!C23*高温電圧!C$2&lt;VLOOKUP(HUAWEI製ＰＣＳ接続枚数計算ツール!$C$9, HUAWEI製ＰＣＳ接続枚数計算ツール!$B$119:$P$149,12,FALSE),0,1)</f>
        <v>0</v>
      </c>
      <c r="D23" s="85">
        <f>ROUNDDOWN((高温電圧!D23*高温電圧!D$2-VLOOKUP(HUAWEI製ＰＣＳ接続枚数計算ツール!$C$9,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HUAWEI製ＰＣＳ接続枚数計算ツール!$B$119:$P$149,14,FALSE),0)/100*IF(高温電圧!D23*高温電圧!D$2&lt;VLOOKUP(HUAWEI製ＰＣＳ接続枚数計算ツール!$C$9, HUAWEI製ＰＣＳ接続枚数計算ツール!$B$119:$P$149,12,FALSE),0,1)</f>
        <v>0</v>
      </c>
      <c r="E23" s="85">
        <f>ROUNDDOWN((高温電圧!E23*高温電圧!E$2-VLOOKUP(HUAWEI製ＰＣＳ接続枚数計算ツール!$C$9,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HUAWEI製ＰＣＳ接続枚数計算ツール!$B$119:$P$149,14,FALSE),0)/100*IF(高温電圧!E23*高温電圧!E$2&lt;VLOOKUP(HUAWEI製ＰＣＳ接続枚数計算ツール!$C$9, HUAWEI製ＰＣＳ接続枚数計算ツール!$B$119:$P$149,12,FALSE),0,1)</f>
        <v>0</v>
      </c>
      <c r="F23" s="85">
        <f>ROUNDDOWN((高温電圧!F23*高温電圧!F$2-VLOOKUP(HUAWEI製ＰＣＳ接続枚数計算ツール!$C$9,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HUAWEI製ＰＣＳ接続枚数計算ツール!$B$119:$P$149,14,FALSE),0)/100*IF(高温電圧!F23*高温電圧!F$2&lt;VLOOKUP(HUAWEI製ＰＣＳ接続枚数計算ツール!$C$9, HUAWEI製ＰＣＳ接続枚数計算ツール!$B$119:$P$149,12,FALSE),0,1)</f>
        <v>0</v>
      </c>
      <c r="G23" s="85">
        <f>ROUNDDOWN((高温電圧!G23*高温電圧!G$2-VLOOKUP(HUAWEI製ＰＣＳ接続枚数計算ツール!$C$9,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HUAWEI製ＰＣＳ接続枚数計算ツール!$B$119:$P$149,14,FALSE),0)/100*IF(高温電圧!G23*高温電圧!G$2&lt;VLOOKUP(HUAWEI製ＰＣＳ接続枚数計算ツール!$C$9, HUAWEI製ＰＣＳ接続枚数計算ツール!$B$119:$P$149,12,FALSE),0,1)</f>
        <v>0</v>
      </c>
      <c r="H23" s="85">
        <f>ROUNDDOWN((高温電圧!H23*高温電圧!H$2-VLOOKUP(HUAWEI製ＰＣＳ接続枚数計算ツール!$C$9,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HUAWEI製ＰＣＳ接続枚数計算ツール!$B$119:$P$149,14,FALSE),0)/100*IF(高温電圧!H23*高温電圧!H$2&lt;VLOOKUP(HUAWEI製ＰＣＳ接続枚数計算ツール!$C$9, HUAWEI製ＰＣＳ接続枚数計算ツール!$B$119:$P$149,12,FALSE),0,1)</f>
        <v>0</v>
      </c>
      <c r="I23" s="85">
        <f>ROUNDDOWN((高温電圧!I23*高温電圧!I$2-VLOOKUP(HUAWEI製ＰＣＳ接続枚数計算ツール!$C$9,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HUAWEI製ＰＣＳ接続枚数計算ツール!$B$119:$P$149,14,FALSE),0)/100*IF(高温電圧!I23*高温電圧!I$2&lt;VLOOKUP(HUAWEI製ＰＣＳ接続枚数計算ツール!$C$9, HUAWEI製ＰＣＳ接続枚数計算ツール!$B$119:$P$149,12,FALSE),0,1)</f>
        <v>0</v>
      </c>
      <c r="J23" s="85">
        <f>ROUNDDOWN((高温電圧!J23*高温電圧!J$2-VLOOKUP(HUAWEI製ＰＣＳ接続枚数計算ツール!$C$9,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HUAWEI製ＰＣＳ接続枚数計算ツール!$B$119:$P$149,14,FALSE),0)/100*IF(高温電圧!J23*高温電圧!J$2&lt;VLOOKUP(HUAWEI製ＰＣＳ接続枚数計算ツール!$C$9, HUAWEI製ＰＣＳ接続枚数計算ツール!$B$119:$P$149,12,FALSE),0,1)</f>
        <v>0</v>
      </c>
      <c r="K23" s="85">
        <f>ROUNDDOWN((高温電圧!K23*高温電圧!K$2-VLOOKUP(HUAWEI製ＰＣＳ接続枚数計算ツール!$C$9,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HUAWEI製ＰＣＳ接続枚数計算ツール!$B$119:$P$149,14,FALSE),0)/100*IF(高温電圧!K23*高温電圧!K$2&lt;VLOOKUP(HUAWEI製ＰＣＳ接続枚数計算ツール!$C$9, HUAWEI製ＰＣＳ接続枚数計算ツール!$B$119:$P$149,12,FALSE),0,1)</f>
        <v>0</v>
      </c>
      <c r="L23" s="85">
        <f>ROUNDDOWN((高温電圧!L23*高温電圧!L$2-VLOOKUP(HUAWEI製ＰＣＳ接続枚数計算ツール!$C$9,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HUAWEI製ＰＣＳ接続枚数計算ツール!$B$119:$P$149,14,FALSE),0)/100*IF(高温電圧!L23*高温電圧!L$2&lt;VLOOKUP(HUAWEI製ＰＣＳ接続枚数計算ツール!$C$9, HUAWEI製ＰＣＳ接続枚数計算ツール!$B$119:$P$149,12,FALSE),0,1)</f>
        <v>0</v>
      </c>
      <c r="M23" s="85">
        <f>ROUNDDOWN((高温電圧!M23*高温電圧!M$2-VLOOKUP(HUAWEI製ＰＣＳ接続枚数計算ツール!$C$9,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HUAWEI製ＰＣＳ接続枚数計算ツール!$B$119:$P$149,14,FALSE),0)/100*IF(高温電圧!M23*高温電圧!M$2&lt;VLOOKUP(HUAWEI製ＰＣＳ接続枚数計算ツール!$C$9, HUAWEI製ＰＣＳ接続枚数計算ツール!$B$119:$P$149,12,FALSE),0,1)</f>
        <v>0</v>
      </c>
      <c r="N23" s="85">
        <f>ROUNDDOWN((高温電圧!N23*高温電圧!N$2-VLOOKUP(HUAWEI製ＰＣＳ接続枚数計算ツール!$C$9,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HUAWEI製ＰＣＳ接続枚数計算ツール!$B$119:$P$149,14,FALSE),0)/100*IF(高温電圧!N23*高温電圧!N$2&lt;VLOOKUP(HUAWEI製ＰＣＳ接続枚数計算ツール!$C$9, HUAWEI製ＰＣＳ接続枚数計算ツール!$B$119:$P$149,12,FALSE),0,1)</f>
        <v>0</v>
      </c>
      <c r="O23" s="85">
        <f>ROUNDDOWN((高温電圧!O23*高温電圧!O$2-VLOOKUP(HUAWEI製ＰＣＳ接続枚数計算ツール!$C$9,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HUAWEI製ＰＣＳ接続枚数計算ツール!$B$119:$P$149,14,FALSE),0)/100*IF(高温電圧!O23*高温電圧!O$2&lt;VLOOKUP(HUAWEI製ＰＣＳ接続枚数計算ツール!$C$9, HUAWEI製ＰＣＳ接続枚数計算ツール!$B$119:$P$149,12,FALSE),0,1)</f>
        <v>0.64</v>
      </c>
      <c r="P23" s="85">
        <f>ROUNDDOWN((高温電圧!P23*高温電圧!P$2-VLOOKUP(HUAWEI製ＰＣＳ接続枚数計算ツール!$C$9,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HUAWEI製ＰＣＳ接続枚数計算ツール!$B$119:$P$149,14,FALSE),0)/100*IF(高温電圧!P23*高温電圧!P$2&lt;VLOOKUP(HUAWEI製ＰＣＳ接続枚数計算ツール!$C$9, HUAWEI製ＰＣＳ接続枚数計算ツール!$B$119:$P$149,12,FALSE),0,1)</f>
        <v>0.7</v>
      </c>
      <c r="Q23" s="85">
        <f>ROUNDDOWN((高温電圧!Q23*高温電圧!Q$2-VLOOKUP(HUAWEI製ＰＣＳ接続枚数計算ツール!$C$9,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HUAWEI製ＰＣＳ接続枚数計算ツール!$B$119:$P$149,14,FALSE),0)/100*IF(高温電圧!Q23*高温電圧!Q$2&lt;VLOOKUP(HUAWEI製ＰＣＳ接続枚数計算ツール!$C$9, HUAWEI製ＰＣＳ接続枚数計算ツール!$B$119:$P$149,12,FALSE),0,1)</f>
        <v>0.75</v>
      </c>
      <c r="R23" s="85">
        <f>ROUNDDOWN((高温電圧!R23*高温電圧!R$2-VLOOKUP(HUAWEI製ＰＣＳ接続枚数計算ツール!$C$9,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HUAWEI製ＰＣＳ接続枚数計算ツール!$B$119:$P$149,14,FALSE),0)/100*IF(高温電圧!R23*高温電圧!R$2&lt;VLOOKUP(HUAWEI製ＰＣＳ接続枚数計算ツール!$C$9, HUAWEI製ＰＣＳ接続枚数計算ツール!$B$119:$P$149,12,FALSE),0,1)</f>
        <v>0.81</v>
      </c>
      <c r="S23" s="85">
        <f>ROUNDDOWN((高温電圧!S23*高温電圧!S$2-VLOOKUP(HUAWEI製ＰＣＳ接続枚数計算ツール!$C$9,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HUAWEI製ＰＣＳ接続枚数計算ツール!$B$119:$P$149,14,FALSE),0)/100*IF(高温電圧!S23*高温電圧!S$2&lt;VLOOKUP(HUAWEI製ＰＣＳ接続枚数計算ツール!$C$9, HUAWEI製ＰＣＳ接続枚数計算ツール!$B$119:$P$149,12,FALSE),0,1)</f>
        <v>0.87</v>
      </c>
      <c r="T23" s="85">
        <f>ROUNDDOWN((高温電圧!T23*高温電圧!T$2-VLOOKUP(HUAWEI製ＰＣＳ接続枚数計算ツール!$C$9,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HUAWEI製ＰＣＳ接続枚数計算ツール!$B$119:$P$149,14,FALSE),0)/100*IF(高温電圧!T23*高温電圧!T$2&lt;VLOOKUP(HUAWEI製ＰＣＳ接続枚数計算ツール!$C$9, HUAWEI製ＰＣＳ接続枚数計算ツール!$B$119:$P$149,12,FALSE),0,1)</f>
        <v>0.92</v>
      </c>
      <c r="U23" s="85">
        <f>ROUNDDOWN((高温電圧!U23*高温電圧!U$2-VLOOKUP(HUAWEI製ＰＣＳ接続枚数計算ツール!$C$9,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HUAWEI製ＰＣＳ接続枚数計算ツール!$B$119:$P$149,14,FALSE),0)/100*IF(高温電圧!U23*高温電圧!U$2&lt;VLOOKUP(HUAWEI製ＰＣＳ接続枚数計算ツール!$C$9, HUAWEI製ＰＣＳ接続枚数計算ツール!$B$119:$P$149,12,FALSE),0,1)</f>
        <v>0.98</v>
      </c>
      <c r="V23" s="85">
        <f>ROUNDDOWN((高温電圧!V23*高温電圧!V$2-VLOOKUP(HUAWEI製ＰＣＳ接続枚数計算ツール!$C$9,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HUAWEI製ＰＣＳ接続枚数計算ツール!$B$119:$P$149,14,FALSE),0)/100*IF(高温電圧!V23*高温電圧!V$2&lt;VLOOKUP(HUAWEI製ＰＣＳ接続枚数計算ツール!$C$9, HUAWEI製ＰＣＳ接続枚数計算ツール!$B$119:$P$149,12,FALSE),0,1)</f>
        <v>1.04</v>
      </c>
      <c r="W23" s="85">
        <f>ROUNDDOWN((高温電圧!W23*高温電圧!W$2-VLOOKUP(HUAWEI製ＰＣＳ接続枚数計算ツール!$C$9,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HUAWEI製ＰＣＳ接続枚数計算ツール!$B$119:$P$149,14,FALSE),0)/100*IF(高温電圧!W23*高温電圧!W$2&lt;VLOOKUP(HUAWEI製ＰＣＳ接続枚数計算ツール!$C$9, HUAWEI製ＰＣＳ接続枚数計算ツール!$B$119:$P$149,12,FALSE),0,1)</f>
        <v>1.0900000000000001</v>
      </c>
      <c r="X23" s="85">
        <f>ROUNDDOWN((高温電圧!X23*高温電圧!X$2-VLOOKUP(HUAWEI製ＰＣＳ接続枚数計算ツール!$C$9,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HUAWEI製ＰＣＳ接続枚数計算ツール!$B$119:$P$149,14,FALSE),0)/100*IF(高温電圧!X23*高温電圧!X$2&lt;VLOOKUP(HUAWEI製ＰＣＳ接続枚数計算ツール!$C$9, HUAWEI製ＰＣＳ接続枚数計算ツール!$B$119:$P$149,12,FALSE),0,1)</f>
        <v>1.1499999999999999</v>
      </c>
      <c r="Y23" s="85">
        <f>ROUNDDOWN((高温電圧!Y23*高温電圧!Y$2-VLOOKUP(HUAWEI製ＰＣＳ接続枚数計算ツール!$C$9,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HUAWEI製ＰＣＳ接続枚数計算ツール!$B$119:$P$149,14,FALSE),0)/100*IF(高温電圧!Y23*高温電圧!Y$2&lt;VLOOKUP(HUAWEI製ＰＣＳ接続枚数計算ツール!$C$9, HUAWEI製ＰＣＳ接続枚数計算ツール!$B$119:$P$149,12,FALSE),0,1)</f>
        <v>1.2</v>
      </c>
      <c r="Z23" s="85">
        <f>ROUNDDOWN((高温電圧!Z23*高温電圧!Z$2-VLOOKUP(HUAWEI製ＰＣＳ接続枚数計算ツール!$C$9,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HUAWEI製ＰＣＳ接続枚数計算ツール!$B$119:$P$149,14,FALSE),0)/100*IF(高温電圧!Z23*高温電圧!Z$2&lt;VLOOKUP(HUAWEI製ＰＣＳ接続枚数計算ツール!$C$9, HUAWEI製ＰＣＳ接続枚数計算ツール!$B$119:$P$149,12,FALSE),0,1)</f>
        <v>1.26</v>
      </c>
      <c r="AA23" s="85">
        <f>ROUNDDOWN((高温電圧!AA23*高温電圧!AA$2-VLOOKUP(HUAWEI製ＰＣＳ接続枚数計算ツール!$C$9,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HUAWEI製ＰＣＳ接続枚数計算ツール!$B$119:$P$149,14,FALSE),0)/100*IF(高温電圧!AA23*高温電圧!AA$2&lt;VLOOKUP(HUAWEI製ＰＣＳ接続枚数計算ツール!$C$9, HUAWEI製ＰＣＳ接続枚数計算ツール!$B$119:$P$149,12,FALSE),0,1)</f>
        <v>1.32</v>
      </c>
      <c r="AB23" s="85">
        <f>ROUNDDOWN((高温電圧!AB23*高温電圧!AB$2-VLOOKUP(HUAWEI製ＰＣＳ接続枚数計算ツール!$C$9,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HUAWEI製ＰＣＳ接続枚数計算ツール!$B$119:$P$149,14,FALSE),0)/100*IF(高温電圧!AB23*高温電圧!AB$2&lt;VLOOKUP(HUAWEI製ＰＣＳ接続枚数計算ツール!$C$9, HUAWEI製ＰＣＳ接続枚数計算ツール!$B$119:$P$149,12,FALSE),0,1)</f>
        <v>1.37</v>
      </c>
      <c r="AC23" s="85">
        <f>ROUNDDOWN((高温電圧!AC23*高温電圧!AC$2-VLOOKUP(HUAWEI製ＰＣＳ接続枚数計算ツール!$C$9,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HUAWEI製ＰＣＳ接続枚数計算ツール!$B$119:$P$149,14,FALSE),0)/100*IF(高温電圧!AC23*高温電圧!AC$2&lt;VLOOKUP(HUAWEI製ＰＣＳ接続枚数計算ツール!$C$9, HUAWEI製ＰＣＳ接続枚数計算ツール!$B$119:$P$149,12,FALSE),0,1)</f>
        <v>1.43</v>
      </c>
      <c r="AD23" s="85">
        <f>ROUNDDOWN((高温電圧!AD23*高温電圧!AD$2-VLOOKUP(HUAWEI製ＰＣＳ接続枚数計算ツール!$C$9,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HUAWEI製ＰＣＳ接続枚数計算ツール!$B$119:$P$149,14,FALSE),0)/100*IF(高温電圧!AD23*高温電圧!AD$2&lt;VLOOKUP(HUAWEI製ＰＣＳ接続枚数計算ツール!$C$9, HUAWEI製ＰＣＳ接続枚数計算ツール!$B$119:$P$149,12,FALSE),0,1)</f>
        <v>1.49</v>
      </c>
      <c r="AE23" s="85">
        <f>ROUNDDOWN((高温電圧!AE23*高温電圧!AE$2-VLOOKUP(HUAWEI製ＰＣＳ接続枚数計算ツール!$C$9,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HUAWEI製ＰＣＳ接続枚数計算ツール!$B$119:$P$149,14,FALSE),0)/100*IF(高温電圧!AE23*高温電圧!AE$2&lt;VLOOKUP(HUAWEI製ＰＣＳ接続枚数計算ツール!$C$9, HUAWEI製ＰＣＳ接続枚数計算ツール!$B$119:$P$149,12,FALSE),0,1)</f>
        <v>1.54</v>
      </c>
      <c r="AF23" s="85">
        <f>ROUNDDOWN((高温電圧!AF23*高温電圧!AF$2-VLOOKUP(HUAWEI製ＰＣＳ接続枚数計算ツール!$C$9,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HUAWEI製ＰＣＳ接続枚数計算ツール!$B$119:$P$149,14,FALSE),0)/100*IF(高温電圧!AF23*高温電圧!AF$2&lt;VLOOKUP(HUAWEI製ＰＣＳ接続枚数計算ツール!$C$9, HUAWEI製ＰＣＳ接続枚数計算ツール!$B$119:$P$149,12,FALSE),0,1)</f>
        <v>1.6</v>
      </c>
      <c r="AG23" s="85">
        <f>ROUNDDOWN((高温電圧!AG23*高温電圧!AG$2-VLOOKUP(HUAWEI製ＰＣＳ接続枚数計算ツール!$C$9,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HUAWEI製ＰＣＳ接続枚数計算ツール!$B$119:$P$149,14,FALSE),0)/100*IF(高温電圧!AG23*高温電圧!AG$2&lt;VLOOKUP(HUAWEI製ＰＣＳ接続枚数計算ツール!$C$9, HUAWEI製ＰＣＳ接続枚数計算ツール!$B$119:$P$149,12,FALSE),0,1)</f>
        <v>1.65</v>
      </c>
      <c r="AH23" s="85">
        <f>ROUNDDOWN((高温電圧!AH23*高温電圧!AH$2-VLOOKUP(HUAWEI製ＰＣＳ接続枚数計算ツール!$C$9,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HUAWEI製ＰＣＳ接続枚数計算ツール!$B$119:$P$149,14,FALSE),0)/100*IF(高温電圧!AH23*高温電圧!AH$2&lt;VLOOKUP(HUAWEI製ＰＣＳ接続枚数計算ツール!$C$9, HUAWEI製ＰＣＳ接続枚数計算ツール!$B$119:$P$149,12,FALSE),0,1)</f>
        <v>1.71</v>
      </c>
      <c r="AI23" s="85">
        <f>ROUNDDOWN((高温電圧!AI23*高温電圧!AI$2-VLOOKUP(HUAWEI製ＰＣＳ接続枚数計算ツール!$C$9,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HUAWEI製ＰＣＳ接続枚数計算ツール!$B$119:$P$149,14,FALSE),0)/100*IF(高温電圧!AI23*高温電圧!AI$2&lt;VLOOKUP(HUAWEI製ＰＣＳ接続枚数計算ツール!$C$9, HUAWEI製ＰＣＳ接続枚数計算ツール!$B$119:$P$149,12,FALSE),0,1)</f>
        <v>1.77</v>
      </c>
      <c r="AJ23" s="85">
        <f>ROUNDDOWN((高温電圧!AJ23*高温電圧!AJ$2-VLOOKUP(HUAWEI製ＰＣＳ接続枚数計算ツール!$C$9,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HUAWEI製ＰＣＳ接続枚数計算ツール!$B$119:$P$149,14,FALSE),0)/100*IF(高温電圧!AJ23*高温電圧!AJ$2&lt;VLOOKUP(HUAWEI製ＰＣＳ接続枚数計算ツール!$C$9, HUAWEI製ＰＣＳ接続枚数計算ツール!$B$119:$P$149,12,FALSE),0,1)</f>
        <v>1.82</v>
      </c>
      <c r="AK23" s="85">
        <f>ROUNDDOWN((高温電圧!AK23*高温電圧!AK$2-VLOOKUP(HUAWEI製ＰＣＳ接続枚数計算ツール!$C$9,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HUAWEI製ＰＣＳ接続枚数計算ツール!$B$119:$P$149,14,FALSE),0)/100*IF(高温電圧!AK23*高温電圧!AK$2&lt;VLOOKUP(HUAWEI製ＰＣＳ接続枚数計算ツール!$C$9, HUAWEI製ＰＣＳ接続枚数計算ツール!$B$119:$P$149,12,FALSE),0,1)</f>
        <v>1.88</v>
      </c>
      <c r="AL23" s="85">
        <f>ROUNDDOWN((高温電圧!AL23*高温電圧!AL$2-VLOOKUP(HUAWEI製ＰＣＳ接続枚数計算ツール!$C$9,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HUAWEI製ＰＣＳ接続枚数計算ツール!$B$119:$P$149,14,FALSE),0)/100*IF(高温電圧!AL23*高温電圧!AL$2&lt;VLOOKUP(HUAWEI製ＰＣＳ接続枚数計算ツール!$C$9, HUAWEI製ＰＣＳ接続枚数計算ツール!$B$119:$P$149,12,FALSE),0,1)</f>
        <v>1.94</v>
      </c>
      <c r="AM23" s="85">
        <f>ROUNDDOWN((高温電圧!AM23*高温電圧!AM$2-VLOOKUP(HUAWEI製ＰＣＳ接続枚数計算ツール!$C$9,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HUAWEI製ＰＣＳ接続枚数計算ツール!$B$119:$P$149,14,FALSE),0)/100*IF(高温電圧!AM23*高温電圧!AM$2&lt;VLOOKUP(HUAWEI製ＰＣＳ接続枚数計算ツール!$C$9, HUAWEI製ＰＣＳ接続枚数計算ツール!$B$119:$P$149,12,FALSE),0,1)</f>
        <v>1.99</v>
      </c>
      <c r="AN23" s="85">
        <f>ROUNDDOWN((高温電圧!AN23*高温電圧!AN$2-VLOOKUP(HUAWEI製ＰＣＳ接続枚数計算ツール!$C$9,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HUAWEI製ＰＣＳ接続枚数計算ツール!$B$119:$P$149,14,FALSE),0)/100*IF(高温電圧!AN23*高温電圧!AN$2&lt;VLOOKUP(HUAWEI製ＰＣＳ接続枚数計算ツール!$C$9, HUAWEI製ＰＣＳ接続枚数計算ツール!$B$119:$P$149,12,FALSE),0,1)</f>
        <v>2.0499999999999998</v>
      </c>
      <c r="AO23" s="85">
        <f>ROUNDDOWN((高温電圧!AO23*高温電圧!AO$2-VLOOKUP(HUAWEI製ＰＣＳ接続枚数計算ツール!$C$9,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HUAWEI製ＰＣＳ接続枚数計算ツール!$B$119:$P$149,14,FALSE),0)/100*IF(高温電圧!AO23*高温電圧!AO$2&lt;VLOOKUP(HUAWEI製ＰＣＳ接続枚数計算ツール!$C$9, HUAWEI製ＰＣＳ接続枚数計算ツール!$B$119:$P$149,12,FALSE),0,1)</f>
        <v>2.1</v>
      </c>
    </row>
    <row r="24" spans="1:41">
      <c r="A24">
        <v>22</v>
      </c>
      <c r="B24" s="85">
        <f>ROUNDDOWN((高温電圧!B24*高温電圧!B$2-VLOOKUP(HUAWEI製ＰＣＳ接続枚数計算ツール!$C$9,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HUAWEI製ＰＣＳ接続枚数計算ツール!$B$119:$P$149,14,FALSE),0)/100*IF(高温電圧!B24*高温電圧!B$2&lt;VLOOKUP(HUAWEI製ＰＣＳ接続枚数計算ツール!$C$9, HUAWEI製ＰＣＳ接続枚数計算ツール!$B$119:$P$149,12,FALSE),0,1)</f>
        <v>0</v>
      </c>
      <c r="C24" s="85">
        <f>ROUNDDOWN((高温電圧!C24*高温電圧!C$2-VLOOKUP(HUAWEI製ＰＣＳ接続枚数計算ツール!$C$9,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HUAWEI製ＰＣＳ接続枚数計算ツール!$B$119:$P$149,14,FALSE),0)/100*IF(高温電圧!C24*高温電圧!C$2&lt;VLOOKUP(HUAWEI製ＰＣＳ接続枚数計算ツール!$C$9, HUAWEI製ＰＣＳ接続枚数計算ツール!$B$119:$P$149,12,FALSE),0,1)</f>
        <v>0</v>
      </c>
      <c r="D24" s="85">
        <f>ROUNDDOWN((高温電圧!D24*高温電圧!D$2-VLOOKUP(HUAWEI製ＰＣＳ接続枚数計算ツール!$C$9,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HUAWEI製ＰＣＳ接続枚数計算ツール!$B$119:$P$149,14,FALSE),0)/100*IF(高温電圧!D24*高温電圧!D$2&lt;VLOOKUP(HUAWEI製ＰＣＳ接続枚数計算ツール!$C$9, HUAWEI製ＰＣＳ接続枚数計算ツール!$B$119:$P$149,12,FALSE),0,1)</f>
        <v>0</v>
      </c>
      <c r="E24" s="85">
        <f>ROUNDDOWN((高温電圧!E24*高温電圧!E$2-VLOOKUP(HUAWEI製ＰＣＳ接続枚数計算ツール!$C$9,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HUAWEI製ＰＣＳ接続枚数計算ツール!$B$119:$P$149,14,FALSE),0)/100*IF(高温電圧!E24*高温電圧!E$2&lt;VLOOKUP(HUAWEI製ＰＣＳ接続枚数計算ツール!$C$9, HUAWEI製ＰＣＳ接続枚数計算ツール!$B$119:$P$149,12,FALSE),0,1)</f>
        <v>0</v>
      </c>
      <c r="F24" s="85">
        <f>ROUNDDOWN((高温電圧!F24*高温電圧!F$2-VLOOKUP(HUAWEI製ＰＣＳ接続枚数計算ツール!$C$9,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HUAWEI製ＰＣＳ接続枚数計算ツール!$B$119:$P$149,14,FALSE),0)/100*IF(高温電圧!F24*高温電圧!F$2&lt;VLOOKUP(HUAWEI製ＰＣＳ接続枚数計算ツール!$C$9, HUAWEI製ＰＣＳ接続枚数計算ツール!$B$119:$P$149,12,FALSE),0,1)</f>
        <v>0</v>
      </c>
      <c r="G24" s="85">
        <f>ROUNDDOWN((高温電圧!G24*高温電圧!G$2-VLOOKUP(HUAWEI製ＰＣＳ接続枚数計算ツール!$C$9,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HUAWEI製ＰＣＳ接続枚数計算ツール!$B$119:$P$149,14,FALSE),0)/100*IF(高温電圧!G24*高温電圧!G$2&lt;VLOOKUP(HUAWEI製ＰＣＳ接続枚数計算ツール!$C$9, HUAWEI製ＰＣＳ接続枚数計算ツール!$B$119:$P$149,12,FALSE),0,1)</f>
        <v>0</v>
      </c>
      <c r="H24" s="85">
        <f>ROUNDDOWN((高温電圧!H24*高温電圧!H$2-VLOOKUP(HUAWEI製ＰＣＳ接続枚数計算ツール!$C$9,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HUAWEI製ＰＣＳ接続枚数計算ツール!$B$119:$P$149,14,FALSE),0)/100*IF(高温電圧!H24*高温電圧!H$2&lt;VLOOKUP(HUAWEI製ＰＣＳ接続枚数計算ツール!$C$9, HUAWEI製ＰＣＳ接続枚数計算ツール!$B$119:$P$149,12,FALSE),0,1)</f>
        <v>0</v>
      </c>
      <c r="I24" s="85">
        <f>ROUNDDOWN((高温電圧!I24*高温電圧!I$2-VLOOKUP(HUAWEI製ＰＣＳ接続枚数計算ツール!$C$9,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HUAWEI製ＰＣＳ接続枚数計算ツール!$B$119:$P$149,14,FALSE),0)/100*IF(高温電圧!I24*高温電圧!I$2&lt;VLOOKUP(HUAWEI製ＰＣＳ接続枚数計算ツール!$C$9, HUAWEI製ＰＣＳ接続枚数計算ツール!$B$119:$P$149,12,FALSE),0,1)</f>
        <v>0</v>
      </c>
      <c r="J24" s="85">
        <f>ROUNDDOWN((高温電圧!J24*高温電圧!J$2-VLOOKUP(HUAWEI製ＰＣＳ接続枚数計算ツール!$C$9,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HUAWEI製ＰＣＳ接続枚数計算ツール!$B$119:$P$149,14,FALSE),0)/100*IF(高温電圧!J24*高温電圧!J$2&lt;VLOOKUP(HUAWEI製ＰＣＳ接続枚数計算ツール!$C$9, HUAWEI製ＰＣＳ接続枚数計算ツール!$B$119:$P$149,12,FALSE),0,1)</f>
        <v>0</v>
      </c>
      <c r="K24" s="85">
        <f>ROUNDDOWN((高温電圧!K24*高温電圧!K$2-VLOOKUP(HUAWEI製ＰＣＳ接続枚数計算ツール!$C$9,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HUAWEI製ＰＣＳ接続枚数計算ツール!$B$119:$P$149,14,FALSE),0)/100*IF(高温電圧!K24*高温電圧!K$2&lt;VLOOKUP(HUAWEI製ＰＣＳ接続枚数計算ツール!$C$9, HUAWEI製ＰＣＳ接続枚数計算ツール!$B$119:$P$149,12,FALSE),0,1)</f>
        <v>0</v>
      </c>
      <c r="L24" s="85">
        <f>ROUNDDOWN((高温電圧!L24*高温電圧!L$2-VLOOKUP(HUAWEI製ＰＣＳ接続枚数計算ツール!$C$9,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HUAWEI製ＰＣＳ接続枚数計算ツール!$B$119:$P$149,14,FALSE),0)/100*IF(高温電圧!L24*高温電圧!L$2&lt;VLOOKUP(HUAWEI製ＰＣＳ接続枚数計算ツール!$C$9, HUAWEI製ＰＣＳ接続枚数計算ツール!$B$119:$P$149,12,FALSE),0,1)</f>
        <v>0</v>
      </c>
      <c r="M24" s="85">
        <f>ROUNDDOWN((高温電圧!M24*高温電圧!M$2-VLOOKUP(HUAWEI製ＰＣＳ接続枚数計算ツール!$C$9,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HUAWEI製ＰＣＳ接続枚数計算ツール!$B$119:$P$149,14,FALSE),0)/100*IF(高温電圧!M24*高温電圧!M$2&lt;VLOOKUP(HUAWEI製ＰＣＳ接続枚数計算ツール!$C$9, HUAWEI製ＰＣＳ接続枚数計算ツール!$B$119:$P$149,12,FALSE),0,1)</f>
        <v>0</v>
      </c>
      <c r="N24" s="85">
        <f>ROUNDDOWN((高温電圧!N24*高温電圧!N$2-VLOOKUP(HUAWEI製ＰＣＳ接続枚数計算ツール!$C$9,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HUAWEI製ＰＣＳ接続枚数計算ツール!$B$119:$P$149,14,FALSE),0)/100*IF(高温電圧!N24*高温電圧!N$2&lt;VLOOKUP(HUAWEI製ＰＣＳ接続枚数計算ツール!$C$9, HUAWEI製ＰＣＳ接続枚数計算ツール!$B$119:$P$149,12,FALSE),0,1)</f>
        <v>0</v>
      </c>
      <c r="O24" s="85">
        <f>ROUNDDOWN((高温電圧!O24*高温電圧!O$2-VLOOKUP(HUAWEI製ＰＣＳ接続枚数計算ツール!$C$9,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HUAWEI製ＰＣＳ接続枚数計算ツール!$B$119:$P$149,14,FALSE),0)/100*IF(高温電圧!O24*高温電圧!O$2&lt;VLOOKUP(HUAWEI製ＰＣＳ接続枚数計算ツール!$C$9, HUAWEI製ＰＣＳ接続枚数計算ツール!$B$119:$P$149,12,FALSE),0,1)</f>
        <v>0.64</v>
      </c>
      <c r="P24" s="85">
        <f>ROUNDDOWN((高温電圧!P24*高温電圧!P$2-VLOOKUP(HUAWEI製ＰＣＳ接続枚数計算ツール!$C$9,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HUAWEI製ＰＣＳ接続枚数計算ツール!$B$119:$P$149,14,FALSE),0)/100*IF(高温電圧!P24*高温電圧!P$2&lt;VLOOKUP(HUAWEI製ＰＣＳ接続枚数計算ツール!$C$9, HUAWEI製ＰＣＳ接続枚数計算ツール!$B$119:$P$149,12,FALSE),0,1)</f>
        <v>0.7</v>
      </c>
      <c r="Q24" s="85">
        <f>ROUNDDOWN((高温電圧!Q24*高温電圧!Q$2-VLOOKUP(HUAWEI製ＰＣＳ接続枚数計算ツール!$C$9,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HUAWEI製ＰＣＳ接続枚数計算ツール!$B$119:$P$149,14,FALSE),0)/100*IF(高温電圧!Q24*高温電圧!Q$2&lt;VLOOKUP(HUAWEI製ＰＣＳ接続枚数計算ツール!$C$9, HUAWEI製ＰＣＳ接続枚数計算ツール!$B$119:$P$149,12,FALSE),0,1)</f>
        <v>0.75</v>
      </c>
      <c r="R24" s="85">
        <f>ROUNDDOWN((高温電圧!R24*高温電圧!R$2-VLOOKUP(HUAWEI製ＰＣＳ接続枚数計算ツール!$C$9,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HUAWEI製ＰＣＳ接続枚数計算ツール!$B$119:$P$149,14,FALSE),0)/100*IF(高温電圧!R24*高温電圧!R$2&lt;VLOOKUP(HUAWEI製ＰＣＳ接続枚数計算ツール!$C$9, HUAWEI製ＰＣＳ接続枚数計算ツール!$B$119:$P$149,12,FALSE),0,1)</f>
        <v>0.81</v>
      </c>
      <c r="S24" s="85">
        <f>ROUNDDOWN((高温電圧!S24*高温電圧!S$2-VLOOKUP(HUAWEI製ＰＣＳ接続枚数計算ツール!$C$9,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HUAWEI製ＰＣＳ接続枚数計算ツール!$B$119:$P$149,14,FALSE),0)/100*IF(高温電圧!S24*高温電圧!S$2&lt;VLOOKUP(HUAWEI製ＰＣＳ接続枚数計算ツール!$C$9, HUAWEI製ＰＣＳ接続枚数計算ツール!$B$119:$P$149,12,FALSE),0,1)</f>
        <v>0.87</v>
      </c>
      <c r="T24" s="85">
        <f>ROUNDDOWN((高温電圧!T24*高温電圧!T$2-VLOOKUP(HUAWEI製ＰＣＳ接続枚数計算ツール!$C$9,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HUAWEI製ＰＣＳ接続枚数計算ツール!$B$119:$P$149,14,FALSE),0)/100*IF(高温電圧!T24*高温電圧!T$2&lt;VLOOKUP(HUAWEI製ＰＣＳ接続枚数計算ツール!$C$9, HUAWEI製ＰＣＳ接続枚数計算ツール!$B$119:$P$149,12,FALSE),0,1)</f>
        <v>0.92</v>
      </c>
      <c r="U24" s="85">
        <f>ROUNDDOWN((高温電圧!U24*高温電圧!U$2-VLOOKUP(HUAWEI製ＰＣＳ接続枚数計算ツール!$C$9,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HUAWEI製ＰＣＳ接続枚数計算ツール!$B$119:$P$149,14,FALSE),0)/100*IF(高温電圧!U24*高温電圧!U$2&lt;VLOOKUP(HUAWEI製ＰＣＳ接続枚数計算ツール!$C$9, HUAWEI製ＰＣＳ接続枚数計算ツール!$B$119:$P$149,12,FALSE),0,1)</f>
        <v>0.98</v>
      </c>
      <c r="V24" s="85">
        <f>ROUNDDOWN((高温電圧!V24*高温電圧!V$2-VLOOKUP(HUAWEI製ＰＣＳ接続枚数計算ツール!$C$9,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HUAWEI製ＰＣＳ接続枚数計算ツール!$B$119:$P$149,14,FALSE),0)/100*IF(高温電圧!V24*高温電圧!V$2&lt;VLOOKUP(HUAWEI製ＰＣＳ接続枚数計算ツール!$C$9, HUAWEI製ＰＣＳ接続枚数計算ツール!$B$119:$P$149,12,FALSE),0,1)</f>
        <v>1.04</v>
      </c>
      <c r="W24" s="85">
        <f>ROUNDDOWN((高温電圧!W24*高温電圧!W$2-VLOOKUP(HUAWEI製ＰＣＳ接続枚数計算ツール!$C$9,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HUAWEI製ＰＣＳ接続枚数計算ツール!$B$119:$P$149,14,FALSE),0)/100*IF(高温電圧!W24*高温電圧!W$2&lt;VLOOKUP(HUAWEI製ＰＣＳ接続枚数計算ツール!$C$9, HUAWEI製ＰＣＳ接続枚数計算ツール!$B$119:$P$149,12,FALSE),0,1)</f>
        <v>1.0900000000000001</v>
      </c>
      <c r="X24" s="85">
        <f>ROUNDDOWN((高温電圧!X24*高温電圧!X$2-VLOOKUP(HUAWEI製ＰＣＳ接続枚数計算ツール!$C$9,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HUAWEI製ＰＣＳ接続枚数計算ツール!$B$119:$P$149,14,FALSE),0)/100*IF(高温電圧!X24*高温電圧!X$2&lt;VLOOKUP(HUAWEI製ＰＣＳ接続枚数計算ツール!$C$9, HUAWEI製ＰＣＳ接続枚数計算ツール!$B$119:$P$149,12,FALSE),0,1)</f>
        <v>1.1499999999999999</v>
      </c>
      <c r="Y24" s="85">
        <f>ROUNDDOWN((高温電圧!Y24*高温電圧!Y$2-VLOOKUP(HUAWEI製ＰＣＳ接続枚数計算ツール!$C$9,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HUAWEI製ＰＣＳ接続枚数計算ツール!$B$119:$P$149,14,FALSE),0)/100*IF(高温電圧!Y24*高温電圧!Y$2&lt;VLOOKUP(HUAWEI製ＰＣＳ接続枚数計算ツール!$C$9, HUAWEI製ＰＣＳ接続枚数計算ツール!$B$119:$P$149,12,FALSE),0,1)</f>
        <v>1.2</v>
      </c>
      <c r="Z24" s="85">
        <f>ROUNDDOWN((高温電圧!Z24*高温電圧!Z$2-VLOOKUP(HUAWEI製ＰＣＳ接続枚数計算ツール!$C$9,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HUAWEI製ＰＣＳ接続枚数計算ツール!$B$119:$P$149,14,FALSE),0)/100*IF(高温電圧!Z24*高温電圧!Z$2&lt;VLOOKUP(HUAWEI製ＰＣＳ接続枚数計算ツール!$C$9, HUAWEI製ＰＣＳ接続枚数計算ツール!$B$119:$P$149,12,FALSE),0,1)</f>
        <v>1.26</v>
      </c>
      <c r="AA24" s="85">
        <f>ROUNDDOWN((高温電圧!AA24*高温電圧!AA$2-VLOOKUP(HUAWEI製ＰＣＳ接続枚数計算ツール!$C$9,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HUAWEI製ＰＣＳ接続枚数計算ツール!$B$119:$P$149,14,FALSE),0)/100*IF(高温電圧!AA24*高温電圧!AA$2&lt;VLOOKUP(HUAWEI製ＰＣＳ接続枚数計算ツール!$C$9, HUAWEI製ＰＣＳ接続枚数計算ツール!$B$119:$P$149,12,FALSE),0,1)</f>
        <v>1.32</v>
      </c>
      <c r="AB24" s="85">
        <f>ROUNDDOWN((高温電圧!AB24*高温電圧!AB$2-VLOOKUP(HUAWEI製ＰＣＳ接続枚数計算ツール!$C$9,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HUAWEI製ＰＣＳ接続枚数計算ツール!$B$119:$P$149,14,FALSE),0)/100*IF(高温電圧!AB24*高温電圧!AB$2&lt;VLOOKUP(HUAWEI製ＰＣＳ接続枚数計算ツール!$C$9, HUAWEI製ＰＣＳ接続枚数計算ツール!$B$119:$P$149,12,FALSE),0,1)</f>
        <v>1.37</v>
      </c>
      <c r="AC24" s="85">
        <f>ROUNDDOWN((高温電圧!AC24*高温電圧!AC$2-VLOOKUP(HUAWEI製ＰＣＳ接続枚数計算ツール!$C$9,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HUAWEI製ＰＣＳ接続枚数計算ツール!$B$119:$P$149,14,FALSE),0)/100*IF(高温電圧!AC24*高温電圧!AC$2&lt;VLOOKUP(HUAWEI製ＰＣＳ接続枚数計算ツール!$C$9, HUAWEI製ＰＣＳ接続枚数計算ツール!$B$119:$P$149,12,FALSE),0,1)</f>
        <v>1.43</v>
      </c>
      <c r="AD24" s="85">
        <f>ROUNDDOWN((高温電圧!AD24*高温電圧!AD$2-VLOOKUP(HUAWEI製ＰＣＳ接続枚数計算ツール!$C$9,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HUAWEI製ＰＣＳ接続枚数計算ツール!$B$119:$P$149,14,FALSE),0)/100*IF(高温電圧!AD24*高温電圧!AD$2&lt;VLOOKUP(HUAWEI製ＰＣＳ接続枚数計算ツール!$C$9, HUAWEI製ＰＣＳ接続枚数計算ツール!$B$119:$P$149,12,FALSE),0,1)</f>
        <v>1.49</v>
      </c>
      <c r="AE24" s="85">
        <f>ROUNDDOWN((高温電圧!AE24*高温電圧!AE$2-VLOOKUP(HUAWEI製ＰＣＳ接続枚数計算ツール!$C$9,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HUAWEI製ＰＣＳ接続枚数計算ツール!$B$119:$P$149,14,FALSE),0)/100*IF(高温電圧!AE24*高温電圧!AE$2&lt;VLOOKUP(HUAWEI製ＰＣＳ接続枚数計算ツール!$C$9, HUAWEI製ＰＣＳ接続枚数計算ツール!$B$119:$P$149,12,FALSE),0,1)</f>
        <v>1.54</v>
      </c>
      <c r="AF24" s="85">
        <f>ROUNDDOWN((高温電圧!AF24*高温電圧!AF$2-VLOOKUP(HUAWEI製ＰＣＳ接続枚数計算ツール!$C$9,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HUAWEI製ＰＣＳ接続枚数計算ツール!$B$119:$P$149,14,FALSE),0)/100*IF(高温電圧!AF24*高温電圧!AF$2&lt;VLOOKUP(HUAWEI製ＰＣＳ接続枚数計算ツール!$C$9, HUAWEI製ＰＣＳ接続枚数計算ツール!$B$119:$P$149,12,FALSE),0,1)</f>
        <v>1.6</v>
      </c>
      <c r="AG24" s="85">
        <f>ROUNDDOWN((高温電圧!AG24*高温電圧!AG$2-VLOOKUP(HUAWEI製ＰＣＳ接続枚数計算ツール!$C$9,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HUAWEI製ＰＣＳ接続枚数計算ツール!$B$119:$P$149,14,FALSE),0)/100*IF(高温電圧!AG24*高温電圧!AG$2&lt;VLOOKUP(HUAWEI製ＰＣＳ接続枚数計算ツール!$C$9, HUAWEI製ＰＣＳ接続枚数計算ツール!$B$119:$P$149,12,FALSE),0,1)</f>
        <v>1.65</v>
      </c>
      <c r="AH24" s="85">
        <f>ROUNDDOWN((高温電圧!AH24*高温電圧!AH$2-VLOOKUP(HUAWEI製ＰＣＳ接続枚数計算ツール!$C$9,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HUAWEI製ＰＣＳ接続枚数計算ツール!$B$119:$P$149,14,FALSE),0)/100*IF(高温電圧!AH24*高温電圧!AH$2&lt;VLOOKUP(HUAWEI製ＰＣＳ接続枚数計算ツール!$C$9, HUAWEI製ＰＣＳ接続枚数計算ツール!$B$119:$P$149,12,FALSE),0,1)</f>
        <v>1.71</v>
      </c>
      <c r="AI24" s="85">
        <f>ROUNDDOWN((高温電圧!AI24*高温電圧!AI$2-VLOOKUP(HUAWEI製ＰＣＳ接続枚数計算ツール!$C$9,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HUAWEI製ＰＣＳ接続枚数計算ツール!$B$119:$P$149,14,FALSE),0)/100*IF(高温電圧!AI24*高温電圧!AI$2&lt;VLOOKUP(HUAWEI製ＰＣＳ接続枚数計算ツール!$C$9, HUAWEI製ＰＣＳ接続枚数計算ツール!$B$119:$P$149,12,FALSE),0,1)</f>
        <v>1.77</v>
      </c>
      <c r="AJ24" s="85">
        <f>ROUNDDOWN((高温電圧!AJ24*高温電圧!AJ$2-VLOOKUP(HUAWEI製ＰＣＳ接続枚数計算ツール!$C$9,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HUAWEI製ＰＣＳ接続枚数計算ツール!$B$119:$P$149,14,FALSE),0)/100*IF(高温電圧!AJ24*高温電圧!AJ$2&lt;VLOOKUP(HUAWEI製ＰＣＳ接続枚数計算ツール!$C$9, HUAWEI製ＰＣＳ接続枚数計算ツール!$B$119:$P$149,12,FALSE),0,1)</f>
        <v>1.82</v>
      </c>
      <c r="AK24" s="85">
        <f>ROUNDDOWN((高温電圧!AK24*高温電圧!AK$2-VLOOKUP(HUAWEI製ＰＣＳ接続枚数計算ツール!$C$9,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HUAWEI製ＰＣＳ接続枚数計算ツール!$B$119:$P$149,14,FALSE),0)/100*IF(高温電圧!AK24*高温電圧!AK$2&lt;VLOOKUP(HUAWEI製ＰＣＳ接続枚数計算ツール!$C$9, HUAWEI製ＰＣＳ接続枚数計算ツール!$B$119:$P$149,12,FALSE),0,1)</f>
        <v>1.88</v>
      </c>
      <c r="AL24" s="85">
        <f>ROUNDDOWN((高温電圧!AL24*高温電圧!AL$2-VLOOKUP(HUAWEI製ＰＣＳ接続枚数計算ツール!$C$9,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HUAWEI製ＰＣＳ接続枚数計算ツール!$B$119:$P$149,14,FALSE),0)/100*IF(高温電圧!AL24*高温電圧!AL$2&lt;VLOOKUP(HUAWEI製ＰＣＳ接続枚数計算ツール!$C$9, HUAWEI製ＰＣＳ接続枚数計算ツール!$B$119:$P$149,12,FALSE),0,1)</f>
        <v>1.94</v>
      </c>
      <c r="AM24" s="85">
        <f>ROUNDDOWN((高温電圧!AM24*高温電圧!AM$2-VLOOKUP(HUAWEI製ＰＣＳ接続枚数計算ツール!$C$9,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HUAWEI製ＰＣＳ接続枚数計算ツール!$B$119:$P$149,14,FALSE),0)/100*IF(高温電圧!AM24*高温電圧!AM$2&lt;VLOOKUP(HUAWEI製ＰＣＳ接続枚数計算ツール!$C$9, HUAWEI製ＰＣＳ接続枚数計算ツール!$B$119:$P$149,12,FALSE),0,1)</f>
        <v>1.99</v>
      </c>
      <c r="AN24" s="85">
        <f>ROUNDDOWN((高温電圧!AN24*高温電圧!AN$2-VLOOKUP(HUAWEI製ＰＣＳ接続枚数計算ツール!$C$9,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HUAWEI製ＰＣＳ接続枚数計算ツール!$B$119:$P$149,14,FALSE),0)/100*IF(高温電圧!AN24*高温電圧!AN$2&lt;VLOOKUP(HUAWEI製ＰＣＳ接続枚数計算ツール!$C$9, HUAWEI製ＰＣＳ接続枚数計算ツール!$B$119:$P$149,12,FALSE),0,1)</f>
        <v>2.0499999999999998</v>
      </c>
      <c r="AO24" s="85">
        <f>ROUNDDOWN((高温電圧!AO24*高温電圧!AO$2-VLOOKUP(HUAWEI製ＰＣＳ接続枚数計算ツール!$C$9,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HUAWEI製ＰＣＳ接続枚数計算ツール!$B$119:$P$149,14,FALSE),0)/100*IF(高温電圧!AO24*高温電圧!AO$2&lt;VLOOKUP(HUAWEI製ＰＣＳ接続枚数計算ツール!$C$9, HUAWEI製ＰＣＳ接続枚数計算ツール!$B$119:$P$149,12,FALSE),0,1)</f>
        <v>2.1</v>
      </c>
    </row>
    <row r="25" spans="1:41">
      <c r="A25">
        <v>23</v>
      </c>
      <c r="B25" s="85">
        <f>ROUNDDOWN((高温電圧!B25*高温電圧!B$2-VLOOKUP(HUAWEI製ＰＣＳ接続枚数計算ツール!$C$9,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HUAWEI製ＰＣＳ接続枚数計算ツール!$B$119:$P$149,14,FALSE),0)/100*IF(高温電圧!B25*高温電圧!B$2&lt;VLOOKUP(HUAWEI製ＰＣＳ接続枚数計算ツール!$C$9, HUAWEI製ＰＣＳ接続枚数計算ツール!$B$119:$P$149,12,FALSE),0,1)</f>
        <v>0</v>
      </c>
      <c r="C25" s="85">
        <f>ROUNDDOWN((高温電圧!C25*高温電圧!C$2-VLOOKUP(HUAWEI製ＰＣＳ接続枚数計算ツール!$C$9,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HUAWEI製ＰＣＳ接続枚数計算ツール!$B$119:$P$149,14,FALSE),0)/100*IF(高温電圧!C25*高温電圧!C$2&lt;VLOOKUP(HUAWEI製ＰＣＳ接続枚数計算ツール!$C$9, HUAWEI製ＰＣＳ接続枚数計算ツール!$B$119:$P$149,12,FALSE),0,1)</f>
        <v>0</v>
      </c>
      <c r="D25" s="85">
        <f>ROUNDDOWN((高温電圧!D25*高温電圧!D$2-VLOOKUP(HUAWEI製ＰＣＳ接続枚数計算ツール!$C$9,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HUAWEI製ＰＣＳ接続枚数計算ツール!$B$119:$P$149,14,FALSE),0)/100*IF(高温電圧!D25*高温電圧!D$2&lt;VLOOKUP(HUAWEI製ＰＣＳ接続枚数計算ツール!$C$9, HUAWEI製ＰＣＳ接続枚数計算ツール!$B$119:$P$149,12,FALSE),0,1)</f>
        <v>0</v>
      </c>
      <c r="E25" s="85">
        <f>ROUNDDOWN((高温電圧!E25*高温電圧!E$2-VLOOKUP(HUAWEI製ＰＣＳ接続枚数計算ツール!$C$9,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HUAWEI製ＰＣＳ接続枚数計算ツール!$B$119:$P$149,14,FALSE),0)/100*IF(高温電圧!E25*高温電圧!E$2&lt;VLOOKUP(HUAWEI製ＰＣＳ接続枚数計算ツール!$C$9, HUAWEI製ＰＣＳ接続枚数計算ツール!$B$119:$P$149,12,FALSE),0,1)</f>
        <v>0</v>
      </c>
      <c r="F25" s="85">
        <f>ROUNDDOWN((高温電圧!F25*高温電圧!F$2-VLOOKUP(HUAWEI製ＰＣＳ接続枚数計算ツール!$C$9,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HUAWEI製ＰＣＳ接続枚数計算ツール!$B$119:$P$149,14,FALSE),0)/100*IF(高温電圧!F25*高温電圧!F$2&lt;VLOOKUP(HUAWEI製ＰＣＳ接続枚数計算ツール!$C$9, HUAWEI製ＰＣＳ接続枚数計算ツール!$B$119:$P$149,12,FALSE),0,1)</f>
        <v>0</v>
      </c>
      <c r="G25" s="85">
        <f>ROUNDDOWN((高温電圧!G25*高温電圧!G$2-VLOOKUP(HUAWEI製ＰＣＳ接続枚数計算ツール!$C$9,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HUAWEI製ＰＣＳ接続枚数計算ツール!$B$119:$P$149,14,FALSE),0)/100*IF(高温電圧!G25*高温電圧!G$2&lt;VLOOKUP(HUAWEI製ＰＣＳ接続枚数計算ツール!$C$9, HUAWEI製ＰＣＳ接続枚数計算ツール!$B$119:$P$149,12,FALSE),0,1)</f>
        <v>0</v>
      </c>
      <c r="H25" s="85">
        <f>ROUNDDOWN((高温電圧!H25*高温電圧!H$2-VLOOKUP(HUAWEI製ＰＣＳ接続枚数計算ツール!$C$9,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HUAWEI製ＰＣＳ接続枚数計算ツール!$B$119:$P$149,14,FALSE),0)/100*IF(高温電圧!H25*高温電圧!H$2&lt;VLOOKUP(HUAWEI製ＰＣＳ接続枚数計算ツール!$C$9, HUAWEI製ＰＣＳ接続枚数計算ツール!$B$119:$P$149,12,FALSE),0,1)</f>
        <v>0</v>
      </c>
      <c r="I25" s="85">
        <f>ROUNDDOWN((高温電圧!I25*高温電圧!I$2-VLOOKUP(HUAWEI製ＰＣＳ接続枚数計算ツール!$C$9,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HUAWEI製ＰＣＳ接続枚数計算ツール!$B$119:$P$149,14,FALSE),0)/100*IF(高温電圧!I25*高温電圧!I$2&lt;VLOOKUP(HUAWEI製ＰＣＳ接続枚数計算ツール!$C$9, HUAWEI製ＰＣＳ接続枚数計算ツール!$B$119:$P$149,12,FALSE),0,1)</f>
        <v>0</v>
      </c>
      <c r="J25" s="85">
        <f>ROUNDDOWN((高温電圧!J25*高温電圧!J$2-VLOOKUP(HUAWEI製ＰＣＳ接続枚数計算ツール!$C$9,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HUAWEI製ＰＣＳ接続枚数計算ツール!$B$119:$P$149,14,FALSE),0)/100*IF(高温電圧!J25*高温電圧!J$2&lt;VLOOKUP(HUAWEI製ＰＣＳ接続枚数計算ツール!$C$9, HUAWEI製ＰＣＳ接続枚数計算ツール!$B$119:$P$149,12,FALSE),0,1)</f>
        <v>0</v>
      </c>
      <c r="K25" s="85">
        <f>ROUNDDOWN((高温電圧!K25*高温電圧!K$2-VLOOKUP(HUAWEI製ＰＣＳ接続枚数計算ツール!$C$9,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HUAWEI製ＰＣＳ接続枚数計算ツール!$B$119:$P$149,14,FALSE),0)/100*IF(高温電圧!K25*高温電圧!K$2&lt;VLOOKUP(HUAWEI製ＰＣＳ接続枚数計算ツール!$C$9, HUAWEI製ＰＣＳ接続枚数計算ツール!$B$119:$P$149,12,FALSE),0,1)</f>
        <v>0</v>
      </c>
      <c r="L25" s="85">
        <f>ROUNDDOWN((高温電圧!L25*高温電圧!L$2-VLOOKUP(HUAWEI製ＰＣＳ接続枚数計算ツール!$C$9,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HUAWEI製ＰＣＳ接続枚数計算ツール!$B$119:$P$149,14,FALSE),0)/100*IF(高温電圧!L25*高温電圧!L$2&lt;VLOOKUP(HUAWEI製ＰＣＳ接続枚数計算ツール!$C$9, HUAWEI製ＰＣＳ接続枚数計算ツール!$B$119:$P$149,12,FALSE),0,1)</f>
        <v>0</v>
      </c>
      <c r="M25" s="85">
        <f>ROUNDDOWN((高温電圧!M25*高温電圧!M$2-VLOOKUP(HUAWEI製ＰＣＳ接続枚数計算ツール!$C$9,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HUAWEI製ＰＣＳ接続枚数計算ツール!$B$119:$P$149,14,FALSE),0)/100*IF(高温電圧!M25*高温電圧!M$2&lt;VLOOKUP(HUAWEI製ＰＣＳ接続枚数計算ツール!$C$9, HUAWEI製ＰＣＳ接続枚数計算ツール!$B$119:$P$149,12,FALSE),0,1)</f>
        <v>0</v>
      </c>
      <c r="N25" s="85">
        <f>ROUNDDOWN((高温電圧!N25*高温電圧!N$2-VLOOKUP(HUAWEI製ＰＣＳ接続枚数計算ツール!$C$9,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HUAWEI製ＰＣＳ接続枚数計算ツール!$B$119:$P$149,14,FALSE),0)/100*IF(高温電圧!N25*高温電圧!N$2&lt;VLOOKUP(HUAWEI製ＰＣＳ接続枚数計算ツール!$C$9, HUAWEI製ＰＣＳ接続枚数計算ツール!$B$119:$P$149,12,FALSE),0,1)</f>
        <v>0</v>
      </c>
      <c r="O25" s="85">
        <f>ROUNDDOWN((高温電圧!O25*高温電圧!O$2-VLOOKUP(HUAWEI製ＰＣＳ接続枚数計算ツール!$C$9,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HUAWEI製ＰＣＳ接続枚数計算ツール!$B$119:$P$149,14,FALSE),0)/100*IF(高温電圧!O25*高温電圧!O$2&lt;VLOOKUP(HUAWEI製ＰＣＳ接続枚数計算ツール!$C$9, HUAWEI製ＰＣＳ接続枚数計算ツール!$B$119:$P$149,12,FALSE),0,1)</f>
        <v>0.64</v>
      </c>
      <c r="P25" s="85">
        <f>ROUNDDOWN((高温電圧!P25*高温電圧!P$2-VLOOKUP(HUAWEI製ＰＣＳ接続枚数計算ツール!$C$9,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HUAWEI製ＰＣＳ接続枚数計算ツール!$B$119:$P$149,14,FALSE),0)/100*IF(高温電圧!P25*高温電圧!P$2&lt;VLOOKUP(HUAWEI製ＰＣＳ接続枚数計算ツール!$C$9, HUAWEI製ＰＣＳ接続枚数計算ツール!$B$119:$P$149,12,FALSE),0,1)</f>
        <v>0.7</v>
      </c>
      <c r="Q25" s="85">
        <f>ROUNDDOWN((高温電圧!Q25*高温電圧!Q$2-VLOOKUP(HUAWEI製ＰＣＳ接続枚数計算ツール!$C$9,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HUAWEI製ＰＣＳ接続枚数計算ツール!$B$119:$P$149,14,FALSE),0)/100*IF(高温電圧!Q25*高温電圧!Q$2&lt;VLOOKUP(HUAWEI製ＰＣＳ接続枚数計算ツール!$C$9, HUAWEI製ＰＣＳ接続枚数計算ツール!$B$119:$P$149,12,FALSE),0,1)</f>
        <v>0.75</v>
      </c>
      <c r="R25" s="85">
        <f>ROUNDDOWN((高温電圧!R25*高温電圧!R$2-VLOOKUP(HUAWEI製ＰＣＳ接続枚数計算ツール!$C$9,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HUAWEI製ＰＣＳ接続枚数計算ツール!$B$119:$P$149,14,FALSE),0)/100*IF(高温電圧!R25*高温電圧!R$2&lt;VLOOKUP(HUAWEI製ＰＣＳ接続枚数計算ツール!$C$9, HUAWEI製ＰＣＳ接続枚数計算ツール!$B$119:$P$149,12,FALSE),0,1)</f>
        <v>0.81</v>
      </c>
      <c r="S25" s="85">
        <f>ROUNDDOWN((高温電圧!S25*高温電圧!S$2-VLOOKUP(HUAWEI製ＰＣＳ接続枚数計算ツール!$C$9,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HUAWEI製ＰＣＳ接続枚数計算ツール!$B$119:$P$149,14,FALSE),0)/100*IF(高温電圧!S25*高温電圧!S$2&lt;VLOOKUP(HUAWEI製ＰＣＳ接続枚数計算ツール!$C$9, HUAWEI製ＰＣＳ接続枚数計算ツール!$B$119:$P$149,12,FALSE),0,1)</f>
        <v>0.87</v>
      </c>
      <c r="T25" s="85">
        <f>ROUNDDOWN((高温電圧!T25*高温電圧!T$2-VLOOKUP(HUAWEI製ＰＣＳ接続枚数計算ツール!$C$9,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HUAWEI製ＰＣＳ接続枚数計算ツール!$B$119:$P$149,14,FALSE),0)/100*IF(高温電圧!T25*高温電圧!T$2&lt;VLOOKUP(HUAWEI製ＰＣＳ接続枚数計算ツール!$C$9, HUAWEI製ＰＣＳ接続枚数計算ツール!$B$119:$P$149,12,FALSE),0,1)</f>
        <v>0.92</v>
      </c>
      <c r="U25" s="85">
        <f>ROUNDDOWN((高温電圧!U25*高温電圧!U$2-VLOOKUP(HUAWEI製ＰＣＳ接続枚数計算ツール!$C$9,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HUAWEI製ＰＣＳ接続枚数計算ツール!$B$119:$P$149,14,FALSE),0)/100*IF(高温電圧!U25*高温電圧!U$2&lt;VLOOKUP(HUAWEI製ＰＣＳ接続枚数計算ツール!$C$9, HUAWEI製ＰＣＳ接続枚数計算ツール!$B$119:$P$149,12,FALSE),0,1)</f>
        <v>0.98</v>
      </c>
      <c r="V25" s="85">
        <f>ROUNDDOWN((高温電圧!V25*高温電圧!V$2-VLOOKUP(HUAWEI製ＰＣＳ接続枚数計算ツール!$C$9,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HUAWEI製ＰＣＳ接続枚数計算ツール!$B$119:$P$149,14,FALSE),0)/100*IF(高温電圧!V25*高温電圧!V$2&lt;VLOOKUP(HUAWEI製ＰＣＳ接続枚数計算ツール!$C$9, HUAWEI製ＰＣＳ接続枚数計算ツール!$B$119:$P$149,12,FALSE),0,1)</f>
        <v>1.04</v>
      </c>
      <c r="W25" s="85">
        <f>ROUNDDOWN((高温電圧!W25*高温電圧!W$2-VLOOKUP(HUAWEI製ＰＣＳ接続枚数計算ツール!$C$9,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HUAWEI製ＰＣＳ接続枚数計算ツール!$B$119:$P$149,14,FALSE),0)/100*IF(高温電圧!W25*高温電圧!W$2&lt;VLOOKUP(HUAWEI製ＰＣＳ接続枚数計算ツール!$C$9, HUAWEI製ＰＣＳ接続枚数計算ツール!$B$119:$P$149,12,FALSE),0,1)</f>
        <v>1.0900000000000001</v>
      </c>
      <c r="X25" s="85">
        <f>ROUNDDOWN((高温電圧!X25*高温電圧!X$2-VLOOKUP(HUAWEI製ＰＣＳ接続枚数計算ツール!$C$9,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HUAWEI製ＰＣＳ接続枚数計算ツール!$B$119:$P$149,14,FALSE),0)/100*IF(高温電圧!X25*高温電圧!X$2&lt;VLOOKUP(HUAWEI製ＰＣＳ接続枚数計算ツール!$C$9, HUAWEI製ＰＣＳ接続枚数計算ツール!$B$119:$P$149,12,FALSE),0,1)</f>
        <v>1.1499999999999999</v>
      </c>
      <c r="Y25" s="85">
        <f>ROUNDDOWN((高温電圧!Y25*高温電圧!Y$2-VLOOKUP(HUAWEI製ＰＣＳ接続枚数計算ツール!$C$9,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HUAWEI製ＰＣＳ接続枚数計算ツール!$B$119:$P$149,14,FALSE),0)/100*IF(高温電圧!Y25*高温電圧!Y$2&lt;VLOOKUP(HUAWEI製ＰＣＳ接続枚数計算ツール!$C$9, HUAWEI製ＰＣＳ接続枚数計算ツール!$B$119:$P$149,12,FALSE),0,1)</f>
        <v>1.2</v>
      </c>
      <c r="Z25" s="85">
        <f>ROUNDDOWN((高温電圧!Z25*高温電圧!Z$2-VLOOKUP(HUAWEI製ＰＣＳ接続枚数計算ツール!$C$9,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HUAWEI製ＰＣＳ接続枚数計算ツール!$B$119:$P$149,14,FALSE),0)/100*IF(高温電圧!Z25*高温電圧!Z$2&lt;VLOOKUP(HUAWEI製ＰＣＳ接続枚数計算ツール!$C$9, HUAWEI製ＰＣＳ接続枚数計算ツール!$B$119:$P$149,12,FALSE),0,1)</f>
        <v>1.26</v>
      </c>
      <c r="AA25" s="85">
        <f>ROUNDDOWN((高温電圧!AA25*高温電圧!AA$2-VLOOKUP(HUAWEI製ＰＣＳ接続枚数計算ツール!$C$9,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HUAWEI製ＰＣＳ接続枚数計算ツール!$B$119:$P$149,14,FALSE),0)/100*IF(高温電圧!AA25*高温電圧!AA$2&lt;VLOOKUP(HUAWEI製ＰＣＳ接続枚数計算ツール!$C$9, HUAWEI製ＰＣＳ接続枚数計算ツール!$B$119:$P$149,12,FALSE),0,1)</f>
        <v>1.32</v>
      </c>
      <c r="AB25" s="85">
        <f>ROUNDDOWN((高温電圧!AB25*高温電圧!AB$2-VLOOKUP(HUAWEI製ＰＣＳ接続枚数計算ツール!$C$9,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HUAWEI製ＰＣＳ接続枚数計算ツール!$B$119:$P$149,14,FALSE),0)/100*IF(高温電圧!AB25*高温電圧!AB$2&lt;VLOOKUP(HUAWEI製ＰＣＳ接続枚数計算ツール!$C$9, HUAWEI製ＰＣＳ接続枚数計算ツール!$B$119:$P$149,12,FALSE),0,1)</f>
        <v>1.37</v>
      </c>
      <c r="AC25" s="85">
        <f>ROUNDDOWN((高温電圧!AC25*高温電圧!AC$2-VLOOKUP(HUAWEI製ＰＣＳ接続枚数計算ツール!$C$9,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HUAWEI製ＰＣＳ接続枚数計算ツール!$B$119:$P$149,14,FALSE),0)/100*IF(高温電圧!AC25*高温電圧!AC$2&lt;VLOOKUP(HUAWEI製ＰＣＳ接続枚数計算ツール!$C$9, HUAWEI製ＰＣＳ接続枚数計算ツール!$B$119:$P$149,12,FALSE),0,1)</f>
        <v>1.43</v>
      </c>
      <c r="AD25" s="85">
        <f>ROUNDDOWN((高温電圧!AD25*高温電圧!AD$2-VLOOKUP(HUAWEI製ＰＣＳ接続枚数計算ツール!$C$9,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HUAWEI製ＰＣＳ接続枚数計算ツール!$B$119:$P$149,14,FALSE),0)/100*IF(高温電圧!AD25*高温電圧!AD$2&lt;VLOOKUP(HUAWEI製ＰＣＳ接続枚数計算ツール!$C$9, HUAWEI製ＰＣＳ接続枚数計算ツール!$B$119:$P$149,12,FALSE),0,1)</f>
        <v>1.49</v>
      </c>
      <c r="AE25" s="85">
        <f>ROUNDDOWN((高温電圧!AE25*高温電圧!AE$2-VLOOKUP(HUAWEI製ＰＣＳ接続枚数計算ツール!$C$9,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HUAWEI製ＰＣＳ接続枚数計算ツール!$B$119:$P$149,14,FALSE),0)/100*IF(高温電圧!AE25*高温電圧!AE$2&lt;VLOOKUP(HUAWEI製ＰＣＳ接続枚数計算ツール!$C$9, HUAWEI製ＰＣＳ接続枚数計算ツール!$B$119:$P$149,12,FALSE),0,1)</f>
        <v>1.54</v>
      </c>
      <c r="AF25" s="85">
        <f>ROUNDDOWN((高温電圧!AF25*高温電圧!AF$2-VLOOKUP(HUAWEI製ＰＣＳ接続枚数計算ツール!$C$9,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HUAWEI製ＰＣＳ接続枚数計算ツール!$B$119:$P$149,14,FALSE),0)/100*IF(高温電圧!AF25*高温電圧!AF$2&lt;VLOOKUP(HUAWEI製ＰＣＳ接続枚数計算ツール!$C$9, HUAWEI製ＰＣＳ接続枚数計算ツール!$B$119:$P$149,12,FALSE),0,1)</f>
        <v>1.6</v>
      </c>
      <c r="AG25" s="85">
        <f>ROUNDDOWN((高温電圧!AG25*高温電圧!AG$2-VLOOKUP(HUAWEI製ＰＣＳ接続枚数計算ツール!$C$9,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HUAWEI製ＰＣＳ接続枚数計算ツール!$B$119:$P$149,14,FALSE),0)/100*IF(高温電圧!AG25*高温電圧!AG$2&lt;VLOOKUP(HUAWEI製ＰＣＳ接続枚数計算ツール!$C$9, HUAWEI製ＰＣＳ接続枚数計算ツール!$B$119:$P$149,12,FALSE),0,1)</f>
        <v>1.65</v>
      </c>
      <c r="AH25" s="85">
        <f>ROUNDDOWN((高温電圧!AH25*高温電圧!AH$2-VLOOKUP(HUAWEI製ＰＣＳ接続枚数計算ツール!$C$9,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HUAWEI製ＰＣＳ接続枚数計算ツール!$B$119:$P$149,14,FALSE),0)/100*IF(高温電圧!AH25*高温電圧!AH$2&lt;VLOOKUP(HUAWEI製ＰＣＳ接続枚数計算ツール!$C$9, HUAWEI製ＰＣＳ接続枚数計算ツール!$B$119:$P$149,12,FALSE),0,1)</f>
        <v>1.71</v>
      </c>
      <c r="AI25" s="85">
        <f>ROUNDDOWN((高温電圧!AI25*高温電圧!AI$2-VLOOKUP(HUAWEI製ＰＣＳ接続枚数計算ツール!$C$9,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HUAWEI製ＰＣＳ接続枚数計算ツール!$B$119:$P$149,14,FALSE),0)/100*IF(高温電圧!AI25*高温電圧!AI$2&lt;VLOOKUP(HUAWEI製ＰＣＳ接続枚数計算ツール!$C$9, HUAWEI製ＰＣＳ接続枚数計算ツール!$B$119:$P$149,12,FALSE),0,1)</f>
        <v>1.77</v>
      </c>
      <c r="AJ25" s="85">
        <f>ROUNDDOWN((高温電圧!AJ25*高温電圧!AJ$2-VLOOKUP(HUAWEI製ＰＣＳ接続枚数計算ツール!$C$9,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HUAWEI製ＰＣＳ接続枚数計算ツール!$B$119:$P$149,14,FALSE),0)/100*IF(高温電圧!AJ25*高温電圧!AJ$2&lt;VLOOKUP(HUAWEI製ＰＣＳ接続枚数計算ツール!$C$9, HUAWEI製ＰＣＳ接続枚数計算ツール!$B$119:$P$149,12,FALSE),0,1)</f>
        <v>1.82</v>
      </c>
      <c r="AK25" s="85">
        <f>ROUNDDOWN((高温電圧!AK25*高温電圧!AK$2-VLOOKUP(HUAWEI製ＰＣＳ接続枚数計算ツール!$C$9,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HUAWEI製ＰＣＳ接続枚数計算ツール!$B$119:$P$149,14,FALSE),0)/100*IF(高温電圧!AK25*高温電圧!AK$2&lt;VLOOKUP(HUAWEI製ＰＣＳ接続枚数計算ツール!$C$9, HUAWEI製ＰＣＳ接続枚数計算ツール!$B$119:$P$149,12,FALSE),0,1)</f>
        <v>1.88</v>
      </c>
      <c r="AL25" s="85">
        <f>ROUNDDOWN((高温電圧!AL25*高温電圧!AL$2-VLOOKUP(HUAWEI製ＰＣＳ接続枚数計算ツール!$C$9,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HUAWEI製ＰＣＳ接続枚数計算ツール!$B$119:$P$149,14,FALSE),0)/100*IF(高温電圧!AL25*高温電圧!AL$2&lt;VLOOKUP(HUAWEI製ＰＣＳ接続枚数計算ツール!$C$9, HUAWEI製ＰＣＳ接続枚数計算ツール!$B$119:$P$149,12,FALSE),0,1)</f>
        <v>1.94</v>
      </c>
      <c r="AM25" s="85">
        <f>ROUNDDOWN((高温電圧!AM25*高温電圧!AM$2-VLOOKUP(HUAWEI製ＰＣＳ接続枚数計算ツール!$C$9,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HUAWEI製ＰＣＳ接続枚数計算ツール!$B$119:$P$149,14,FALSE),0)/100*IF(高温電圧!AM25*高温電圧!AM$2&lt;VLOOKUP(HUAWEI製ＰＣＳ接続枚数計算ツール!$C$9, HUAWEI製ＰＣＳ接続枚数計算ツール!$B$119:$P$149,12,FALSE),0,1)</f>
        <v>1.99</v>
      </c>
      <c r="AN25" s="85">
        <f>ROUNDDOWN((高温電圧!AN25*高温電圧!AN$2-VLOOKUP(HUAWEI製ＰＣＳ接続枚数計算ツール!$C$9,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HUAWEI製ＰＣＳ接続枚数計算ツール!$B$119:$P$149,14,FALSE),0)/100*IF(高温電圧!AN25*高温電圧!AN$2&lt;VLOOKUP(HUAWEI製ＰＣＳ接続枚数計算ツール!$C$9, HUAWEI製ＰＣＳ接続枚数計算ツール!$B$119:$P$149,12,FALSE),0,1)</f>
        <v>2.0499999999999998</v>
      </c>
      <c r="AO25" s="85">
        <f>ROUNDDOWN((高温電圧!AO25*高温電圧!AO$2-VLOOKUP(HUAWEI製ＰＣＳ接続枚数計算ツール!$C$9,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HUAWEI製ＰＣＳ接続枚数計算ツール!$B$119:$P$149,14,FALSE),0)/100*IF(高温電圧!AO25*高温電圧!AO$2&lt;VLOOKUP(HUAWEI製ＰＣＳ接続枚数計算ツール!$C$9, HUAWEI製ＰＣＳ接続枚数計算ツール!$B$119:$P$149,12,FALSE),0,1)</f>
        <v>2.1</v>
      </c>
    </row>
    <row r="26" spans="1:41">
      <c r="A26">
        <v>24</v>
      </c>
      <c r="B26" s="85">
        <f>ROUNDDOWN((高温電圧!B26*高温電圧!B$2-VLOOKUP(HUAWEI製ＰＣＳ接続枚数計算ツール!$C$9,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HUAWEI製ＰＣＳ接続枚数計算ツール!$B$119:$P$149,14,FALSE),0)/100*IF(高温電圧!B26*高温電圧!B$2&lt;VLOOKUP(HUAWEI製ＰＣＳ接続枚数計算ツール!$C$9, HUAWEI製ＰＣＳ接続枚数計算ツール!$B$119:$P$149,12,FALSE),0,1)</f>
        <v>0</v>
      </c>
      <c r="C26" s="85">
        <f>ROUNDDOWN((高温電圧!C26*高温電圧!C$2-VLOOKUP(HUAWEI製ＰＣＳ接続枚数計算ツール!$C$9,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HUAWEI製ＰＣＳ接続枚数計算ツール!$B$119:$P$149,14,FALSE),0)/100*IF(高温電圧!C26*高温電圧!C$2&lt;VLOOKUP(HUAWEI製ＰＣＳ接続枚数計算ツール!$C$9, HUAWEI製ＰＣＳ接続枚数計算ツール!$B$119:$P$149,12,FALSE),0,1)</f>
        <v>0</v>
      </c>
      <c r="D26" s="85">
        <f>ROUNDDOWN((高温電圧!D26*高温電圧!D$2-VLOOKUP(HUAWEI製ＰＣＳ接続枚数計算ツール!$C$9,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HUAWEI製ＰＣＳ接続枚数計算ツール!$B$119:$P$149,14,FALSE),0)/100*IF(高温電圧!D26*高温電圧!D$2&lt;VLOOKUP(HUAWEI製ＰＣＳ接続枚数計算ツール!$C$9, HUAWEI製ＰＣＳ接続枚数計算ツール!$B$119:$P$149,12,FALSE),0,1)</f>
        <v>0</v>
      </c>
      <c r="E26" s="85">
        <f>ROUNDDOWN((高温電圧!E26*高温電圧!E$2-VLOOKUP(HUAWEI製ＰＣＳ接続枚数計算ツール!$C$9,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HUAWEI製ＰＣＳ接続枚数計算ツール!$B$119:$P$149,14,FALSE),0)/100*IF(高温電圧!E26*高温電圧!E$2&lt;VLOOKUP(HUAWEI製ＰＣＳ接続枚数計算ツール!$C$9, HUAWEI製ＰＣＳ接続枚数計算ツール!$B$119:$P$149,12,FALSE),0,1)</f>
        <v>0</v>
      </c>
      <c r="F26" s="85">
        <f>ROUNDDOWN((高温電圧!F26*高温電圧!F$2-VLOOKUP(HUAWEI製ＰＣＳ接続枚数計算ツール!$C$9,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HUAWEI製ＰＣＳ接続枚数計算ツール!$B$119:$P$149,14,FALSE),0)/100*IF(高温電圧!F26*高温電圧!F$2&lt;VLOOKUP(HUAWEI製ＰＣＳ接続枚数計算ツール!$C$9, HUAWEI製ＰＣＳ接続枚数計算ツール!$B$119:$P$149,12,FALSE),0,1)</f>
        <v>0</v>
      </c>
      <c r="G26" s="85">
        <f>ROUNDDOWN((高温電圧!G26*高温電圧!G$2-VLOOKUP(HUAWEI製ＰＣＳ接続枚数計算ツール!$C$9,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HUAWEI製ＰＣＳ接続枚数計算ツール!$B$119:$P$149,14,FALSE),0)/100*IF(高温電圧!G26*高温電圧!G$2&lt;VLOOKUP(HUAWEI製ＰＣＳ接続枚数計算ツール!$C$9, HUAWEI製ＰＣＳ接続枚数計算ツール!$B$119:$P$149,12,FALSE),0,1)</f>
        <v>0</v>
      </c>
      <c r="H26" s="85">
        <f>ROUNDDOWN((高温電圧!H26*高温電圧!H$2-VLOOKUP(HUAWEI製ＰＣＳ接続枚数計算ツール!$C$9,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HUAWEI製ＰＣＳ接続枚数計算ツール!$B$119:$P$149,14,FALSE),0)/100*IF(高温電圧!H26*高温電圧!H$2&lt;VLOOKUP(HUAWEI製ＰＣＳ接続枚数計算ツール!$C$9, HUAWEI製ＰＣＳ接続枚数計算ツール!$B$119:$P$149,12,FALSE),0,1)</f>
        <v>0</v>
      </c>
      <c r="I26" s="85">
        <f>ROUNDDOWN((高温電圧!I26*高温電圧!I$2-VLOOKUP(HUAWEI製ＰＣＳ接続枚数計算ツール!$C$9,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HUAWEI製ＰＣＳ接続枚数計算ツール!$B$119:$P$149,14,FALSE),0)/100*IF(高温電圧!I26*高温電圧!I$2&lt;VLOOKUP(HUAWEI製ＰＣＳ接続枚数計算ツール!$C$9, HUAWEI製ＰＣＳ接続枚数計算ツール!$B$119:$P$149,12,FALSE),0,1)</f>
        <v>0</v>
      </c>
      <c r="J26" s="85">
        <f>ROUNDDOWN((高温電圧!J26*高温電圧!J$2-VLOOKUP(HUAWEI製ＰＣＳ接続枚数計算ツール!$C$9,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HUAWEI製ＰＣＳ接続枚数計算ツール!$B$119:$P$149,14,FALSE),0)/100*IF(高温電圧!J26*高温電圧!J$2&lt;VLOOKUP(HUAWEI製ＰＣＳ接続枚数計算ツール!$C$9, HUAWEI製ＰＣＳ接続枚数計算ツール!$B$119:$P$149,12,FALSE),0,1)</f>
        <v>0</v>
      </c>
      <c r="K26" s="85">
        <f>ROUNDDOWN((高温電圧!K26*高温電圧!K$2-VLOOKUP(HUAWEI製ＰＣＳ接続枚数計算ツール!$C$9,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HUAWEI製ＰＣＳ接続枚数計算ツール!$B$119:$P$149,14,FALSE),0)/100*IF(高温電圧!K26*高温電圧!K$2&lt;VLOOKUP(HUAWEI製ＰＣＳ接続枚数計算ツール!$C$9, HUAWEI製ＰＣＳ接続枚数計算ツール!$B$119:$P$149,12,FALSE),0,1)</f>
        <v>0</v>
      </c>
      <c r="L26" s="85">
        <f>ROUNDDOWN((高温電圧!L26*高温電圧!L$2-VLOOKUP(HUAWEI製ＰＣＳ接続枚数計算ツール!$C$9,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HUAWEI製ＰＣＳ接続枚数計算ツール!$B$119:$P$149,14,FALSE),0)/100*IF(高温電圧!L26*高温電圧!L$2&lt;VLOOKUP(HUAWEI製ＰＣＳ接続枚数計算ツール!$C$9, HUAWEI製ＰＣＳ接続枚数計算ツール!$B$119:$P$149,12,FALSE),0,1)</f>
        <v>0</v>
      </c>
      <c r="M26" s="85">
        <f>ROUNDDOWN((高温電圧!M26*高温電圧!M$2-VLOOKUP(HUAWEI製ＰＣＳ接続枚数計算ツール!$C$9,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HUAWEI製ＰＣＳ接続枚数計算ツール!$B$119:$P$149,14,FALSE),0)/100*IF(高温電圧!M26*高温電圧!M$2&lt;VLOOKUP(HUAWEI製ＰＣＳ接続枚数計算ツール!$C$9, HUAWEI製ＰＣＳ接続枚数計算ツール!$B$119:$P$149,12,FALSE),0,1)</f>
        <v>0</v>
      </c>
      <c r="N26" s="85">
        <f>ROUNDDOWN((高温電圧!N26*高温電圧!N$2-VLOOKUP(HUAWEI製ＰＣＳ接続枚数計算ツール!$C$9,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HUAWEI製ＰＣＳ接続枚数計算ツール!$B$119:$P$149,14,FALSE),0)/100*IF(高温電圧!N26*高温電圧!N$2&lt;VLOOKUP(HUAWEI製ＰＣＳ接続枚数計算ツール!$C$9, HUAWEI製ＰＣＳ接続枚数計算ツール!$B$119:$P$149,12,FALSE),0,1)</f>
        <v>0</v>
      </c>
      <c r="O26" s="85">
        <f>ROUNDDOWN((高温電圧!O26*高温電圧!O$2-VLOOKUP(HUAWEI製ＰＣＳ接続枚数計算ツール!$C$9,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HUAWEI製ＰＣＳ接続枚数計算ツール!$B$119:$P$149,14,FALSE),0)/100*IF(高温電圧!O26*高温電圧!O$2&lt;VLOOKUP(HUAWEI製ＰＣＳ接続枚数計算ツール!$C$9, HUAWEI製ＰＣＳ接続枚数計算ツール!$B$119:$P$149,12,FALSE),0,1)</f>
        <v>0.64</v>
      </c>
      <c r="P26" s="85">
        <f>ROUNDDOWN((高温電圧!P26*高温電圧!P$2-VLOOKUP(HUAWEI製ＰＣＳ接続枚数計算ツール!$C$9,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HUAWEI製ＰＣＳ接続枚数計算ツール!$B$119:$P$149,14,FALSE),0)/100*IF(高温電圧!P26*高温電圧!P$2&lt;VLOOKUP(HUAWEI製ＰＣＳ接続枚数計算ツール!$C$9, HUAWEI製ＰＣＳ接続枚数計算ツール!$B$119:$P$149,12,FALSE),0,1)</f>
        <v>0.7</v>
      </c>
      <c r="Q26" s="85">
        <f>ROUNDDOWN((高温電圧!Q26*高温電圧!Q$2-VLOOKUP(HUAWEI製ＰＣＳ接続枚数計算ツール!$C$9,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HUAWEI製ＰＣＳ接続枚数計算ツール!$B$119:$P$149,14,FALSE),0)/100*IF(高温電圧!Q26*高温電圧!Q$2&lt;VLOOKUP(HUAWEI製ＰＣＳ接続枚数計算ツール!$C$9, HUAWEI製ＰＣＳ接続枚数計算ツール!$B$119:$P$149,12,FALSE),0,1)</f>
        <v>0.75</v>
      </c>
      <c r="R26" s="85">
        <f>ROUNDDOWN((高温電圧!R26*高温電圧!R$2-VLOOKUP(HUAWEI製ＰＣＳ接続枚数計算ツール!$C$9,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HUAWEI製ＰＣＳ接続枚数計算ツール!$B$119:$P$149,14,FALSE),0)/100*IF(高温電圧!R26*高温電圧!R$2&lt;VLOOKUP(HUAWEI製ＰＣＳ接続枚数計算ツール!$C$9, HUAWEI製ＰＣＳ接続枚数計算ツール!$B$119:$P$149,12,FALSE),0,1)</f>
        <v>0.81</v>
      </c>
      <c r="S26" s="85">
        <f>ROUNDDOWN((高温電圧!S26*高温電圧!S$2-VLOOKUP(HUAWEI製ＰＣＳ接続枚数計算ツール!$C$9,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HUAWEI製ＰＣＳ接続枚数計算ツール!$B$119:$P$149,14,FALSE),0)/100*IF(高温電圧!S26*高温電圧!S$2&lt;VLOOKUP(HUAWEI製ＰＣＳ接続枚数計算ツール!$C$9, HUAWEI製ＰＣＳ接続枚数計算ツール!$B$119:$P$149,12,FALSE),0,1)</f>
        <v>0.87</v>
      </c>
      <c r="T26" s="85">
        <f>ROUNDDOWN((高温電圧!T26*高温電圧!T$2-VLOOKUP(HUAWEI製ＰＣＳ接続枚数計算ツール!$C$9,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HUAWEI製ＰＣＳ接続枚数計算ツール!$B$119:$P$149,14,FALSE),0)/100*IF(高温電圧!T26*高温電圧!T$2&lt;VLOOKUP(HUAWEI製ＰＣＳ接続枚数計算ツール!$C$9, HUAWEI製ＰＣＳ接続枚数計算ツール!$B$119:$P$149,12,FALSE),0,1)</f>
        <v>0.92</v>
      </c>
      <c r="U26" s="85">
        <f>ROUNDDOWN((高温電圧!U26*高温電圧!U$2-VLOOKUP(HUAWEI製ＰＣＳ接続枚数計算ツール!$C$9,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HUAWEI製ＰＣＳ接続枚数計算ツール!$B$119:$P$149,14,FALSE),0)/100*IF(高温電圧!U26*高温電圧!U$2&lt;VLOOKUP(HUAWEI製ＰＣＳ接続枚数計算ツール!$C$9, HUAWEI製ＰＣＳ接続枚数計算ツール!$B$119:$P$149,12,FALSE),0,1)</f>
        <v>0.98</v>
      </c>
      <c r="V26" s="85">
        <f>ROUNDDOWN((高温電圧!V26*高温電圧!V$2-VLOOKUP(HUAWEI製ＰＣＳ接続枚数計算ツール!$C$9,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HUAWEI製ＰＣＳ接続枚数計算ツール!$B$119:$P$149,14,FALSE),0)/100*IF(高温電圧!V26*高温電圧!V$2&lt;VLOOKUP(HUAWEI製ＰＣＳ接続枚数計算ツール!$C$9, HUAWEI製ＰＣＳ接続枚数計算ツール!$B$119:$P$149,12,FALSE),0,1)</f>
        <v>1.04</v>
      </c>
      <c r="W26" s="85">
        <f>ROUNDDOWN((高温電圧!W26*高温電圧!W$2-VLOOKUP(HUAWEI製ＰＣＳ接続枚数計算ツール!$C$9,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HUAWEI製ＰＣＳ接続枚数計算ツール!$B$119:$P$149,14,FALSE),0)/100*IF(高温電圧!W26*高温電圧!W$2&lt;VLOOKUP(HUAWEI製ＰＣＳ接続枚数計算ツール!$C$9, HUAWEI製ＰＣＳ接続枚数計算ツール!$B$119:$P$149,12,FALSE),0,1)</f>
        <v>1.0900000000000001</v>
      </c>
      <c r="X26" s="85">
        <f>ROUNDDOWN((高温電圧!X26*高温電圧!X$2-VLOOKUP(HUAWEI製ＰＣＳ接続枚数計算ツール!$C$9,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HUAWEI製ＰＣＳ接続枚数計算ツール!$B$119:$P$149,14,FALSE),0)/100*IF(高温電圧!X26*高温電圧!X$2&lt;VLOOKUP(HUAWEI製ＰＣＳ接続枚数計算ツール!$C$9, HUAWEI製ＰＣＳ接続枚数計算ツール!$B$119:$P$149,12,FALSE),0,1)</f>
        <v>1.1499999999999999</v>
      </c>
      <c r="Y26" s="85">
        <f>ROUNDDOWN((高温電圧!Y26*高温電圧!Y$2-VLOOKUP(HUAWEI製ＰＣＳ接続枚数計算ツール!$C$9,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HUAWEI製ＰＣＳ接続枚数計算ツール!$B$119:$P$149,14,FALSE),0)/100*IF(高温電圧!Y26*高温電圧!Y$2&lt;VLOOKUP(HUAWEI製ＰＣＳ接続枚数計算ツール!$C$9, HUAWEI製ＰＣＳ接続枚数計算ツール!$B$119:$P$149,12,FALSE),0,1)</f>
        <v>1.2</v>
      </c>
      <c r="Z26" s="85">
        <f>ROUNDDOWN((高温電圧!Z26*高温電圧!Z$2-VLOOKUP(HUAWEI製ＰＣＳ接続枚数計算ツール!$C$9,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HUAWEI製ＰＣＳ接続枚数計算ツール!$B$119:$P$149,14,FALSE),0)/100*IF(高温電圧!Z26*高温電圧!Z$2&lt;VLOOKUP(HUAWEI製ＰＣＳ接続枚数計算ツール!$C$9, HUAWEI製ＰＣＳ接続枚数計算ツール!$B$119:$P$149,12,FALSE),0,1)</f>
        <v>1.26</v>
      </c>
      <c r="AA26" s="85">
        <f>ROUNDDOWN((高温電圧!AA26*高温電圧!AA$2-VLOOKUP(HUAWEI製ＰＣＳ接続枚数計算ツール!$C$9,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HUAWEI製ＰＣＳ接続枚数計算ツール!$B$119:$P$149,14,FALSE),0)/100*IF(高温電圧!AA26*高温電圧!AA$2&lt;VLOOKUP(HUAWEI製ＰＣＳ接続枚数計算ツール!$C$9, HUAWEI製ＰＣＳ接続枚数計算ツール!$B$119:$P$149,12,FALSE),0,1)</f>
        <v>1.32</v>
      </c>
      <c r="AB26" s="85">
        <f>ROUNDDOWN((高温電圧!AB26*高温電圧!AB$2-VLOOKUP(HUAWEI製ＰＣＳ接続枚数計算ツール!$C$9,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HUAWEI製ＰＣＳ接続枚数計算ツール!$B$119:$P$149,14,FALSE),0)/100*IF(高温電圧!AB26*高温電圧!AB$2&lt;VLOOKUP(HUAWEI製ＰＣＳ接続枚数計算ツール!$C$9, HUAWEI製ＰＣＳ接続枚数計算ツール!$B$119:$P$149,12,FALSE),0,1)</f>
        <v>1.37</v>
      </c>
      <c r="AC26" s="85">
        <f>ROUNDDOWN((高温電圧!AC26*高温電圧!AC$2-VLOOKUP(HUAWEI製ＰＣＳ接続枚数計算ツール!$C$9,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HUAWEI製ＰＣＳ接続枚数計算ツール!$B$119:$P$149,14,FALSE),0)/100*IF(高温電圧!AC26*高温電圧!AC$2&lt;VLOOKUP(HUAWEI製ＰＣＳ接続枚数計算ツール!$C$9, HUAWEI製ＰＣＳ接続枚数計算ツール!$B$119:$P$149,12,FALSE),0,1)</f>
        <v>1.43</v>
      </c>
      <c r="AD26" s="85">
        <f>ROUNDDOWN((高温電圧!AD26*高温電圧!AD$2-VLOOKUP(HUAWEI製ＰＣＳ接続枚数計算ツール!$C$9,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HUAWEI製ＰＣＳ接続枚数計算ツール!$B$119:$P$149,14,FALSE),0)/100*IF(高温電圧!AD26*高温電圧!AD$2&lt;VLOOKUP(HUAWEI製ＰＣＳ接続枚数計算ツール!$C$9, HUAWEI製ＰＣＳ接続枚数計算ツール!$B$119:$P$149,12,FALSE),0,1)</f>
        <v>1.49</v>
      </c>
      <c r="AE26" s="85">
        <f>ROUNDDOWN((高温電圧!AE26*高温電圧!AE$2-VLOOKUP(HUAWEI製ＰＣＳ接続枚数計算ツール!$C$9,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HUAWEI製ＰＣＳ接続枚数計算ツール!$B$119:$P$149,14,FALSE),0)/100*IF(高温電圧!AE26*高温電圧!AE$2&lt;VLOOKUP(HUAWEI製ＰＣＳ接続枚数計算ツール!$C$9, HUAWEI製ＰＣＳ接続枚数計算ツール!$B$119:$P$149,12,FALSE),0,1)</f>
        <v>1.54</v>
      </c>
      <c r="AF26" s="85">
        <f>ROUNDDOWN((高温電圧!AF26*高温電圧!AF$2-VLOOKUP(HUAWEI製ＰＣＳ接続枚数計算ツール!$C$9,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HUAWEI製ＰＣＳ接続枚数計算ツール!$B$119:$P$149,14,FALSE),0)/100*IF(高温電圧!AF26*高温電圧!AF$2&lt;VLOOKUP(HUAWEI製ＰＣＳ接続枚数計算ツール!$C$9, HUAWEI製ＰＣＳ接続枚数計算ツール!$B$119:$P$149,12,FALSE),0,1)</f>
        <v>1.6</v>
      </c>
      <c r="AG26" s="85">
        <f>ROUNDDOWN((高温電圧!AG26*高温電圧!AG$2-VLOOKUP(HUAWEI製ＰＣＳ接続枚数計算ツール!$C$9,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HUAWEI製ＰＣＳ接続枚数計算ツール!$B$119:$P$149,14,FALSE),0)/100*IF(高温電圧!AG26*高温電圧!AG$2&lt;VLOOKUP(HUAWEI製ＰＣＳ接続枚数計算ツール!$C$9, HUAWEI製ＰＣＳ接続枚数計算ツール!$B$119:$P$149,12,FALSE),0,1)</f>
        <v>1.65</v>
      </c>
      <c r="AH26" s="85">
        <f>ROUNDDOWN((高温電圧!AH26*高温電圧!AH$2-VLOOKUP(HUAWEI製ＰＣＳ接続枚数計算ツール!$C$9,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HUAWEI製ＰＣＳ接続枚数計算ツール!$B$119:$P$149,14,FALSE),0)/100*IF(高温電圧!AH26*高温電圧!AH$2&lt;VLOOKUP(HUAWEI製ＰＣＳ接続枚数計算ツール!$C$9, HUAWEI製ＰＣＳ接続枚数計算ツール!$B$119:$P$149,12,FALSE),0,1)</f>
        <v>1.71</v>
      </c>
      <c r="AI26" s="85">
        <f>ROUNDDOWN((高温電圧!AI26*高温電圧!AI$2-VLOOKUP(HUAWEI製ＰＣＳ接続枚数計算ツール!$C$9,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HUAWEI製ＰＣＳ接続枚数計算ツール!$B$119:$P$149,14,FALSE),0)/100*IF(高温電圧!AI26*高温電圧!AI$2&lt;VLOOKUP(HUAWEI製ＰＣＳ接続枚数計算ツール!$C$9, HUAWEI製ＰＣＳ接続枚数計算ツール!$B$119:$P$149,12,FALSE),0,1)</f>
        <v>1.77</v>
      </c>
      <c r="AJ26" s="85">
        <f>ROUNDDOWN((高温電圧!AJ26*高温電圧!AJ$2-VLOOKUP(HUAWEI製ＰＣＳ接続枚数計算ツール!$C$9,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HUAWEI製ＰＣＳ接続枚数計算ツール!$B$119:$P$149,14,FALSE),0)/100*IF(高温電圧!AJ26*高温電圧!AJ$2&lt;VLOOKUP(HUAWEI製ＰＣＳ接続枚数計算ツール!$C$9, HUAWEI製ＰＣＳ接続枚数計算ツール!$B$119:$P$149,12,FALSE),0,1)</f>
        <v>1.82</v>
      </c>
      <c r="AK26" s="85">
        <f>ROUNDDOWN((高温電圧!AK26*高温電圧!AK$2-VLOOKUP(HUAWEI製ＰＣＳ接続枚数計算ツール!$C$9,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HUAWEI製ＰＣＳ接続枚数計算ツール!$B$119:$P$149,14,FALSE),0)/100*IF(高温電圧!AK26*高温電圧!AK$2&lt;VLOOKUP(HUAWEI製ＰＣＳ接続枚数計算ツール!$C$9, HUAWEI製ＰＣＳ接続枚数計算ツール!$B$119:$P$149,12,FALSE),0,1)</f>
        <v>1.88</v>
      </c>
      <c r="AL26" s="85">
        <f>ROUNDDOWN((高温電圧!AL26*高温電圧!AL$2-VLOOKUP(HUAWEI製ＰＣＳ接続枚数計算ツール!$C$9,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HUAWEI製ＰＣＳ接続枚数計算ツール!$B$119:$P$149,14,FALSE),0)/100*IF(高温電圧!AL26*高温電圧!AL$2&lt;VLOOKUP(HUAWEI製ＰＣＳ接続枚数計算ツール!$C$9, HUAWEI製ＰＣＳ接続枚数計算ツール!$B$119:$P$149,12,FALSE),0,1)</f>
        <v>1.94</v>
      </c>
      <c r="AM26" s="85">
        <f>ROUNDDOWN((高温電圧!AM26*高温電圧!AM$2-VLOOKUP(HUAWEI製ＰＣＳ接続枚数計算ツール!$C$9,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HUAWEI製ＰＣＳ接続枚数計算ツール!$B$119:$P$149,14,FALSE),0)/100*IF(高温電圧!AM26*高温電圧!AM$2&lt;VLOOKUP(HUAWEI製ＰＣＳ接続枚数計算ツール!$C$9, HUAWEI製ＰＣＳ接続枚数計算ツール!$B$119:$P$149,12,FALSE),0,1)</f>
        <v>1.99</v>
      </c>
      <c r="AN26" s="85">
        <f>ROUNDDOWN((高温電圧!AN26*高温電圧!AN$2-VLOOKUP(HUAWEI製ＰＣＳ接続枚数計算ツール!$C$9,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HUAWEI製ＰＣＳ接続枚数計算ツール!$B$119:$P$149,14,FALSE),0)/100*IF(高温電圧!AN26*高温電圧!AN$2&lt;VLOOKUP(HUAWEI製ＰＣＳ接続枚数計算ツール!$C$9, HUAWEI製ＰＣＳ接続枚数計算ツール!$B$119:$P$149,12,FALSE),0,1)</f>
        <v>2.0499999999999998</v>
      </c>
      <c r="AO26" s="85">
        <f>ROUNDDOWN((高温電圧!AO26*高温電圧!AO$2-VLOOKUP(HUAWEI製ＰＣＳ接続枚数計算ツール!$C$9,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HUAWEI製ＰＣＳ接続枚数計算ツール!$B$119:$P$149,14,FALSE),0)/100*IF(高温電圧!AO26*高温電圧!AO$2&lt;VLOOKUP(HUAWEI製ＰＣＳ接続枚数計算ツール!$C$9, HUAWEI製ＰＣＳ接続枚数計算ツール!$B$119:$P$149,12,FALSE),0,1)</f>
        <v>2.1</v>
      </c>
    </row>
    <row r="27" spans="1:41">
      <c r="A27">
        <v>25</v>
      </c>
      <c r="B27" s="85">
        <f>ROUNDDOWN((高温電圧!B27*高温電圧!B$2-VLOOKUP(HUAWEI製ＰＣＳ接続枚数計算ツール!$C$9,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HUAWEI製ＰＣＳ接続枚数計算ツール!$B$119:$P$149,14,FALSE),0)/100*IF(高温電圧!B27*高温電圧!B$2&lt;VLOOKUP(HUAWEI製ＰＣＳ接続枚数計算ツール!$C$9, HUAWEI製ＰＣＳ接続枚数計算ツール!$B$119:$P$149,12,FALSE),0,1)</f>
        <v>0</v>
      </c>
      <c r="C27" s="85">
        <f>ROUNDDOWN((高温電圧!C27*高温電圧!C$2-VLOOKUP(HUAWEI製ＰＣＳ接続枚数計算ツール!$C$9,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HUAWEI製ＰＣＳ接続枚数計算ツール!$B$119:$P$149,14,FALSE),0)/100*IF(高温電圧!C27*高温電圧!C$2&lt;VLOOKUP(HUAWEI製ＰＣＳ接続枚数計算ツール!$C$9, HUAWEI製ＰＣＳ接続枚数計算ツール!$B$119:$P$149,12,FALSE),0,1)</f>
        <v>0</v>
      </c>
      <c r="D27" s="85">
        <f>ROUNDDOWN((高温電圧!D27*高温電圧!D$2-VLOOKUP(HUAWEI製ＰＣＳ接続枚数計算ツール!$C$9,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HUAWEI製ＰＣＳ接続枚数計算ツール!$B$119:$P$149,14,FALSE),0)/100*IF(高温電圧!D27*高温電圧!D$2&lt;VLOOKUP(HUAWEI製ＰＣＳ接続枚数計算ツール!$C$9, HUAWEI製ＰＣＳ接続枚数計算ツール!$B$119:$P$149,12,FALSE),0,1)</f>
        <v>0</v>
      </c>
      <c r="E27" s="85">
        <f>ROUNDDOWN((高温電圧!E27*高温電圧!E$2-VLOOKUP(HUAWEI製ＰＣＳ接続枚数計算ツール!$C$9,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HUAWEI製ＰＣＳ接続枚数計算ツール!$B$119:$P$149,14,FALSE),0)/100*IF(高温電圧!E27*高温電圧!E$2&lt;VLOOKUP(HUAWEI製ＰＣＳ接続枚数計算ツール!$C$9, HUAWEI製ＰＣＳ接続枚数計算ツール!$B$119:$P$149,12,FALSE),0,1)</f>
        <v>0</v>
      </c>
      <c r="F27" s="85">
        <f>ROUNDDOWN((高温電圧!F27*高温電圧!F$2-VLOOKUP(HUAWEI製ＰＣＳ接続枚数計算ツール!$C$9,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HUAWEI製ＰＣＳ接続枚数計算ツール!$B$119:$P$149,14,FALSE),0)/100*IF(高温電圧!F27*高温電圧!F$2&lt;VLOOKUP(HUAWEI製ＰＣＳ接続枚数計算ツール!$C$9, HUAWEI製ＰＣＳ接続枚数計算ツール!$B$119:$P$149,12,FALSE),0,1)</f>
        <v>0</v>
      </c>
      <c r="G27" s="85">
        <f>ROUNDDOWN((高温電圧!G27*高温電圧!G$2-VLOOKUP(HUAWEI製ＰＣＳ接続枚数計算ツール!$C$9,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HUAWEI製ＰＣＳ接続枚数計算ツール!$B$119:$P$149,14,FALSE),0)/100*IF(高温電圧!G27*高温電圧!G$2&lt;VLOOKUP(HUAWEI製ＰＣＳ接続枚数計算ツール!$C$9, HUAWEI製ＰＣＳ接続枚数計算ツール!$B$119:$P$149,12,FALSE),0,1)</f>
        <v>0</v>
      </c>
      <c r="H27" s="85">
        <f>ROUNDDOWN((高温電圧!H27*高温電圧!H$2-VLOOKUP(HUAWEI製ＰＣＳ接続枚数計算ツール!$C$9,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HUAWEI製ＰＣＳ接続枚数計算ツール!$B$119:$P$149,14,FALSE),0)/100*IF(高温電圧!H27*高温電圧!H$2&lt;VLOOKUP(HUAWEI製ＰＣＳ接続枚数計算ツール!$C$9, HUAWEI製ＰＣＳ接続枚数計算ツール!$B$119:$P$149,12,FALSE),0,1)</f>
        <v>0</v>
      </c>
      <c r="I27" s="85">
        <f>ROUNDDOWN((高温電圧!I27*高温電圧!I$2-VLOOKUP(HUAWEI製ＰＣＳ接続枚数計算ツール!$C$9,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HUAWEI製ＰＣＳ接続枚数計算ツール!$B$119:$P$149,14,FALSE),0)/100*IF(高温電圧!I27*高温電圧!I$2&lt;VLOOKUP(HUAWEI製ＰＣＳ接続枚数計算ツール!$C$9, HUAWEI製ＰＣＳ接続枚数計算ツール!$B$119:$P$149,12,FALSE),0,1)</f>
        <v>0</v>
      </c>
      <c r="J27" s="85">
        <f>ROUNDDOWN((高温電圧!J27*高温電圧!J$2-VLOOKUP(HUAWEI製ＰＣＳ接続枚数計算ツール!$C$9,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HUAWEI製ＰＣＳ接続枚数計算ツール!$B$119:$P$149,14,FALSE),0)/100*IF(高温電圧!J27*高温電圧!J$2&lt;VLOOKUP(HUAWEI製ＰＣＳ接続枚数計算ツール!$C$9, HUAWEI製ＰＣＳ接続枚数計算ツール!$B$119:$P$149,12,FALSE),0,1)</f>
        <v>0</v>
      </c>
      <c r="K27" s="85">
        <f>ROUNDDOWN((高温電圧!K27*高温電圧!K$2-VLOOKUP(HUAWEI製ＰＣＳ接続枚数計算ツール!$C$9,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HUAWEI製ＰＣＳ接続枚数計算ツール!$B$119:$P$149,14,FALSE),0)/100*IF(高温電圧!K27*高温電圧!K$2&lt;VLOOKUP(HUAWEI製ＰＣＳ接続枚数計算ツール!$C$9, HUAWEI製ＰＣＳ接続枚数計算ツール!$B$119:$P$149,12,FALSE),0,1)</f>
        <v>0</v>
      </c>
      <c r="L27" s="85">
        <f>ROUNDDOWN((高温電圧!L27*高温電圧!L$2-VLOOKUP(HUAWEI製ＰＣＳ接続枚数計算ツール!$C$9,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HUAWEI製ＰＣＳ接続枚数計算ツール!$B$119:$P$149,14,FALSE),0)/100*IF(高温電圧!L27*高温電圧!L$2&lt;VLOOKUP(HUAWEI製ＰＣＳ接続枚数計算ツール!$C$9, HUAWEI製ＰＣＳ接続枚数計算ツール!$B$119:$P$149,12,FALSE),0,1)</f>
        <v>0</v>
      </c>
      <c r="M27" s="85">
        <f>ROUNDDOWN((高温電圧!M27*高温電圧!M$2-VLOOKUP(HUAWEI製ＰＣＳ接続枚数計算ツール!$C$9,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HUAWEI製ＰＣＳ接続枚数計算ツール!$B$119:$P$149,14,FALSE),0)/100*IF(高温電圧!M27*高温電圧!M$2&lt;VLOOKUP(HUAWEI製ＰＣＳ接続枚数計算ツール!$C$9, HUAWEI製ＰＣＳ接続枚数計算ツール!$B$119:$P$149,12,FALSE),0,1)</f>
        <v>0</v>
      </c>
      <c r="N27" s="85">
        <f>ROUNDDOWN((高温電圧!N27*高温電圧!N$2-VLOOKUP(HUAWEI製ＰＣＳ接続枚数計算ツール!$C$9,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HUAWEI製ＰＣＳ接続枚数計算ツール!$B$119:$P$149,14,FALSE),0)/100*IF(高温電圧!N27*高温電圧!N$2&lt;VLOOKUP(HUAWEI製ＰＣＳ接続枚数計算ツール!$C$9, HUAWEI製ＰＣＳ接続枚数計算ツール!$B$119:$P$149,12,FALSE),0,1)</f>
        <v>0</v>
      </c>
      <c r="O27" s="85">
        <f>ROUNDDOWN((高温電圧!O27*高温電圧!O$2-VLOOKUP(HUAWEI製ＰＣＳ接続枚数計算ツール!$C$9,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HUAWEI製ＰＣＳ接続枚数計算ツール!$B$119:$P$149,14,FALSE),0)/100*IF(高温電圧!O27*高温電圧!O$2&lt;VLOOKUP(HUAWEI製ＰＣＳ接続枚数計算ツール!$C$9, HUAWEI製ＰＣＳ接続枚数計算ツール!$B$119:$P$149,12,FALSE),0,1)</f>
        <v>0.64</v>
      </c>
      <c r="P27" s="85">
        <f>ROUNDDOWN((高温電圧!P27*高温電圧!P$2-VLOOKUP(HUAWEI製ＰＣＳ接続枚数計算ツール!$C$9,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HUAWEI製ＰＣＳ接続枚数計算ツール!$B$119:$P$149,14,FALSE),0)/100*IF(高温電圧!P27*高温電圧!P$2&lt;VLOOKUP(HUAWEI製ＰＣＳ接続枚数計算ツール!$C$9, HUAWEI製ＰＣＳ接続枚数計算ツール!$B$119:$P$149,12,FALSE),0,1)</f>
        <v>0.7</v>
      </c>
      <c r="Q27" s="85">
        <f>ROUNDDOWN((高温電圧!Q27*高温電圧!Q$2-VLOOKUP(HUAWEI製ＰＣＳ接続枚数計算ツール!$C$9,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HUAWEI製ＰＣＳ接続枚数計算ツール!$B$119:$P$149,14,FALSE),0)/100*IF(高温電圧!Q27*高温電圧!Q$2&lt;VLOOKUP(HUAWEI製ＰＣＳ接続枚数計算ツール!$C$9, HUAWEI製ＰＣＳ接続枚数計算ツール!$B$119:$P$149,12,FALSE),0,1)</f>
        <v>0.75</v>
      </c>
      <c r="R27" s="85">
        <f>ROUNDDOWN((高温電圧!R27*高温電圧!R$2-VLOOKUP(HUAWEI製ＰＣＳ接続枚数計算ツール!$C$9,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HUAWEI製ＰＣＳ接続枚数計算ツール!$B$119:$P$149,14,FALSE),0)/100*IF(高温電圧!R27*高温電圧!R$2&lt;VLOOKUP(HUAWEI製ＰＣＳ接続枚数計算ツール!$C$9, HUAWEI製ＰＣＳ接続枚数計算ツール!$B$119:$P$149,12,FALSE),0,1)</f>
        <v>0.81</v>
      </c>
      <c r="S27" s="85">
        <f>ROUNDDOWN((高温電圧!S27*高温電圧!S$2-VLOOKUP(HUAWEI製ＰＣＳ接続枚数計算ツール!$C$9,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HUAWEI製ＰＣＳ接続枚数計算ツール!$B$119:$P$149,14,FALSE),0)/100*IF(高温電圧!S27*高温電圧!S$2&lt;VLOOKUP(HUAWEI製ＰＣＳ接続枚数計算ツール!$C$9, HUAWEI製ＰＣＳ接続枚数計算ツール!$B$119:$P$149,12,FALSE),0,1)</f>
        <v>0.87</v>
      </c>
      <c r="T27" s="85">
        <f>ROUNDDOWN((高温電圧!T27*高温電圧!T$2-VLOOKUP(HUAWEI製ＰＣＳ接続枚数計算ツール!$C$9,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HUAWEI製ＰＣＳ接続枚数計算ツール!$B$119:$P$149,14,FALSE),0)/100*IF(高温電圧!T27*高温電圧!T$2&lt;VLOOKUP(HUAWEI製ＰＣＳ接続枚数計算ツール!$C$9, HUAWEI製ＰＣＳ接続枚数計算ツール!$B$119:$P$149,12,FALSE),0,1)</f>
        <v>0.92</v>
      </c>
      <c r="U27" s="85">
        <f>ROUNDDOWN((高温電圧!U27*高温電圧!U$2-VLOOKUP(HUAWEI製ＰＣＳ接続枚数計算ツール!$C$9,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HUAWEI製ＰＣＳ接続枚数計算ツール!$B$119:$P$149,14,FALSE),0)/100*IF(高温電圧!U27*高温電圧!U$2&lt;VLOOKUP(HUAWEI製ＰＣＳ接続枚数計算ツール!$C$9, HUAWEI製ＰＣＳ接続枚数計算ツール!$B$119:$P$149,12,FALSE),0,1)</f>
        <v>0.98</v>
      </c>
      <c r="V27" s="85">
        <f>ROUNDDOWN((高温電圧!V27*高温電圧!V$2-VLOOKUP(HUAWEI製ＰＣＳ接続枚数計算ツール!$C$9,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HUAWEI製ＰＣＳ接続枚数計算ツール!$B$119:$P$149,14,FALSE),0)/100*IF(高温電圧!V27*高温電圧!V$2&lt;VLOOKUP(HUAWEI製ＰＣＳ接続枚数計算ツール!$C$9, HUAWEI製ＰＣＳ接続枚数計算ツール!$B$119:$P$149,12,FALSE),0,1)</f>
        <v>1.04</v>
      </c>
      <c r="W27" s="85">
        <f>ROUNDDOWN((高温電圧!W27*高温電圧!W$2-VLOOKUP(HUAWEI製ＰＣＳ接続枚数計算ツール!$C$9,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HUAWEI製ＰＣＳ接続枚数計算ツール!$B$119:$P$149,14,FALSE),0)/100*IF(高温電圧!W27*高温電圧!W$2&lt;VLOOKUP(HUAWEI製ＰＣＳ接続枚数計算ツール!$C$9, HUAWEI製ＰＣＳ接続枚数計算ツール!$B$119:$P$149,12,FALSE),0,1)</f>
        <v>1.0900000000000001</v>
      </c>
      <c r="X27" s="85">
        <f>ROUNDDOWN((高温電圧!X27*高温電圧!X$2-VLOOKUP(HUAWEI製ＰＣＳ接続枚数計算ツール!$C$9,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HUAWEI製ＰＣＳ接続枚数計算ツール!$B$119:$P$149,14,FALSE),0)/100*IF(高温電圧!X27*高温電圧!X$2&lt;VLOOKUP(HUAWEI製ＰＣＳ接続枚数計算ツール!$C$9, HUAWEI製ＰＣＳ接続枚数計算ツール!$B$119:$P$149,12,FALSE),0,1)</f>
        <v>1.1499999999999999</v>
      </c>
      <c r="Y27" s="85">
        <f>ROUNDDOWN((高温電圧!Y27*高温電圧!Y$2-VLOOKUP(HUAWEI製ＰＣＳ接続枚数計算ツール!$C$9,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HUAWEI製ＰＣＳ接続枚数計算ツール!$B$119:$P$149,14,FALSE),0)/100*IF(高温電圧!Y27*高温電圧!Y$2&lt;VLOOKUP(HUAWEI製ＰＣＳ接続枚数計算ツール!$C$9, HUAWEI製ＰＣＳ接続枚数計算ツール!$B$119:$P$149,12,FALSE),0,1)</f>
        <v>1.2</v>
      </c>
      <c r="Z27" s="85">
        <f>ROUNDDOWN((高温電圧!Z27*高温電圧!Z$2-VLOOKUP(HUAWEI製ＰＣＳ接続枚数計算ツール!$C$9,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HUAWEI製ＰＣＳ接続枚数計算ツール!$B$119:$P$149,14,FALSE),0)/100*IF(高温電圧!Z27*高温電圧!Z$2&lt;VLOOKUP(HUAWEI製ＰＣＳ接続枚数計算ツール!$C$9, HUAWEI製ＰＣＳ接続枚数計算ツール!$B$119:$P$149,12,FALSE),0,1)</f>
        <v>1.26</v>
      </c>
      <c r="AA27" s="85">
        <f>ROUNDDOWN((高温電圧!AA27*高温電圧!AA$2-VLOOKUP(HUAWEI製ＰＣＳ接続枚数計算ツール!$C$9,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HUAWEI製ＰＣＳ接続枚数計算ツール!$B$119:$P$149,14,FALSE),0)/100*IF(高温電圧!AA27*高温電圧!AA$2&lt;VLOOKUP(HUAWEI製ＰＣＳ接続枚数計算ツール!$C$9, HUAWEI製ＰＣＳ接続枚数計算ツール!$B$119:$P$149,12,FALSE),0,1)</f>
        <v>1.32</v>
      </c>
      <c r="AB27" s="85">
        <f>ROUNDDOWN((高温電圧!AB27*高温電圧!AB$2-VLOOKUP(HUAWEI製ＰＣＳ接続枚数計算ツール!$C$9,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HUAWEI製ＰＣＳ接続枚数計算ツール!$B$119:$P$149,14,FALSE),0)/100*IF(高温電圧!AB27*高温電圧!AB$2&lt;VLOOKUP(HUAWEI製ＰＣＳ接続枚数計算ツール!$C$9, HUAWEI製ＰＣＳ接続枚数計算ツール!$B$119:$P$149,12,FALSE),0,1)</f>
        <v>1.37</v>
      </c>
      <c r="AC27" s="85">
        <f>ROUNDDOWN((高温電圧!AC27*高温電圧!AC$2-VLOOKUP(HUAWEI製ＰＣＳ接続枚数計算ツール!$C$9,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HUAWEI製ＰＣＳ接続枚数計算ツール!$B$119:$P$149,14,FALSE),0)/100*IF(高温電圧!AC27*高温電圧!AC$2&lt;VLOOKUP(HUAWEI製ＰＣＳ接続枚数計算ツール!$C$9, HUAWEI製ＰＣＳ接続枚数計算ツール!$B$119:$P$149,12,FALSE),0,1)</f>
        <v>1.43</v>
      </c>
      <c r="AD27" s="85">
        <f>ROUNDDOWN((高温電圧!AD27*高温電圧!AD$2-VLOOKUP(HUAWEI製ＰＣＳ接続枚数計算ツール!$C$9,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HUAWEI製ＰＣＳ接続枚数計算ツール!$B$119:$P$149,14,FALSE),0)/100*IF(高温電圧!AD27*高温電圧!AD$2&lt;VLOOKUP(HUAWEI製ＰＣＳ接続枚数計算ツール!$C$9, HUAWEI製ＰＣＳ接続枚数計算ツール!$B$119:$P$149,12,FALSE),0,1)</f>
        <v>1.49</v>
      </c>
      <c r="AE27" s="85">
        <f>ROUNDDOWN((高温電圧!AE27*高温電圧!AE$2-VLOOKUP(HUAWEI製ＰＣＳ接続枚数計算ツール!$C$9,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HUAWEI製ＰＣＳ接続枚数計算ツール!$B$119:$P$149,14,FALSE),0)/100*IF(高温電圧!AE27*高温電圧!AE$2&lt;VLOOKUP(HUAWEI製ＰＣＳ接続枚数計算ツール!$C$9, HUAWEI製ＰＣＳ接続枚数計算ツール!$B$119:$P$149,12,FALSE),0,1)</f>
        <v>1.54</v>
      </c>
      <c r="AF27" s="85">
        <f>ROUNDDOWN((高温電圧!AF27*高温電圧!AF$2-VLOOKUP(HUAWEI製ＰＣＳ接続枚数計算ツール!$C$9,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HUAWEI製ＰＣＳ接続枚数計算ツール!$B$119:$P$149,14,FALSE),0)/100*IF(高温電圧!AF27*高温電圧!AF$2&lt;VLOOKUP(HUAWEI製ＰＣＳ接続枚数計算ツール!$C$9, HUAWEI製ＰＣＳ接続枚数計算ツール!$B$119:$P$149,12,FALSE),0,1)</f>
        <v>1.6</v>
      </c>
      <c r="AG27" s="85">
        <f>ROUNDDOWN((高温電圧!AG27*高温電圧!AG$2-VLOOKUP(HUAWEI製ＰＣＳ接続枚数計算ツール!$C$9,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HUAWEI製ＰＣＳ接続枚数計算ツール!$B$119:$P$149,14,FALSE),0)/100*IF(高温電圧!AG27*高温電圧!AG$2&lt;VLOOKUP(HUAWEI製ＰＣＳ接続枚数計算ツール!$C$9, HUAWEI製ＰＣＳ接続枚数計算ツール!$B$119:$P$149,12,FALSE),0,1)</f>
        <v>1.65</v>
      </c>
      <c r="AH27" s="85">
        <f>ROUNDDOWN((高温電圧!AH27*高温電圧!AH$2-VLOOKUP(HUAWEI製ＰＣＳ接続枚数計算ツール!$C$9,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HUAWEI製ＰＣＳ接続枚数計算ツール!$B$119:$P$149,14,FALSE),0)/100*IF(高温電圧!AH27*高温電圧!AH$2&lt;VLOOKUP(HUAWEI製ＰＣＳ接続枚数計算ツール!$C$9, HUAWEI製ＰＣＳ接続枚数計算ツール!$B$119:$P$149,12,FALSE),0,1)</f>
        <v>1.71</v>
      </c>
      <c r="AI27" s="85">
        <f>ROUNDDOWN((高温電圧!AI27*高温電圧!AI$2-VLOOKUP(HUAWEI製ＰＣＳ接続枚数計算ツール!$C$9,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HUAWEI製ＰＣＳ接続枚数計算ツール!$B$119:$P$149,14,FALSE),0)/100*IF(高温電圧!AI27*高温電圧!AI$2&lt;VLOOKUP(HUAWEI製ＰＣＳ接続枚数計算ツール!$C$9, HUAWEI製ＰＣＳ接続枚数計算ツール!$B$119:$P$149,12,FALSE),0,1)</f>
        <v>1.77</v>
      </c>
      <c r="AJ27" s="85">
        <f>ROUNDDOWN((高温電圧!AJ27*高温電圧!AJ$2-VLOOKUP(HUAWEI製ＰＣＳ接続枚数計算ツール!$C$9,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HUAWEI製ＰＣＳ接続枚数計算ツール!$B$119:$P$149,14,FALSE),0)/100*IF(高温電圧!AJ27*高温電圧!AJ$2&lt;VLOOKUP(HUAWEI製ＰＣＳ接続枚数計算ツール!$C$9, HUAWEI製ＰＣＳ接続枚数計算ツール!$B$119:$P$149,12,FALSE),0,1)</f>
        <v>1.82</v>
      </c>
      <c r="AK27" s="85">
        <f>ROUNDDOWN((高温電圧!AK27*高温電圧!AK$2-VLOOKUP(HUAWEI製ＰＣＳ接続枚数計算ツール!$C$9,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HUAWEI製ＰＣＳ接続枚数計算ツール!$B$119:$P$149,14,FALSE),0)/100*IF(高温電圧!AK27*高温電圧!AK$2&lt;VLOOKUP(HUAWEI製ＰＣＳ接続枚数計算ツール!$C$9, HUAWEI製ＰＣＳ接続枚数計算ツール!$B$119:$P$149,12,FALSE),0,1)</f>
        <v>1.88</v>
      </c>
      <c r="AL27" s="85">
        <f>ROUNDDOWN((高温電圧!AL27*高温電圧!AL$2-VLOOKUP(HUAWEI製ＰＣＳ接続枚数計算ツール!$C$9,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HUAWEI製ＰＣＳ接続枚数計算ツール!$B$119:$P$149,14,FALSE),0)/100*IF(高温電圧!AL27*高温電圧!AL$2&lt;VLOOKUP(HUAWEI製ＰＣＳ接続枚数計算ツール!$C$9, HUAWEI製ＰＣＳ接続枚数計算ツール!$B$119:$P$149,12,FALSE),0,1)</f>
        <v>1.94</v>
      </c>
      <c r="AM27" s="85">
        <f>ROUNDDOWN((高温電圧!AM27*高温電圧!AM$2-VLOOKUP(HUAWEI製ＰＣＳ接続枚数計算ツール!$C$9,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HUAWEI製ＰＣＳ接続枚数計算ツール!$B$119:$P$149,14,FALSE),0)/100*IF(高温電圧!AM27*高温電圧!AM$2&lt;VLOOKUP(HUAWEI製ＰＣＳ接続枚数計算ツール!$C$9, HUAWEI製ＰＣＳ接続枚数計算ツール!$B$119:$P$149,12,FALSE),0,1)</f>
        <v>1.99</v>
      </c>
      <c r="AN27" s="85">
        <f>ROUNDDOWN((高温電圧!AN27*高温電圧!AN$2-VLOOKUP(HUAWEI製ＰＣＳ接続枚数計算ツール!$C$9,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HUAWEI製ＰＣＳ接続枚数計算ツール!$B$119:$P$149,14,FALSE),0)/100*IF(高温電圧!AN27*高温電圧!AN$2&lt;VLOOKUP(HUAWEI製ＰＣＳ接続枚数計算ツール!$C$9, HUAWEI製ＰＣＳ接続枚数計算ツール!$B$119:$P$149,12,FALSE),0,1)</f>
        <v>2.0499999999999998</v>
      </c>
      <c r="AO27" s="85">
        <f>ROUNDDOWN((高温電圧!AO27*高温電圧!AO$2-VLOOKUP(HUAWEI製ＰＣＳ接続枚数計算ツール!$C$9,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HUAWEI製ＰＣＳ接続枚数計算ツール!$B$119:$P$149,14,FALSE),0)/100*IF(高温電圧!AO27*高温電圧!AO$2&lt;VLOOKUP(HUAWEI製ＰＣＳ接続枚数計算ツール!$C$9, HUAWEI製ＰＣＳ接続枚数計算ツール!$B$119:$P$149,12,FALSE),0,1)</f>
        <v>2.1</v>
      </c>
    </row>
    <row r="28" spans="1:41">
      <c r="A28">
        <v>26</v>
      </c>
      <c r="B28" s="85">
        <f>ROUNDDOWN((高温電圧!B28*高温電圧!B$2-VLOOKUP(HUAWEI製ＰＣＳ接続枚数計算ツール!$C$9,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HUAWEI製ＰＣＳ接続枚数計算ツール!$B$119:$P$149,14,FALSE),0)/100*IF(高温電圧!B28*高温電圧!B$2&lt;VLOOKUP(HUAWEI製ＰＣＳ接続枚数計算ツール!$C$9, HUAWEI製ＰＣＳ接続枚数計算ツール!$B$119:$P$149,12,FALSE),0,1)</f>
        <v>0</v>
      </c>
      <c r="C28" s="85">
        <f>ROUNDDOWN((高温電圧!C28*高温電圧!C$2-VLOOKUP(HUAWEI製ＰＣＳ接続枚数計算ツール!$C$9,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HUAWEI製ＰＣＳ接続枚数計算ツール!$B$119:$P$149,14,FALSE),0)/100*IF(高温電圧!C28*高温電圧!C$2&lt;VLOOKUP(HUAWEI製ＰＣＳ接続枚数計算ツール!$C$9, HUAWEI製ＰＣＳ接続枚数計算ツール!$B$119:$P$149,12,FALSE),0,1)</f>
        <v>0</v>
      </c>
      <c r="D28" s="85">
        <f>ROUNDDOWN((高温電圧!D28*高温電圧!D$2-VLOOKUP(HUAWEI製ＰＣＳ接続枚数計算ツール!$C$9,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HUAWEI製ＰＣＳ接続枚数計算ツール!$B$119:$P$149,14,FALSE),0)/100*IF(高温電圧!D28*高温電圧!D$2&lt;VLOOKUP(HUAWEI製ＰＣＳ接続枚数計算ツール!$C$9, HUAWEI製ＰＣＳ接続枚数計算ツール!$B$119:$P$149,12,FALSE),0,1)</f>
        <v>0</v>
      </c>
      <c r="E28" s="85">
        <f>ROUNDDOWN((高温電圧!E28*高温電圧!E$2-VLOOKUP(HUAWEI製ＰＣＳ接続枚数計算ツール!$C$9,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HUAWEI製ＰＣＳ接続枚数計算ツール!$B$119:$P$149,14,FALSE),0)/100*IF(高温電圧!E28*高温電圧!E$2&lt;VLOOKUP(HUAWEI製ＰＣＳ接続枚数計算ツール!$C$9, HUAWEI製ＰＣＳ接続枚数計算ツール!$B$119:$P$149,12,FALSE),0,1)</f>
        <v>0</v>
      </c>
      <c r="F28" s="85">
        <f>ROUNDDOWN((高温電圧!F28*高温電圧!F$2-VLOOKUP(HUAWEI製ＰＣＳ接続枚数計算ツール!$C$9,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HUAWEI製ＰＣＳ接続枚数計算ツール!$B$119:$P$149,14,FALSE),0)/100*IF(高温電圧!F28*高温電圧!F$2&lt;VLOOKUP(HUAWEI製ＰＣＳ接続枚数計算ツール!$C$9, HUAWEI製ＰＣＳ接続枚数計算ツール!$B$119:$P$149,12,FALSE),0,1)</f>
        <v>0</v>
      </c>
      <c r="G28" s="85">
        <f>ROUNDDOWN((高温電圧!G28*高温電圧!G$2-VLOOKUP(HUAWEI製ＰＣＳ接続枚数計算ツール!$C$9,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HUAWEI製ＰＣＳ接続枚数計算ツール!$B$119:$P$149,14,FALSE),0)/100*IF(高温電圧!G28*高温電圧!G$2&lt;VLOOKUP(HUAWEI製ＰＣＳ接続枚数計算ツール!$C$9, HUAWEI製ＰＣＳ接続枚数計算ツール!$B$119:$P$149,12,FALSE),0,1)</f>
        <v>0</v>
      </c>
      <c r="H28" s="85">
        <f>ROUNDDOWN((高温電圧!H28*高温電圧!H$2-VLOOKUP(HUAWEI製ＰＣＳ接続枚数計算ツール!$C$9,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HUAWEI製ＰＣＳ接続枚数計算ツール!$B$119:$P$149,14,FALSE),0)/100*IF(高温電圧!H28*高温電圧!H$2&lt;VLOOKUP(HUAWEI製ＰＣＳ接続枚数計算ツール!$C$9, HUAWEI製ＰＣＳ接続枚数計算ツール!$B$119:$P$149,12,FALSE),0,1)</f>
        <v>0</v>
      </c>
      <c r="I28" s="85">
        <f>ROUNDDOWN((高温電圧!I28*高温電圧!I$2-VLOOKUP(HUAWEI製ＰＣＳ接続枚数計算ツール!$C$9,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HUAWEI製ＰＣＳ接続枚数計算ツール!$B$119:$P$149,14,FALSE),0)/100*IF(高温電圧!I28*高温電圧!I$2&lt;VLOOKUP(HUAWEI製ＰＣＳ接続枚数計算ツール!$C$9, HUAWEI製ＰＣＳ接続枚数計算ツール!$B$119:$P$149,12,FALSE),0,1)</f>
        <v>0</v>
      </c>
      <c r="J28" s="85">
        <f>ROUNDDOWN((高温電圧!J28*高温電圧!J$2-VLOOKUP(HUAWEI製ＰＣＳ接続枚数計算ツール!$C$9,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HUAWEI製ＰＣＳ接続枚数計算ツール!$B$119:$P$149,14,FALSE),0)/100*IF(高温電圧!J28*高温電圧!J$2&lt;VLOOKUP(HUAWEI製ＰＣＳ接続枚数計算ツール!$C$9, HUAWEI製ＰＣＳ接続枚数計算ツール!$B$119:$P$149,12,FALSE),0,1)</f>
        <v>0</v>
      </c>
      <c r="K28" s="85">
        <f>ROUNDDOWN((高温電圧!K28*高温電圧!K$2-VLOOKUP(HUAWEI製ＰＣＳ接続枚数計算ツール!$C$9,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HUAWEI製ＰＣＳ接続枚数計算ツール!$B$119:$P$149,14,FALSE),0)/100*IF(高温電圧!K28*高温電圧!K$2&lt;VLOOKUP(HUAWEI製ＰＣＳ接続枚数計算ツール!$C$9, HUAWEI製ＰＣＳ接続枚数計算ツール!$B$119:$P$149,12,FALSE),0,1)</f>
        <v>0</v>
      </c>
      <c r="L28" s="85">
        <f>ROUNDDOWN((高温電圧!L28*高温電圧!L$2-VLOOKUP(HUAWEI製ＰＣＳ接続枚数計算ツール!$C$9,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HUAWEI製ＰＣＳ接続枚数計算ツール!$B$119:$P$149,14,FALSE),0)/100*IF(高温電圧!L28*高温電圧!L$2&lt;VLOOKUP(HUAWEI製ＰＣＳ接続枚数計算ツール!$C$9, HUAWEI製ＰＣＳ接続枚数計算ツール!$B$119:$P$149,12,FALSE),0,1)</f>
        <v>0</v>
      </c>
      <c r="M28" s="85">
        <f>ROUNDDOWN((高温電圧!M28*高温電圧!M$2-VLOOKUP(HUAWEI製ＰＣＳ接続枚数計算ツール!$C$9,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HUAWEI製ＰＣＳ接続枚数計算ツール!$B$119:$P$149,14,FALSE),0)/100*IF(高温電圧!M28*高温電圧!M$2&lt;VLOOKUP(HUAWEI製ＰＣＳ接続枚数計算ツール!$C$9, HUAWEI製ＰＣＳ接続枚数計算ツール!$B$119:$P$149,12,FALSE),0,1)</f>
        <v>0</v>
      </c>
      <c r="N28" s="85">
        <f>ROUNDDOWN((高温電圧!N28*高温電圧!N$2-VLOOKUP(HUAWEI製ＰＣＳ接続枚数計算ツール!$C$9,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HUAWEI製ＰＣＳ接続枚数計算ツール!$B$119:$P$149,14,FALSE),0)/100*IF(高温電圧!N28*高温電圧!N$2&lt;VLOOKUP(HUAWEI製ＰＣＳ接続枚数計算ツール!$C$9, HUAWEI製ＰＣＳ接続枚数計算ツール!$B$119:$P$149,12,FALSE),0,1)</f>
        <v>0</v>
      </c>
      <c r="O28" s="85">
        <f>ROUNDDOWN((高温電圧!O28*高温電圧!O$2-VLOOKUP(HUAWEI製ＰＣＳ接続枚数計算ツール!$C$9,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HUAWEI製ＰＣＳ接続枚数計算ツール!$B$119:$P$149,14,FALSE),0)/100*IF(高温電圧!O28*高温電圧!O$2&lt;VLOOKUP(HUAWEI製ＰＣＳ接続枚数計算ツール!$C$9, HUAWEI製ＰＣＳ接続枚数計算ツール!$B$119:$P$149,12,FALSE),0,1)</f>
        <v>0.64</v>
      </c>
      <c r="P28" s="85">
        <f>ROUNDDOWN((高温電圧!P28*高温電圧!P$2-VLOOKUP(HUAWEI製ＰＣＳ接続枚数計算ツール!$C$9,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HUAWEI製ＰＣＳ接続枚数計算ツール!$B$119:$P$149,14,FALSE),0)/100*IF(高温電圧!P28*高温電圧!P$2&lt;VLOOKUP(HUAWEI製ＰＣＳ接続枚数計算ツール!$C$9, HUAWEI製ＰＣＳ接続枚数計算ツール!$B$119:$P$149,12,FALSE),0,1)</f>
        <v>0.7</v>
      </c>
      <c r="Q28" s="85">
        <f>ROUNDDOWN((高温電圧!Q28*高温電圧!Q$2-VLOOKUP(HUAWEI製ＰＣＳ接続枚数計算ツール!$C$9,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HUAWEI製ＰＣＳ接続枚数計算ツール!$B$119:$P$149,14,FALSE),0)/100*IF(高温電圧!Q28*高温電圧!Q$2&lt;VLOOKUP(HUAWEI製ＰＣＳ接続枚数計算ツール!$C$9, HUAWEI製ＰＣＳ接続枚数計算ツール!$B$119:$P$149,12,FALSE),0,1)</f>
        <v>0.75</v>
      </c>
      <c r="R28" s="85">
        <f>ROUNDDOWN((高温電圧!R28*高温電圧!R$2-VLOOKUP(HUAWEI製ＰＣＳ接続枚数計算ツール!$C$9,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HUAWEI製ＰＣＳ接続枚数計算ツール!$B$119:$P$149,14,FALSE),0)/100*IF(高温電圧!R28*高温電圧!R$2&lt;VLOOKUP(HUAWEI製ＰＣＳ接続枚数計算ツール!$C$9, HUAWEI製ＰＣＳ接続枚数計算ツール!$B$119:$P$149,12,FALSE),0,1)</f>
        <v>0.81</v>
      </c>
      <c r="S28" s="85">
        <f>ROUNDDOWN((高温電圧!S28*高温電圧!S$2-VLOOKUP(HUAWEI製ＰＣＳ接続枚数計算ツール!$C$9,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HUAWEI製ＰＣＳ接続枚数計算ツール!$B$119:$P$149,14,FALSE),0)/100*IF(高温電圧!S28*高温電圧!S$2&lt;VLOOKUP(HUAWEI製ＰＣＳ接続枚数計算ツール!$C$9, HUAWEI製ＰＣＳ接続枚数計算ツール!$B$119:$P$149,12,FALSE),0,1)</f>
        <v>0.87</v>
      </c>
      <c r="T28" s="85">
        <f>ROUNDDOWN((高温電圧!T28*高温電圧!T$2-VLOOKUP(HUAWEI製ＰＣＳ接続枚数計算ツール!$C$9,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HUAWEI製ＰＣＳ接続枚数計算ツール!$B$119:$P$149,14,FALSE),0)/100*IF(高温電圧!T28*高温電圧!T$2&lt;VLOOKUP(HUAWEI製ＰＣＳ接続枚数計算ツール!$C$9, HUAWEI製ＰＣＳ接続枚数計算ツール!$B$119:$P$149,12,FALSE),0,1)</f>
        <v>0.92</v>
      </c>
      <c r="U28" s="85">
        <f>ROUNDDOWN((高温電圧!U28*高温電圧!U$2-VLOOKUP(HUAWEI製ＰＣＳ接続枚数計算ツール!$C$9,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HUAWEI製ＰＣＳ接続枚数計算ツール!$B$119:$P$149,14,FALSE),0)/100*IF(高温電圧!U28*高温電圧!U$2&lt;VLOOKUP(HUAWEI製ＰＣＳ接続枚数計算ツール!$C$9, HUAWEI製ＰＣＳ接続枚数計算ツール!$B$119:$P$149,12,FALSE),0,1)</f>
        <v>0.98</v>
      </c>
      <c r="V28" s="85">
        <f>ROUNDDOWN((高温電圧!V28*高温電圧!V$2-VLOOKUP(HUAWEI製ＰＣＳ接続枚数計算ツール!$C$9,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HUAWEI製ＰＣＳ接続枚数計算ツール!$B$119:$P$149,14,FALSE),0)/100*IF(高温電圧!V28*高温電圧!V$2&lt;VLOOKUP(HUAWEI製ＰＣＳ接続枚数計算ツール!$C$9, HUAWEI製ＰＣＳ接続枚数計算ツール!$B$119:$P$149,12,FALSE),0,1)</f>
        <v>1.04</v>
      </c>
      <c r="W28" s="85">
        <f>ROUNDDOWN((高温電圧!W28*高温電圧!W$2-VLOOKUP(HUAWEI製ＰＣＳ接続枚数計算ツール!$C$9,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HUAWEI製ＰＣＳ接続枚数計算ツール!$B$119:$P$149,14,FALSE),0)/100*IF(高温電圧!W28*高温電圧!W$2&lt;VLOOKUP(HUAWEI製ＰＣＳ接続枚数計算ツール!$C$9, HUAWEI製ＰＣＳ接続枚数計算ツール!$B$119:$P$149,12,FALSE),0,1)</f>
        <v>1.0900000000000001</v>
      </c>
      <c r="X28" s="85">
        <f>ROUNDDOWN((高温電圧!X28*高温電圧!X$2-VLOOKUP(HUAWEI製ＰＣＳ接続枚数計算ツール!$C$9,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HUAWEI製ＰＣＳ接続枚数計算ツール!$B$119:$P$149,14,FALSE),0)/100*IF(高温電圧!X28*高温電圧!X$2&lt;VLOOKUP(HUAWEI製ＰＣＳ接続枚数計算ツール!$C$9, HUAWEI製ＰＣＳ接続枚数計算ツール!$B$119:$P$149,12,FALSE),0,1)</f>
        <v>1.1499999999999999</v>
      </c>
      <c r="Y28" s="85">
        <f>ROUNDDOWN((高温電圧!Y28*高温電圧!Y$2-VLOOKUP(HUAWEI製ＰＣＳ接続枚数計算ツール!$C$9,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HUAWEI製ＰＣＳ接続枚数計算ツール!$B$119:$P$149,14,FALSE),0)/100*IF(高温電圧!Y28*高温電圧!Y$2&lt;VLOOKUP(HUAWEI製ＰＣＳ接続枚数計算ツール!$C$9, HUAWEI製ＰＣＳ接続枚数計算ツール!$B$119:$P$149,12,FALSE),0,1)</f>
        <v>1.2</v>
      </c>
      <c r="Z28" s="85">
        <f>ROUNDDOWN((高温電圧!Z28*高温電圧!Z$2-VLOOKUP(HUAWEI製ＰＣＳ接続枚数計算ツール!$C$9,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HUAWEI製ＰＣＳ接続枚数計算ツール!$B$119:$P$149,14,FALSE),0)/100*IF(高温電圧!Z28*高温電圧!Z$2&lt;VLOOKUP(HUAWEI製ＰＣＳ接続枚数計算ツール!$C$9, HUAWEI製ＰＣＳ接続枚数計算ツール!$B$119:$P$149,12,FALSE),0,1)</f>
        <v>1.26</v>
      </c>
      <c r="AA28" s="85">
        <f>ROUNDDOWN((高温電圧!AA28*高温電圧!AA$2-VLOOKUP(HUAWEI製ＰＣＳ接続枚数計算ツール!$C$9,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HUAWEI製ＰＣＳ接続枚数計算ツール!$B$119:$P$149,14,FALSE),0)/100*IF(高温電圧!AA28*高温電圧!AA$2&lt;VLOOKUP(HUAWEI製ＰＣＳ接続枚数計算ツール!$C$9, HUAWEI製ＰＣＳ接続枚数計算ツール!$B$119:$P$149,12,FALSE),0,1)</f>
        <v>1.32</v>
      </c>
      <c r="AB28" s="85">
        <f>ROUNDDOWN((高温電圧!AB28*高温電圧!AB$2-VLOOKUP(HUAWEI製ＰＣＳ接続枚数計算ツール!$C$9,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HUAWEI製ＰＣＳ接続枚数計算ツール!$B$119:$P$149,14,FALSE),0)/100*IF(高温電圧!AB28*高温電圧!AB$2&lt;VLOOKUP(HUAWEI製ＰＣＳ接続枚数計算ツール!$C$9, HUAWEI製ＰＣＳ接続枚数計算ツール!$B$119:$P$149,12,FALSE),0,1)</f>
        <v>1.37</v>
      </c>
      <c r="AC28" s="85">
        <f>ROUNDDOWN((高温電圧!AC28*高温電圧!AC$2-VLOOKUP(HUAWEI製ＰＣＳ接続枚数計算ツール!$C$9,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HUAWEI製ＰＣＳ接続枚数計算ツール!$B$119:$P$149,14,FALSE),0)/100*IF(高温電圧!AC28*高温電圧!AC$2&lt;VLOOKUP(HUAWEI製ＰＣＳ接続枚数計算ツール!$C$9, HUAWEI製ＰＣＳ接続枚数計算ツール!$B$119:$P$149,12,FALSE),0,1)</f>
        <v>1.43</v>
      </c>
      <c r="AD28" s="85">
        <f>ROUNDDOWN((高温電圧!AD28*高温電圧!AD$2-VLOOKUP(HUAWEI製ＰＣＳ接続枚数計算ツール!$C$9,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HUAWEI製ＰＣＳ接続枚数計算ツール!$B$119:$P$149,14,FALSE),0)/100*IF(高温電圧!AD28*高温電圧!AD$2&lt;VLOOKUP(HUAWEI製ＰＣＳ接続枚数計算ツール!$C$9, HUAWEI製ＰＣＳ接続枚数計算ツール!$B$119:$P$149,12,FALSE),0,1)</f>
        <v>1.49</v>
      </c>
      <c r="AE28" s="85">
        <f>ROUNDDOWN((高温電圧!AE28*高温電圧!AE$2-VLOOKUP(HUAWEI製ＰＣＳ接続枚数計算ツール!$C$9,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HUAWEI製ＰＣＳ接続枚数計算ツール!$B$119:$P$149,14,FALSE),0)/100*IF(高温電圧!AE28*高温電圧!AE$2&lt;VLOOKUP(HUAWEI製ＰＣＳ接続枚数計算ツール!$C$9, HUAWEI製ＰＣＳ接続枚数計算ツール!$B$119:$P$149,12,FALSE),0,1)</f>
        <v>1.54</v>
      </c>
      <c r="AF28" s="85">
        <f>ROUNDDOWN((高温電圧!AF28*高温電圧!AF$2-VLOOKUP(HUAWEI製ＰＣＳ接続枚数計算ツール!$C$9,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HUAWEI製ＰＣＳ接続枚数計算ツール!$B$119:$P$149,14,FALSE),0)/100*IF(高温電圧!AF28*高温電圧!AF$2&lt;VLOOKUP(HUAWEI製ＰＣＳ接続枚数計算ツール!$C$9, HUAWEI製ＰＣＳ接続枚数計算ツール!$B$119:$P$149,12,FALSE),0,1)</f>
        <v>1.6</v>
      </c>
      <c r="AG28" s="85">
        <f>ROUNDDOWN((高温電圧!AG28*高温電圧!AG$2-VLOOKUP(HUAWEI製ＰＣＳ接続枚数計算ツール!$C$9,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HUAWEI製ＰＣＳ接続枚数計算ツール!$B$119:$P$149,14,FALSE),0)/100*IF(高温電圧!AG28*高温電圧!AG$2&lt;VLOOKUP(HUAWEI製ＰＣＳ接続枚数計算ツール!$C$9, HUAWEI製ＰＣＳ接続枚数計算ツール!$B$119:$P$149,12,FALSE),0,1)</f>
        <v>1.65</v>
      </c>
      <c r="AH28" s="85">
        <f>ROUNDDOWN((高温電圧!AH28*高温電圧!AH$2-VLOOKUP(HUAWEI製ＰＣＳ接続枚数計算ツール!$C$9,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HUAWEI製ＰＣＳ接続枚数計算ツール!$B$119:$P$149,14,FALSE),0)/100*IF(高温電圧!AH28*高温電圧!AH$2&lt;VLOOKUP(HUAWEI製ＰＣＳ接続枚数計算ツール!$C$9, HUAWEI製ＰＣＳ接続枚数計算ツール!$B$119:$P$149,12,FALSE),0,1)</f>
        <v>1.71</v>
      </c>
      <c r="AI28" s="85">
        <f>ROUNDDOWN((高温電圧!AI28*高温電圧!AI$2-VLOOKUP(HUAWEI製ＰＣＳ接続枚数計算ツール!$C$9,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HUAWEI製ＰＣＳ接続枚数計算ツール!$B$119:$P$149,14,FALSE),0)/100*IF(高温電圧!AI28*高温電圧!AI$2&lt;VLOOKUP(HUAWEI製ＰＣＳ接続枚数計算ツール!$C$9, HUAWEI製ＰＣＳ接続枚数計算ツール!$B$119:$P$149,12,FALSE),0,1)</f>
        <v>1.77</v>
      </c>
      <c r="AJ28" s="85">
        <f>ROUNDDOWN((高温電圧!AJ28*高温電圧!AJ$2-VLOOKUP(HUAWEI製ＰＣＳ接続枚数計算ツール!$C$9,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HUAWEI製ＰＣＳ接続枚数計算ツール!$B$119:$P$149,14,FALSE),0)/100*IF(高温電圧!AJ28*高温電圧!AJ$2&lt;VLOOKUP(HUAWEI製ＰＣＳ接続枚数計算ツール!$C$9, HUAWEI製ＰＣＳ接続枚数計算ツール!$B$119:$P$149,12,FALSE),0,1)</f>
        <v>1.82</v>
      </c>
      <c r="AK28" s="85">
        <f>ROUNDDOWN((高温電圧!AK28*高温電圧!AK$2-VLOOKUP(HUAWEI製ＰＣＳ接続枚数計算ツール!$C$9,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HUAWEI製ＰＣＳ接続枚数計算ツール!$B$119:$P$149,14,FALSE),0)/100*IF(高温電圧!AK28*高温電圧!AK$2&lt;VLOOKUP(HUAWEI製ＰＣＳ接続枚数計算ツール!$C$9, HUAWEI製ＰＣＳ接続枚数計算ツール!$B$119:$P$149,12,FALSE),0,1)</f>
        <v>1.88</v>
      </c>
      <c r="AL28" s="85">
        <f>ROUNDDOWN((高温電圧!AL28*高温電圧!AL$2-VLOOKUP(HUAWEI製ＰＣＳ接続枚数計算ツール!$C$9,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HUAWEI製ＰＣＳ接続枚数計算ツール!$B$119:$P$149,14,FALSE),0)/100*IF(高温電圧!AL28*高温電圧!AL$2&lt;VLOOKUP(HUAWEI製ＰＣＳ接続枚数計算ツール!$C$9, HUAWEI製ＰＣＳ接続枚数計算ツール!$B$119:$P$149,12,FALSE),0,1)</f>
        <v>1.94</v>
      </c>
      <c r="AM28" s="85">
        <f>ROUNDDOWN((高温電圧!AM28*高温電圧!AM$2-VLOOKUP(HUAWEI製ＰＣＳ接続枚数計算ツール!$C$9,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HUAWEI製ＰＣＳ接続枚数計算ツール!$B$119:$P$149,14,FALSE),0)/100*IF(高温電圧!AM28*高温電圧!AM$2&lt;VLOOKUP(HUAWEI製ＰＣＳ接続枚数計算ツール!$C$9, HUAWEI製ＰＣＳ接続枚数計算ツール!$B$119:$P$149,12,FALSE),0,1)</f>
        <v>1.99</v>
      </c>
      <c r="AN28" s="85">
        <f>ROUNDDOWN((高温電圧!AN28*高温電圧!AN$2-VLOOKUP(HUAWEI製ＰＣＳ接続枚数計算ツール!$C$9,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HUAWEI製ＰＣＳ接続枚数計算ツール!$B$119:$P$149,14,FALSE),0)/100*IF(高温電圧!AN28*高温電圧!AN$2&lt;VLOOKUP(HUAWEI製ＰＣＳ接続枚数計算ツール!$C$9, HUAWEI製ＰＣＳ接続枚数計算ツール!$B$119:$P$149,12,FALSE),0,1)</f>
        <v>2.0499999999999998</v>
      </c>
      <c r="AO28" s="85">
        <f>ROUNDDOWN((高温電圧!AO28*高温電圧!AO$2-VLOOKUP(HUAWEI製ＰＣＳ接続枚数計算ツール!$C$9,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HUAWEI製ＰＣＳ接続枚数計算ツール!$B$119:$P$149,14,FALSE),0)/100*IF(高温電圧!AO28*高温電圧!AO$2&lt;VLOOKUP(HUAWEI製ＰＣＳ接続枚数計算ツール!$C$9, HUAWEI製ＰＣＳ接続枚数計算ツール!$B$119:$P$149,12,FALSE),0,1)</f>
        <v>2.1</v>
      </c>
    </row>
    <row r="29" spans="1:41">
      <c r="A29">
        <v>27</v>
      </c>
      <c r="B29" s="85">
        <f>ROUNDDOWN((高温電圧!B29*高温電圧!B$2-VLOOKUP(HUAWEI製ＰＣＳ接続枚数計算ツール!$C$9,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HUAWEI製ＰＣＳ接続枚数計算ツール!$B$119:$P$149,14,FALSE),0)/100*IF(高温電圧!B29*高温電圧!B$2&lt;VLOOKUP(HUAWEI製ＰＣＳ接続枚数計算ツール!$C$9, HUAWEI製ＰＣＳ接続枚数計算ツール!$B$119:$P$149,12,FALSE),0,1)</f>
        <v>0</v>
      </c>
      <c r="C29" s="85">
        <f>ROUNDDOWN((高温電圧!C29*高温電圧!C$2-VLOOKUP(HUAWEI製ＰＣＳ接続枚数計算ツール!$C$9,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HUAWEI製ＰＣＳ接続枚数計算ツール!$B$119:$P$149,14,FALSE),0)/100*IF(高温電圧!C29*高温電圧!C$2&lt;VLOOKUP(HUAWEI製ＰＣＳ接続枚数計算ツール!$C$9, HUAWEI製ＰＣＳ接続枚数計算ツール!$B$119:$P$149,12,FALSE),0,1)</f>
        <v>0</v>
      </c>
      <c r="D29" s="85">
        <f>ROUNDDOWN((高温電圧!D29*高温電圧!D$2-VLOOKUP(HUAWEI製ＰＣＳ接続枚数計算ツール!$C$9,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HUAWEI製ＰＣＳ接続枚数計算ツール!$B$119:$P$149,14,FALSE),0)/100*IF(高温電圧!D29*高温電圧!D$2&lt;VLOOKUP(HUAWEI製ＰＣＳ接続枚数計算ツール!$C$9, HUAWEI製ＰＣＳ接続枚数計算ツール!$B$119:$P$149,12,FALSE),0,1)</f>
        <v>0</v>
      </c>
      <c r="E29" s="85">
        <f>ROUNDDOWN((高温電圧!E29*高温電圧!E$2-VLOOKUP(HUAWEI製ＰＣＳ接続枚数計算ツール!$C$9,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HUAWEI製ＰＣＳ接続枚数計算ツール!$B$119:$P$149,14,FALSE),0)/100*IF(高温電圧!E29*高温電圧!E$2&lt;VLOOKUP(HUAWEI製ＰＣＳ接続枚数計算ツール!$C$9, HUAWEI製ＰＣＳ接続枚数計算ツール!$B$119:$P$149,12,FALSE),0,1)</f>
        <v>0</v>
      </c>
      <c r="F29" s="85">
        <f>ROUNDDOWN((高温電圧!F29*高温電圧!F$2-VLOOKUP(HUAWEI製ＰＣＳ接続枚数計算ツール!$C$9,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HUAWEI製ＰＣＳ接続枚数計算ツール!$B$119:$P$149,14,FALSE),0)/100*IF(高温電圧!F29*高温電圧!F$2&lt;VLOOKUP(HUAWEI製ＰＣＳ接続枚数計算ツール!$C$9, HUAWEI製ＰＣＳ接続枚数計算ツール!$B$119:$P$149,12,FALSE),0,1)</f>
        <v>0</v>
      </c>
      <c r="G29" s="85">
        <f>ROUNDDOWN((高温電圧!G29*高温電圧!G$2-VLOOKUP(HUAWEI製ＰＣＳ接続枚数計算ツール!$C$9,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HUAWEI製ＰＣＳ接続枚数計算ツール!$B$119:$P$149,14,FALSE),0)/100*IF(高温電圧!G29*高温電圧!G$2&lt;VLOOKUP(HUAWEI製ＰＣＳ接続枚数計算ツール!$C$9, HUAWEI製ＰＣＳ接続枚数計算ツール!$B$119:$P$149,12,FALSE),0,1)</f>
        <v>0</v>
      </c>
      <c r="H29" s="85">
        <f>ROUNDDOWN((高温電圧!H29*高温電圧!H$2-VLOOKUP(HUAWEI製ＰＣＳ接続枚数計算ツール!$C$9,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HUAWEI製ＰＣＳ接続枚数計算ツール!$B$119:$P$149,14,FALSE),0)/100*IF(高温電圧!H29*高温電圧!H$2&lt;VLOOKUP(HUAWEI製ＰＣＳ接続枚数計算ツール!$C$9, HUAWEI製ＰＣＳ接続枚数計算ツール!$B$119:$P$149,12,FALSE),0,1)</f>
        <v>0</v>
      </c>
      <c r="I29" s="85">
        <f>ROUNDDOWN((高温電圧!I29*高温電圧!I$2-VLOOKUP(HUAWEI製ＰＣＳ接続枚数計算ツール!$C$9,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HUAWEI製ＰＣＳ接続枚数計算ツール!$B$119:$P$149,14,FALSE),0)/100*IF(高温電圧!I29*高温電圧!I$2&lt;VLOOKUP(HUAWEI製ＰＣＳ接続枚数計算ツール!$C$9, HUAWEI製ＰＣＳ接続枚数計算ツール!$B$119:$P$149,12,FALSE),0,1)</f>
        <v>0</v>
      </c>
      <c r="J29" s="85">
        <f>ROUNDDOWN((高温電圧!J29*高温電圧!J$2-VLOOKUP(HUAWEI製ＰＣＳ接続枚数計算ツール!$C$9,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HUAWEI製ＰＣＳ接続枚数計算ツール!$B$119:$P$149,14,FALSE),0)/100*IF(高温電圧!J29*高温電圧!J$2&lt;VLOOKUP(HUAWEI製ＰＣＳ接続枚数計算ツール!$C$9, HUAWEI製ＰＣＳ接続枚数計算ツール!$B$119:$P$149,12,FALSE),0,1)</f>
        <v>0</v>
      </c>
      <c r="K29" s="85">
        <f>ROUNDDOWN((高温電圧!K29*高温電圧!K$2-VLOOKUP(HUAWEI製ＰＣＳ接続枚数計算ツール!$C$9,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HUAWEI製ＰＣＳ接続枚数計算ツール!$B$119:$P$149,14,FALSE),0)/100*IF(高温電圧!K29*高温電圧!K$2&lt;VLOOKUP(HUAWEI製ＰＣＳ接続枚数計算ツール!$C$9, HUAWEI製ＰＣＳ接続枚数計算ツール!$B$119:$P$149,12,FALSE),0,1)</f>
        <v>0</v>
      </c>
      <c r="L29" s="85">
        <f>ROUNDDOWN((高温電圧!L29*高温電圧!L$2-VLOOKUP(HUAWEI製ＰＣＳ接続枚数計算ツール!$C$9,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HUAWEI製ＰＣＳ接続枚数計算ツール!$B$119:$P$149,14,FALSE),0)/100*IF(高温電圧!L29*高温電圧!L$2&lt;VLOOKUP(HUAWEI製ＰＣＳ接続枚数計算ツール!$C$9, HUAWEI製ＰＣＳ接続枚数計算ツール!$B$119:$P$149,12,FALSE),0,1)</f>
        <v>0</v>
      </c>
      <c r="M29" s="85">
        <f>ROUNDDOWN((高温電圧!M29*高温電圧!M$2-VLOOKUP(HUAWEI製ＰＣＳ接続枚数計算ツール!$C$9,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HUAWEI製ＰＣＳ接続枚数計算ツール!$B$119:$P$149,14,FALSE),0)/100*IF(高温電圧!M29*高温電圧!M$2&lt;VLOOKUP(HUAWEI製ＰＣＳ接続枚数計算ツール!$C$9, HUAWEI製ＰＣＳ接続枚数計算ツール!$B$119:$P$149,12,FALSE),0,1)</f>
        <v>0</v>
      </c>
      <c r="N29" s="85">
        <f>ROUNDDOWN((高温電圧!N29*高温電圧!N$2-VLOOKUP(HUAWEI製ＰＣＳ接続枚数計算ツール!$C$9,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HUAWEI製ＰＣＳ接続枚数計算ツール!$B$119:$P$149,14,FALSE),0)/100*IF(高温電圧!N29*高温電圧!N$2&lt;VLOOKUP(HUAWEI製ＰＣＳ接続枚数計算ツール!$C$9, HUAWEI製ＰＣＳ接続枚数計算ツール!$B$119:$P$149,12,FALSE),0,1)</f>
        <v>0</v>
      </c>
      <c r="O29" s="85">
        <f>ROUNDDOWN((高温電圧!O29*高温電圧!O$2-VLOOKUP(HUAWEI製ＰＣＳ接続枚数計算ツール!$C$9,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HUAWEI製ＰＣＳ接続枚数計算ツール!$B$119:$P$149,14,FALSE),0)/100*IF(高温電圧!O29*高温電圧!O$2&lt;VLOOKUP(HUAWEI製ＰＣＳ接続枚数計算ツール!$C$9, HUAWEI製ＰＣＳ接続枚数計算ツール!$B$119:$P$149,12,FALSE),0,1)</f>
        <v>0.64</v>
      </c>
      <c r="P29" s="85">
        <f>ROUNDDOWN((高温電圧!P29*高温電圧!P$2-VLOOKUP(HUAWEI製ＰＣＳ接続枚数計算ツール!$C$9,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HUAWEI製ＰＣＳ接続枚数計算ツール!$B$119:$P$149,14,FALSE),0)/100*IF(高温電圧!P29*高温電圧!P$2&lt;VLOOKUP(HUAWEI製ＰＣＳ接続枚数計算ツール!$C$9, HUAWEI製ＰＣＳ接続枚数計算ツール!$B$119:$P$149,12,FALSE),0,1)</f>
        <v>0.7</v>
      </c>
      <c r="Q29" s="85">
        <f>ROUNDDOWN((高温電圧!Q29*高温電圧!Q$2-VLOOKUP(HUAWEI製ＰＣＳ接続枚数計算ツール!$C$9,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HUAWEI製ＰＣＳ接続枚数計算ツール!$B$119:$P$149,14,FALSE),0)/100*IF(高温電圧!Q29*高温電圧!Q$2&lt;VLOOKUP(HUAWEI製ＰＣＳ接続枚数計算ツール!$C$9, HUAWEI製ＰＣＳ接続枚数計算ツール!$B$119:$P$149,12,FALSE),0,1)</f>
        <v>0.75</v>
      </c>
      <c r="R29" s="85">
        <f>ROUNDDOWN((高温電圧!R29*高温電圧!R$2-VLOOKUP(HUAWEI製ＰＣＳ接続枚数計算ツール!$C$9,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HUAWEI製ＰＣＳ接続枚数計算ツール!$B$119:$P$149,14,FALSE),0)/100*IF(高温電圧!R29*高温電圧!R$2&lt;VLOOKUP(HUAWEI製ＰＣＳ接続枚数計算ツール!$C$9, HUAWEI製ＰＣＳ接続枚数計算ツール!$B$119:$P$149,12,FALSE),0,1)</f>
        <v>0.81</v>
      </c>
      <c r="S29" s="85">
        <f>ROUNDDOWN((高温電圧!S29*高温電圧!S$2-VLOOKUP(HUAWEI製ＰＣＳ接続枚数計算ツール!$C$9,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HUAWEI製ＰＣＳ接続枚数計算ツール!$B$119:$P$149,14,FALSE),0)/100*IF(高温電圧!S29*高温電圧!S$2&lt;VLOOKUP(HUAWEI製ＰＣＳ接続枚数計算ツール!$C$9, HUAWEI製ＰＣＳ接続枚数計算ツール!$B$119:$P$149,12,FALSE),0,1)</f>
        <v>0.87</v>
      </c>
      <c r="T29" s="85">
        <f>ROUNDDOWN((高温電圧!T29*高温電圧!T$2-VLOOKUP(HUAWEI製ＰＣＳ接続枚数計算ツール!$C$9,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HUAWEI製ＰＣＳ接続枚数計算ツール!$B$119:$P$149,14,FALSE),0)/100*IF(高温電圧!T29*高温電圧!T$2&lt;VLOOKUP(HUAWEI製ＰＣＳ接続枚数計算ツール!$C$9, HUAWEI製ＰＣＳ接続枚数計算ツール!$B$119:$P$149,12,FALSE),0,1)</f>
        <v>0.92</v>
      </c>
      <c r="U29" s="85">
        <f>ROUNDDOWN((高温電圧!U29*高温電圧!U$2-VLOOKUP(HUAWEI製ＰＣＳ接続枚数計算ツール!$C$9,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HUAWEI製ＰＣＳ接続枚数計算ツール!$B$119:$P$149,14,FALSE),0)/100*IF(高温電圧!U29*高温電圧!U$2&lt;VLOOKUP(HUAWEI製ＰＣＳ接続枚数計算ツール!$C$9, HUAWEI製ＰＣＳ接続枚数計算ツール!$B$119:$P$149,12,FALSE),0,1)</f>
        <v>0.98</v>
      </c>
      <c r="V29" s="85">
        <f>ROUNDDOWN((高温電圧!V29*高温電圧!V$2-VLOOKUP(HUAWEI製ＰＣＳ接続枚数計算ツール!$C$9,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HUAWEI製ＰＣＳ接続枚数計算ツール!$B$119:$P$149,14,FALSE),0)/100*IF(高温電圧!V29*高温電圧!V$2&lt;VLOOKUP(HUAWEI製ＰＣＳ接続枚数計算ツール!$C$9, HUAWEI製ＰＣＳ接続枚数計算ツール!$B$119:$P$149,12,FALSE),0,1)</f>
        <v>1.04</v>
      </c>
      <c r="W29" s="85">
        <f>ROUNDDOWN((高温電圧!W29*高温電圧!W$2-VLOOKUP(HUAWEI製ＰＣＳ接続枚数計算ツール!$C$9,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HUAWEI製ＰＣＳ接続枚数計算ツール!$B$119:$P$149,14,FALSE),0)/100*IF(高温電圧!W29*高温電圧!W$2&lt;VLOOKUP(HUAWEI製ＰＣＳ接続枚数計算ツール!$C$9, HUAWEI製ＰＣＳ接続枚数計算ツール!$B$119:$P$149,12,FALSE),0,1)</f>
        <v>1.0900000000000001</v>
      </c>
      <c r="X29" s="85">
        <f>ROUNDDOWN((高温電圧!X29*高温電圧!X$2-VLOOKUP(HUAWEI製ＰＣＳ接続枚数計算ツール!$C$9,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HUAWEI製ＰＣＳ接続枚数計算ツール!$B$119:$P$149,14,FALSE),0)/100*IF(高温電圧!X29*高温電圧!X$2&lt;VLOOKUP(HUAWEI製ＰＣＳ接続枚数計算ツール!$C$9, HUAWEI製ＰＣＳ接続枚数計算ツール!$B$119:$P$149,12,FALSE),0,1)</f>
        <v>1.1499999999999999</v>
      </c>
      <c r="Y29" s="85">
        <f>ROUNDDOWN((高温電圧!Y29*高温電圧!Y$2-VLOOKUP(HUAWEI製ＰＣＳ接続枚数計算ツール!$C$9,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HUAWEI製ＰＣＳ接続枚数計算ツール!$B$119:$P$149,14,FALSE),0)/100*IF(高温電圧!Y29*高温電圧!Y$2&lt;VLOOKUP(HUAWEI製ＰＣＳ接続枚数計算ツール!$C$9, HUAWEI製ＰＣＳ接続枚数計算ツール!$B$119:$P$149,12,FALSE),0,1)</f>
        <v>1.2</v>
      </c>
      <c r="Z29" s="85">
        <f>ROUNDDOWN((高温電圧!Z29*高温電圧!Z$2-VLOOKUP(HUAWEI製ＰＣＳ接続枚数計算ツール!$C$9,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HUAWEI製ＰＣＳ接続枚数計算ツール!$B$119:$P$149,14,FALSE),0)/100*IF(高温電圧!Z29*高温電圧!Z$2&lt;VLOOKUP(HUAWEI製ＰＣＳ接続枚数計算ツール!$C$9, HUAWEI製ＰＣＳ接続枚数計算ツール!$B$119:$P$149,12,FALSE),0,1)</f>
        <v>1.26</v>
      </c>
      <c r="AA29" s="85">
        <f>ROUNDDOWN((高温電圧!AA29*高温電圧!AA$2-VLOOKUP(HUAWEI製ＰＣＳ接続枚数計算ツール!$C$9,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HUAWEI製ＰＣＳ接続枚数計算ツール!$B$119:$P$149,14,FALSE),0)/100*IF(高温電圧!AA29*高温電圧!AA$2&lt;VLOOKUP(HUAWEI製ＰＣＳ接続枚数計算ツール!$C$9, HUAWEI製ＰＣＳ接続枚数計算ツール!$B$119:$P$149,12,FALSE),0,1)</f>
        <v>1.32</v>
      </c>
      <c r="AB29" s="85">
        <f>ROUNDDOWN((高温電圧!AB29*高温電圧!AB$2-VLOOKUP(HUAWEI製ＰＣＳ接続枚数計算ツール!$C$9,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HUAWEI製ＰＣＳ接続枚数計算ツール!$B$119:$P$149,14,FALSE),0)/100*IF(高温電圧!AB29*高温電圧!AB$2&lt;VLOOKUP(HUAWEI製ＰＣＳ接続枚数計算ツール!$C$9, HUAWEI製ＰＣＳ接続枚数計算ツール!$B$119:$P$149,12,FALSE),0,1)</f>
        <v>1.37</v>
      </c>
      <c r="AC29" s="85">
        <f>ROUNDDOWN((高温電圧!AC29*高温電圧!AC$2-VLOOKUP(HUAWEI製ＰＣＳ接続枚数計算ツール!$C$9,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HUAWEI製ＰＣＳ接続枚数計算ツール!$B$119:$P$149,14,FALSE),0)/100*IF(高温電圧!AC29*高温電圧!AC$2&lt;VLOOKUP(HUAWEI製ＰＣＳ接続枚数計算ツール!$C$9, HUAWEI製ＰＣＳ接続枚数計算ツール!$B$119:$P$149,12,FALSE),0,1)</f>
        <v>1.43</v>
      </c>
      <c r="AD29" s="85">
        <f>ROUNDDOWN((高温電圧!AD29*高温電圧!AD$2-VLOOKUP(HUAWEI製ＰＣＳ接続枚数計算ツール!$C$9,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HUAWEI製ＰＣＳ接続枚数計算ツール!$B$119:$P$149,14,FALSE),0)/100*IF(高温電圧!AD29*高温電圧!AD$2&lt;VLOOKUP(HUAWEI製ＰＣＳ接続枚数計算ツール!$C$9, HUAWEI製ＰＣＳ接続枚数計算ツール!$B$119:$P$149,12,FALSE),0,1)</f>
        <v>1.49</v>
      </c>
      <c r="AE29" s="85">
        <f>ROUNDDOWN((高温電圧!AE29*高温電圧!AE$2-VLOOKUP(HUAWEI製ＰＣＳ接続枚数計算ツール!$C$9,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HUAWEI製ＰＣＳ接続枚数計算ツール!$B$119:$P$149,14,FALSE),0)/100*IF(高温電圧!AE29*高温電圧!AE$2&lt;VLOOKUP(HUAWEI製ＰＣＳ接続枚数計算ツール!$C$9, HUAWEI製ＰＣＳ接続枚数計算ツール!$B$119:$P$149,12,FALSE),0,1)</f>
        <v>1.54</v>
      </c>
      <c r="AF29" s="85">
        <f>ROUNDDOWN((高温電圧!AF29*高温電圧!AF$2-VLOOKUP(HUAWEI製ＰＣＳ接続枚数計算ツール!$C$9,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HUAWEI製ＰＣＳ接続枚数計算ツール!$B$119:$P$149,14,FALSE),0)/100*IF(高温電圧!AF29*高温電圧!AF$2&lt;VLOOKUP(HUAWEI製ＰＣＳ接続枚数計算ツール!$C$9, HUAWEI製ＰＣＳ接続枚数計算ツール!$B$119:$P$149,12,FALSE),0,1)</f>
        <v>1.6</v>
      </c>
      <c r="AG29" s="85">
        <f>ROUNDDOWN((高温電圧!AG29*高温電圧!AG$2-VLOOKUP(HUAWEI製ＰＣＳ接続枚数計算ツール!$C$9,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HUAWEI製ＰＣＳ接続枚数計算ツール!$B$119:$P$149,14,FALSE),0)/100*IF(高温電圧!AG29*高温電圧!AG$2&lt;VLOOKUP(HUAWEI製ＰＣＳ接続枚数計算ツール!$C$9, HUAWEI製ＰＣＳ接続枚数計算ツール!$B$119:$P$149,12,FALSE),0,1)</f>
        <v>1.65</v>
      </c>
      <c r="AH29" s="85">
        <f>ROUNDDOWN((高温電圧!AH29*高温電圧!AH$2-VLOOKUP(HUAWEI製ＰＣＳ接続枚数計算ツール!$C$9,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HUAWEI製ＰＣＳ接続枚数計算ツール!$B$119:$P$149,14,FALSE),0)/100*IF(高温電圧!AH29*高温電圧!AH$2&lt;VLOOKUP(HUAWEI製ＰＣＳ接続枚数計算ツール!$C$9, HUAWEI製ＰＣＳ接続枚数計算ツール!$B$119:$P$149,12,FALSE),0,1)</f>
        <v>1.71</v>
      </c>
      <c r="AI29" s="85">
        <f>ROUNDDOWN((高温電圧!AI29*高温電圧!AI$2-VLOOKUP(HUAWEI製ＰＣＳ接続枚数計算ツール!$C$9,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HUAWEI製ＰＣＳ接続枚数計算ツール!$B$119:$P$149,14,FALSE),0)/100*IF(高温電圧!AI29*高温電圧!AI$2&lt;VLOOKUP(HUAWEI製ＰＣＳ接続枚数計算ツール!$C$9, HUAWEI製ＰＣＳ接続枚数計算ツール!$B$119:$P$149,12,FALSE),0,1)</f>
        <v>1.77</v>
      </c>
      <c r="AJ29" s="85">
        <f>ROUNDDOWN((高温電圧!AJ29*高温電圧!AJ$2-VLOOKUP(HUAWEI製ＰＣＳ接続枚数計算ツール!$C$9,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HUAWEI製ＰＣＳ接続枚数計算ツール!$B$119:$P$149,14,FALSE),0)/100*IF(高温電圧!AJ29*高温電圧!AJ$2&lt;VLOOKUP(HUAWEI製ＰＣＳ接続枚数計算ツール!$C$9, HUAWEI製ＰＣＳ接続枚数計算ツール!$B$119:$P$149,12,FALSE),0,1)</f>
        <v>1.82</v>
      </c>
      <c r="AK29" s="85">
        <f>ROUNDDOWN((高温電圧!AK29*高温電圧!AK$2-VLOOKUP(HUAWEI製ＰＣＳ接続枚数計算ツール!$C$9,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HUAWEI製ＰＣＳ接続枚数計算ツール!$B$119:$P$149,14,FALSE),0)/100*IF(高温電圧!AK29*高温電圧!AK$2&lt;VLOOKUP(HUAWEI製ＰＣＳ接続枚数計算ツール!$C$9, HUAWEI製ＰＣＳ接続枚数計算ツール!$B$119:$P$149,12,FALSE),0,1)</f>
        <v>1.88</v>
      </c>
      <c r="AL29" s="85">
        <f>ROUNDDOWN((高温電圧!AL29*高温電圧!AL$2-VLOOKUP(HUAWEI製ＰＣＳ接続枚数計算ツール!$C$9,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HUAWEI製ＰＣＳ接続枚数計算ツール!$B$119:$P$149,14,FALSE),0)/100*IF(高温電圧!AL29*高温電圧!AL$2&lt;VLOOKUP(HUAWEI製ＰＣＳ接続枚数計算ツール!$C$9, HUAWEI製ＰＣＳ接続枚数計算ツール!$B$119:$P$149,12,FALSE),0,1)</f>
        <v>1.94</v>
      </c>
      <c r="AM29" s="85">
        <f>ROUNDDOWN((高温電圧!AM29*高温電圧!AM$2-VLOOKUP(HUAWEI製ＰＣＳ接続枚数計算ツール!$C$9,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HUAWEI製ＰＣＳ接続枚数計算ツール!$B$119:$P$149,14,FALSE),0)/100*IF(高温電圧!AM29*高温電圧!AM$2&lt;VLOOKUP(HUAWEI製ＰＣＳ接続枚数計算ツール!$C$9, HUAWEI製ＰＣＳ接続枚数計算ツール!$B$119:$P$149,12,FALSE),0,1)</f>
        <v>1.99</v>
      </c>
      <c r="AN29" s="85">
        <f>ROUNDDOWN((高温電圧!AN29*高温電圧!AN$2-VLOOKUP(HUAWEI製ＰＣＳ接続枚数計算ツール!$C$9,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HUAWEI製ＰＣＳ接続枚数計算ツール!$B$119:$P$149,14,FALSE),0)/100*IF(高温電圧!AN29*高温電圧!AN$2&lt;VLOOKUP(HUAWEI製ＰＣＳ接続枚数計算ツール!$C$9, HUAWEI製ＰＣＳ接続枚数計算ツール!$B$119:$P$149,12,FALSE),0,1)</f>
        <v>2.0499999999999998</v>
      </c>
      <c r="AO29" s="85">
        <f>ROUNDDOWN((高温電圧!AO29*高温電圧!AO$2-VLOOKUP(HUAWEI製ＰＣＳ接続枚数計算ツール!$C$9,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HUAWEI製ＰＣＳ接続枚数計算ツール!$B$119:$P$149,14,FALSE),0)/100*IF(高温電圧!AO29*高温電圧!AO$2&lt;VLOOKUP(HUAWEI製ＰＣＳ接続枚数計算ツール!$C$9, HUAWEI製ＰＣＳ接続枚数計算ツール!$B$119:$P$149,12,FALSE),0,1)</f>
        <v>2.1</v>
      </c>
    </row>
    <row r="30" spans="1:41">
      <c r="A30">
        <v>28</v>
      </c>
      <c r="B30" s="85">
        <f>ROUNDDOWN((高温電圧!B30*高温電圧!B$2-VLOOKUP(HUAWEI製ＰＣＳ接続枚数計算ツール!$C$9,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HUAWEI製ＰＣＳ接続枚数計算ツール!$B$119:$P$149,14,FALSE),0)/100*IF(高温電圧!B30*高温電圧!B$2&lt;VLOOKUP(HUAWEI製ＰＣＳ接続枚数計算ツール!$C$9, HUAWEI製ＰＣＳ接続枚数計算ツール!$B$119:$P$149,12,FALSE),0,1)</f>
        <v>0</v>
      </c>
      <c r="C30" s="85">
        <f>ROUNDDOWN((高温電圧!C30*高温電圧!C$2-VLOOKUP(HUAWEI製ＰＣＳ接続枚数計算ツール!$C$9,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HUAWEI製ＰＣＳ接続枚数計算ツール!$B$119:$P$149,14,FALSE),0)/100*IF(高温電圧!C30*高温電圧!C$2&lt;VLOOKUP(HUAWEI製ＰＣＳ接続枚数計算ツール!$C$9, HUAWEI製ＰＣＳ接続枚数計算ツール!$B$119:$P$149,12,FALSE),0,1)</f>
        <v>0</v>
      </c>
      <c r="D30" s="85">
        <f>ROUNDDOWN((高温電圧!D30*高温電圧!D$2-VLOOKUP(HUAWEI製ＰＣＳ接続枚数計算ツール!$C$9,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HUAWEI製ＰＣＳ接続枚数計算ツール!$B$119:$P$149,14,FALSE),0)/100*IF(高温電圧!D30*高温電圧!D$2&lt;VLOOKUP(HUAWEI製ＰＣＳ接続枚数計算ツール!$C$9, HUAWEI製ＰＣＳ接続枚数計算ツール!$B$119:$P$149,12,FALSE),0,1)</f>
        <v>0</v>
      </c>
      <c r="E30" s="85">
        <f>ROUNDDOWN((高温電圧!E30*高温電圧!E$2-VLOOKUP(HUAWEI製ＰＣＳ接続枚数計算ツール!$C$9,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HUAWEI製ＰＣＳ接続枚数計算ツール!$B$119:$P$149,14,FALSE),0)/100*IF(高温電圧!E30*高温電圧!E$2&lt;VLOOKUP(HUAWEI製ＰＣＳ接続枚数計算ツール!$C$9, HUAWEI製ＰＣＳ接続枚数計算ツール!$B$119:$P$149,12,FALSE),0,1)</f>
        <v>0</v>
      </c>
      <c r="F30" s="85">
        <f>ROUNDDOWN((高温電圧!F30*高温電圧!F$2-VLOOKUP(HUAWEI製ＰＣＳ接続枚数計算ツール!$C$9,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HUAWEI製ＰＣＳ接続枚数計算ツール!$B$119:$P$149,14,FALSE),0)/100*IF(高温電圧!F30*高温電圧!F$2&lt;VLOOKUP(HUAWEI製ＰＣＳ接続枚数計算ツール!$C$9, HUAWEI製ＰＣＳ接続枚数計算ツール!$B$119:$P$149,12,FALSE),0,1)</f>
        <v>0</v>
      </c>
      <c r="G30" s="85">
        <f>ROUNDDOWN((高温電圧!G30*高温電圧!G$2-VLOOKUP(HUAWEI製ＰＣＳ接続枚数計算ツール!$C$9,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HUAWEI製ＰＣＳ接続枚数計算ツール!$B$119:$P$149,14,FALSE),0)/100*IF(高温電圧!G30*高温電圧!G$2&lt;VLOOKUP(HUAWEI製ＰＣＳ接続枚数計算ツール!$C$9, HUAWEI製ＰＣＳ接続枚数計算ツール!$B$119:$P$149,12,FALSE),0,1)</f>
        <v>0</v>
      </c>
      <c r="H30" s="85">
        <f>ROUNDDOWN((高温電圧!H30*高温電圧!H$2-VLOOKUP(HUAWEI製ＰＣＳ接続枚数計算ツール!$C$9,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HUAWEI製ＰＣＳ接続枚数計算ツール!$B$119:$P$149,14,FALSE),0)/100*IF(高温電圧!H30*高温電圧!H$2&lt;VLOOKUP(HUAWEI製ＰＣＳ接続枚数計算ツール!$C$9, HUAWEI製ＰＣＳ接続枚数計算ツール!$B$119:$P$149,12,FALSE),0,1)</f>
        <v>0</v>
      </c>
      <c r="I30" s="85">
        <f>ROUNDDOWN((高温電圧!I30*高温電圧!I$2-VLOOKUP(HUAWEI製ＰＣＳ接続枚数計算ツール!$C$9,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HUAWEI製ＰＣＳ接続枚数計算ツール!$B$119:$P$149,14,FALSE),0)/100*IF(高温電圧!I30*高温電圧!I$2&lt;VLOOKUP(HUAWEI製ＰＣＳ接続枚数計算ツール!$C$9, HUAWEI製ＰＣＳ接続枚数計算ツール!$B$119:$P$149,12,FALSE),0,1)</f>
        <v>0</v>
      </c>
      <c r="J30" s="85">
        <f>ROUNDDOWN((高温電圧!J30*高温電圧!J$2-VLOOKUP(HUAWEI製ＰＣＳ接続枚数計算ツール!$C$9,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HUAWEI製ＰＣＳ接続枚数計算ツール!$B$119:$P$149,14,FALSE),0)/100*IF(高温電圧!J30*高温電圧!J$2&lt;VLOOKUP(HUAWEI製ＰＣＳ接続枚数計算ツール!$C$9, HUAWEI製ＰＣＳ接続枚数計算ツール!$B$119:$P$149,12,FALSE),0,1)</f>
        <v>0</v>
      </c>
      <c r="K30" s="85">
        <f>ROUNDDOWN((高温電圧!K30*高温電圧!K$2-VLOOKUP(HUAWEI製ＰＣＳ接続枚数計算ツール!$C$9,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HUAWEI製ＰＣＳ接続枚数計算ツール!$B$119:$P$149,14,FALSE),0)/100*IF(高温電圧!K30*高温電圧!K$2&lt;VLOOKUP(HUAWEI製ＰＣＳ接続枚数計算ツール!$C$9, HUAWEI製ＰＣＳ接続枚数計算ツール!$B$119:$P$149,12,FALSE),0,1)</f>
        <v>0</v>
      </c>
      <c r="L30" s="85">
        <f>ROUNDDOWN((高温電圧!L30*高温電圧!L$2-VLOOKUP(HUAWEI製ＰＣＳ接続枚数計算ツール!$C$9,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HUAWEI製ＰＣＳ接続枚数計算ツール!$B$119:$P$149,14,FALSE),0)/100*IF(高温電圧!L30*高温電圧!L$2&lt;VLOOKUP(HUAWEI製ＰＣＳ接続枚数計算ツール!$C$9, HUAWEI製ＰＣＳ接続枚数計算ツール!$B$119:$P$149,12,FALSE),0,1)</f>
        <v>0</v>
      </c>
      <c r="M30" s="85">
        <f>ROUNDDOWN((高温電圧!M30*高温電圧!M$2-VLOOKUP(HUAWEI製ＰＣＳ接続枚数計算ツール!$C$9,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HUAWEI製ＰＣＳ接続枚数計算ツール!$B$119:$P$149,14,FALSE),0)/100*IF(高温電圧!M30*高温電圧!M$2&lt;VLOOKUP(HUAWEI製ＰＣＳ接続枚数計算ツール!$C$9, HUAWEI製ＰＣＳ接続枚数計算ツール!$B$119:$P$149,12,FALSE),0,1)</f>
        <v>0</v>
      </c>
      <c r="N30" s="85">
        <f>ROUNDDOWN((高温電圧!N30*高温電圧!N$2-VLOOKUP(HUAWEI製ＰＣＳ接続枚数計算ツール!$C$9,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HUAWEI製ＰＣＳ接続枚数計算ツール!$B$119:$P$149,14,FALSE),0)/100*IF(高温電圧!N30*高温電圧!N$2&lt;VLOOKUP(HUAWEI製ＰＣＳ接続枚数計算ツール!$C$9, HUAWEI製ＰＣＳ接続枚数計算ツール!$B$119:$P$149,12,FALSE),0,1)</f>
        <v>0</v>
      </c>
      <c r="O30" s="85">
        <f>ROUNDDOWN((高温電圧!O30*高温電圧!O$2-VLOOKUP(HUAWEI製ＰＣＳ接続枚数計算ツール!$C$9,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HUAWEI製ＰＣＳ接続枚数計算ツール!$B$119:$P$149,14,FALSE),0)/100*IF(高温電圧!O30*高温電圧!O$2&lt;VLOOKUP(HUAWEI製ＰＣＳ接続枚数計算ツール!$C$9, HUAWEI製ＰＣＳ接続枚数計算ツール!$B$119:$P$149,12,FALSE),0,1)</f>
        <v>0.64</v>
      </c>
      <c r="P30" s="85">
        <f>ROUNDDOWN((高温電圧!P30*高温電圧!P$2-VLOOKUP(HUAWEI製ＰＣＳ接続枚数計算ツール!$C$9,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HUAWEI製ＰＣＳ接続枚数計算ツール!$B$119:$P$149,14,FALSE),0)/100*IF(高温電圧!P30*高温電圧!P$2&lt;VLOOKUP(HUAWEI製ＰＣＳ接続枚数計算ツール!$C$9, HUAWEI製ＰＣＳ接続枚数計算ツール!$B$119:$P$149,12,FALSE),0,1)</f>
        <v>0.7</v>
      </c>
      <c r="Q30" s="85">
        <f>ROUNDDOWN((高温電圧!Q30*高温電圧!Q$2-VLOOKUP(HUAWEI製ＰＣＳ接続枚数計算ツール!$C$9,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HUAWEI製ＰＣＳ接続枚数計算ツール!$B$119:$P$149,14,FALSE),0)/100*IF(高温電圧!Q30*高温電圧!Q$2&lt;VLOOKUP(HUAWEI製ＰＣＳ接続枚数計算ツール!$C$9, HUAWEI製ＰＣＳ接続枚数計算ツール!$B$119:$P$149,12,FALSE),0,1)</f>
        <v>0.75</v>
      </c>
      <c r="R30" s="85">
        <f>ROUNDDOWN((高温電圧!R30*高温電圧!R$2-VLOOKUP(HUAWEI製ＰＣＳ接続枚数計算ツール!$C$9,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HUAWEI製ＰＣＳ接続枚数計算ツール!$B$119:$P$149,14,FALSE),0)/100*IF(高温電圧!R30*高温電圧!R$2&lt;VLOOKUP(HUAWEI製ＰＣＳ接続枚数計算ツール!$C$9, HUAWEI製ＰＣＳ接続枚数計算ツール!$B$119:$P$149,12,FALSE),0,1)</f>
        <v>0.81</v>
      </c>
      <c r="S30" s="85">
        <f>ROUNDDOWN((高温電圧!S30*高温電圧!S$2-VLOOKUP(HUAWEI製ＰＣＳ接続枚数計算ツール!$C$9,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HUAWEI製ＰＣＳ接続枚数計算ツール!$B$119:$P$149,14,FALSE),0)/100*IF(高温電圧!S30*高温電圧!S$2&lt;VLOOKUP(HUAWEI製ＰＣＳ接続枚数計算ツール!$C$9, HUAWEI製ＰＣＳ接続枚数計算ツール!$B$119:$P$149,12,FALSE),0,1)</f>
        <v>0.87</v>
      </c>
      <c r="T30" s="85">
        <f>ROUNDDOWN((高温電圧!T30*高温電圧!T$2-VLOOKUP(HUAWEI製ＰＣＳ接続枚数計算ツール!$C$9,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HUAWEI製ＰＣＳ接続枚数計算ツール!$B$119:$P$149,14,FALSE),0)/100*IF(高温電圧!T30*高温電圧!T$2&lt;VLOOKUP(HUAWEI製ＰＣＳ接続枚数計算ツール!$C$9, HUAWEI製ＰＣＳ接続枚数計算ツール!$B$119:$P$149,12,FALSE),0,1)</f>
        <v>0.92</v>
      </c>
      <c r="U30" s="85">
        <f>ROUNDDOWN((高温電圧!U30*高温電圧!U$2-VLOOKUP(HUAWEI製ＰＣＳ接続枚数計算ツール!$C$9,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HUAWEI製ＰＣＳ接続枚数計算ツール!$B$119:$P$149,14,FALSE),0)/100*IF(高温電圧!U30*高温電圧!U$2&lt;VLOOKUP(HUAWEI製ＰＣＳ接続枚数計算ツール!$C$9, HUAWEI製ＰＣＳ接続枚数計算ツール!$B$119:$P$149,12,FALSE),0,1)</f>
        <v>0.98</v>
      </c>
      <c r="V30" s="85">
        <f>ROUNDDOWN((高温電圧!V30*高温電圧!V$2-VLOOKUP(HUAWEI製ＰＣＳ接続枚数計算ツール!$C$9,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HUAWEI製ＰＣＳ接続枚数計算ツール!$B$119:$P$149,14,FALSE),0)/100*IF(高温電圧!V30*高温電圧!V$2&lt;VLOOKUP(HUAWEI製ＰＣＳ接続枚数計算ツール!$C$9, HUAWEI製ＰＣＳ接続枚数計算ツール!$B$119:$P$149,12,FALSE),0,1)</f>
        <v>1.04</v>
      </c>
      <c r="W30" s="85">
        <f>ROUNDDOWN((高温電圧!W30*高温電圧!W$2-VLOOKUP(HUAWEI製ＰＣＳ接続枚数計算ツール!$C$9,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HUAWEI製ＰＣＳ接続枚数計算ツール!$B$119:$P$149,14,FALSE),0)/100*IF(高温電圧!W30*高温電圧!W$2&lt;VLOOKUP(HUAWEI製ＰＣＳ接続枚数計算ツール!$C$9, HUAWEI製ＰＣＳ接続枚数計算ツール!$B$119:$P$149,12,FALSE),0,1)</f>
        <v>1.0900000000000001</v>
      </c>
      <c r="X30" s="85">
        <f>ROUNDDOWN((高温電圧!X30*高温電圧!X$2-VLOOKUP(HUAWEI製ＰＣＳ接続枚数計算ツール!$C$9,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HUAWEI製ＰＣＳ接続枚数計算ツール!$B$119:$P$149,14,FALSE),0)/100*IF(高温電圧!X30*高温電圧!X$2&lt;VLOOKUP(HUAWEI製ＰＣＳ接続枚数計算ツール!$C$9, HUAWEI製ＰＣＳ接続枚数計算ツール!$B$119:$P$149,12,FALSE),0,1)</f>
        <v>1.1499999999999999</v>
      </c>
      <c r="Y30" s="85">
        <f>ROUNDDOWN((高温電圧!Y30*高温電圧!Y$2-VLOOKUP(HUAWEI製ＰＣＳ接続枚数計算ツール!$C$9,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HUAWEI製ＰＣＳ接続枚数計算ツール!$B$119:$P$149,14,FALSE),0)/100*IF(高温電圧!Y30*高温電圧!Y$2&lt;VLOOKUP(HUAWEI製ＰＣＳ接続枚数計算ツール!$C$9, HUAWEI製ＰＣＳ接続枚数計算ツール!$B$119:$P$149,12,FALSE),0,1)</f>
        <v>1.2</v>
      </c>
      <c r="Z30" s="85">
        <f>ROUNDDOWN((高温電圧!Z30*高温電圧!Z$2-VLOOKUP(HUAWEI製ＰＣＳ接続枚数計算ツール!$C$9,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HUAWEI製ＰＣＳ接続枚数計算ツール!$B$119:$P$149,14,FALSE),0)/100*IF(高温電圧!Z30*高温電圧!Z$2&lt;VLOOKUP(HUAWEI製ＰＣＳ接続枚数計算ツール!$C$9, HUAWEI製ＰＣＳ接続枚数計算ツール!$B$119:$P$149,12,FALSE),0,1)</f>
        <v>1.26</v>
      </c>
      <c r="AA30" s="85">
        <f>ROUNDDOWN((高温電圧!AA30*高温電圧!AA$2-VLOOKUP(HUAWEI製ＰＣＳ接続枚数計算ツール!$C$9,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HUAWEI製ＰＣＳ接続枚数計算ツール!$B$119:$P$149,14,FALSE),0)/100*IF(高温電圧!AA30*高温電圧!AA$2&lt;VLOOKUP(HUAWEI製ＰＣＳ接続枚数計算ツール!$C$9, HUAWEI製ＰＣＳ接続枚数計算ツール!$B$119:$P$149,12,FALSE),0,1)</f>
        <v>1.32</v>
      </c>
      <c r="AB30" s="85">
        <f>ROUNDDOWN((高温電圧!AB30*高温電圧!AB$2-VLOOKUP(HUAWEI製ＰＣＳ接続枚数計算ツール!$C$9,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HUAWEI製ＰＣＳ接続枚数計算ツール!$B$119:$P$149,14,FALSE),0)/100*IF(高温電圧!AB30*高温電圧!AB$2&lt;VLOOKUP(HUAWEI製ＰＣＳ接続枚数計算ツール!$C$9, HUAWEI製ＰＣＳ接続枚数計算ツール!$B$119:$P$149,12,FALSE),0,1)</f>
        <v>1.37</v>
      </c>
      <c r="AC30" s="85">
        <f>ROUNDDOWN((高温電圧!AC30*高温電圧!AC$2-VLOOKUP(HUAWEI製ＰＣＳ接続枚数計算ツール!$C$9,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HUAWEI製ＰＣＳ接続枚数計算ツール!$B$119:$P$149,14,FALSE),0)/100*IF(高温電圧!AC30*高温電圧!AC$2&lt;VLOOKUP(HUAWEI製ＰＣＳ接続枚数計算ツール!$C$9, HUAWEI製ＰＣＳ接続枚数計算ツール!$B$119:$P$149,12,FALSE),0,1)</f>
        <v>1.43</v>
      </c>
      <c r="AD30" s="85">
        <f>ROUNDDOWN((高温電圧!AD30*高温電圧!AD$2-VLOOKUP(HUAWEI製ＰＣＳ接続枚数計算ツール!$C$9,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HUAWEI製ＰＣＳ接続枚数計算ツール!$B$119:$P$149,14,FALSE),0)/100*IF(高温電圧!AD30*高温電圧!AD$2&lt;VLOOKUP(HUAWEI製ＰＣＳ接続枚数計算ツール!$C$9, HUAWEI製ＰＣＳ接続枚数計算ツール!$B$119:$P$149,12,FALSE),0,1)</f>
        <v>1.49</v>
      </c>
      <c r="AE30" s="85">
        <f>ROUNDDOWN((高温電圧!AE30*高温電圧!AE$2-VLOOKUP(HUAWEI製ＰＣＳ接続枚数計算ツール!$C$9,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HUAWEI製ＰＣＳ接続枚数計算ツール!$B$119:$P$149,14,FALSE),0)/100*IF(高温電圧!AE30*高温電圧!AE$2&lt;VLOOKUP(HUAWEI製ＰＣＳ接続枚数計算ツール!$C$9, HUAWEI製ＰＣＳ接続枚数計算ツール!$B$119:$P$149,12,FALSE),0,1)</f>
        <v>1.54</v>
      </c>
      <c r="AF30" s="85">
        <f>ROUNDDOWN((高温電圧!AF30*高温電圧!AF$2-VLOOKUP(HUAWEI製ＰＣＳ接続枚数計算ツール!$C$9,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HUAWEI製ＰＣＳ接続枚数計算ツール!$B$119:$P$149,14,FALSE),0)/100*IF(高温電圧!AF30*高温電圧!AF$2&lt;VLOOKUP(HUAWEI製ＰＣＳ接続枚数計算ツール!$C$9, HUAWEI製ＰＣＳ接続枚数計算ツール!$B$119:$P$149,12,FALSE),0,1)</f>
        <v>1.6</v>
      </c>
      <c r="AG30" s="85">
        <f>ROUNDDOWN((高温電圧!AG30*高温電圧!AG$2-VLOOKUP(HUAWEI製ＰＣＳ接続枚数計算ツール!$C$9,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HUAWEI製ＰＣＳ接続枚数計算ツール!$B$119:$P$149,14,FALSE),0)/100*IF(高温電圧!AG30*高温電圧!AG$2&lt;VLOOKUP(HUAWEI製ＰＣＳ接続枚数計算ツール!$C$9, HUAWEI製ＰＣＳ接続枚数計算ツール!$B$119:$P$149,12,FALSE),0,1)</f>
        <v>1.65</v>
      </c>
      <c r="AH30" s="85">
        <f>ROUNDDOWN((高温電圧!AH30*高温電圧!AH$2-VLOOKUP(HUAWEI製ＰＣＳ接続枚数計算ツール!$C$9,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HUAWEI製ＰＣＳ接続枚数計算ツール!$B$119:$P$149,14,FALSE),0)/100*IF(高温電圧!AH30*高温電圧!AH$2&lt;VLOOKUP(HUAWEI製ＰＣＳ接続枚数計算ツール!$C$9, HUAWEI製ＰＣＳ接続枚数計算ツール!$B$119:$P$149,12,FALSE),0,1)</f>
        <v>1.71</v>
      </c>
      <c r="AI30" s="85">
        <f>ROUNDDOWN((高温電圧!AI30*高温電圧!AI$2-VLOOKUP(HUAWEI製ＰＣＳ接続枚数計算ツール!$C$9,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HUAWEI製ＰＣＳ接続枚数計算ツール!$B$119:$P$149,14,FALSE),0)/100*IF(高温電圧!AI30*高温電圧!AI$2&lt;VLOOKUP(HUAWEI製ＰＣＳ接続枚数計算ツール!$C$9, HUAWEI製ＰＣＳ接続枚数計算ツール!$B$119:$P$149,12,FALSE),0,1)</f>
        <v>1.77</v>
      </c>
      <c r="AJ30" s="85">
        <f>ROUNDDOWN((高温電圧!AJ30*高温電圧!AJ$2-VLOOKUP(HUAWEI製ＰＣＳ接続枚数計算ツール!$C$9,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HUAWEI製ＰＣＳ接続枚数計算ツール!$B$119:$P$149,14,FALSE),0)/100*IF(高温電圧!AJ30*高温電圧!AJ$2&lt;VLOOKUP(HUAWEI製ＰＣＳ接続枚数計算ツール!$C$9, HUAWEI製ＰＣＳ接続枚数計算ツール!$B$119:$P$149,12,FALSE),0,1)</f>
        <v>1.82</v>
      </c>
      <c r="AK30" s="85">
        <f>ROUNDDOWN((高温電圧!AK30*高温電圧!AK$2-VLOOKUP(HUAWEI製ＰＣＳ接続枚数計算ツール!$C$9,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HUAWEI製ＰＣＳ接続枚数計算ツール!$B$119:$P$149,14,FALSE),0)/100*IF(高温電圧!AK30*高温電圧!AK$2&lt;VLOOKUP(HUAWEI製ＰＣＳ接続枚数計算ツール!$C$9, HUAWEI製ＰＣＳ接続枚数計算ツール!$B$119:$P$149,12,FALSE),0,1)</f>
        <v>1.88</v>
      </c>
      <c r="AL30" s="85">
        <f>ROUNDDOWN((高温電圧!AL30*高温電圧!AL$2-VLOOKUP(HUAWEI製ＰＣＳ接続枚数計算ツール!$C$9,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HUAWEI製ＰＣＳ接続枚数計算ツール!$B$119:$P$149,14,FALSE),0)/100*IF(高温電圧!AL30*高温電圧!AL$2&lt;VLOOKUP(HUAWEI製ＰＣＳ接続枚数計算ツール!$C$9, HUAWEI製ＰＣＳ接続枚数計算ツール!$B$119:$P$149,12,FALSE),0,1)</f>
        <v>1.94</v>
      </c>
      <c r="AM30" s="85">
        <f>ROUNDDOWN((高温電圧!AM30*高温電圧!AM$2-VLOOKUP(HUAWEI製ＰＣＳ接続枚数計算ツール!$C$9,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HUAWEI製ＰＣＳ接続枚数計算ツール!$B$119:$P$149,14,FALSE),0)/100*IF(高温電圧!AM30*高温電圧!AM$2&lt;VLOOKUP(HUAWEI製ＰＣＳ接続枚数計算ツール!$C$9, HUAWEI製ＰＣＳ接続枚数計算ツール!$B$119:$P$149,12,FALSE),0,1)</f>
        <v>1.99</v>
      </c>
      <c r="AN30" s="85">
        <f>ROUNDDOWN((高温電圧!AN30*高温電圧!AN$2-VLOOKUP(HUAWEI製ＰＣＳ接続枚数計算ツール!$C$9,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HUAWEI製ＰＣＳ接続枚数計算ツール!$B$119:$P$149,14,FALSE),0)/100*IF(高温電圧!AN30*高温電圧!AN$2&lt;VLOOKUP(HUAWEI製ＰＣＳ接続枚数計算ツール!$C$9, HUAWEI製ＰＣＳ接続枚数計算ツール!$B$119:$P$149,12,FALSE),0,1)</f>
        <v>2.0499999999999998</v>
      </c>
      <c r="AO30" s="85">
        <f>ROUNDDOWN((高温電圧!AO30*高温電圧!AO$2-VLOOKUP(HUAWEI製ＰＣＳ接続枚数計算ツール!$C$9,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HUAWEI製ＰＣＳ接続枚数計算ツール!$B$119:$P$149,14,FALSE),0)/100*IF(高温電圧!AO30*高温電圧!AO$2&lt;VLOOKUP(HUAWEI製ＰＣＳ接続枚数計算ツール!$C$9, HUAWEI製ＰＣＳ接続枚数計算ツール!$B$119:$P$149,12,FALSE),0,1)</f>
        <v>2.1</v>
      </c>
    </row>
    <row r="31" spans="1:41">
      <c r="A31">
        <v>29</v>
      </c>
      <c r="B31" s="85">
        <f>ROUNDDOWN((高温電圧!B31*高温電圧!B$2-VLOOKUP(HUAWEI製ＰＣＳ接続枚数計算ツール!$C$9,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HUAWEI製ＰＣＳ接続枚数計算ツール!$B$119:$P$149,14,FALSE),0)/100*IF(高温電圧!B31*高温電圧!B$2&lt;VLOOKUP(HUAWEI製ＰＣＳ接続枚数計算ツール!$C$9, HUAWEI製ＰＣＳ接続枚数計算ツール!$B$119:$P$149,12,FALSE),0,1)</f>
        <v>0</v>
      </c>
      <c r="C31" s="85">
        <f>ROUNDDOWN((高温電圧!C31*高温電圧!C$2-VLOOKUP(HUAWEI製ＰＣＳ接続枚数計算ツール!$C$9,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HUAWEI製ＰＣＳ接続枚数計算ツール!$B$119:$P$149,14,FALSE),0)/100*IF(高温電圧!C31*高温電圧!C$2&lt;VLOOKUP(HUAWEI製ＰＣＳ接続枚数計算ツール!$C$9, HUAWEI製ＰＣＳ接続枚数計算ツール!$B$119:$P$149,12,FALSE),0,1)</f>
        <v>0</v>
      </c>
      <c r="D31" s="85">
        <f>ROUNDDOWN((高温電圧!D31*高温電圧!D$2-VLOOKUP(HUAWEI製ＰＣＳ接続枚数計算ツール!$C$9,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HUAWEI製ＰＣＳ接続枚数計算ツール!$B$119:$P$149,14,FALSE),0)/100*IF(高温電圧!D31*高温電圧!D$2&lt;VLOOKUP(HUAWEI製ＰＣＳ接続枚数計算ツール!$C$9, HUAWEI製ＰＣＳ接続枚数計算ツール!$B$119:$P$149,12,FALSE),0,1)</f>
        <v>0</v>
      </c>
      <c r="E31" s="85">
        <f>ROUNDDOWN((高温電圧!E31*高温電圧!E$2-VLOOKUP(HUAWEI製ＰＣＳ接続枚数計算ツール!$C$9,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HUAWEI製ＰＣＳ接続枚数計算ツール!$B$119:$P$149,14,FALSE),0)/100*IF(高温電圧!E31*高温電圧!E$2&lt;VLOOKUP(HUAWEI製ＰＣＳ接続枚数計算ツール!$C$9, HUAWEI製ＰＣＳ接続枚数計算ツール!$B$119:$P$149,12,FALSE),0,1)</f>
        <v>0</v>
      </c>
      <c r="F31" s="85">
        <f>ROUNDDOWN((高温電圧!F31*高温電圧!F$2-VLOOKUP(HUAWEI製ＰＣＳ接続枚数計算ツール!$C$9,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HUAWEI製ＰＣＳ接続枚数計算ツール!$B$119:$P$149,14,FALSE),0)/100*IF(高温電圧!F31*高温電圧!F$2&lt;VLOOKUP(HUAWEI製ＰＣＳ接続枚数計算ツール!$C$9, HUAWEI製ＰＣＳ接続枚数計算ツール!$B$119:$P$149,12,FALSE),0,1)</f>
        <v>0</v>
      </c>
      <c r="G31" s="85">
        <f>ROUNDDOWN((高温電圧!G31*高温電圧!G$2-VLOOKUP(HUAWEI製ＰＣＳ接続枚数計算ツール!$C$9,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HUAWEI製ＰＣＳ接続枚数計算ツール!$B$119:$P$149,14,FALSE),0)/100*IF(高温電圧!G31*高温電圧!G$2&lt;VLOOKUP(HUAWEI製ＰＣＳ接続枚数計算ツール!$C$9, HUAWEI製ＰＣＳ接続枚数計算ツール!$B$119:$P$149,12,FALSE),0,1)</f>
        <v>0</v>
      </c>
      <c r="H31" s="85">
        <f>ROUNDDOWN((高温電圧!H31*高温電圧!H$2-VLOOKUP(HUAWEI製ＰＣＳ接続枚数計算ツール!$C$9,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HUAWEI製ＰＣＳ接続枚数計算ツール!$B$119:$P$149,14,FALSE),0)/100*IF(高温電圧!H31*高温電圧!H$2&lt;VLOOKUP(HUAWEI製ＰＣＳ接続枚数計算ツール!$C$9, HUAWEI製ＰＣＳ接続枚数計算ツール!$B$119:$P$149,12,FALSE),0,1)</f>
        <v>0</v>
      </c>
      <c r="I31" s="85">
        <f>ROUNDDOWN((高温電圧!I31*高温電圧!I$2-VLOOKUP(HUAWEI製ＰＣＳ接続枚数計算ツール!$C$9,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HUAWEI製ＰＣＳ接続枚数計算ツール!$B$119:$P$149,14,FALSE),0)/100*IF(高温電圧!I31*高温電圧!I$2&lt;VLOOKUP(HUAWEI製ＰＣＳ接続枚数計算ツール!$C$9, HUAWEI製ＰＣＳ接続枚数計算ツール!$B$119:$P$149,12,FALSE),0,1)</f>
        <v>0</v>
      </c>
      <c r="J31" s="85">
        <f>ROUNDDOWN((高温電圧!J31*高温電圧!J$2-VLOOKUP(HUAWEI製ＰＣＳ接続枚数計算ツール!$C$9,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HUAWEI製ＰＣＳ接続枚数計算ツール!$B$119:$P$149,14,FALSE),0)/100*IF(高温電圧!J31*高温電圧!J$2&lt;VLOOKUP(HUAWEI製ＰＣＳ接続枚数計算ツール!$C$9, HUAWEI製ＰＣＳ接続枚数計算ツール!$B$119:$P$149,12,FALSE),0,1)</f>
        <v>0</v>
      </c>
      <c r="K31" s="85">
        <f>ROUNDDOWN((高温電圧!K31*高温電圧!K$2-VLOOKUP(HUAWEI製ＰＣＳ接続枚数計算ツール!$C$9,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HUAWEI製ＰＣＳ接続枚数計算ツール!$B$119:$P$149,14,FALSE),0)/100*IF(高温電圧!K31*高温電圧!K$2&lt;VLOOKUP(HUAWEI製ＰＣＳ接続枚数計算ツール!$C$9, HUAWEI製ＰＣＳ接続枚数計算ツール!$B$119:$P$149,12,FALSE),0,1)</f>
        <v>0</v>
      </c>
      <c r="L31" s="85">
        <f>ROUNDDOWN((高温電圧!L31*高温電圧!L$2-VLOOKUP(HUAWEI製ＰＣＳ接続枚数計算ツール!$C$9,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HUAWEI製ＰＣＳ接続枚数計算ツール!$B$119:$P$149,14,FALSE),0)/100*IF(高温電圧!L31*高温電圧!L$2&lt;VLOOKUP(HUAWEI製ＰＣＳ接続枚数計算ツール!$C$9, HUAWEI製ＰＣＳ接続枚数計算ツール!$B$119:$P$149,12,FALSE),0,1)</f>
        <v>0</v>
      </c>
      <c r="M31" s="85">
        <f>ROUNDDOWN((高温電圧!M31*高温電圧!M$2-VLOOKUP(HUAWEI製ＰＣＳ接続枚数計算ツール!$C$9,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HUAWEI製ＰＣＳ接続枚数計算ツール!$B$119:$P$149,14,FALSE),0)/100*IF(高温電圧!M31*高温電圧!M$2&lt;VLOOKUP(HUAWEI製ＰＣＳ接続枚数計算ツール!$C$9, HUAWEI製ＰＣＳ接続枚数計算ツール!$B$119:$P$149,12,FALSE),0,1)</f>
        <v>0</v>
      </c>
      <c r="N31" s="85">
        <f>ROUNDDOWN((高温電圧!N31*高温電圧!N$2-VLOOKUP(HUAWEI製ＰＣＳ接続枚数計算ツール!$C$9,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HUAWEI製ＰＣＳ接続枚数計算ツール!$B$119:$P$149,14,FALSE),0)/100*IF(高温電圧!N31*高温電圧!N$2&lt;VLOOKUP(HUAWEI製ＰＣＳ接続枚数計算ツール!$C$9, HUAWEI製ＰＣＳ接続枚数計算ツール!$B$119:$P$149,12,FALSE),0,1)</f>
        <v>0</v>
      </c>
      <c r="O31" s="85">
        <f>ROUNDDOWN((高温電圧!O31*高温電圧!O$2-VLOOKUP(HUAWEI製ＰＣＳ接続枚数計算ツール!$C$9,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HUAWEI製ＰＣＳ接続枚数計算ツール!$B$119:$P$149,14,FALSE),0)/100*IF(高温電圧!O31*高温電圧!O$2&lt;VLOOKUP(HUAWEI製ＰＣＳ接続枚数計算ツール!$C$9, HUAWEI製ＰＣＳ接続枚数計算ツール!$B$119:$P$149,12,FALSE),0,1)</f>
        <v>0.64</v>
      </c>
      <c r="P31" s="85">
        <f>ROUNDDOWN((高温電圧!P31*高温電圧!P$2-VLOOKUP(HUAWEI製ＰＣＳ接続枚数計算ツール!$C$9,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HUAWEI製ＰＣＳ接続枚数計算ツール!$B$119:$P$149,14,FALSE),0)/100*IF(高温電圧!P31*高温電圧!P$2&lt;VLOOKUP(HUAWEI製ＰＣＳ接続枚数計算ツール!$C$9, HUAWEI製ＰＣＳ接続枚数計算ツール!$B$119:$P$149,12,FALSE),0,1)</f>
        <v>0.7</v>
      </c>
      <c r="Q31" s="85">
        <f>ROUNDDOWN((高温電圧!Q31*高温電圧!Q$2-VLOOKUP(HUAWEI製ＰＣＳ接続枚数計算ツール!$C$9,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HUAWEI製ＰＣＳ接続枚数計算ツール!$B$119:$P$149,14,FALSE),0)/100*IF(高温電圧!Q31*高温電圧!Q$2&lt;VLOOKUP(HUAWEI製ＰＣＳ接続枚数計算ツール!$C$9, HUAWEI製ＰＣＳ接続枚数計算ツール!$B$119:$P$149,12,FALSE),0,1)</f>
        <v>0.75</v>
      </c>
      <c r="R31" s="85">
        <f>ROUNDDOWN((高温電圧!R31*高温電圧!R$2-VLOOKUP(HUAWEI製ＰＣＳ接続枚数計算ツール!$C$9,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HUAWEI製ＰＣＳ接続枚数計算ツール!$B$119:$P$149,14,FALSE),0)/100*IF(高温電圧!R31*高温電圧!R$2&lt;VLOOKUP(HUAWEI製ＰＣＳ接続枚数計算ツール!$C$9, HUAWEI製ＰＣＳ接続枚数計算ツール!$B$119:$P$149,12,FALSE),0,1)</f>
        <v>0.81</v>
      </c>
      <c r="S31" s="85">
        <f>ROUNDDOWN((高温電圧!S31*高温電圧!S$2-VLOOKUP(HUAWEI製ＰＣＳ接続枚数計算ツール!$C$9,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HUAWEI製ＰＣＳ接続枚数計算ツール!$B$119:$P$149,14,FALSE),0)/100*IF(高温電圧!S31*高温電圧!S$2&lt;VLOOKUP(HUAWEI製ＰＣＳ接続枚数計算ツール!$C$9, HUAWEI製ＰＣＳ接続枚数計算ツール!$B$119:$P$149,12,FALSE),0,1)</f>
        <v>0.87</v>
      </c>
      <c r="T31" s="85">
        <f>ROUNDDOWN((高温電圧!T31*高温電圧!T$2-VLOOKUP(HUAWEI製ＰＣＳ接続枚数計算ツール!$C$9,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HUAWEI製ＰＣＳ接続枚数計算ツール!$B$119:$P$149,14,FALSE),0)/100*IF(高温電圧!T31*高温電圧!T$2&lt;VLOOKUP(HUAWEI製ＰＣＳ接続枚数計算ツール!$C$9, HUAWEI製ＰＣＳ接続枚数計算ツール!$B$119:$P$149,12,FALSE),0,1)</f>
        <v>0.92</v>
      </c>
      <c r="U31" s="85">
        <f>ROUNDDOWN((高温電圧!U31*高温電圧!U$2-VLOOKUP(HUAWEI製ＰＣＳ接続枚数計算ツール!$C$9,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HUAWEI製ＰＣＳ接続枚数計算ツール!$B$119:$P$149,14,FALSE),0)/100*IF(高温電圧!U31*高温電圧!U$2&lt;VLOOKUP(HUAWEI製ＰＣＳ接続枚数計算ツール!$C$9, HUAWEI製ＰＣＳ接続枚数計算ツール!$B$119:$P$149,12,FALSE),0,1)</f>
        <v>0.98</v>
      </c>
      <c r="V31" s="85">
        <f>ROUNDDOWN((高温電圧!V31*高温電圧!V$2-VLOOKUP(HUAWEI製ＰＣＳ接続枚数計算ツール!$C$9,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HUAWEI製ＰＣＳ接続枚数計算ツール!$B$119:$P$149,14,FALSE),0)/100*IF(高温電圧!V31*高温電圧!V$2&lt;VLOOKUP(HUAWEI製ＰＣＳ接続枚数計算ツール!$C$9, HUAWEI製ＰＣＳ接続枚数計算ツール!$B$119:$P$149,12,FALSE),0,1)</f>
        <v>1.04</v>
      </c>
      <c r="W31" s="85">
        <f>ROUNDDOWN((高温電圧!W31*高温電圧!W$2-VLOOKUP(HUAWEI製ＰＣＳ接続枚数計算ツール!$C$9,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HUAWEI製ＰＣＳ接続枚数計算ツール!$B$119:$P$149,14,FALSE),0)/100*IF(高温電圧!W31*高温電圧!W$2&lt;VLOOKUP(HUAWEI製ＰＣＳ接続枚数計算ツール!$C$9, HUAWEI製ＰＣＳ接続枚数計算ツール!$B$119:$P$149,12,FALSE),0,1)</f>
        <v>1.0900000000000001</v>
      </c>
      <c r="X31" s="85">
        <f>ROUNDDOWN((高温電圧!X31*高温電圧!X$2-VLOOKUP(HUAWEI製ＰＣＳ接続枚数計算ツール!$C$9,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HUAWEI製ＰＣＳ接続枚数計算ツール!$B$119:$P$149,14,FALSE),0)/100*IF(高温電圧!X31*高温電圧!X$2&lt;VLOOKUP(HUAWEI製ＰＣＳ接続枚数計算ツール!$C$9, HUAWEI製ＰＣＳ接続枚数計算ツール!$B$119:$P$149,12,FALSE),0,1)</f>
        <v>1.1499999999999999</v>
      </c>
      <c r="Y31" s="85">
        <f>ROUNDDOWN((高温電圧!Y31*高温電圧!Y$2-VLOOKUP(HUAWEI製ＰＣＳ接続枚数計算ツール!$C$9,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HUAWEI製ＰＣＳ接続枚数計算ツール!$B$119:$P$149,14,FALSE),0)/100*IF(高温電圧!Y31*高温電圧!Y$2&lt;VLOOKUP(HUAWEI製ＰＣＳ接続枚数計算ツール!$C$9, HUAWEI製ＰＣＳ接続枚数計算ツール!$B$119:$P$149,12,FALSE),0,1)</f>
        <v>1.2</v>
      </c>
      <c r="Z31" s="85">
        <f>ROUNDDOWN((高温電圧!Z31*高温電圧!Z$2-VLOOKUP(HUAWEI製ＰＣＳ接続枚数計算ツール!$C$9,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HUAWEI製ＰＣＳ接続枚数計算ツール!$B$119:$P$149,14,FALSE),0)/100*IF(高温電圧!Z31*高温電圧!Z$2&lt;VLOOKUP(HUAWEI製ＰＣＳ接続枚数計算ツール!$C$9, HUAWEI製ＰＣＳ接続枚数計算ツール!$B$119:$P$149,12,FALSE),0,1)</f>
        <v>1.26</v>
      </c>
      <c r="AA31" s="85">
        <f>ROUNDDOWN((高温電圧!AA31*高温電圧!AA$2-VLOOKUP(HUAWEI製ＰＣＳ接続枚数計算ツール!$C$9,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HUAWEI製ＰＣＳ接続枚数計算ツール!$B$119:$P$149,14,FALSE),0)/100*IF(高温電圧!AA31*高温電圧!AA$2&lt;VLOOKUP(HUAWEI製ＰＣＳ接続枚数計算ツール!$C$9, HUAWEI製ＰＣＳ接続枚数計算ツール!$B$119:$P$149,12,FALSE),0,1)</f>
        <v>1.32</v>
      </c>
      <c r="AB31" s="85">
        <f>ROUNDDOWN((高温電圧!AB31*高温電圧!AB$2-VLOOKUP(HUAWEI製ＰＣＳ接続枚数計算ツール!$C$9,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HUAWEI製ＰＣＳ接続枚数計算ツール!$B$119:$P$149,14,FALSE),0)/100*IF(高温電圧!AB31*高温電圧!AB$2&lt;VLOOKUP(HUAWEI製ＰＣＳ接続枚数計算ツール!$C$9, HUAWEI製ＰＣＳ接続枚数計算ツール!$B$119:$P$149,12,FALSE),0,1)</f>
        <v>1.37</v>
      </c>
      <c r="AC31" s="85">
        <f>ROUNDDOWN((高温電圧!AC31*高温電圧!AC$2-VLOOKUP(HUAWEI製ＰＣＳ接続枚数計算ツール!$C$9,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HUAWEI製ＰＣＳ接続枚数計算ツール!$B$119:$P$149,14,FALSE),0)/100*IF(高温電圧!AC31*高温電圧!AC$2&lt;VLOOKUP(HUAWEI製ＰＣＳ接続枚数計算ツール!$C$9, HUAWEI製ＰＣＳ接続枚数計算ツール!$B$119:$P$149,12,FALSE),0,1)</f>
        <v>1.43</v>
      </c>
      <c r="AD31" s="85">
        <f>ROUNDDOWN((高温電圧!AD31*高温電圧!AD$2-VLOOKUP(HUAWEI製ＰＣＳ接続枚数計算ツール!$C$9,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HUAWEI製ＰＣＳ接続枚数計算ツール!$B$119:$P$149,14,FALSE),0)/100*IF(高温電圧!AD31*高温電圧!AD$2&lt;VLOOKUP(HUAWEI製ＰＣＳ接続枚数計算ツール!$C$9, HUAWEI製ＰＣＳ接続枚数計算ツール!$B$119:$P$149,12,FALSE),0,1)</f>
        <v>1.49</v>
      </c>
      <c r="AE31" s="85">
        <f>ROUNDDOWN((高温電圧!AE31*高温電圧!AE$2-VLOOKUP(HUAWEI製ＰＣＳ接続枚数計算ツール!$C$9,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HUAWEI製ＰＣＳ接続枚数計算ツール!$B$119:$P$149,14,FALSE),0)/100*IF(高温電圧!AE31*高温電圧!AE$2&lt;VLOOKUP(HUAWEI製ＰＣＳ接続枚数計算ツール!$C$9, HUAWEI製ＰＣＳ接続枚数計算ツール!$B$119:$P$149,12,FALSE),0,1)</f>
        <v>1.54</v>
      </c>
      <c r="AF31" s="85">
        <f>ROUNDDOWN((高温電圧!AF31*高温電圧!AF$2-VLOOKUP(HUAWEI製ＰＣＳ接続枚数計算ツール!$C$9,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HUAWEI製ＰＣＳ接続枚数計算ツール!$B$119:$P$149,14,FALSE),0)/100*IF(高温電圧!AF31*高温電圧!AF$2&lt;VLOOKUP(HUAWEI製ＰＣＳ接続枚数計算ツール!$C$9, HUAWEI製ＰＣＳ接続枚数計算ツール!$B$119:$P$149,12,FALSE),0,1)</f>
        <v>1.6</v>
      </c>
      <c r="AG31" s="85">
        <f>ROUNDDOWN((高温電圧!AG31*高温電圧!AG$2-VLOOKUP(HUAWEI製ＰＣＳ接続枚数計算ツール!$C$9,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HUAWEI製ＰＣＳ接続枚数計算ツール!$B$119:$P$149,14,FALSE),0)/100*IF(高温電圧!AG31*高温電圧!AG$2&lt;VLOOKUP(HUAWEI製ＰＣＳ接続枚数計算ツール!$C$9, HUAWEI製ＰＣＳ接続枚数計算ツール!$B$119:$P$149,12,FALSE),0,1)</f>
        <v>1.65</v>
      </c>
      <c r="AH31" s="85">
        <f>ROUNDDOWN((高温電圧!AH31*高温電圧!AH$2-VLOOKUP(HUAWEI製ＰＣＳ接続枚数計算ツール!$C$9,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HUAWEI製ＰＣＳ接続枚数計算ツール!$B$119:$P$149,14,FALSE),0)/100*IF(高温電圧!AH31*高温電圧!AH$2&lt;VLOOKUP(HUAWEI製ＰＣＳ接続枚数計算ツール!$C$9, HUAWEI製ＰＣＳ接続枚数計算ツール!$B$119:$P$149,12,FALSE),0,1)</f>
        <v>1.71</v>
      </c>
      <c r="AI31" s="85">
        <f>ROUNDDOWN((高温電圧!AI31*高温電圧!AI$2-VLOOKUP(HUAWEI製ＰＣＳ接続枚数計算ツール!$C$9,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HUAWEI製ＰＣＳ接続枚数計算ツール!$B$119:$P$149,14,FALSE),0)/100*IF(高温電圧!AI31*高温電圧!AI$2&lt;VLOOKUP(HUAWEI製ＰＣＳ接続枚数計算ツール!$C$9, HUAWEI製ＰＣＳ接続枚数計算ツール!$B$119:$P$149,12,FALSE),0,1)</f>
        <v>1.77</v>
      </c>
      <c r="AJ31" s="85">
        <f>ROUNDDOWN((高温電圧!AJ31*高温電圧!AJ$2-VLOOKUP(HUAWEI製ＰＣＳ接続枚数計算ツール!$C$9,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HUAWEI製ＰＣＳ接続枚数計算ツール!$B$119:$P$149,14,FALSE),0)/100*IF(高温電圧!AJ31*高温電圧!AJ$2&lt;VLOOKUP(HUAWEI製ＰＣＳ接続枚数計算ツール!$C$9, HUAWEI製ＰＣＳ接続枚数計算ツール!$B$119:$P$149,12,FALSE),0,1)</f>
        <v>1.82</v>
      </c>
      <c r="AK31" s="85">
        <f>ROUNDDOWN((高温電圧!AK31*高温電圧!AK$2-VLOOKUP(HUAWEI製ＰＣＳ接続枚数計算ツール!$C$9,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HUAWEI製ＰＣＳ接続枚数計算ツール!$B$119:$P$149,14,FALSE),0)/100*IF(高温電圧!AK31*高温電圧!AK$2&lt;VLOOKUP(HUAWEI製ＰＣＳ接続枚数計算ツール!$C$9, HUAWEI製ＰＣＳ接続枚数計算ツール!$B$119:$P$149,12,FALSE),0,1)</f>
        <v>1.88</v>
      </c>
      <c r="AL31" s="85">
        <f>ROUNDDOWN((高温電圧!AL31*高温電圧!AL$2-VLOOKUP(HUAWEI製ＰＣＳ接続枚数計算ツール!$C$9,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HUAWEI製ＰＣＳ接続枚数計算ツール!$B$119:$P$149,14,FALSE),0)/100*IF(高温電圧!AL31*高温電圧!AL$2&lt;VLOOKUP(HUAWEI製ＰＣＳ接続枚数計算ツール!$C$9, HUAWEI製ＰＣＳ接続枚数計算ツール!$B$119:$P$149,12,FALSE),0,1)</f>
        <v>1.94</v>
      </c>
      <c r="AM31" s="85">
        <f>ROUNDDOWN((高温電圧!AM31*高温電圧!AM$2-VLOOKUP(HUAWEI製ＰＣＳ接続枚数計算ツール!$C$9,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HUAWEI製ＰＣＳ接続枚数計算ツール!$B$119:$P$149,14,FALSE),0)/100*IF(高温電圧!AM31*高温電圧!AM$2&lt;VLOOKUP(HUAWEI製ＰＣＳ接続枚数計算ツール!$C$9, HUAWEI製ＰＣＳ接続枚数計算ツール!$B$119:$P$149,12,FALSE),0,1)</f>
        <v>1.99</v>
      </c>
      <c r="AN31" s="85">
        <f>ROUNDDOWN((高温電圧!AN31*高温電圧!AN$2-VLOOKUP(HUAWEI製ＰＣＳ接続枚数計算ツール!$C$9,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HUAWEI製ＰＣＳ接続枚数計算ツール!$B$119:$P$149,14,FALSE),0)/100*IF(高温電圧!AN31*高温電圧!AN$2&lt;VLOOKUP(HUAWEI製ＰＣＳ接続枚数計算ツール!$C$9, HUAWEI製ＰＣＳ接続枚数計算ツール!$B$119:$P$149,12,FALSE),0,1)</f>
        <v>2.0499999999999998</v>
      </c>
      <c r="AO31" s="85">
        <f>ROUNDDOWN((高温電圧!AO31*高温電圧!AO$2-VLOOKUP(HUAWEI製ＰＣＳ接続枚数計算ツール!$C$9,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HUAWEI製ＰＣＳ接続枚数計算ツール!$B$119:$P$149,14,FALSE),0)/100*IF(高温電圧!AO31*高温電圧!AO$2&lt;VLOOKUP(HUAWEI製ＰＣＳ接続枚数計算ツール!$C$9, HUAWEI製ＰＣＳ接続枚数計算ツール!$B$119:$P$149,12,FALSE),0,1)</f>
        <v>2.1</v>
      </c>
    </row>
    <row r="32" spans="1:41">
      <c r="A32">
        <v>30</v>
      </c>
      <c r="B32" s="85">
        <f>ROUNDDOWN((高温電圧!B32*高温電圧!B$2-VLOOKUP(HUAWEI製ＰＣＳ接続枚数計算ツール!$C$9,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HUAWEI製ＰＣＳ接続枚数計算ツール!$B$119:$P$149,14,FALSE),0)/100*IF(高温電圧!B32*高温電圧!B$2&lt;VLOOKUP(HUAWEI製ＰＣＳ接続枚数計算ツール!$C$9, HUAWEI製ＰＣＳ接続枚数計算ツール!$B$119:$P$149,12,FALSE),0,1)</f>
        <v>0</v>
      </c>
      <c r="C32" s="85">
        <f>ROUNDDOWN((高温電圧!C32*高温電圧!C$2-VLOOKUP(HUAWEI製ＰＣＳ接続枚数計算ツール!$C$9,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HUAWEI製ＰＣＳ接続枚数計算ツール!$B$119:$P$149,14,FALSE),0)/100*IF(高温電圧!C32*高温電圧!C$2&lt;VLOOKUP(HUAWEI製ＰＣＳ接続枚数計算ツール!$C$9, HUAWEI製ＰＣＳ接続枚数計算ツール!$B$119:$P$149,12,FALSE),0,1)</f>
        <v>0</v>
      </c>
      <c r="D32" s="85">
        <f>ROUNDDOWN((高温電圧!D32*高温電圧!D$2-VLOOKUP(HUAWEI製ＰＣＳ接続枚数計算ツール!$C$9,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HUAWEI製ＰＣＳ接続枚数計算ツール!$B$119:$P$149,14,FALSE),0)/100*IF(高温電圧!D32*高温電圧!D$2&lt;VLOOKUP(HUAWEI製ＰＣＳ接続枚数計算ツール!$C$9, HUAWEI製ＰＣＳ接続枚数計算ツール!$B$119:$P$149,12,FALSE),0,1)</f>
        <v>0</v>
      </c>
      <c r="E32" s="85">
        <f>ROUNDDOWN((高温電圧!E32*高温電圧!E$2-VLOOKUP(HUAWEI製ＰＣＳ接続枚数計算ツール!$C$9,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HUAWEI製ＰＣＳ接続枚数計算ツール!$B$119:$P$149,14,FALSE),0)/100*IF(高温電圧!E32*高温電圧!E$2&lt;VLOOKUP(HUAWEI製ＰＣＳ接続枚数計算ツール!$C$9, HUAWEI製ＰＣＳ接続枚数計算ツール!$B$119:$P$149,12,FALSE),0,1)</f>
        <v>0</v>
      </c>
      <c r="F32" s="85">
        <f>ROUNDDOWN((高温電圧!F32*高温電圧!F$2-VLOOKUP(HUAWEI製ＰＣＳ接続枚数計算ツール!$C$9,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HUAWEI製ＰＣＳ接続枚数計算ツール!$B$119:$P$149,14,FALSE),0)/100*IF(高温電圧!F32*高温電圧!F$2&lt;VLOOKUP(HUAWEI製ＰＣＳ接続枚数計算ツール!$C$9, HUAWEI製ＰＣＳ接続枚数計算ツール!$B$119:$P$149,12,FALSE),0,1)</f>
        <v>0</v>
      </c>
      <c r="G32" s="85">
        <f>ROUNDDOWN((高温電圧!G32*高温電圧!G$2-VLOOKUP(HUAWEI製ＰＣＳ接続枚数計算ツール!$C$9,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HUAWEI製ＰＣＳ接続枚数計算ツール!$B$119:$P$149,14,FALSE),0)/100*IF(高温電圧!G32*高温電圧!G$2&lt;VLOOKUP(HUAWEI製ＰＣＳ接続枚数計算ツール!$C$9, HUAWEI製ＰＣＳ接続枚数計算ツール!$B$119:$P$149,12,FALSE),0,1)</f>
        <v>0</v>
      </c>
      <c r="H32" s="85">
        <f>ROUNDDOWN((高温電圧!H32*高温電圧!H$2-VLOOKUP(HUAWEI製ＰＣＳ接続枚数計算ツール!$C$9,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HUAWEI製ＰＣＳ接続枚数計算ツール!$B$119:$P$149,14,FALSE),0)/100*IF(高温電圧!H32*高温電圧!H$2&lt;VLOOKUP(HUAWEI製ＰＣＳ接続枚数計算ツール!$C$9, HUAWEI製ＰＣＳ接続枚数計算ツール!$B$119:$P$149,12,FALSE),0,1)</f>
        <v>0</v>
      </c>
      <c r="I32" s="85">
        <f>ROUNDDOWN((高温電圧!I32*高温電圧!I$2-VLOOKUP(HUAWEI製ＰＣＳ接続枚数計算ツール!$C$9,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HUAWEI製ＰＣＳ接続枚数計算ツール!$B$119:$P$149,14,FALSE),0)/100*IF(高温電圧!I32*高温電圧!I$2&lt;VLOOKUP(HUAWEI製ＰＣＳ接続枚数計算ツール!$C$9, HUAWEI製ＰＣＳ接続枚数計算ツール!$B$119:$P$149,12,FALSE),0,1)</f>
        <v>0</v>
      </c>
      <c r="J32" s="85">
        <f>ROUNDDOWN((高温電圧!J32*高温電圧!J$2-VLOOKUP(HUAWEI製ＰＣＳ接続枚数計算ツール!$C$9,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HUAWEI製ＰＣＳ接続枚数計算ツール!$B$119:$P$149,14,FALSE),0)/100*IF(高温電圧!J32*高温電圧!J$2&lt;VLOOKUP(HUAWEI製ＰＣＳ接続枚数計算ツール!$C$9, HUAWEI製ＰＣＳ接続枚数計算ツール!$B$119:$P$149,12,FALSE),0,1)</f>
        <v>0</v>
      </c>
      <c r="K32" s="85">
        <f>ROUNDDOWN((高温電圧!K32*高温電圧!K$2-VLOOKUP(HUAWEI製ＰＣＳ接続枚数計算ツール!$C$9,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HUAWEI製ＰＣＳ接続枚数計算ツール!$B$119:$P$149,14,FALSE),0)/100*IF(高温電圧!K32*高温電圧!K$2&lt;VLOOKUP(HUAWEI製ＰＣＳ接続枚数計算ツール!$C$9, HUAWEI製ＰＣＳ接続枚数計算ツール!$B$119:$P$149,12,FALSE),0,1)</f>
        <v>0</v>
      </c>
      <c r="L32" s="85">
        <f>ROUNDDOWN((高温電圧!L32*高温電圧!L$2-VLOOKUP(HUAWEI製ＰＣＳ接続枚数計算ツール!$C$9,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HUAWEI製ＰＣＳ接続枚数計算ツール!$B$119:$P$149,14,FALSE),0)/100*IF(高温電圧!L32*高温電圧!L$2&lt;VLOOKUP(HUAWEI製ＰＣＳ接続枚数計算ツール!$C$9, HUAWEI製ＰＣＳ接続枚数計算ツール!$B$119:$P$149,12,FALSE),0,1)</f>
        <v>0</v>
      </c>
      <c r="M32" s="85">
        <f>ROUNDDOWN((高温電圧!M32*高温電圧!M$2-VLOOKUP(HUAWEI製ＰＣＳ接続枚数計算ツール!$C$9,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HUAWEI製ＰＣＳ接続枚数計算ツール!$B$119:$P$149,14,FALSE),0)/100*IF(高温電圧!M32*高温電圧!M$2&lt;VLOOKUP(HUAWEI製ＰＣＳ接続枚数計算ツール!$C$9, HUAWEI製ＰＣＳ接続枚数計算ツール!$B$119:$P$149,12,FALSE),0,1)</f>
        <v>0</v>
      </c>
      <c r="N32" s="85">
        <f>ROUNDDOWN((高温電圧!N32*高温電圧!N$2-VLOOKUP(HUAWEI製ＰＣＳ接続枚数計算ツール!$C$9,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HUAWEI製ＰＣＳ接続枚数計算ツール!$B$119:$P$149,14,FALSE),0)/100*IF(高温電圧!N32*高温電圧!N$2&lt;VLOOKUP(HUAWEI製ＰＣＳ接続枚数計算ツール!$C$9, HUAWEI製ＰＣＳ接続枚数計算ツール!$B$119:$P$149,12,FALSE),0,1)</f>
        <v>0</v>
      </c>
      <c r="O32" s="85">
        <f>ROUNDDOWN((高温電圧!O32*高温電圧!O$2-VLOOKUP(HUAWEI製ＰＣＳ接続枚数計算ツール!$C$9,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HUAWEI製ＰＣＳ接続枚数計算ツール!$B$119:$P$149,14,FALSE),0)/100*IF(高温電圧!O32*高温電圧!O$2&lt;VLOOKUP(HUAWEI製ＰＣＳ接続枚数計算ツール!$C$9, HUAWEI製ＰＣＳ接続枚数計算ツール!$B$119:$P$149,12,FALSE),0,1)</f>
        <v>0.64</v>
      </c>
      <c r="P32" s="85">
        <f>ROUNDDOWN((高温電圧!P32*高温電圧!P$2-VLOOKUP(HUAWEI製ＰＣＳ接続枚数計算ツール!$C$9,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HUAWEI製ＰＣＳ接続枚数計算ツール!$B$119:$P$149,14,FALSE),0)/100*IF(高温電圧!P32*高温電圧!P$2&lt;VLOOKUP(HUAWEI製ＰＣＳ接続枚数計算ツール!$C$9, HUAWEI製ＰＣＳ接続枚数計算ツール!$B$119:$P$149,12,FALSE),0,1)</f>
        <v>0.7</v>
      </c>
      <c r="Q32" s="85">
        <f>ROUNDDOWN((高温電圧!Q32*高温電圧!Q$2-VLOOKUP(HUAWEI製ＰＣＳ接続枚数計算ツール!$C$9,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HUAWEI製ＰＣＳ接続枚数計算ツール!$B$119:$P$149,14,FALSE),0)/100*IF(高温電圧!Q32*高温電圧!Q$2&lt;VLOOKUP(HUAWEI製ＰＣＳ接続枚数計算ツール!$C$9, HUAWEI製ＰＣＳ接続枚数計算ツール!$B$119:$P$149,12,FALSE),0,1)</f>
        <v>0.75</v>
      </c>
      <c r="R32" s="85">
        <f>ROUNDDOWN((高温電圧!R32*高温電圧!R$2-VLOOKUP(HUAWEI製ＰＣＳ接続枚数計算ツール!$C$9,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HUAWEI製ＰＣＳ接続枚数計算ツール!$B$119:$P$149,14,FALSE),0)/100*IF(高温電圧!R32*高温電圧!R$2&lt;VLOOKUP(HUAWEI製ＰＣＳ接続枚数計算ツール!$C$9, HUAWEI製ＰＣＳ接続枚数計算ツール!$B$119:$P$149,12,FALSE),0,1)</f>
        <v>0.81</v>
      </c>
      <c r="S32" s="85">
        <f>ROUNDDOWN((高温電圧!S32*高温電圧!S$2-VLOOKUP(HUAWEI製ＰＣＳ接続枚数計算ツール!$C$9,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HUAWEI製ＰＣＳ接続枚数計算ツール!$B$119:$P$149,14,FALSE),0)/100*IF(高温電圧!S32*高温電圧!S$2&lt;VLOOKUP(HUAWEI製ＰＣＳ接続枚数計算ツール!$C$9, HUAWEI製ＰＣＳ接続枚数計算ツール!$B$119:$P$149,12,FALSE),0,1)</f>
        <v>0.87</v>
      </c>
      <c r="T32" s="85">
        <f>ROUNDDOWN((高温電圧!T32*高温電圧!T$2-VLOOKUP(HUAWEI製ＰＣＳ接続枚数計算ツール!$C$9,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HUAWEI製ＰＣＳ接続枚数計算ツール!$B$119:$P$149,14,FALSE),0)/100*IF(高温電圧!T32*高温電圧!T$2&lt;VLOOKUP(HUAWEI製ＰＣＳ接続枚数計算ツール!$C$9, HUAWEI製ＰＣＳ接続枚数計算ツール!$B$119:$P$149,12,FALSE),0,1)</f>
        <v>0.92</v>
      </c>
      <c r="U32" s="85">
        <f>ROUNDDOWN((高温電圧!U32*高温電圧!U$2-VLOOKUP(HUAWEI製ＰＣＳ接続枚数計算ツール!$C$9,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HUAWEI製ＰＣＳ接続枚数計算ツール!$B$119:$P$149,14,FALSE),0)/100*IF(高温電圧!U32*高温電圧!U$2&lt;VLOOKUP(HUAWEI製ＰＣＳ接続枚数計算ツール!$C$9, HUAWEI製ＰＣＳ接続枚数計算ツール!$B$119:$P$149,12,FALSE),0,1)</f>
        <v>0.98</v>
      </c>
      <c r="V32" s="85">
        <f>ROUNDDOWN((高温電圧!V32*高温電圧!V$2-VLOOKUP(HUAWEI製ＰＣＳ接続枚数計算ツール!$C$9,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HUAWEI製ＰＣＳ接続枚数計算ツール!$B$119:$P$149,14,FALSE),0)/100*IF(高温電圧!V32*高温電圧!V$2&lt;VLOOKUP(HUAWEI製ＰＣＳ接続枚数計算ツール!$C$9, HUAWEI製ＰＣＳ接続枚数計算ツール!$B$119:$P$149,12,FALSE),0,1)</f>
        <v>1.04</v>
      </c>
      <c r="W32" s="85">
        <f>ROUNDDOWN((高温電圧!W32*高温電圧!W$2-VLOOKUP(HUAWEI製ＰＣＳ接続枚数計算ツール!$C$9,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HUAWEI製ＰＣＳ接続枚数計算ツール!$B$119:$P$149,14,FALSE),0)/100*IF(高温電圧!W32*高温電圧!W$2&lt;VLOOKUP(HUAWEI製ＰＣＳ接続枚数計算ツール!$C$9, HUAWEI製ＰＣＳ接続枚数計算ツール!$B$119:$P$149,12,FALSE),0,1)</f>
        <v>1.0900000000000001</v>
      </c>
      <c r="X32" s="85">
        <f>ROUNDDOWN((高温電圧!X32*高温電圧!X$2-VLOOKUP(HUAWEI製ＰＣＳ接続枚数計算ツール!$C$9,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HUAWEI製ＰＣＳ接続枚数計算ツール!$B$119:$P$149,14,FALSE),0)/100*IF(高温電圧!X32*高温電圧!X$2&lt;VLOOKUP(HUAWEI製ＰＣＳ接続枚数計算ツール!$C$9, HUAWEI製ＰＣＳ接続枚数計算ツール!$B$119:$P$149,12,FALSE),0,1)</f>
        <v>1.1499999999999999</v>
      </c>
      <c r="Y32" s="85">
        <f>ROUNDDOWN((高温電圧!Y32*高温電圧!Y$2-VLOOKUP(HUAWEI製ＰＣＳ接続枚数計算ツール!$C$9,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HUAWEI製ＰＣＳ接続枚数計算ツール!$B$119:$P$149,14,FALSE),0)/100*IF(高温電圧!Y32*高温電圧!Y$2&lt;VLOOKUP(HUAWEI製ＰＣＳ接続枚数計算ツール!$C$9, HUAWEI製ＰＣＳ接続枚数計算ツール!$B$119:$P$149,12,FALSE),0,1)</f>
        <v>1.2</v>
      </c>
      <c r="Z32" s="85">
        <f>ROUNDDOWN((高温電圧!Z32*高温電圧!Z$2-VLOOKUP(HUAWEI製ＰＣＳ接続枚数計算ツール!$C$9,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HUAWEI製ＰＣＳ接続枚数計算ツール!$B$119:$P$149,14,FALSE),0)/100*IF(高温電圧!Z32*高温電圧!Z$2&lt;VLOOKUP(HUAWEI製ＰＣＳ接続枚数計算ツール!$C$9, HUAWEI製ＰＣＳ接続枚数計算ツール!$B$119:$P$149,12,FALSE),0,1)</f>
        <v>1.26</v>
      </c>
      <c r="AA32" s="85">
        <f>ROUNDDOWN((高温電圧!AA32*高温電圧!AA$2-VLOOKUP(HUAWEI製ＰＣＳ接続枚数計算ツール!$C$9,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HUAWEI製ＰＣＳ接続枚数計算ツール!$B$119:$P$149,14,FALSE),0)/100*IF(高温電圧!AA32*高温電圧!AA$2&lt;VLOOKUP(HUAWEI製ＰＣＳ接続枚数計算ツール!$C$9, HUAWEI製ＰＣＳ接続枚数計算ツール!$B$119:$P$149,12,FALSE),0,1)</f>
        <v>1.32</v>
      </c>
      <c r="AB32" s="85">
        <f>ROUNDDOWN((高温電圧!AB32*高温電圧!AB$2-VLOOKUP(HUAWEI製ＰＣＳ接続枚数計算ツール!$C$9,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HUAWEI製ＰＣＳ接続枚数計算ツール!$B$119:$P$149,14,FALSE),0)/100*IF(高温電圧!AB32*高温電圧!AB$2&lt;VLOOKUP(HUAWEI製ＰＣＳ接続枚数計算ツール!$C$9, HUAWEI製ＰＣＳ接続枚数計算ツール!$B$119:$P$149,12,FALSE),0,1)</f>
        <v>1.37</v>
      </c>
      <c r="AC32" s="85">
        <f>ROUNDDOWN((高温電圧!AC32*高温電圧!AC$2-VLOOKUP(HUAWEI製ＰＣＳ接続枚数計算ツール!$C$9,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HUAWEI製ＰＣＳ接続枚数計算ツール!$B$119:$P$149,14,FALSE),0)/100*IF(高温電圧!AC32*高温電圧!AC$2&lt;VLOOKUP(HUAWEI製ＰＣＳ接続枚数計算ツール!$C$9, HUAWEI製ＰＣＳ接続枚数計算ツール!$B$119:$P$149,12,FALSE),0,1)</f>
        <v>1.43</v>
      </c>
      <c r="AD32" s="85">
        <f>ROUNDDOWN((高温電圧!AD32*高温電圧!AD$2-VLOOKUP(HUAWEI製ＰＣＳ接続枚数計算ツール!$C$9,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HUAWEI製ＰＣＳ接続枚数計算ツール!$B$119:$P$149,14,FALSE),0)/100*IF(高温電圧!AD32*高温電圧!AD$2&lt;VLOOKUP(HUAWEI製ＰＣＳ接続枚数計算ツール!$C$9, HUAWEI製ＰＣＳ接続枚数計算ツール!$B$119:$P$149,12,FALSE),0,1)</f>
        <v>1.49</v>
      </c>
      <c r="AE32" s="85">
        <f>ROUNDDOWN((高温電圧!AE32*高温電圧!AE$2-VLOOKUP(HUAWEI製ＰＣＳ接続枚数計算ツール!$C$9,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HUAWEI製ＰＣＳ接続枚数計算ツール!$B$119:$P$149,14,FALSE),0)/100*IF(高温電圧!AE32*高温電圧!AE$2&lt;VLOOKUP(HUAWEI製ＰＣＳ接続枚数計算ツール!$C$9, HUAWEI製ＰＣＳ接続枚数計算ツール!$B$119:$P$149,12,FALSE),0,1)</f>
        <v>1.54</v>
      </c>
      <c r="AF32" s="85">
        <f>ROUNDDOWN((高温電圧!AF32*高温電圧!AF$2-VLOOKUP(HUAWEI製ＰＣＳ接続枚数計算ツール!$C$9,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HUAWEI製ＰＣＳ接続枚数計算ツール!$B$119:$P$149,14,FALSE),0)/100*IF(高温電圧!AF32*高温電圧!AF$2&lt;VLOOKUP(HUAWEI製ＰＣＳ接続枚数計算ツール!$C$9, HUAWEI製ＰＣＳ接続枚数計算ツール!$B$119:$P$149,12,FALSE),0,1)</f>
        <v>1.6</v>
      </c>
      <c r="AG32" s="85">
        <f>ROUNDDOWN((高温電圧!AG32*高温電圧!AG$2-VLOOKUP(HUAWEI製ＰＣＳ接続枚数計算ツール!$C$9,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HUAWEI製ＰＣＳ接続枚数計算ツール!$B$119:$P$149,14,FALSE),0)/100*IF(高温電圧!AG32*高温電圧!AG$2&lt;VLOOKUP(HUAWEI製ＰＣＳ接続枚数計算ツール!$C$9, HUAWEI製ＰＣＳ接続枚数計算ツール!$B$119:$P$149,12,FALSE),0,1)</f>
        <v>1.65</v>
      </c>
      <c r="AH32" s="85">
        <f>ROUNDDOWN((高温電圧!AH32*高温電圧!AH$2-VLOOKUP(HUAWEI製ＰＣＳ接続枚数計算ツール!$C$9,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HUAWEI製ＰＣＳ接続枚数計算ツール!$B$119:$P$149,14,FALSE),0)/100*IF(高温電圧!AH32*高温電圧!AH$2&lt;VLOOKUP(HUAWEI製ＰＣＳ接続枚数計算ツール!$C$9, HUAWEI製ＰＣＳ接続枚数計算ツール!$B$119:$P$149,12,FALSE),0,1)</f>
        <v>1.71</v>
      </c>
      <c r="AI32" s="85">
        <f>ROUNDDOWN((高温電圧!AI32*高温電圧!AI$2-VLOOKUP(HUAWEI製ＰＣＳ接続枚数計算ツール!$C$9,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HUAWEI製ＰＣＳ接続枚数計算ツール!$B$119:$P$149,14,FALSE),0)/100*IF(高温電圧!AI32*高温電圧!AI$2&lt;VLOOKUP(HUAWEI製ＰＣＳ接続枚数計算ツール!$C$9, HUAWEI製ＰＣＳ接続枚数計算ツール!$B$119:$P$149,12,FALSE),0,1)</f>
        <v>1.77</v>
      </c>
      <c r="AJ32" s="85">
        <f>ROUNDDOWN((高温電圧!AJ32*高温電圧!AJ$2-VLOOKUP(HUAWEI製ＰＣＳ接続枚数計算ツール!$C$9,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HUAWEI製ＰＣＳ接続枚数計算ツール!$B$119:$P$149,14,FALSE),0)/100*IF(高温電圧!AJ32*高温電圧!AJ$2&lt;VLOOKUP(HUAWEI製ＰＣＳ接続枚数計算ツール!$C$9, HUAWEI製ＰＣＳ接続枚数計算ツール!$B$119:$P$149,12,FALSE),0,1)</f>
        <v>1.82</v>
      </c>
      <c r="AK32" s="85">
        <f>ROUNDDOWN((高温電圧!AK32*高温電圧!AK$2-VLOOKUP(HUAWEI製ＰＣＳ接続枚数計算ツール!$C$9,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HUAWEI製ＰＣＳ接続枚数計算ツール!$B$119:$P$149,14,FALSE),0)/100*IF(高温電圧!AK32*高温電圧!AK$2&lt;VLOOKUP(HUAWEI製ＰＣＳ接続枚数計算ツール!$C$9, HUAWEI製ＰＣＳ接続枚数計算ツール!$B$119:$P$149,12,FALSE),0,1)</f>
        <v>1.88</v>
      </c>
      <c r="AL32" s="85">
        <f>ROUNDDOWN((高温電圧!AL32*高温電圧!AL$2-VLOOKUP(HUAWEI製ＰＣＳ接続枚数計算ツール!$C$9,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HUAWEI製ＰＣＳ接続枚数計算ツール!$B$119:$P$149,14,FALSE),0)/100*IF(高温電圧!AL32*高温電圧!AL$2&lt;VLOOKUP(HUAWEI製ＰＣＳ接続枚数計算ツール!$C$9, HUAWEI製ＰＣＳ接続枚数計算ツール!$B$119:$P$149,12,FALSE),0,1)</f>
        <v>1.94</v>
      </c>
      <c r="AM32" s="85">
        <f>ROUNDDOWN((高温電圧!AM32*高温電圧!AM$2-VLOOKUP(HUAWEI製ＰＣＳ接続枚数計算ツール!$C$9,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HUAWEI製ＰＣＳ接続枚数計算ツール!$B$119:$P$149,14,FALSE),0)/100*IF(高温電圧!AM32*高温電圧!AM$2&lt;VLOOKUP(HUAWEI製ＰＣＳ接続枚数計算ツール!$C$9, HUAWEI製ＰＣＳ接続枚数計算ツール!$B$119:$P$149,12,FALSE),0,1)</f>
        <v>1.99</v>
      </c>
      <c r="AN32" s="85">
        <f>ROUNDDOWN((高温電圧!AN32*高温電圧!AN$2-VLOOKUP(HUAWEI製ＰＣＳ接続枚数計算ツール!$C$9,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HUAWEI製ＰＣＳ接続枚数計算ツール!$B$119:$P$149,14,FALSE),0)/100*IF(高温電圧!AN32*高温電圧!AN$2&lt;VLOOKUP(HUAWEI製ＰＣＳ接続枚数計算ツール!$C$9, HUAWEI製ＰＣＳ接続枚数計算ツール!$B$119:$P$149,12,FALSE),0,1)</f>
        <v>2.0499999999999998</v>
      </c>
      <c r="AO32" s="85">
        <f>ROUNDDOWN((高温電圧!AO32*高温電圧!AO$2-VLOOKUP(HUAWEI製ＰＣＳ接続枚数計算ツール!$C$9,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HUAWEI製ＰＣＳ接続枚数計算ツール!$B$119:$P$149,14,FALSE),0)/100*IF(高温電圧!AO32*高温電圧!AO$2&lt;VLOOKUP(HUAWEI製ＰＣＳ接続枚数計算ツール!$C$9, HUAWEI製ＰＣＳ接続枚数計算ツール!$B$119:$P$149,12,FALSE),0,1)</f>
        <v>2.1</v>
      </c>
    </row>
  </sheetData>
  <phoneticPr fontId="2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AO29"/>
  <sheetViews>
    <sheetView zoomScale="70" zoomScaleNormal="70" workbookViewId="0">
      <selection activeCell="M11" sqref="M11"/>
    </sheetView>
  </sheetViews>
  <sheetFormatPr defaultRowHeight="14.1"/>
  <sheetData>
    <row r="1" spans="1:41">
      <c r="A1" t="s">
        <v>2035</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s="85">
        <f>IF(AND(高電圧出力!B3&gt;高温過積載率!B3,高電圧出力!B3&lt;100%,過積載率!B3&lt;100%),高温過積載率!B3,0)</f>
        <v>0</v>
      </c>
      <c r="C3" s="85">
        <f>IF(AND(高電圧出力!C3&gt;高温過積載率!C3,高電圧出力!C3&lt;100%,過積載率!C3&lt;100%),高温過積載率!C3,0)</f>
        <v>0</v>
      </c>
      <c r="D3" s="85">
        <f>IF(AND(高電圧出力!D3&gt;高温過積載率!D3,高電圧出力!D3&lt;100%,過積載率!D3&lt;100%),高温過積載率!D3,0)</f>
        <v>0</v>
      </c>
      <c r="E3" s="85">
        <f>IF(AND(高電圧出力!E3&gt;高温過積載率!E3,高電圧出力!E3&lt;100%,過積載率!E3&lt;100%),高温過積載率!E3,0)</f>
        <v>0</v>
      </c>
      <c r="F3" s="85">
        <f>IF(AND(高電圧出力!F3&gt;高温過積載率!F3,高電圧出力!F3&lt;100%,過積載率!F3&lt;100%),高温過積載率!F3,0)</f>
        <v>0</v>
      </c>
      <c r="G3" s="85">
        <f>IF(AND(高電圧出力!G3&gt;高温過積載率!G3,高電圧出力!G3&lt;100%,過積載率!G3&lt;100%),高温過積載率!G3,0)</f>
        <v>0</v>
      </c>
      <c r="H3" s="85">
        <f>IF(AND(高電圧出力!H3&gt;高温過積載率!H3,高電圧出力!H3&lt;100%,過積載率!H3&lt;100%),高温過積載率!H3,0)</f>
        <v>0</v>
      </c>
      <c r="I3" s="85">
        <f>IF(AND(高電圧出力!I3&gt;高温過積載率!I3,高電圧出力!I3&lt;100%,過積載率!I3&lt;100%),高温過積載率!I3,0)</f>
        <v>0</v>
      </c>
      <c r="J3" s="85">
        <f>IF(AND(高電圧出力!J3&gt;高温過積載率!J3,高電圧出力!J3&lt;100%,過積載率!J3&lt;100%),高温過積載率!J3,0)</f>
        <v>0</v>
      </c>
      <c r="K3" s="85">
        <f>IF(AND(高電圧出力!K3&gt;高温過積載率!K3,高電圧出力!K3&lt;100%,過積載率!K3&lt;100%),高温過積載率!K3,0)</f>
        <v>0</v>
      </c>
      <c r="L3" s="85">
        <f>IF(AND(高電圧出力!L3&gt;高温過積載率!L3,高電圧出力!L3&lt;100%,過積載率!L3&lt;100%),高温過積載率!L3,0)</f>
        <v>0</v>
      </c>
      <c r="M3" s="85">
        <f>IF(AND(高電圧出力!M3&gt;高温過積載率!M3,高電圧出力!M3&lt;100%,過積載率!M3&lt;100%),高温過積載率!M3,0)</f>
        <v>0</v>
      </c>
      <c r="N3" s="85">
        <f>IF(AND(高電圧出力!N3&gt;高温過積載率!N3,高電圧出力!N3&lt;100%,過積載率!N3&lt;100%),高温過積載率!N3,0)</f>
        <v>0</v>
      </c>
      <c r="O3" s="85">
        <f>IF(AND(高電圧出力!O3&gt;高温過積載率!O3,高電圧出力!O3&lt;100%,過積載率!O3&lt;100%),高温過積載率!O3,0)</f>
        <v>5.8430400000000007E-2</v>
      </c>
      <c r="P3" s="85">
        <f>IF(AND(高電圧出力!P3&gt;高温過積載率!P3,高電圧出力!P3&lt;100%,過積載率!P3&lt;100%),高温過積載率!P3,0)</f>
        <v>6.2604000000000007E-2</v>
      </c>
      <c r="Q3" s="85">
        <f>IF(AND(高電圧出力!Q3&gt;高温過積載率!Q3,高電圧出力!Q3&lt;100%,過積載率!Q3&lt;100%),高温過積載率!Q3,0)</f>
        <v>6.6777600000000006E-2</v>
      </c>
      <c r="R3" s="85">
        <f>IF(AND(高電圧出力!R3&gt;高温過積載率!R3,高電圧出力!R3&lt;100%,過積載率!R3&lt;100%),高温過積載率!R3,0)</f>
        <v>7.0951200000000006E-2</v>
      </c>
      <c r="S3" s="85">
        <f>IF(AND(高電圧出力!S3&gt;高温過積載率!S3,高電圧出力!S3&lt;100%,過積載率!S3&lt;100%),高温過積載率!S3,0)</f>
        <v>7.5124800000000005E-2</v>
      </c>
      <c r="T3" s="85">
        <f>IF(AND(高電圧出力!T3&gt;高温過積載率!T3,高電圧出力!T3&lt;100%,過積載率!T3&lt;100%),高温過積載率!T3,0)</f>
        <v>7.9298400000000005E-2</v>
      </c>
      <c r="U3" s="85">
        <f>IF(AND(高電圧出力!U3&gt;高温過積載率!U3,高電圧出力!U3&lt;100%,過積載率!U3&lt;100%),高温過積載率!U3,0)</f>
        <v>8.3472000000000005E-2</v>
      </c>
      <c r="V3" s="85">
        <f>IF(AND(高電圧出力!V3&gt;高温過積載率!V3,高電圧出力!V3&lt;100%,過積載率!V3&lt;100%),高温過積載率!V3,0)</f>
        <v>0</v>
      </c>
      <c r="W3" s="85">
        <f>IF(AND(高電圧出力!W3&gt;高温過積載率!W3,高電圧出力!W3&lt;100%,過積載率!W3&lt;100%),高温過積載率!W3,0)</f>
        <v>0</v>
      </c>
      <c r="X3" s="85">
        <f>IF(AND(高電圧出力!X3&gt;高温過積載率!X3,高電圧出力!X3&lt;100%,過積載率!X3&lt;100%),高温過積載率!X3,0)</f>
        <v>0</v>
      </c>
      <c r="Y3" s="85">
        <f>IF(AND(高電圧出力!Y3&gt;高温過積載率!Y3,高電圧出力!Y3&lt;100%,過積載率!Y3&lt;100%),高温過積載率!Y3,0)</f>
        <v>0</v>
      </c>
      <c r="Z3" s="85">
        <f>IF(AND(高電圧出力!Z3&gt;高温過積載率!Z3,高電圧出力!Z3&lt;100%,過積載率!Z3&lt;100%),高温過積載率!Z3,0)</f>
        <v>0</v>
      </c>
      <c r="AA3" s="85">
        <f>IF(AND(高電圧出力!AA3&gt;高温過積載率!AA3,高電圧出力!AA3&lt;100%,過積載率!AA3&lt;100%),高温過積載率!AA3,0)</f>
        <v>0</v>
      </c>
      <c r="AB3" s="85">
        <f>IF(AND(高電圧出力!AB3&gt;高温過積載率!AB3,高電圧出力!AB3&lt;100%,過積載率!AB3&lt;100%),高温過積載率!AB3,0)</f>
        <v>0</v>
      </c>
      <c r="AC3" s="85">
        <f>IF(AND(高電圧出力!AC3&gt;高温過積載率!AC3,高電圧出力!AC3&lt;100%,過積載率!AC3&lt;100%),高温過積載率!AC3,0)</f>
        <v>0</v>
      </c>
      <c r="AD3" s="85">
        <f>IF(AND(高電圧出力!AD3&gt;高温過積載率!AD3,高電圧出力!AD3&lt;100%,過積載率!AD3&lt;100%),高温過積載率!AD3,0)</f>
        <v>0</v>
      </c>
      <c r="AE3" s="85">
        <f>IF(AND(高電圧出力!AE3&gt;高温過積載率!AE3,高電圧出力!AE3&lt;100%,過積載率!AE3&lt;100%),高温過積載率!AE3,0)</f>
        <v>0</v>
      </c>
      <c r="AF3" s="85">
        <f>IF(AND(高電圧出力!AF3&gt;高温過積載率!AF3,高電圧出力!AF3&lt;100%,過積載率!AF3&lt;100%),高温過積載率!AF3,0)</f>
        <v>0</v>
      </c>
      <c r="AG3" s="85">
        <f>IF(AND(高電圧出力!AG3&gt;高温過積載率!AG3,高電圧出力!AG3&lt;100%,過積載率!AG3&lt;100%),高温過積載率!AG3,0)</f>
        <v>0</v>
      </c>
      <c r="AH3" s="85">
        <f>IF(AND(高電圧出力!AH3&gt;高温過積載率!AH3,高電圧出力!AH3&lt;100%,過積載率!AH3&lt;100%),高温過積載率!AH3,0)</f>
        <v>0</v>
      </c>
      <c r="AI3" s="85">
        <f>IF(AND(高電圧出力!AI3&gt;高温過積載率!AI3,高電圧出力!AI3&lt;100%,過積載率!AI3&lt;100%),高温過積載率!AI3,0)</f>
        <v>0</v>
      </c>
      <c r="AJ3" s="85">
        <f>IF(AND(高電圧出力!AJ3&gt;高温過積載率!AJ3,高電圧出力!AJ3&lt;100%,過積載率!AJ3&lt;100%),高温過積載率!AJ3,0)</f>
        <v>0</v>
      </c>
      <c r="AK3" s="85">
        <f>IF(AND(高電圧出力!AK3&gt;高温過積載率!AK3,高電圧出力!AK3&lt;100%,過積載率!AK3&lt;100%),高温過積載率!AK3,0)</f>
        <v>0</v>
      </c>
      <c r="AL3" s="85">
        <f>IF(AND(高電圧出力!AL3&gt;高温過積載率!AL3,高電圧出力!AL3&lt;100%,過積載率!AL3&lt;100%),高温過積載率!AL3,0)</f>
        <v>0</v>
      </c>
      <c r="AM3" s="85">
        <f>IF(AND(高電圧出力!AM3&gt;高温過積載率!AM3,高電圧出力!AM3&lt;100%,過積載率!AM3&lt;100%),高温過積載率!AM3,0)</f>
        <v>0</v>
      </c>
      <c r="AN3" s="85">
        <f>IF(AND(高電圧出力!AN3&gt;高温過積載率!AN3,高電圧出力!AN3&lt;100%,過積載率!AN3&lt;100%),高温過積載率!AN3,0)</f>
        <v>0</v>
      </c>
      <c r="AO3" s="85">
        <f>IF(AND(高電圧出力!AO3&gt;高温過積載率!AO3,高電圧出力!AO3&lt;100%,過積載率!AO3&lt;100%),高温過積載率!AO3,0)</f>
        <v>0</v>
      </c>
    </row>
    <row r="4" spans="1:41">
      <c r="A4">
        <v>2</v>
      </c>
      <c r="B4" s="85">
        <f>IF(AND(高電圧出力!B4&gt;高温過積載率!B4,高電圧出力!B4&lt;100%,過積載率!B4&lt;100%),高温過積載率!B4,0)</f>
        <v>0</v>
      </c>
      <c r="C4" s="85">
        <f>IF(AND(高電圧出力!C4&gt;高温過積載率!C4,高電圧出力!C4&lt;100%,過積載率!C4&lt;100%),高温過積載率!C4,0)</f>
        <v>0</v>
      </c>
      <c r="D4" s="85">
        <f>IF(AND(高電圧出力!D4&gt;高温過積載率!D4,高電圧出力!D4&lt;100%,過積載率!D4&lt;100%),高温過積載率!D4,0)</f>
        <v>0</v>
      </c>
      <c r="E4" s="85">
        <f>IF(AND(高電圧出力!E4&gt;高温過積載率!E4,高電圧出力!E4&lt;100%,過積載率!E4&lt;100%),高温過積載率!E4,0)</f>
        <v>0</v>
      </c>
      <c r="F4" s="85">
        <f>IF(AND(高電圧出力!F4&gt;高温過積載率!F4,高電圧出力!F4&lt;100%,過積載率!F4&lt;100%),高温過積載率!F4,0)</f>
        <v>0</v>
      </c>
      <c r="G4" s="85">
        <f>IF(AND(高電圧出力!G4&gt;高温過積載率!G4,高電圧出力!G4&lt;100%,過積載率!G4&lt;100%),高温過積載率!G4,0)</f>
        <v>0</v>
      </c>
      <c r="H4" s="85">
        <f>IF(AND(高電圧出力!H4&gt;高温過積載率!H4,高電圧出力!H4&lt;100%,過積載率!H4&lt;100%),高温過積載率!H4,0)</f>
        <v>0</v>
      </c>
      <c r="I4" s="85">
        <f>IF(AND(高電圧出力!I4&gt;高温過積載率!I4,高電圧出力!I4&lt;100%,過積載率!I4&lt;100%),高温過積載率!I4,0)</f>
        <v>0</v>
      </c>
      <c r="J4" s="85">
        <f>IF(AND(高電圧出力!J4&gt;高温過積載率!J4,高電圧出力!J4&lt;100%,過積載率!J4&lt;100%),高温過積載率!J4,0)</f>
        <v>0</v>
      </c>
      <c r="K4" s="85">
        <f>IF(AND(高電圧出力!K4&gt;高温過積載率!K4,高電圧出力!K4&lt;100%,過積載率!K4&lt;100%),高温過積載率!K4,0)</f>
        <v>0</v>
      </c>
      <c r="L4" s="85">
        <f>IF(AND(高電圧出力!L4&gt;高温過積載率!L4,高電圧出力!L4&lt;100%,過積載率!L4&lt;100%),高温過積載率!L4,0)</f>
        <v>0</v>
      </c>
      <c r="M4" s="85">
        <f>IF(AND(高電圧出力!M4&gt;高温過積載率!M4,高電圧出力!M4&lt;100%,過積載率!M4&lt;100%),高温過積載率!M4,0)</f>
        <v>0</v>
      </c>
      <c r="N4" s="85">
        <f>IF(AND(高電圧出力!N4&gt;高温過積載率!N4,高電圧出力!N4&lt;100%,過積載率!N4&lt;100%),高温過積載率!N4,0)</f>
        <v>0</v>
      </c>
      <c r="O4" s="85">
        <f>IF(AND(高電圧出力!O4&gt;高温過積載率!O4,高電圧出力!O4&lt;100%,過積載率!O4&lt;100%),高温過積載率!O4,0)</f>
        <v>0.11686080000000001</v>
      </c>
      <c r="P4" s="85">
        <f>IF(AND(高電圧出力!P4&gt;高温過積載率!P4,高電圧出力!P4&lt;100%,過積載率!P4&lt;100%),高温過積載率!P4,0)</f>
        <v>0.12520800000000001</v>
      </c>
      <c r="Q4" s="85">
        <f>IF(AND(高電圧出力!Q4&gt;高温過積載率!Q4,高電圧出力!Q4&lt;100%,過積載率!Q4&lt;100%),高温過積載率!Q4,0)</f>
        <v>0.13355520000000001</v>
      </c>
      <c r="R4" s="85">
        <f>IF(AND(高電圧出力!R4&gt;高温過積載率!R4,高電圧出力!R4&lt;100%,過積載率!R4&lt;100%),高温過積載率!R4,0)</f>
        <v>0.14190240000000001</v>
      </c>
      <c r="S4" s="85">
        <f>IF(AND(高電圧出力!S4&gt;高温過積載率!S4,高電圧出力!S4&lt;100%,過積載率!S4&lt;100%),高温過積載率!S4,0)</f>
        <v>0.15024960000000001</v>
      </c>
      <c r="T4" s="85">
        <f>IF(AND(高電圧出力!T4&gt;高温過積載率!T4,高電圧出力!T4&lt;100%,過積載率!T4&lt;100%),高温過積載率!T4,0)</f>
        <v>0.15859680000000001</v>
      </c>
      <c r="U4" s="85">
        <f>IF(AND(高電圧出力!U4&gt;高温過積載率!U4,高電圧出力!U4&lt;100%,過積載率!U4&lt;100%),高温過積載率!U4,0)</f>
        <v>0.16694400000000001</v>
      </c>
      <c r="V4" s="85">
        <f>IF(AND(高電圧出力!V4&gt;高温過積載率!V4,高電圧出力!V4&lt;100%,過積載率!V4&lt;100%),高温過積載率!V4,0)</f>
        <v>0</v>
      </c>
      <c r="W4" s="85">
        <f>IF(AND(高電圧出力!W4&gt;高温過積載率!W4,高電圧出力!W4&lt;100%,過積載率!W4&lt;100%),高温過積載率!W4,0)</f>
        <v>0</v>
      </c>
      <c r="X4" s="85">
        <f>IF(AND(高電圧出力!X4&gt;高温過積載率!X4,高電圧出力!X4&lt;100%,過積載率!X4&lt;100%),高温過積載率!X4,0)</f>
        <v>0</v>
      </c>
      <c r="Y4" s="85">
        <f>IF(AND(高電圧出力!Y4&gt;高温過積載率!Y4,高電圧出力!Y4&lt;100%,過積載率!Y4&lt;100%),高温過積載率!Y4,0)</f>
        <v>0</v>
      </c>
      <c r="Z4" s="85">
        <f>IF(AND(高電圧出力!Z4&gt;高温過積載率!Z4,高電圧出力!Z4&lt;100%,過積載率!Z4&lt;100%),高温過積載率!Z4,0)</f>
        <v>0</v>
      </c>
      <c r="AA4" s="85">
        <f>IF(AND(高電圧出力!AA4&gt;高温過積載率!AA4,高電圧出力!AA4&lt;100%,過積載率!AA4&lt;100%),高温過積載率!AA4,0)</f>
        <v>0</v>
      </c>
      <c r="AB4" s="85">
        <f>IF(AND(高電圧出力!AB4&gt;高温過積載率!AB4,高電圧出力!AB4&lt;100%,過積載率!AB4&lt;100%),高温過積載率!AB4,0)</f>
        <v>0</v>
      </c>
      <c r="AC4" s="85">
        <f>IF(AND(高電圧出力!AC4&gt;高温過積載率!AC4,高電圧出力!AC4&lt;100%,過積載率!AC4&lt;100%),高温過積載率!AC4,0)</f>
        <v>0</v>
      </c>
      <c r="AD4" s="85">
        <f>IF(AND(高電圧出力!AD4&gt;高温過積載率!AD4,高電圧出力!AD4&lt;100%,過積載率!AD4&lt;100%),高温過積載率!AD4,0)</f>
        <v>0</v>
      </c>
      <c r="AE4" s="85">
        <f>IF(AND(高電圧出力!AE4&gt;高温過積載率!AE4,高電圧出力!AE4&lt;100%,過積載率!AE4&lt;100%),高温過積載率!AE4,0)</f>
        <v>0</v>
      </c>
      <c r="AF4" s="85">
        <f>IF(AND(高電圧出力!AF4&gt;高温過積載率!AF4,高電圧出力!AF4&lt;100%,過積載率!AF4&lt;100%),高温過積載率!AF4,0)</f>
        <v>0</v>
      </c>
      <c r="AG4" s="85">
        <f>IF(AND(高電圧出力!AG4&gt;高温過積載率!AG4,高電圧出力!AG4&lt;100%,過積載率!AG4&lt;100%),高温過積載率!AG4,0)</f>
        <v>0</v>
      </c>
      <c r="AH4" s="85">
        <f>IF(AND(高電圧出力!AH4&gt;高温過積載率!AH4,高電圧出力!AH4&lt;100%,過積載率!AH4&lt;100%),高温過積載率!AH4,0)</f>
        <v>0</v>
      </c>
      <c r="AI4" s="85">
        <f>IF(AND(高電圧出力!AI4&gt;高温過積載率!AI4,高電圧出力!AI4&lt;100%,過積載率!AI4&lt;100%),高温過積載率!AI4,0)</f>
        <v>0</v>
      </c>
      <c r="AJ4" s="85">
        <f>IF(AND(高電圧出力!AJ4&gt;高温過積載率!AJ4,高電圧出力!AJ4&lt;100%,過積載率!AJ4&lt;100%),高温過積載率!AJ4,0)</f>
        <v>0</v>
      </c>
      <c r="AK4" s="85">
        <f>IF(AND(高電圧出力!AK4&gt;高温過積載率!AK4,高電圧出力!AK4&lt;100%,過積載率!AK4&lt;100%),高温過積載率!AK4,0)</f>
        <v>0</v>
      </c>
      <c r="AL4" s="85">
        <f>IF(AND(高電圧出力!AL4&gt;高温過積載率!AL4,高電圧出力!AL4&lt;100%,過積載率!AL4&lt;100%),高温過積載率!AL4,0)</f>
        <v>0</v>
      </c>
      <c r="AM4" s="85">
        <f>IF(AND(高電圧出力!AM4&gt;高温過積載率!AM4,高電圧出力!AM4&lt;100%,過積載率!AM4&lt;100%),高温過積載率!AM4,0)</f>
        <v>0</v>
      </c>
      <c r="AN4" s="85">
        <f>IF(AND(高電圧出力!AN4&gt;高温過積載率!AN4,高電圧出力!AN4&lt;100%,過積載率!AN4&lt;100%),高温過積載率!AN4,0)</f>
        <v>0</v>
      </c>
      <c r="AO4" s="85">
        <f>IF(AND(高電圧出力!AO4&gt;高温過積載率!AO4,高電圧出力!AO4&lt;100%,過積載率!AO4&lt;100%),高温過積載率!AO4,0)</f>
        <v>0</v>
      </c>
    </row>
    <row r="5" spans="1:41">
      <c r="A5">
        <v>3</v>
      </c>
      <c r="B5" s="85">
        <f>IF(AND(高電圧出力!B5&gt;高温過積載率!B5,高電圧出力!B5&lt;100%,過積載率!B5&lt;100%),高温過積載率!B5,0)</f>
        <v>0</v>
      </c>
      <c r="C5" s="85">
        <f>IF(AND(高電圧出力!C5&gt;高温過積載率!C5,高電圧出力!C5&lt;100%,過積載率!C5&lt;100%),高温過積載率!C5,0)</f>
        <v>0</v>
      </c>
      <c r="D5" s="85">
        <f>IF(AND(高電圧出力!D5&gt;高温過積載率!D5,高電圧出力!D5&lt;100%,過積載率!D5&lt;100%),高温過積載率!D5,0)</f>
        <v>0</v>
      </c>
      <c r="E5" s="85">
        <f>IF(AND(高電圧出力!E5&gt;高温過積載率!E5,高電圧出力!E5&lt;100%,過積載率!E5&lt;100%),高温過積載率!E5,0)</f>
        <v>0</v>
      </c>
      <c r="F5" s="85">
        <f>IF(AND(高電圧出力!F5&gt;高温過積載率!F5,高電圧出力!F5&lt;100%,過積載率!F5&lt;100%),高温過積載率!F5,0)</f>
        <v>0</v>
      </c>
      <c r="G5" s="85">
        <f>IF(AND(高電圧出力!G5&gt;高温過積載率!G5,高電圧出力!G5&lt;100%,過積載率!G5&lt;100%),高温過積載率!G5,0)</f>
        <v>0</v>
      </c>
      <c r="H5" s="85">
        <f>IF(AND(高電圧出力!H5&gt;高温過積載率!H5,高電圧出力!H5&lt;100%,過積載率!H5&lt;100%),高温過積載率!H5,0)</f>
        <v>0</v>
      </c>
      <c r="I5" s="85">
        <f>IF(AND(高電圧出力!I5&gt;高温過積載率!I5,高電圧出力!I5&lt;100%,過積載率!I5&lt;100%),高温過積載率!I5,0)</f>
        <v>0</v>
      </c>
      <c r="J5" s="85">
        <f>IF(AND(高電圧出力!J5&gt;高温過積載率!J5,高電圧出力!J5&lt;100%,過積載率!J5&lt;100%),高温過積載率!J5,0)</f>
        <v>0</v>
      </c>
      <c r="K5" s="85">
        <f>IF(AND(高電圧出力!K5&gt;高温過積載率!K5,高電圧出力!K5&lt;100%,過積載率!K5&lt;100%),高温過積載率!K5,0)</f>
        <v>0</v>
      </c>
      <c r="L5" s="85">
        <f>IF(AND(高電圧出力!L5&gt;高温過積載率!L5,高電圧出力!L5&lt;100%,過積載率!L5&lt;100%),高温過積載率!L5,0)</f>
        <v>0</v>
      </c>
      <c r="M5" s="85">
        <f>IF(AND(高電圧出力!M5&gt;高温過積載率!M5,高電圧出力!M5&lt;100%,過積載率!M5&lt;100%),高温過積載率!M5,0)</f>
        <v>0</v>
      </c>
      <c r="N5" s="85">
        <f>IF(AND(高電圧出力!N5&gt;高温過積載率!N5,高電圧出力!N5&lt;100%,過積載率!N5&lt;100%),高温過積載率!N5,0)</f>
        <v>0</v>
      </c>
      <c r="O5" s="85">
        <f>IF(AND(高電圧出力!O5&gt;高温過積載率!O5,高電圧出力!O5&lt;100%,過積載率!O5&lt;100%),高温過積載率!O5,0)</f>
        <v>0.17529120000000001</v>
      </c>
      <c r="P5" s="85">
        <f>IF(AND(高電圧出力!P5&gt;高温過積載率!P5,高電圧出力!P5&lt;100%,過積載率!P5&lt;100%),高温過積載率!P5,0)</f>
        <v>0.18781200000000003</v>
      </c>
      <c r="Q5" s="85">
        <f>IF(AND(高電圧出力!Q5&gt;高温過積載率!Q5,高電圧出力!Q5&lt;100%,過積載率!Q5&lt;100%),高温過積載率!Q5,0)</f>
        <v>0.20033280000000001</v>
      </c>
      <c r="R5" s="85">
        <f>IF(AND(高電圧出力!R5&gt;高温過積載率!R5,高電圧出力!R5&lt;100%,過積載率!R5&lt;100%),高温過積載率!R5,0)</f>
        <v>0.2128536</v>
      </c>
      <c r="S5" s="85">
        <f>IF(AND(高電圧出力!S5&gt;高温過積載率!S5,高電圧出力!S5&lt;100%,過積載率!S5&lt;100%),高温過積載率!S5,0)</f>
        <v>0.22537440000000003</v>
      </c>
      <c r="T5" s="85">
        <f>IF(AND(高電圧出力!T5&gt;高温過積載率!T5,高電圧出力!T5&lt;100%,過積載率!T5&lt;100%),高温過積載率!T5,0)</f>
        <v>0.2378952</v>
      </c>
      <c r="U5" s="85">
        <f>IF(AND(高電圧出力!U5&gt;高温過積載率!U5,高電圧出力!U5&lt;100%,過積載率!U5&lt;100%),高温過積載率!U5,0)</f>
        <v>0.25041600000000003</v>
      </c>
      <c r="V5" s="85">
        <f>IF(AND(高電圧出力!V5&gt;高温過積載率!V5,高電圧出力!V5&lt;100%,過積載率!V5&lt;100%),高温過積載率!V5,0)</f>
        <v>0</v>
      </c>
      <c r="W5" s="85">
        <f>IF(AND(高電圧出力!W5&gt;高温過積載率!W5,高電圧出力!W5&lt;100%,過積載率!W5&lt;100%),高温過積載率!W5,0)</f>
        <v>0</v>
      </c>
      <c r="X5" s="85">
        <f>IF(AND(高電圧出力!X5&gt;高温過積載率!X5,高電圧出力!X5&lt;100%,過積載率!X5&lt;100%),高温過積載率!X5,0)</f>
        <v>0</v>
      </c>
      <c r="Y5" s="85">
        <f>IF(AND(高電圧出力!Y5&gt;高温過積載率!Y5,高電圧出力!Y5&lt;100%,過積載率!Y5&lt;100%),高温過積載率!Y5,0)</f>
        <v>0</v>
      </c>
      <c r="Z5" s="85">
        <f>IF(AND(高電圧出力!Z5&gt;高温過積載率!Z5,高電圧出力!Z5&lt;100%,過積載率!Z5&lt;100%),高温過積載率!Z5,0)</f>
        <v>0</v>
      </c>
      <c r="AA5" s="85">
        <f>IF(AND(高電圧出力!AA5&gt;高温過積載率!AA5,高電圧出力!AA5&lt;100%,過積載率!AA5&lt;100%),高温過積載率!AA5,0)</f>
        <v>0</v>
      </c>
      <c r="AB5" s="85">
        <f>IF(AND(高電圧出力!AB5&gt;高温過積載率!AB5,高電圧出力!AB5&lt;100%,過積載率!AB5&lt;100%),高温過積載率!AB5,0)</f>
        <v>0</v>
      </c>
      <c r="AC5" s="85">
        <f>IF(AND(高電圧出力!AC5&gt;高温過積載率!AC5,高電圧出力!AC5&lt;100%,過積載率!AC5&lt;100%),高温過積載率!AC5,0)</f>
        <v>0</v>
      </c>
      <c r="AD5" s="85">
        <f>IF(AND(高電圧出力!AD5&gt;高温過積載率!AD5,高電圧出力!AD5&lt;100%,過積載率!AD5&lt;100%),高温過積載率!AD5,0)</f>
        <v>0</v>
      </c>
      <c r="AE5" s="85">
        <f>IF(AND(高電圧出力!AE5&gt;高温過積載率!AE5,高電圧出力!AE5&lt;100%,過積載率!AE5&lt;100%),高温過積載率!AE5,0)</f>
        <v>0</v>
      </c>
      <c r="AF5" s="85">
        <f>IF(AND(高電圧出力!AF5&gt;高温過積載率!AF5,高電圧出力!AF5&lt;100%,過積載率!AF5&lt;100%),高温過積載率!AF5,0)</f>
        <v>0</v>
      </c>
      <c r="AG5" s="85">
        <f>IF(AND(高電圧出力!AG5&gt;高温過積載率!AG5,高電圧出力!AG5&lt;100%,過積載率!AG5&lt;100%),高温過積載率!AG5,0)</f>
        <v>0</v>
      </c>
      <c r="AH5" s="85">
        <f>IF(AND(高電圧出力!AH5&gt;高温過積載率!AH5,高電圧出力!AH5&lt;100%,過積載率!AH5&lt;100%),高温過積載率!AH5,0)</f>
        <v>0</v>
      </c>
      <c r="AI5" s="85">
        <f>IF(AND(高電圧出力!AI5&gt;高温過積載率!AI5,高電圧出力!AI5&lt;100%,過積載率!AI5&lt;100%),高温過積載率!AI5,0)</f>
        <v>0</v>
      </c>
      <c r="AJ5" s="85">
        <f>IF(AND(高電圧出力!AJ5&gt;高温過積載率!AJ5,高電圧出力!AJ5&lt;100%,過積載率!AJ5&lt;100%),高温過積載率!AJ5,0)</f>
        <v>0</v>
      </c>
      <c r="AK5" s="85">
        <f>IF(AND(高電圧出力!AK5&gt;高温過積載率!AK5,高電圧出力!AK5&lt;100%,過積載率!AK5&lt;100%),高温過積載率!AK5,0)</f>
        <v>0</v>
      </c>
      <c r="AL5" s="85">
        <f>IF(AND(高電圧出力!AL5&gt;高温過積載率!AL5,高電圧出力!AL5&lt;100%,過積載率!AL5&lt;100%),高温過積載率!AL5,0)</f>
        <v>0</v>
      </c>
      <c r="AM5" s="85">
        <f>IF(AND(高電圧出力!AM5&gt;高温過積載率!AM5,高電圧出力!AM5&lt;100%,過積載率!AM5&lt;100%),高温過積載率!AM5,0)</f>
        <v>0</v>
      </c>
      <c r="AN5" s="85">
        <f>IF(AND(高電圧出力!AN5&gt;高温過積載率!AN5,高電圧出力!AN5&lt;100%,過積載率!AN5&lt;100%),高温過積載率!AN5,0)</f>
        <v>0</v>
      </c>
      <c r="AO5" s="85">
        <f>IF(AND(高電圧出力!AO5&gt;高温過積載率!AO5,高電圧出力!AO5&lt;100%,過積載率!AO5&lt;100%),高温過積載率!AO5,0)</f>
        <v>0</v>
      </c>
    </row>
    <row r="6" spans="1:41">
      <c r="A6">
        <v>4</v>
      </c>
      <c r="B6" s="85">
        <f>IF(AND(高電圧出力!B6&gt;高温過積載率!B6,高電圧出力!B6&lt;100%,過積載率!B6&lt;100%),高温過積載率!B6,0)</f>
        <v>0</v>
      </c>
      <c r="C6" s="85">
        <f>IF(AND(高電圧出力!C6&gt;高温過積載率!C6,高電圧出力!C6&lt;100%,過積載率!C6&lt;100%),高温過積載率!C6,0)</f>
        <v>0</v>
      </c>
      <c r="D6" s="85">
        <f>IF(AND(高電圧出力!D6&gt;高温過積載率!D6,高電圧出力!D6&lt;100%,過積載率!D6&lt;100%),高温過積載率!D6,0)</f>
        <v>0</v>
      </c>
      <c r="E6" s="85">
        <f>IF(AND(高電圧出力!E6&gt;高温過積載率!E6,高電圧出力!E6&lt;100%,過積載率!E6&lt;100%),高温過積載率!E6,0)</f>
        <v>0</v>
      </c>
      <c r="F6" s="85">
        <f>IF(AND(高電圧出力!F6&gt;高温過積載率!F6,高電圧出力!F6&lt;100%,過積載率!F6&lt;100%),高温過積載率!F6,0)</f>
        <v>0</v>
      </c>
      <c r="G6" s="85">
        <f>IF(AND(高電圧出力!G6&gt;高温過積載率!G6,高電圧出力!G6&lt;100%,過積載率!G6&lt;100%),高温過積載率!G6,0)</f>
        <v>0</v>
      </c>
      <c r="H6" s="85">
        <f>IF(AND(高電圧出力!H6&gt;高温過積載率!H6,高電圧出力!H6&lt;100%,過積載率!H6&lt;100%),高温過積載率!H6,0)</f>
        <v>0</v>
      </c>
      <c r="I6" s="85">
        <f>IF(AND(高電圧出力!I6&gt;高温過積載率!I6,高電圧出力!I6&lt;100%,過積載率!I6&lt;100%),高温過積載率!I6,0)</f>
        <v>0</v>
      </c>
      <c r="J6" s="85">
        <f>IF(AND(高電圧出力!J6&gt;高温過積載率!J6,高電圧出力!J6&lt;100%,過積載率!J6&lt;100%),高温過積載率!J6,0)</f>
        <v>0</v>
      </c>
      <c r="K6" s="85">
        <f>IF(AND(高電圧出力!K6&gt;高温過積載率!K6,高電圧出力!K6&lt;100%,過積載率!K6&lt;100%),高温過積載率!K6,0)</f>
        <v>0</v>
      </c>
      <c r="L6" s="85">
        <f>IF(AND(高電圧出力!L6&gt;高温過積載率!L6,高電圧出力!L6&lt;100%,過積載率!L6&lt;100%),高温過積載率!L6,0)</f>
        <v>0</v>
      </c>
      <c r="M6" s="85">
        <f>IF(AND(高電圧出力!M6&gt;高温過積載率!M6,高電圧出力!M6&lt;100%,過積載率!M6&lt;100%),高温過積載率!M6,0)</f>
        <v>0</v>
      </c>
      <c r="N6" s="85">
        <f>IF(AND(高電圧出力!N6&gt;高温過積載率!N6,高電圧出力!N6&lt;100%,過積載率!N6&lt;100%),高温過積載率!N6,0)</f>
        <v>0</v>
      </c>
      <c r="O6" s="85">
        <f>IF(AND(高電圧出力!O6&gt;高温過積載率!O6,高電圧出力!O6&lt;100%,過積載率!O6&lt;100%),高温過積載率!O6,0)</f>
        <v>0.23372160000000003</v>
      </c>
      <c r="P6" s="85">
        <f>IF(AND(高電圧出力!P6&gt;高温過積載率!P6,高電圧出力!P6&lt;100%,過積載率!P6&lt;100%),高温過積載率!P6,0)</f>
        <v>0.25041600000000003</v>
      </c>
      <c r="Q6" s="85">
        <f>IF(AND(高電圧出力!Q6&gt;高温過積載率!Q6,高電圧出力!Q6&lt;100%,過積載率!Q6&lt;100%),高温過積載率!Q6,0)</f>
        <v>0.26711040000000003</v>
      </c>
      <c r="R6" s="85">
        <f>IF(AND(高電圧出力!R6&gt;高温過積載率!R6,高電圧出力!R6&lt;100%,過積載率!R6&lt;100%),高温過積載率!R6,0)</f>
        <v>0.28380480000000002</v>
      </c>
      <c r="S6" s="85">
        <f>IF(AND(高電圧出力!S6&gt;高温過積載率!S6,高電圧出力!S6&lt;100%,過積載率!S6&lt;100%),高温過積載率!S6,0)</f>
        <v>0.30049920000000002</v>
      </c>
      <c r="T6" s="85">
        <f>IF(AND(高電圧出力!T6&gt;高温過積載率!T6,高電圧出力!T6&lt;100%,過積載率!T6&lt;100%),高温過積載率!T6,0)</f>
        <v>0.31719360000000002</v>
      </c>
      <c r="U6" s="85">
        <f>IF(AND(高電圧出力!U6&gt;高温過積載率!U6,高電圧出力!U6&lt;100%,過積載率!U6&lt;100%),高温過積載率!U6,0)</f>
        <v>0.33388800000000002</v>
      </c>
      <c r="V6" s="85">
        <f>IF(AND(高電圧出力!V6&gt;高温過積載率!V6,高電圧出力!V6&lt;100%,過積載率!V6&lt;100%),高温過積載率!V6,0)</f>
        <v>0</v>
      </c>
      <c r="W6" s="85">
        <f>IF(AND(高電圧出力!W6&gt;高温過積載率!W6,高電圧出力!W6&lt;100%,過積載率!W6&lt;100%),高温過積載率!W6,0)</f>
        <v>0</v>
      </c>
      <c r="X6" s="85">
        <f>IF(AND(高電圧出力!X6&gt;高温過積載率!X6,高電圧出力!X6&lt;100%,過積載率!X6&lt;100%),高温過積載率!X6,0)</f>
        <v>0</v>
      </c>
      <c r="Y6" s="85">
        <f>IF(AND(高電圧出力!Y6&gt;高温過積載率!Y6,高電圧出力!Y6&lt;100%,過積載率!Y6&lt;100%),高温過積載率!Y6,0)</f>
        <v>0</v>
      </c>
      <c r="Z6" s="85">
        <f>IF(AND(高電圧出力!Z6&gt;高温過積載率!Z6,高電圧出力!Z6&lt;100%,過積載率!Z6&lt;100%),高温過積載率!Z6,0)</f>
        <v>0</v>
      </c>
      <c r="AA6" s="85">
        <f>IF(AND(高電圧出力!AA6&gt;高温過積載率!AA6,高電圧出力!AA6&lt;100%,過積載率!AA6&lt;100%),高温過積載率!AA6,0)</f>
        <v>0</v>
      </c>
      <c r="AB6" s="85">
        <f>IF(AND(高電圧出力!AB6&gt;高温過積載率!AB6,高電圧出力!AB6&lt;100%,過積載率!AB6&lt;100%),高温過積載率!AB6,0)</f>
        <v>0</v>
      </c>
      <c r="AC6" s="85">
        <f>IF(AND(高電圧出力!AC6&gt;高温過積載率!AC6,高電圧出力!AC6&lt;100%,過積載率!AC6&lt;100%),高温過積載率!AC6,0)</f>
        <v>0</v>
      </c>
      <c r="AD6" s="85">
        <f>IF(AND(高電圧出力!AD6&gt;高温過積載率!AD6,高電圧出力!AD6&lt;100%,過積載率!AD6&lt;100%),高温過積載率!AD6,0)</f>
        <v>0</v>
      </c>
      <c r="AE6" s="85">
        <f>IF(AND(高電圧出力!AE6&gt;高温過積載率!AE6,高電圧出力!AE6&lt;100%,過積載率!AE6&lt;100%),高温過積載率!AE6,0)</f>
        <v>0</v>
      </c>
      <c r="AF6" s="85">
        <f>IF(AND(高電圧出力!AF6&gt;高温過積載率!AF6,高電圧出力!AF6&lt;100%,過積載率!AF6&lt;100%),高温過積載率!AF6,0)</f>
        <v>0</v>
      </c>
      <c r="AG6" s="85">
        <f>IF(AND(高電圧出力!AG6&gt;高温過積載率!AG6,高電圧出力!AG6&lt;100%,過積載率!AG6&lt;100%),高温過積載率!AG6,0)</f>
        <v>0</v>
      </c>
      <c r="AH6" s="85">
        <f>IF(AND(高電圧出力!AH6&gt;高温過積載率!AH6,高電圧出力!AH6&lt;100%,過積載率!AH6&lt;100%),高温過積載率!AH6,0)</f>
        <v>0</v>
      </c>
      <c r="AI6" s="85">
        <f>IF(AND(高電圧出力!AI6&gt;高温過積載率!AI6,高電圧出力!AI6&lt;100%,過積載率!AI6&lt;100%),高温過積載率!AI6,0)</f>
        <v>0</v>
      </c>
      <c r="AJ6" s="85">
        <f>IF(AND(高電圧出力!AJ6&gt;高温過積載率!AJ6,高電圧出力!AJ6&lt;100%,過積載率!AJ6&lt;100%),高温過積載率!AJ6,0)</f>
        <v>0</v>
      </c>
      <c r="AK6" s="85">
        <f>IF(AND(高電圧出力!AK6&gt;高温過積載率!AK6,高電圧出力!AK6&lt;100%,過積載率!AK6&lt;100%),高温過積載率!AK6,0)</f>
        <v>0</v>
      </c>
      <c r="AL6" s="85">
        <f>IF(AND(高電圧出力!AL6&gt;高温過積載率!AL6,高電圧出力!AL6&lt;100%,過積載率!AL6&lt;100%),高温過積載率!AL6,0)</f>
        <v>0</v>
      </c>
      <c r="AM6" s="85">
        <f>IF(AND(高電圧出力!AM6&gt;高温過積載率!AM6,高電圧出力!AM6&lt;100%,過積載率!AM6&lt;100%),高温過積載率!AM6,0)</f>
        <v>0</v>
      </c>
      <c r="AN6" s="85">
        <f>IF(AND(高電圧出力!AN6&gt;高温過積載率!AN6,高電圧出力!AN6&lt;100%,過積載率!AN6&lt;100%),高温過積載率!AN6,0)</f>
        <v>0</v>
      </c>
      <c r="AO6" s="85">
        <f>IF(AND(高電圧出力!AO6&gt;高温過積載率!AO6,高電圧出力!AO6&lt;100%,過積載率!AO6&lt;100%),高温過積載率!AO6,0)</f>
        <v>0</v>
      </c>
    </row>
    <row r="7" spans="1:41">
      <c r="A7">
        <v>5</v>
      </c>
      <c r="B7" s="85">
        <f>IF(AND(高電圧出力!B7&gt;高温過積載率!B7,高電圧出力!B7&lt;100%,過積載率!B7&lt;100%),高温過積載率!B7,0)</f>
        <v>0</v>
      </c>
      <c r="C7" s="85">
        <f>IF(AND(高電圧出力!C7&gt;高温過積載率!C7,高電圧出力!C7&lt;100%,過積載率!C7&lt;100%),高温過積載率!C7,0)</f>
        <v>0</v>
      </c>
      <c r="D7" s="85">
        <f>IF(AND(高電圧出力!D7&gt;高温過積載率!D7,高電圧出力!D7&lt;100%,過積載率!D7&lt;100%),高温過積載率!D7,0)</f>
        <v>0</v>
      </c>
      <c r="E7" s="85">
        <f>IF(AND(高電圧出力!E7&gt;高温過積載率!E7,高電圧出力!E7&lt;100%,過積載率!E7&lt;100%),高温過積載率!E7,0)</f>
        <v>0</v>
      </c>
      <c r="F7" s="85">
        <f>IF(AND(高電圧出力!F7&gt;高温過積載率!F7,高電圧出力!F7&lt;100%,過積載率!F7&lt;100%),高温過積載率!F7,0)</f>
        <v>0</v>
      </c>
      <c r="G7" s="85">
        <f>IF(AND(高電圧出力!G7&gt;高温過積載率!G7,高電圧出力!G7&lt;100%,過積載率!G7&lt;100%),高温過積載率!G7,0)</f>
        <v>0</v>
      </c>
      <c r="H7" s="85">
        <f>IF(AND(高電圧出力!H7&gt;高温過積載率!H7,高電圧出力!H7&lt;100%,過積載率!H7&lt;100%),高温過積載率!H7,0)</f>
        <v>0</v>
      </c>
      <c r="I7" s="85">
        <f>IF(AND(高電圧出力!I7&gt;高温過積載率!I7,高電圧出力!I7&lt;100%,過積載率!I7&lt;100%),高温過積載率!I7,0)</f>
        <v>0</v>
      </c>
      <c r="J7" s="85">
        <f>IF(AND(高電圧出力!J7&gt;高温過積載率!J7,高電圧出力!J7&lt;100%,過積載率!J7&lt;100%),高温過積載率!J7,0)</f>
        <v>0</v>
      </c>
      <c r="K7" s="85">
        <f>IF(AND(高電圧出力!K7&gt;高温過積載率!K7,高電圧出力!K7&lt;100%,過積載率!K7&lt;100%),高温過積載率!K7,0)</f>
        <v>0</v>
      </c>
      <c r="L7" s="85">
        <f>IF(AND(高電圧出力!L7&gt;高温過積載率!L7,高電圧出力!L7&lt;100%,過積載率!L7&lt;100%),高温過積載率!L7,0)</f>
        <v>0</v>
      </c>
      <c r="M7" s="85">
        <f>IF(AND(高電圧出力!M7&gt;高温過積載率!M7,高電圧出力!M7&lt;100%,過積載率!M7&lt;100%),高温過積載率!M7,0)</f>
        <v>0</v>
      </c>
      <c r="N7" s="85">
        <f>IF(AND(高電圧出力!N7&gt;高温過積載率!N7,高電圧出力!N7&lt;100%,過積載率!N7&lt;100%),高温過積載率!N7,0)</f>
        <v>0</v>
      </c>
      <c r="O7" s="85">
        <f>IF(AND(高電圧出力!O7&gt;高温過積載率!O7,高電圧出力!O7&lt;100%,過積載率!O7&lt;100%),高温過積載率!O7,0)</f>
        <v>0.29215200000000002</v>
      </c>
      <c r="P7" s="85">
        <f>IF(AND(高電圧出力!P7&gt;高温過積載率!P7,高電圧出力!P7&lt;100%,過積載率!P7&lt;100%),高温過積載率!P7,0)</f>
        <v>0.31302000000000002</v>
      </c>
      <c r="Q7" s="85">
        <f>IF(AND(高電圧出力!Q7&gt;高温過積載率!Q7,高電圧出力!Q7&lt;100%,過積載率!Q7&lt;100%),高温過積載率!Q7,0)</f>
        <v>0.33388800000000002</v>
      </c>
      <c r="R7" s="85">
        <f>IF(AND(高電圧出力!R7&gt;高温過積載率!R7,高電圧出力!R7&lt;100%,過積載率!R7&lt;100%),高温過積載率!R7,0)</f>
        <v>0.35475600000000007</v>
      </c>
      <c r="S7" s="85">
        <f>IF(AND(高電圧出力!S7&gt;高温過積載率!S7,高電圧出力!S7&lt;100%,過積載率!S7&lt;100%),高温過積載率!S7,0)</f>
        <v>0.37562400000000007</v>
      </c>
      <c r="T7" s="85">
        <f>IF(AND(高電圧出力!T7&gt;高温過積載率!T7,高電圧出力!T7&lt;100%,過積載率!T7&lt;100%),高温過積載率!T7,0)</f>
        <v>0.39649200000000007</v>
      </c>
      <c r="U7" s="85">
        <f>IF(AND(高電圧出力!U7&gt;高温過積載率!U7,高電圧出力!U7&lt;100%,過積載率!U7&lt;100%),高温過積載率!U7,0)</f>
        <v>0.41736000000000006</v>
      </c>
      <c r="V7" s="85">
        <f>IF(AND(高電圧出力!V7&gt;高温過積載率!V7,高電圧出力!V7&lt;100%,過積載率!V7&lt;100%),高温過積載率!V7,0)</f>
        <v>0</v>
      </c>
      <c r="W7" s="85">
        <f>IF(AND(高電圧出力!W7&gt;高温過積載率!W7,高電圧出力!W7&lt;100%,過積載率!W7&lt;100%),高温過積載率!W7,0)</f>
        <v>0</v>
      </c>
      <c r="X7" s="85">
        <f>IF(AND(高電圧出力!X7&gt;高温過積載率!X7,高電圧出力!X7&lt;100%,過積載率!X7&lt;100%),高温過積載率!X7,0)</f>
        <v>0</v>
      </c>
      <c r="Y7" s="85">
        <f>IF(AND(高電圧出力!Y7&gt;高温過積載率!Y7,高電圧出力!Y7&lt;100%,過積載率!Y7&lt;100%),高温過積載率!Y7,0)</f>
        <v>0</v>
      </c>
      <c r="Z7" s="85">
        <f>IF(AND(高電圧出力!Z7&gt;高温過積載率!Z7,高電圧出力!Z7&lt;100%,過積載率!Z7&lt;100%),高温過積載率!Z7,0)</f>
        <v>0</v>
      </c>
      <c r="AA7" s="85">
        <f>IF(AND(高電圧出力!AA7&gt;高温過積載率!AA7,高電圧出力!AA7&lt;100%,過積載率!AA7&lt;100%),高温過積載率!AA7,0)</f>
        <v>0</v>
      </c>
      <c r="AB7" s="85">
        <f>IF(AND(高電圧出力!AB7&gt;高温過積載率!AB7,高電圧出力!AB7&lt;100%,過積載率!AB7&lt;100%),高温過積載率!AB7,0)</f>
        <v>0</v>
      </c>
      <c r="AC7" s="85">
        <f>IF(AND(高電圧出力!AC7&gt;高温過積載率!AC7,高電圧出力!AC7&lt;100%,過積載率!AC7&lt;100%),高温過積載率!AC7,0)</f>
        <v>0</v>
      </c>
      <c r="AD7" s="85">
        <f>IF(AND(高電圧出力!AD7&gt;高温過積載率!AD7,高電圧出力!AD7&lt;100%,過積載率!AD7&lt;100%),高温過積載率!AD7,0)</f>
        <v>0</v>
      </c>
      <c r="AE7" s="85">
        <f>IF(AND(高電圧出力!AE7&gt;高温過積載率!AE7,高電圧出力!AE7&lt;100%,過積載率!AE7&lt;100%),高温過積載率!AE7,0)</f>
        <v>0</v>
      </c>
      <c r="AF7" s="85">
        <f>IF(AND(高電圧出力!AF7&gt;高温過積載率!AF7,高電圧出力!AF7&lt;100%,過積載率!AF7&lt;100%),高温過積載率!AF7,0)</f>
        <v>0</v>
      </c>
      <c r="AG7" s="85">
        <f>IF(AND(高電圧出力!AG7&gt;高温過積載率!AG7,高電圧出力!AG7&lt;100%,過積載率!AG7&lt;100%),高温過積載率!AG7,0)</f>
        <v>0</v>
      </c>
      <c r="AH7" s="85">
        <f>IF(AND(高電圧出力!AH7&gt;高温過積載率!AH7,高電圧出力!AH7&lt;100%,過積載率!AH7&lt;100%),高温過積載率!AH7,0)</f>
        <v>0</v>
      </c>
      <c r="AI7" s="85">
        <f>IF(AND(高電圧出力!AI7&gt;高温過積載率!AI7,高電圧出力!AI7&lt;100%,過積載率!AI7&lt;100%),高温過積載率!AI7,0)</f>
        <v>0</v>
      </c>
      <c r="AJ7" s="85">
        <f>IF(AND(高電圧出力!AJ7&gt;高温過積載率!AJ7,高電圧出力!AJ7&lt;100%,過積載率!AJ7&lt;100%),高温過積載率!AJ7,0)</f>
        <v>0</v>
      </c>
      <c r="AK7" s="85">
        <f>IF(AND(高電圧出力!AK7&gt;高温過積載率!AK7,高電圧出力!AK7&lt;100%,過積載率!AK7&lt;100%),高温過積載率!AK7,0)</f>
        <v>0</v>
      </c>
      <c r="AL7" s="85">
        <f>IF(AND(高電圧出力!AL7&gt;高温過積載率!AL7,高電圧出力!AL7&lt;100%,過積載率!AL7&lt;100%),高温過積載率!AL7,0)</f>
        <v>0</v>
      </c>
      <c r="AM7" s="85">
        <f>IF(AND(高電圧出力!AM7&gt;高温過積載率!AM7,高電圧出力!AM7&lt;100%,過積載率!AM7&lt;100%),高温過積載率!AM7,0)</f>
        <v>0</v>
      </c>
      <c r="AN7" s="85">
        <f>IF(AND(高電圧出力!AN7&gt;高温過積載率!AN7,高電圧出力!AN7&lt;100%,過積載率!AN7&lt;100%),高温過積載率!AN7,0)</f>
        <v>0</v>
      </c>
      <c r="AO7" s="85">
        <f>IF(AND(高電圧出力!AO7&gt;高温過積載率!AO7,高電圧出力!AO7&lt;100%,過積載率!AO7&lt;100%),高温過積載率!AO7,0)</f>
        <v>0</v>
      </c>
    </row>
    <row r="8" spans="1:41">
      <c r="A8">
        <v>6</v>
      </c>
      <c r="B8" s="85">
        <f>IF(AND(高電圧出力!B8&gt;高温過積載率!B8,高電圧出力!B8&lt;100%,過積載率!B8&lt;100%),高温過積載率!B8,0)</f>
        <v>0</v>
      </c>
      <c r="C8" s="85">
        <f>IF(AND(高電圧出力!C8&gt;高温過積載率!C8,高電圧出力!C8&lt;100%,過積載率!C8&lt;100%),高温過積載率!C8,0)</f>
        <v>0</v>
      </c>
      <c r="D8" s="85">
        <f>IF(AND(高電圧出力!D8&gt;高温過積載率!D8,高電圧出力!D8&lt;100%,過積載率!D8&lt;100%),高温過積載率!D8,0)</f>
        <v>0</v>
      </c>
      <c r="E8" s="85">
        <f>IF(AND(高電圧出力!E8&gt;高温過積載率!E8,高電圧出力!E8&lt;100%,過積載率!E8&lt;100%),高温過積載率!E8,0)</f>
        <v>0</v>
      </c>
      <c r="F8" s="85">
        <f>IF(AND(高電圧出力!F8&gt;高温過積載率!F8,高電圧出力!F8&lt;100%,過積載率!F8&lt;100%),高温過積載率!F8,0)</f>
        <v>0</v>
      </c>
      <c r="G8" s="85">
        <f>IF(AND(高電圧出力!G8&gt;高温過積載率!G8,高電圧出力!G8&lt;100%,過積載率!G8&lt;100%),高温過積載率!G8,0)</f>
        <v>0</v>
      </c>
      <c r="H8" s="85">
        <f>IF(AND(高電圧出力!H8&gt;高温過積載率!H8,高電圧出力!H8&lt;100%,過積載率!H8&lt;100%),高温過積載率!H8,0)</f>
        <v>0</v>
      </c>
      <c r="I8" s="85">
        <f>IF(AND(高電圧出力!I8&gt;高温過積載率!I8,高電圧出力!I8&lt;100%,過積載率!I8&lt;100%),高温過積載率!I8,0)</f>
        <v>0</v>
      </c>
      <c r="J8" s="85">
        <f>IF(AND(高電圧出力!J8&gt;高温過積載率!J8,高電圧出力!J8&lt;100%,過積載率!J8&lt;100%),高温過積載率!J8,0)</f>
        <v>0</v>
      </c>
      <c r="K8" s="85">
        <f>IF(AND(高電圧出力!K8&gt;高温過積載率!K8,高電圧出力!K8&lt;100%,過積載率!K8&lt;100%),高温過積載率!K8,0)</f>
        <v>0</v>
      </c>
      <c r="L8" s="85">
        <f>IF(AND(高電圧出力!L8&gt;高温過積載率!L8,高電圧出力!L8&lt;100%,過積載率!L8&lt;100%),高温過積載率!L8,0)</f>
        <v>0</v>
      </c>
      <c r="M8" s="85">
        <f>IF(AND(高電圧出力!M8&gt;高温過積載率!M8,高電圧出力!M8&lt;100%,過積載率!M8&lt;100%),高温過積載率!M8,0)</f>
        <v>0</v>
      </c>
      <c r="N8" s="85">
        <f>IF(AND(高電圧出力!N8&gt;高温過積載率!N8,高電圧出力!N8&lt;100%,過積載率!N8&lt;100%),高温過積載率!N8,0)</f>
        <v>0</v>
      </c>
      <c r="O8" s="85">
        <f>IF(AND(高電圧出力!O8&gt;高温過積載率!O8,高電圧出力!O8&lt;100%,過積載率!O8&lt;100%),高温過積載率!O8,0)</f>
        <v>0.35058240000000002</v>
      </c>
      <c r="P8" s="85">
        <f>IF(AND(高電圧出力!P8&gt;高温過積載率!P8,高電圧出力!P8&lt;100%,過積載率!P8&lt;100%),高温過積載率!P8,0)</f>
        <v>0.37562400000000007</v>
      </c>
      <c r="Q8" s="85">
        <f>IF(AND(高電圧出力!Q8&gt;高温過積載率!Q8,高電圧出力!Q8&lt;100%,過積載率!Q8&lt;100%),高温過積載率!Q8,0)</f>
        <v>0.40066560000000001</v>
      </c>
      <c r="R8" s="85">
        <f>IF(AND(高電圧出力!R8&gt;高温過積載率!R8,高電圧出力!R8&lt;100%,過積載率!R8&lt;100%),高温過積載率!R8,0)</f>
        <v>0.42570720000000001</v>
      </c>
      <c r="S8" s="85">
        <f>IF(AND(高電圧出力!S8&gt;高温過積載率!S8,高電圧出力!S8&lt;100%,過積載率!S8&lt;100%),高温過積載率!S8,0)</f>
        <v>0.45074880000000006</v>
      </c>
      <c r="T8" s="85">
        <f>IF(AND(高電圧出力!T8&gt;高温過積載率!T8,高電圧出力!T8&lt;100%,過積載率!T8&lt;100%),高温過積載率!T8,0)</f>
        <v>0.4757904</v>
      </c>
      <c r="U8" s="85">
        <f>IF(AND(高電圧出力!U8&gt;高温過積載率!U8,高電圧出力!U8&lt;100%,過積載率!U8&lt;100%),高温過積載率!U8,0)</f>
        <v>0.50083200000000005</v>
      </c>
      <c r="V8" s="85">
        <f>IF(AND(高電圧出力!V8&gt;高温過積載率!V8,高電圧出力!V8&lt;100%,過積載率!V8&lt;100%),高温過積載率!V8,0)</f>
        <v>0</v>
      </c>
      <c r="W8" s="85">
        <f>IF(AND(高電圧出力!W8&gt;高温過積載率!W8,高電圧出力!W8&lt;100%,過積載率!W8&lt;100%),高温過積載率!W8,0)</f>
        <v>0</v>
      </c>
      <c r="X8" s="85">
        <f>IF(AND(高電圧出力!X8&gt;高温過積載率!X8,高電圧出力!X8&lt;100%,過積載率!X8&lt;100%),高温過積載率!X8,0)</f>
        <v>0</v>
      </c>
      <c r="Y8" s="85">
        <f>IF(AND(高電圧出力!Y8&gt;高温過積載率!Y8,高電圧出力!Y8&lt;100%,過積載率!Y8&lt;100%),高温過積載率!Y8,0)</f>
        <v>0</v>
      </c>
      <c r="Z8" s="85">
        <f>IF(AND(高電圧出力!Z8&gt;高温過積載率!Z8,高電圧出力!Z8&lt;100%,過積載率!Z8&lt;100%),高温過積載率!Z8,0)</f>
        <v>0</v>
      </c>
      <c r="AA8" s="85">
        <f>IF(AND(高電圧出力!AA8&gt;高温過積載率!AA8,高電圧出力!AA8&lt;100%,過積載率!AA8&lt;100%),高温過積載率!AA8,0)</f>
        <v>0</v>
      </c>
      <c r="AB8" s="85">
        <f>IF(AND(高電圧出力!AB8&gt;高温過積載率!AB8,高電圧出力!AB8&lt;100%,過積載率!AB8&lt;100%),高温過積載率!AB8,0)</f>
        <v>0</v>
      </c>
      <c r="AC8" s="85">
        <f>IF(AND(高電圧出力!AC8&gt;高温過積載率!AC8,高電圧出力!AC8&lt;100%,過積載率!AC8&lt;100%),高温過積載率!AC8,0)</f>
        <v>0</v>
      </c>
      <c r="AD8" s="85">
        <f>IF(AND(高電圧出力!AD8&gt;高温過積載率!AD8,高電圧出力!AD8&lt;100%,過積載率!AD8&lt;100%),高温過積載率!AD8,0)</f>
        <v>0</v>
      </c>
      <c r="AE8" s="85">
        <f>IF(AND(高電圧出力!AE8&gt;高温過積載率!AE8,高電圧出力!AE8&lt;100%,過積載率!AE8&lt;100%),高温過積載率!AE8,0)</f>
        <v>0</v>
      </c>
      <c r="AF8" s="85">
        <f>IF(AND(高電圧出力!AF8&gt;高温過積載率!AF8,高電圧出力!AF8&lt;100%,過積載率!AF8&lt;100%),高温過積載率!AF8,0)</f>
        <v>0</v>
      </c>
      <c r="AG8" s="85">
        <f>IF(AND(高電圧出力!AG8&gt;高温過積載率!AG8,高電圧出力!AG8&lt;100%,過積載率!AG8&lt;100%),高温過積載率!AG8,0)</f>
        <v>0</v>
      </c>
      <c r="AH8" s="85">
        <f>IF(AND(高電圧出力!AH8&gt;高温過積載率!AH8,高電圧出力!AH8&lt;100%,過積載率!AH8&lt;100%),高温過積載率!AH8,0)</f>
        <v>0</v>
      </c>
      <c r="AI8" s="85">
        <f>IF(AND(高電圧出力!AI8&gt;高温過積載率!AI8,高電圧出力!AI8&lt;100%,過積載率!AI8&lt;100%),高温過積載率!AI8,0)</f>
        <v>0</v>
      </c>
      <c r="AJ8" s="85">
        <f>IF(AND(高電圧出力!AJ8&gt;高温過積載率!AJ8,高電圧出力!AJ8&lt;100%,過積載率!AJ8&lt;100%),高温過積載率!AJ8,0)</f>
        <v>0</v>
      </c>
      <c r="AK8" s="85">
        <f>IF(AND(高電圧出力!AK8&gt;高温過積載率!AK8,高電圧出力!AK8&lt;100%,過積載率!AK8&lt;100%),高温過積載率!AK8,0)</f>
        <v>0</v>
      </c>
      <c r="AL8" s="85">
        <f>IF(AND(高電圧出力!AL8&gt;高温過積載率!AL8,高電圧出力!AL8&lt;100%,過積載率!AL8&lt;100%),高温過積載率!AL8,0)</f>
        <v>0</v>
      </c>
      <c r="AM8" s="85">
        <f>IF(AND(高電圧出力!AM8&gt;高温過積載率!AM8,高電圧出力!AM8&lt;100%,過積載率!AM8&lt;100%),高温過積載率!AM8,0)</f>
        <v>0</v>
      </c>
      <c r="AN8" s="85">
        <f>IF(AND(高電圧出力!AN8&gt;高温過積載率!AN8,高電圧出力!AN8&lt;100%,過積載率!AN8&lt;100%),高温過積載率!AN8,0)</f>
        <v>0</v>
      </c>
      <c r="AO8" s="85">
        <f>IF(AND(高電圧出力!AO8&gt;高温過積載率!AO8,高電圧出力!AO8&lt;100%,過積載率!AO8&lt;100%),高温過積載率!AO8,0)</f>
        <v>0</v>
      </c>
    </row>
    <row r="9" spans="1:41">
      <c r="A9">
        <v>7</v>
      </c>
      <c r="B9" s="85">
        <f>IF(AND(高電圧出力!B9&gt;高温過積載率!B9,高電圧出力!B9&lt;100%,過積載率!B9&lt;100%),高温過積載率!B9,0)</f>
        <v>0</v>
      </c>
      <c r="C9" s="85">
        <f>IF(AND(高電圧出力!C9&gt;高温過積載率!C9,高電圧出力!C9&lt;100%,過積載率!C9&lt;100%),高温過積載率!C9,0)</f>
        <v>0</v>
      </c>
      <c r="D9" s="85">
        <f>IF(AND(高電圧出力!D9&gt;高温過積載率!D9,高電圧出力!D9&lt;100%,過積載率!D9&lt;100%),高温過積載率!D9,0)</f>
        <v>0</v>
      </c>
      <c r="E9" s="85">
        <f>IF(AND(高電圧出力!E9&gt;高温過積載率!E9,高電圧出力!E9&lt;100%,過積載率!E9&lt;100%),高温過積載率!E9,0)</f>
        <v>0</v>
      </c>
      <c r="F9" s="85">
        <f>IF(AND(高電圧出力!F9&gt;高温過積載率!F9,高電圧出力!F9&lt;100%,過積載率!F9&lt;100%),高温過積載率!F9,0)</f>
        <v>0</v>
      </c>
      <c r="G9" s="85">
        <f>IF(AND(高電圧出力!G9&gt;高温過積載率!G9,高電圧出力!G9&lt;100%,過積載率!G9&lt;100%),高温過積載率!G9,0)</f>
        <v>0</v>
      </c>
      <c r="H9" s="85">
        <f>IF(AND(高電圧出力!H9&gt;高温過積載率!H9,高電圧出力!H9&lt;100%,過積載率!H9&lt;100%),高温過積載率!H9,0)</f>
        <v>0</v>
      </c>
      <c r="I9" s="85">
        <f>IF(AND(高電圧出力!I9&gt;高温過積載率!I9,高電圧出力!I9&lt;100%,過積載率!I9&lt;100%),高温過積載率!I9,0)</f>
        <v>0</v>
      </c>
      <c r="J9" s="85">
        <f>IF(AND(高電圧出力!J9&gt;高温過積載率!J9,高電圧出力!J9&lt;100%,過積載率!J9&lt;100%),高温過積載率!J9,0)</f>
        <v>0</v>
      </c>
      <c r="K9" s="85">
        <f>IF(AND(高電圧出力!K9&gt;高温過積載率!K9,高電圧出力!K9&lt;100%,過積載率!K9&lt;100%),高温過積載率!K9,0)</f>
        <v>0</v>
      </c>
      <c r="L9" s="85">
        <f>IF(AND(高電圧出力!L9&gt;高温過積載率!L9,高電圧出力!L9&lt;100%,過積載率!L9&lt;100%),高温過積載率!L9,0)</f>
        <v>0</v>
      </c>
      <c r="M9" s="85">
        <f>IF(AND(高電圧出力!M9&gt;高温過積載率!M9,高電圧出力!M9&lt;100%,過積載率!M9&lt;100%),高温過積載率!M9,0)</f>
        <v>0</v>
      </c>
      <c r="N9" s="85">
        <f>IF(AND(高電圧出力!N9&gt;高温過積載率!N9,高電圧出力!N9&lt;100%,過積載率!N9&lt;100%),高温過積載率!N9,0)</f>
        <v>0</v>
      </c>
      <c r="O9" s="85">
        <f>IF(AND(高電圧出力!O9&gt;高温過積載率!O9,高電圧出力!O9&lt;100%,過積載率!O9&lt;100%),高温過積載率!O9,0)</f>
        <v>0.40901280000000007</v>
      </c>
      <c r="P9" s="85">
        <f>IF(AND(高電圧出力!P9&gt;高温過積載率!P9,高電圧出力!P9&lt;100%,過積載率!P9&lt;100%),高温過積載率!P9,0)</f>
        <v>0.43822800000000006</v>
      </c>
      <c r="Q9" s="85">
        <f>IF(AND(高電圧出力!Q9&gt;高温過積載率!Q9,高電圧出力!Q9&lt;100%,過積載率!Q9&lt;100%),高温過積載率!Q9,0)</f>
        <v>0.46744320000000006</v>
      </c>
      <c r="R9" s="85">
        <f>IF(AND(高電圧出力!R9&gt;高温過積載率!R9,高電圧出力!R9&lt;100%,過積載率!R9&lt;100%),高温過積載率!R9,0)</f>
        <v>0.4966584</v>
      </c>
      <c r="S9" s="85">
        <f>IF(AND(高電圧出力!S9&gt;高温過積載率!S9,高電圧出力!S9&lt;100%,過積載率!S9&lt;100%),高温過積載率!S9,0)</f>
        <v>0.52587360000000005</v>
      </c>
      <c r="T9" s="85">
        <f>IF(AND(高電圧出力!T9&gt;高温過積載率!T9,高電圧出力!T9&lt;100%,過積載率!T9&lt;100%),高温過積載率!T9,0)</f>
        <v>0.55508880000000005</v>
      </c>
      <c r="U9" s="85">
        <f>IF(AND(高電圧出力!U9&gt;高温過積載率!U9,高電圧出力!U9&lt;100%,過積載率!U9&lt;100%),高温過積載率!U9,0)</f>
        <v>0.58430400000000005</v>
      </c>
      <c r="V9" s="85">
        <f>IF(AND(高電圧出力!V9&gt;高温過積載率!V9,高電圧出力!V9&lt;100%,過積載率!V9&lt;100%),高温過積載率!V9,0)</f>
        <v>0</v>
      </c>
      <c r="W9" s="85">
        <f>IF(AND(高電圧出力!W9&gt;高温過積載率!W9,高電圧出力!W9&lt;100%,過積載率!W9&lt;100%),高温過積載率!W9,0)</f>
        <v>0</v>
      </c>
      <c r="X9" s="85">
        <f>IF(AND(高電圧出力!X9&gt;高温過積載率!X9,高電圧出力!X9&lt;100%,過積載率!X9&lt;100%),高温過積載率!X9,0)</f>
        <v>0</v>
      </c>
      <c r="Y9" s="85">
        <f>IF(AND(高電圧出力!Y9&gt;高温過積載率!Y9,高電圧出力!Y9&lt;100%,過積載率!Y9&lt;100%),高温過積載率!Y9,0)</f>
        <v>0</v>
      </c>
      <c r="Z9" s="85">
        <f>IF(AND(高電圧出力!Z9&gt;高温過積載率!Z9,高電圧出力!Z9&lt;100%,過積載率!Z9&lt;100%),高温過積載率!Z9,0)</f>
        <v>0</v>
      </c>
      <c r="AA9" s="85">
        <f>IF(AND(高電圧出力!AA9&gt;高温過積載率!AA9,高電圧出力!AA9&lt;100%,過積載率!AA9&lt;100%),高温過積載率!AA9,0)</f>
        <v>0</v>
      </c>
      <c r="AB9" s="85">
        <f>IF(AND(高電圧出力!AB9&gt;高温過積載率!AB9,高電圧出力!AB9&lt;100%,過積載率!AB9&lt;100%),高温過積載率!AB9,0)</f>
        <v>0</v>
      </c>
      <c r="AC9" s="85">
        <f>IF(AND(高電圧出力!AC9&gt;高温過積載率!AC9,高電圧出力!AC9&lt;100%,過積載率!AC9&lt;100%),高温過積載率!AC9,0)</f>
        <v>0</v>
      </c>
      <c r="AD9" s="85">
        <f>IF(AND(高電圧出力!AD9&gt;高温過積載率!AD9,高電圧出力!AD9&lt;100%,過積載率!AD9&lt;100%),高温過積載率!AD9,0)</f>
        <v>0</v>
      </c>
      <c r="AE9" s="85">
        <f>IF(AND(高電圧出力!AE9&gt;高温過積載率!AE9,高電圧出力!AE9&lt;100%,過積載率!AE9&lt;100%),高温過積載率!AE9,0)</f>
        <v>0</v>
      </c>
      <c r="AF9" s="85">
        <f>IF(AND(高電圧出力!AF9&gt;高温過積載率!AF9,高電圧出力!AF9&lt;100%,過積載率!AF9&lt;100%),高温過積載率!AF9,0)</f>
        <v>0</v>
      </c>
      <c r="AG9" s="85">
        <f>IF(AND(高電圧出力!AG9&gt;高温過積載率!AG9,高電圧出力!AG9&lt;100%,過積載率!AG9&lt;100%),高温過積載率!AG9,0)</f>
        <v>0</v>
      </c>
      <c r="AH9" s="85">
        <f>IF(AND(高電圧出力!AH9&gt;高温過積載率!AH9,高電圧出力!AH9&lt;100%,過積載率!AH9&lt;100%),高温過積載率!AH9,0)</f>
        <v>0</v>
      </c>
      <c r="AI9" s="85">
        <f>IF(AND(高電圧出力!AI9&gt;高温過積載率!AI9,高電圧出力!AI9&lt;100%,過積載率!AI9&lt;100%),高温過積載率!AI9,0)</f>
        <v>0</v>
      </c>
      <c r="AJ9" s="85">
        <f>IF(AND(高電圧出力!AJ9&gt;高温過積載率!AJ9,高電圧出力!AJ9&lt;100%,過積載率!AJ9&lt;100%),高温過積載率!AJ9,0)</f>
        <v>0</v>
      </c>
      <c r="AK9" s="85">
        <f>IF(AND(高電圧出力!AK9&gt;高温過積載率!AK9,高電圧出力!AK9&lt;100%,過積載率!AK9&lt;100%),高温過積載率!AK9,0)</f>
        <v>0</v>
      </c>
      <c r="AL9" s="85">
        <f>IF(AND(高電圧出力!AL9&gt;高温過積載率!AL9,高電圧出力!AL9&lt;100%,過積載率!AL9&lt;100%),高温過積載率!AL9,0)</f>
        <v>0</v>
      </c>
      <c r="AM9" s="85">
        <f>IF(AND(高電圧出力!AM9&gt;高温過積載率!AM9,高電圧出力!AM9&lt;100%,過積載率!AM9&lt;100%),高温過積載率!AM9,0)</f>
        <v>0</v>
      </c>
      <c r="AN9" s="85">
        <f>IF(AND(高電圧出力!AN9&gt;高温過積載率!AN9,高電圧出力!AN9&lt;100%,過積載率!AN9&lt;100%),高温過積載率!AN9,0)</f>
        <v>0</v>
      </c>
      <c r="AO9" s="85">
        <f>IF(AND(高電圧出力!AO9&gt;高温過積載率!AO9,高電圧出力!AO9&lt;100%,過積載率!AO9&lt;100%),高温過積載率!AO9,0)</f>
        <v>0</v>
      </c>
    </row>
    <row r="10" spans="1:41">
      <c r="A10">
        <v>8</v>
      </c>
      <c r="B10" s="85">
        <f>IF(AND(高電圧出力!B10&gt;高温過積載率!B10,高電圧出力!B10&lt;100%,過積載率!B10&lt;100%),高温過積載率!B10,0)</f>
        <v>0</v>
      </c>
      <c r="C10" s="85">
        <f>IF(AND(高電圧出力!C10&gt;高温過積載率!C10,高電圧出力!C10&lt;100%,過積載率!C10&lt;100%),高温過積載率!C10,0)</f>
        <v>0</v>
      </c>
      <c r="D10" s="85">
        <f>IF(AND(高電圧出力!D10&gt;高温過積載率!D10,高電圧出力!D10&lt;100%,過積載率!D10&lt;100%),高温過積載率!D10,0)</f>
        <v>0</v>
      </c>
      <c r="E10" s="85">
        <f>IF(AND(高電圧出力!E10&gt;高温過積載率!E10,高電圧出力!E10&lt;100%,過積載率!E10&lt;100%),高温過積載率!E10,0)</f>
        <v>0</v>
      </c>
      <c r="F10" s="85">
        <f>IF(AND(高電圧出力!F10&gt;高温過積載率!F10,高電圧出力!F10&lt;100%,過積載率!F10&lt;100%),高温過積載率!F10,0)</f>
        <v>0</v>
      </c>
      <c r="G10" s="85">
        <f>IF(AND(高電圧出力!G10&gt;高温過積載率!G10,高電圧出力!G10&lt;100%,過積載率!G10&lt;100%),高温過積載率!G10,0)</f>
        <v>0</v>
      </c>
      <c r="H10" s="85">
        <f>IF(AND(高電圧出力!H10&gt;高温過積載率!H10,高電圧出力!H10&lt;100%,過積載率!H10&lt;100%),高温過積載率!H10,0)</f>
        <v>0</v>
      </c>
      <c r="I10" s="85">
        <f>IF(AND(高電圧出力!I10&gt;高温過積載率!I10,高電圧出力!I10&lt;100%,過積載率!I10&lt;100%),高温過積載率!I10,0)</f>
        <v>0</v>
      </c>
      <c r="J10" s="85">
        <f>IF(AND(高電圧出力!J10&gt;高温過積載率!J10,高電圧出力!J10&lt;100%,過積載率!J10&lt;100%),高温過積載率!J10,0)</f>
        <v>0</v>
      </c>
      <c r="K10" s="85">
        <f>IF(AND(高電圧出力!K10&gt;高温過積載率!K10,高電圧出力!K10&lt;100%,過積載率!K10&lt;100%),高温過積載率!K10,0)</f>
        <v>0</v>
      </c>
      <c r="L10" s="85">
        <f>IF(AND(高電圧出力!L10&gt;高温過積載率!L10,高電圧出力!L10&lt;100%,過積載率!L10&lt;100%),高温過積載率!L10,0)</f>
        <v>0</v>
      </c>
      <c r="M10" s="85">
        <f>IF(AND(高電圧出力!M10&gt;高温過積載率!M10,高電圧出力!M10&lt;100%,過積載率!M10&lt;100%),高温過積載率!M10,0)</f>
        <v>0</v>
      </c>
      <c r="N10" s="85">
        <f>IF(AND(高電圧出力!N10&gt;高温過積載率!N10,高電圧出力!N10&lt;100%,過積載率!N10&lt;100%),高温過積載率!N10,0)</f>
        <v>0</v>
      </c>
      <c r="O10" s="85">
        <f>IF(AND(高電圧出力!O10&gt;高温過積載率!O10,高電圧出力!O10&lt;100%,過積載率!O10&lt;100%),高温過積載率!O10,0)</f>
        <v>0.46744320000000006</v>
      </c>
      <c r="P10" s="85">
        <f>IF(AND(高電圧出力!P10&gt;高温過積載率!P10,高電圧出力!P10&lt;100%,過積載率!P10&lt;100%),高温過積載率!P10,0)</f>
        <v>0.50083200000000005</v>
      </c>
      <c r="Q10" s="85">
        <f>IF(AND(高電圧出力!Q10&gt;高温過積載率!Q10,高電圧出力!Q10&lt;100%,過積載率!Q10&lt;100%),高温過積載率!Q10,0)</f>
        <v>0.53422080000000005</v>
      </c>
      <c r="R10" s="85">
        <f>IF(AND(高電圧出力!R10&gt;高温過積載率!R10,高電圧出力!R10&lt;100%,過積載率!R10&lt;100%),高温過積載率!R10,0)</f>
        <v>0.56760960000000005</v>
      </c>
      <c r="S10" s="85">
        <f>IF(AND(高電圧出力!S10&gt;高温過積載率!S10,高電圧出力!S10&lt;100%,過積載率!S10&lt;100%),高温過積載率!S10,0)</f>
        <v>0.60099840000000004</v>
      </c>
      <c r="T10" s="85">
        <f>IF(AND(高電圧出力!T10&gt;高温過積載率!T10,高電圧出力!T10&lt;100%,過積載率!T10&lt;100%),高温過積載率!T10,0)</f>
        <v>0.63438720000000004</v>
      </c>
      <c r="U10" s="85">
        <f>IF(AND(高電圧出力!U10&gt;高温過積載率!U10,高電圧出力!U10&lt;100%,過積載率!U10&lt;100%),高温過積載率!U10,0)</f>
        <v>0.66777600000000004</v>
      </c>
      <c r="V10" s="85">
        <f>IF(AND(高電圧出力!V10&gt;高温過積載率!V10,高電圧出力!V10&lt;100%,過積載率!V10&lt;100%),高温過積載率!V10,0)</f>
        <v>0</v>
      </c>
      <c r="W10" s="85">
        <f>IF(AND(高電圧出力!W10&gt;高温過積載率!W10,高電圧出力!W10&lt;100%,過積載率!W10&lt;100%),高温過積載率!W10,0)</f>
        <v>0</v>
      </c>
      <c r="X10" s="85">
        <f>IF(AND(高電圧出力!X10&gt;高温過積載率!X10,高電圧出力!X10&lt;100%,過積載率!X10&lt;100%),高温過積載率!X10,0)</f>
        <v>0</v>
      </c>
      <c r="Y10" s="85">
        <f>IF(AND(高電圧出力!Y10&gt;高温過積載率!Y10,高電圧出力!Y10&lt;100%,過積載率!Y10&lt;100%),高温過積載率!Y10,0)</f>
        <v>0</v>
      </c>
      <c r="Z10" s="85">
        <f>IF(AND(高電圧出力!Z10&gt;高温過積載率!Z10,高電圧出力!Z10&lt;100%,過積載率!Z10&lt;100%),高温過積載率!Z10,0)</f>
        <v>0</v>
      </c>
      <c r="AA10" s="85">
        <f>IF(AND(高電圧出力!AA10&gt;高温過積載率!AA10,高電圧出力!AA10&lt;100%,過積載率!AA10&lt;100%),高温過積載率!AA10,0)</f>
        <v>0</v>
      </c>
      <c r="AB10" s="85">
        <f>IF(AND(高電圧出力!AB10&gt;高温過積載率!AB10,高電圧出力!AB10&lt;100%,過積載率!AB10&lt;100%),高温過積載率!AB10,0)</f>
        <v>0</v>
      </c>
      <c r="AC10" s="85">
        <f>IF(AND(高電圧出力!AC10&gt;高温過積載率!AC10,高電圧出力!AC10&lt;100%,過積載率!AC10&lt;100%),高温過積載率!AC10,0)</f>
        <v>0</v>
      </c>
      <c r="AD10" s="85">
        <f>IF(AND(高電圧出力!AD10&gt;高温過積載率!AD10,高電圧出力!AD10&lt;100%,過積載率!AD10&lt;100%),高温過積載率!AD10,0)</f>
        <v>0</v>
      </c>
      <c r="AE10" s="85">
        <f>IF(AND(高電圧出力!AE10&gt;高温過積載率!AE10,高電圧出力!AE10&lt;100%,過積載率!AE10&lt;100%),高温過積載率!AE10,0)</f>
        <v>0</v>
      </c>
      <c r="AF10" s="85">
        <f>IF(AND(高電圧出力!AF10&gt;高温過積載率!AF10,高電圧出力!AF10&lt;100%,過積載率!AF10&lt;100%),高温過積載率!AF10,0)</f>
        <v>0</v>
      </c>
      <c r="AG10" s="85">
        <f>IF(AND(高電圧出力!AG10&gt;高温過積載率!AG10,高電圧出力!AG10&lt;100%,過積載率!AG10&lt;100%),高温過積載率!AG10,0)</f>
        <v>0</v>
      </c>
      <c r="AH10" s="85">
        <f>IF(AND(高電圧出力!AH10&gt;高温過積載率!AH10,高電圧出力!AH10&lt;100%,過積載率!AH10&lt;100%),高温過積載率!AH10,0)</f>
        <v>0</v>
      </c>
      <c r="AI10" s="85">
        <f>IF(AND(高電圧出力!AI10&gt;高温過積載率!AI10,高電圧出力!AI10&lt;100%,過積載率!AI10&lt;100%),高温過積載率!AI10,0)</f>
        <v>0</v>
      </c>
      <c r="AJ10" s="85">
        <f>IF(AND(高電圧出力!AJ10&gt;高温過積載率!AJ10,高電圧出力!AJ10&lt;100%,過積載率!AJ10&lt;100%),高温過積載率!AJ10,0)</f>
        <v>0</v>
      </c>
      <c r="AK10" s="85">
        <f>IF(AND(高電圧出力!AK10&gt;高温過積載率!AK10,高電圧出力!AK10&lt;100%,過積載率!AK10&lt;100%),高温過積載率!AK10,0)</f>
        <v>0</v>
      </c>
      <c r="AL10" s="85">
        <f>IF(AND(高電圧出力!AL10&gt;高温過積載率!AL10,高電圧出力!AL10&lt;100%,過積載率!AL10&lt;100%),高温過積載率!AL10,0)</f>
        <v>0</v>
      </c>
      <c r="AM10" s="85">
        <f>IF(AND(高電圧出力!AM10&gt;高温過積載率!AM10,高電圧出力!AM10&lt;100%,過積載率!AM10&lt;100%),高温過積載率!AM10,0)</f>
        <v>0</v>
      </c>
      <c r="AN10" s="85">
        <f>IF(AND(高電圧出力!AN10&gt;高温過積載率!AN10,高電圧出力!AN10&lt;100%,過積載率!AN10&lt;100%),高温過積載率!AN10,0)</f>
        <v>0</v>
      </c>
      <c r="AO10" s="85">
        <f>IF(AND(高電圧出力!AO10&gt;高温過積載率!AO10,高電圧出力!AO10&lt;100%,過積載率!AO10&lt;100%),高温過積載率!AO10,0)</f>
        <v>0</v>
      </c>
    </row>
    <row r="11" spans="1:41">
      <c r="A11">
        <v>9</v>
      </c>
      <c r="B11" s="85">
        <f>IF(AND(高電圧出力!B11&gt;高温過積載率!B11,高電圧出力!B11&lt;100%,過積載率!B11&lt;100%),高温過積載率!B11,0)</f>
        <v>0</v>
      </c>
      <c r="C11" s="85">
        <f>IF(AND(高電圧出力!C11&gt;高温過積載率!C11,高電圧出力!C11&lt;100%,過積載率!C11&lt;100%),高温過積載率!C11,0)</f>
        <v>0</v>
      </c>
      <c r="D11" s="85">
        <f>IF(AND(高電圧出力!D11&gt;高温過積載率!D11,高電圧出力!D11&lt;100%,過積載率!D11&lt;100%),高温過積載率!D11,0)</f>
        <v>0</v>
      </c>
      <c r="E11" s="85">
        <f>IF(AND(高電圧出力!E11&gt;高温過積載率!E11,高電圧出力!E11&lt;100%,過積載率!E11&lt;100%),高温過積載率!E11,0)</f>
        <v>0</v>
      </c>
      <c r="F11" s="85">
        <f>IF(AND(高電圧出力!F11&gt;高温過積載率!F11,高電圧出力!F11&lt;100%,過積載率!F11&lt;100%),高温過積載率!F11,0)</f>
        <v>0</v>
      </c>
      <c r="G11" s="85">
        <f>IF(AND(高電圧出力!G11&gt;高温過積載率!G11,高電圧出力!G11&lt;100%,過積載率!G11&lt;100%),高温過積載率!G11,0)</f>
        <v>0</v>
      </c>
      <c r="H11" s="85">
        <f>IF(AND(高電圧出力!H11&gt;高温過積載率!H11,高電圧出力!H11&lt;100%,過積載率!H11&lt;100%),高温過積載率!H11,0)</f>
        <v>0</v>
      </c>
      <c r="I11" s="85">
        <f>IF(AND(高電圧出力!I11&gt;高温過積載率!I11,高電圧出力!I11&lt;100%,過積載率!I11&lt;100%),高温過積載率!I11,0)</f>
        <v>0</v>
      </c>
      <c r="J11" s="85">
        <f>IF(AND(高電圧出力!J11&gt;高温過積載率!J11,高電圧出力!J11&lt;100%,過積載率!J11&lt;100%),高温過積載率!J11,0)</f>
        <v>0</v>
      </c>
      <c r="K11" s="85">
        <f>IF(AND(高電圧出力!K11&gt;高温過積載率!K11,高電圧出力!K11&lt;100%,過積載率!K11&lt;100%),高温過積載率!K11,0)</f>
        <v>0</v>
      </c>
      <c r="L11" s="85">
        <f>IF(AND(高電圧出力!L11&gt;高温過積載率!L11,高電圧出力!L11&lt;100%,過積載率!L11&lt;100%),高温過積載率!L11,0)</f>
        <v>0</v>
      </c>
      <c r="M11" s="85">
        <f>IF(AND(高電圧出力!M11&gt;高温過積載率!M11,高電圧出力!M11&lt;100%,過積載率!M11&lt;100%),高温過積載率!M11,0)</f>
        <v>0</v>
      </c>
      <c r="N11" s="85">
        <f>IF(AND(高電圧出力!N11&gt;高温過積載率!N11,高電圧出力!N11&lt;100%,過積載率!N11&lt;100%),高温過積載率!N11,0)</f>
        <v>0</v>
      </c>
      <c r="O11" s="85">
        <f>IF(AND(高電圧出力!O11&gt;高温過積載率!O11,高電圧出力!O11&lt;100%,過積載率!O11&lt;100%),高温過積載率!O11,0)</f>
        <v>0.52587360000000005</v>
      </c>
      <c r="P11" s="85">
        <f>IF(AND(高電圧出力!P11&gt;高温過積載率!P11,高電圧出力!P11&lt;100%,過積載率!P11&lt;100%),高温過積載率!P11,0)</f>
        <v>0.56343600000000005</v>
      </c>
      <c r="Q11" s="85">
        <f>IF(AND(高電圧出力!Q11&gt;高温過積載率!Q11,高電圧出力!Q11&lt;100%,過積載率!Q11&lt;100%),高温過積載率!Q11,0)</f>
        <v>0.60099840000000004</v>
      </c>
      <c r="R11" s="85">
        <f>IF(AND(高電圧出力!R11&gt;高温過積載率!R11,高電圧出力!R11&lt;100%,過積載率!R11&lt;100%),高温過積載率!R11,0)</f>
        <v>0.63856080000000004</v>
      </c>
      <c r="S11" s="85">
        <f>IF(AND(高電圧出力!S11&gt;高温過積載率!S11,高電圧出力!S11&lt;100%,過積載率!S11&lt;100%),高温過積載率!S11,0)</f>
        <v>0.67612320000000004</v>
      </c>
      <c r="T11" s="85">
        <f>IF(AND(高電圧出力!T11&gt;高温過積載率!T11,高電圧出力!T11&lt;100%,過積載率!T11&lt;100%),高温過積載率!T11,0)</f>
        <v>0.71368560000000014</v>
      </c>
      <c r="U11" s="85">
        <f>IF(AND(高電圧出力!U11&gt;高温過積載率!U11,高電圧出力!U11&lt;100%,過積載率!U11&lt;100%),高温過積載率!U11,0)</f>
        <v>0.75124800000000014</v>
      </c>
      <c r="V11" s="85">
        <f>IF(AND(高電圧出力!V11&gt;高温過積載率!V11,高電圧出力!V11&lt;100%,過積載率!V11&lt;100%),高温過積載率!V11,0)</f>
        <v>0</v>
      </c>
      <c r="W11" s="85">
        <f>IF(AND(高電圧出力!W11&gt;高温過積載率!W11,高電圧出力!W11&lt;100%,過積載率!W11&lt;100%),高温過積載率!W11,0)</f>
        <v>0</v>
      </c>
      <c r="X11" s="85">
        <f>IF(AND(高電圧出力!X11&gt;高温過積載率!X11,高電圧出力!X11&lt;100%,過積載率!X11&lt;100%),高温過積載率!X11,0)</f>
        <v>0</v>
      </c>
      <c r="Y11" s="85">
        <f>IF(AND(高電圧出力!Y11&gt;高温過積載率!Y11,高電圧出力!Y11&lt;100%,過積載率!Y11&lt;100%),高温過積載率!Y11,0)</f>
        <v>0</v>
      </c>
      <c r="Z11" s="85">
        <f>IF(AND(高電圧出力!Z11&gt;高温過積載率!Z11,高電圧出力!Z11&lt;100%,過積載率!Z11&lt;100%),高温過積載率!Z11,0)</f>
        <v>0</v>
      </c>
      <c r="AA11" s="85">
        <f>IF(AND(高電圧出力!AA11&gt;高温過積載率!AA11,高電圧出力!AA11&lt;100%,過積載率!AA11&lt;100%),高温過積載率!AA11,0)</f>
        <v>0</v>
      </c>
      <c r="AB11" s="85">
        <f>IF(AND(高電圧出力!AB11&gt;高温過積載率!AB11,高電圧出力!AB11&lt;100%,過積載率!AB11&lt;100%),高温過積載率!AB11,0)</f>
        <v>0</v>
      </c>
      <c r="AC11" s="85">
        <f>IF(AND(高電圧出力!AC11&gt;高温過積載率!AC11,高電圧出力!AC11&lt;100%,過積載率!AC11&lt;100%),高温過積載率!AC11,0)</f>
        <v>0</v>
      </c>
      <c r="AD11" s="85">
        <f>IF(AND(高電圧出力!AD11&gt;高温過積載率!AD11,高電圧出力!AD11&lt;100%,過積載率!AD11&lt;100%),高温過積載率!AD11,0)</f>
        <v>0</v>
      </c>
      <c r="AE11" s="85">
        <f>IF(AND(高電圧出力!AE11&gt;高温過積載率!AE11,高電圧出力!AE11&lt;100%,過積載率!AE11&lt;100%),高温過積載率!AE11,0)</f>
        <v>0</v>
      </c>
      <c r="AF11" s="85">
        <f>IF(AND(高電圧出力!AF11&gt;高温過積載率!AF11,高電圧出力!AF11&lt;100%,過積載率!AF11&lt;100%),高温過積載率!AF11,0)</f>
        <v>0</v>
      </c>
      <c r="AG11" s="85">
        <f>IF(AND(高電圧出力!AG11&gt;高温過積載率!AG11,高電圧出力!AG11&lt;100%,過積載率!AG11&lt;100%),高温過積載率!AG11,0)</f>
        <v>0</v>
      </c>
      <c r="AH11" s="85">
        <f>IF(AND(高電圧出力!AH11&gt;高温過積載率!AH11,高電圧出力!AH11&lt;100%,過積載率!AH11&lt;100%),高温過積載率!AH11,0)</f>
        <v>0</v>
      </c>
      <c r="AI11" s="85">
        <f>IF(AND(高電圧出力!AI11&gt;高温過積載率!AI11,高電圧出力!AI11&lt;100%,過積載率!AI11&lt;100%),高温過積載率!AI11,0)</f>
        <v>0</v>
      </c>
      <c r="AJ11" s="85">
        <f>IF(AND(高電圧出力!AJ11&gt;高温過積載率!AJ11,高電圧出力!AJ11&lt;100%,過積載率!AJ11&lt;100%),高温過積載率!AJ11,0)</f>
        <v>0</v>
      </c>
      <c r="AK11" s="85">
        <f>IF(AND(高電圧出力!AK11&gt;高温過積載率!AK11,高電圧出力!AK11&lt;100%,過積載率!AK11&lt;100%),高温過積載率!AK11,0)</f>
        <v>0</v>
      </c>
      <c r="AL11" s="85">
        <f>IF(AND(高電圧出力!AL11&gt;高温過積載率!AL11,高電圧出力!AL11&lt;100%,過積載率!AL11&lt;100%),高温過積載率!AL11,0)</f>
        <v>0</v>
      </c>
      <c r="AM11" s="85">
        <f>IF(AND(高電圧出力!AM11&gt;高温過積載率!AM11,高電圧出力!AM11&lt;100%,過積載率!AM11&lt;100%),高温過積載率!AM11,0)</f>
        <v>0</v>
      </c>
      <c r="AN11" s="85">
        <f>IF(AND(高電圧出力!AN11&gt;高温過積載率!AN11,高電圧出力!AN11&lt;100%,過積載率!AN11&lt;100%),高温過積載率!AN11,0)</f>
        <v>0</v>
      </c>
      <c r="AO11" s="85">
        <f>IF(AND(高電圧出力!AO11&gt;高温過積載率!AO11,高電圧出力!AO11&lt;100%,過積載率!AO11&lt;100%),高温過積載率!AO11,0)</f>
        <v>0</v>
      </c>
    </row>
    <row r="12" spans="1:41">
      <c r="A12">
        <v>10</v>
      </c>
      <c r="B12" s="85">
        <f>IF(AND(高電圧出力!B12&gt;高温過積載率!B12,高電圧出力!B12&lt;100%,過積載率!B12&lt;100%),高温過積載率!B12,0)</f>
        <v>0</v>
      </c>
      <c r="C12" s="85">
        <f>IF(AND(高電圧出力!C12&gt;高温過積載率!C12,高電圧出力!C12&lt;100%,過積載率!C12&lt;100%),高温過積載率!C12,0)</f>
        <v>0</v>
      </c>
      <c r="D12" s="85">
        <f>IF(AND(高電圧出力!D12&gt;高温過積載率!D12,高電圧出力!D12&lt;100%,過積載率!D12&lt;100%),高温過積載率!D12,0)</f>
        <v>0</v>
      </c>
      <c r="E12" s="85">
        <f>IF(AND(高電圧出力!E12&gt;高温過積載率!E12,高電圧出力!E12&lt;100%,過積載率!E12&lt;100%),高温過積載率!E12,0)</f>
        <v>0</v>
      </c>
      <c r="F12" s="85">
        <f>IF(AND(高電圧出力!F12&gt;高温過積載率!F12,高電圧出力!F12&lt;100%,過積載率!F12&lt;100%),高温過積載率!F12,0)</f>
        <v>0</v>
      </c>
      <c r="G12" s="85">
        <f>IF(AND(高電圧出力!G12&gt;高温過積載率!G12,高電圧出力!G12&lt;100%,過積載率!G12&lt;100%),高温過積載率!G12,0)</f>
        <v>0</v>
      </c>
      <c r="H12" s="85">
        <f>IF(AND(高電圧出力!H12&gt;高温過積載率!H12,高電圧出力!H12&lt;100%,過積載率!H12&lt;100%),高温過積載率!H12,0)</f>
        <v>0</v>
      </c>
      <c r="I12" s="85">
        <f>IF(AND(高電圧出力!I12&gt;高温過積載率!I12,高電圧出力!I12&lt;100%,過積載率!I12&lt;100%),高温過積載率!I12,0)</f>
        <v>0</v>
      </c>
      <c r="J12" s="85">
        <f>IF(AND(高電圧出力!J12&gt;高温過積載率!J12,高電圧出力!J12&lt;100%,過積載率!J12&lt;100%),高温過積載率!J12,0)</f>
        <v>0</v>
      </c>
      <c r="K12" s="85">
        <f>IF(AND(高電圧出力!K12&gt;高温過積載率!K12,高電圧出力!K12&lt;100%,過積載率!K12&lt;100%),高温過積載率!K12,0)</f>
        <v>0</v>
      </c>
      <c r="L12" s="85">
        <f>IF(AND(高電圧出力!L12&gt;高温過積載率!L12,高電圧出力!L12&lt;100%,過積載率!L12&lt;100%),高温過積載率!L12,0)</f>
        <v>0</v>
      </c>
      <c r="M12" s="85">
        <f>IF(AND(高電圧出力!M12&gt;高温過積載率!M12,高電圧出力!M12&lt;100%,過積載率!M12&lt;100%),高温過積載率!M12,0)</f>
        <v>0</v>
      </c>
      <c r="N12" s="85">
        <f>IF(AND(高電圧出力!N12&gt;高温過積載率!N12,高電圧出力!N12&lt;100%,過積載率!N12&lt;100%),高温過積載率!N12,0)</f>
        <v>0</v>
      </c>
      <c r="O12" s="85">
        <f>IF(AND(高電圧出力!O12&gt;高温過積載率!O12,高電圧出力!O12&lt;100%,過積載率!O12&lt;100%),高温過積載率!O12,0)</f>
        <v>0.58430400000000005</v>
      </c>
      <c r="P12" s="85">
        <f>IF(AND(高電圧出力!P12&gt;高温過積載率!P12,高電圧出力!P12&lt;100%,過積載率!P12&lt;100%),高温過積載率!P12,0)</f>
        <v>0.62604000000000004</v>
      </c>
      <c r="Q12" s="85">
        <f>IF(AND(高電圧出力!Q12&gt;高温過積載率!Q12,高電圧出力!Q12&lt;100%,過積載率!Q12&lt;100%),高温過積載率!Q12,0)</f>
        <v>0.66777600000000004</v>
      </c>
      <c r="R12" s="85">
        <f>IF(AND(高電圧出力!R12&gt;高温過積載率!R12,高電圧出力!R12&lt;100%,過積載率!R12&lt;100%),高温過積載率!R12,0)</f>
        <v>0.70951200000000014</v>
      </c>
      <c r="S12" s="85">
        <f>IF(AND(高電圧出力!S12&gt;高温過積載率!S12,高電圧出力!S12&lt;100%,過積載率!S12&lt;100%),高温過積載率!S12,0)</f>
        <v>0.75124800000000014</v>
      </c>
      <c r="T12" s="85">
        <f>IF(AND(高電圧出力!T12&gt;高温過積載率!T12,高電圧出力!T12&lt;100%,過積載率!T12&lt;100%),高温過積載率!T12,0)</f>
        <v>0.79298400000000013</v>
      </c>
      <c r="U12" s="85">
        <f>IF(AND(高電圧出力!U12&gt;高温過積載率!U12,高電圧出力!U12&lt;100%,過積載率!U12&lt;100%),高温過積載率!U12,0)</f>
        <v>0.83472000000000013</v>
      </c>
      <c r="V12" s="85">
        <f>IF(AND(高電圧出力!V12&gt;高温過積載率!V12,高電圧出力!V12&lt;100%,過積載率!V12&lt;100%),高温過積載率!V12,0)</f>
        <v>0</v>
      </c>
      <c r="W12" s="85">
        <f>IF(AND(高電圧出力!W12&gt;高温過積載率!W12,高電圧出力!W12&lt;100%,過積載率!W12&lt;100%),高温過積載率!W12,0)</f>
        <v>0</v>
      </c>
      <c r="X12" s="85">
        <f>IF(AND(高電圧出力!X12&gt;高温過積載率!X12,高電圧出力!X12&lt;100%,過積載率!X12&lt;100%),高温過積載率!X12,0)</f>
        <v>0</v>
      </c>
      <c r="Y12" s="85">
        <f>IF(AND(高電圧出力!Y12&gt;高温過積載率!Y12,高電圧出力!Y12&lt;100%,過積載率!Y12&lt;100%),高温過積載率!Y12,0)</f>
        <v>0</v>
      </c>
      <c r="Z12" s="85">
        <f>IF(AND(高電圧出力!Z12&gt;高温過積載率!Z12,高電圧出力!Z12&lt;100%,過積載率!Z12&lt;100%),高温過積載率!Z12,0)</f>
        <v>0</v>
      </c>
      <c r="AA12" s="85">
        <f>IF(AND(高電圧出力!AA12&gt;高温過積載率!AA12,高電圧出力!AA12&lt;100%,過積載率!AA12&lt;100%),高温過積載率!AA12,0)</f>
        <v>0</v>
      </c>
      <c r="AB12" s="85">
        <f>IF(AND(高電圧出力!AB12&gt;高温過積載率!AB12,高電圧出力!AB12&lt;100%,過積載率!AB12&lt;100%),高温過積載率!AB12,0)</f>
        <v>0</v>
      </c>
      <c r="AC12" s="85">
        <f>IF(AND(高電圧出力!AC12&gt;高温過積載率!AC12,高電圧出力!AC12&lt;100%,過積載率!AC12&lt;100%),高温過積載率!AC12,0)</f>
        <v>0</v>
      </c>
      <c r="AD12" s="85">
        <f>IF(AND(高電圧出力!AD12&gt;高温過積載率!AD12,高電圧出力!AD12&lt;100%,過積載率!AD12&lt;100%),高温過積載率!AD12,0)</f>
        <v>0</v>
      </c>
      <c r="AE12" s="85">
        <f>IF(AND(高電圧出力!AE12&gt;高温過積載率!AE12,高電圧出力!AE12&lt;100%,過積載率!AE12&lt;100%),高温過積載率!AE12,0)</f>
        <v>0</v>
      </c>
      <c r="AF12" s="85">
        <f>IF(AND(高電圧出力!AF12&gt;高温過積載率!AF12,高電圧出力!AF12&lt;100%,過積載率!AF12&lt;100%),高温過積載率!AF12,0)</f>
        <v>0</v>
      </c>
      <c r="AG12" s="85">
        <f>IF(AND(高電圧出力!AG12&gt;高温過積載率!AG12,高電圧出力!AG12&lt;100%,過積載率!AG12&lt;100%),高温過積載率!AG12,0)</f>
        <v>0</v>
      </c>
      <c r="AH12" s="85">
        <f>IF(AND(高電圧出力!AH12&gt;高温過積載率!AH12,高電圧出力!AH12&lt;100%,過積載率!AH12&lt;100%),高温過積載率!AH12,0)</f>
        <v>0</v>
      </c>
      <c r="AI12" s="85">
        <f>IF(AND(高電圧出力!AI12&gt;高温過積載率!AI12,高電圧出力!AI12&lt;100%,過積載率!AI12&lt;100%),高温過積載率!AI12,0)</f>
        <v>0</v>
      </c>
      <c r="AJ12" s="85">
        <f>IF(AND(高電圧出力!AJ12&gt;高温過積載率!AJ12,高電圧出力!AJ12&lt;100%,過積載率!AJ12&lt;100%),高温過積載率!AJ12,0)</f>
        <v>0</v>
      </c>
      <c r="AK12" s="85">
        <f>IF(AND(高電圧出力!AK12&gt;高温過積載率!AK12,高電圧出力!AK12&lt;100%,過積載率!AK12&lt;100%),高温過積載率!AK12,0)</f>
        <v>0</v>
      </c>
      <c r="AL12" s="85">
        <f>IF(AND(高電圧出力!AL12&gt;高温過積載率!AL12,高電圧出力!AL12&lt;100%,過積載率!AL12&lt;100%),高温過積載率!AL12,0)</f>
        <v>0</v>
      </c>
      <c r="AM12" s="85">
        <f>IF(AND(高電圧出力!AM12&gt;高温過積載率!AM12,高電圧出力!AM12&lt;100%,過積載率!AM12&lt;100%),高温過積載率!AM12,0)</f>
        <v>0</v>
      </c>
      <c r="AN12" s="85">
        <f>IF(AND(高電圧出力!AN12&gt;高温過積載率!AN12,高電圧出力!AN12&lt;100%,過積載率!AN12&lt;100%),高温過積載率!AN12,0)</f>
        <v>0</v>
      </c>
      <c r="AO12" s="85">
        <f>IF(AND(高電圧出力!AO12&gt;高温過積載率!AO12,高電圧出力!AO12&lt;100%,過積載率!AO12&lt;100%),高温過積載率!AO12,0)</f>
        <v>0</v>
      </c>
    </row>
    <row r="13" spans="1:41">
      <c r="A13">
        <v>11</v>
      </c>
      <c r="B13" s="85">
        <f>IF(AND(高電圧出力!B13&gt;高温過積載率!B13,高電圧出力!B13&lt;100%,過積載率!B13&lt;100%),高温過積載率!B13,0)</f>
        <v>0</v>
      </c>
      <c r="C13" s="85">
        <f>IF(AND(高電圧出力!C13&gt;高温過積載率!C13,高電圧出力!C13&lt;100%,過積載率!C13&lt;100%),高温過積載率!C13,0)</f>
        <v>0</v>
      </c>
      <c r="D13" s="85">
        <f>IF(AND(高電圧出力!D13&gt;高温過積載率!D13,高電圧出力!D13&lt;100%,過積載率!D13&lt;100%),高温過積載率!D13,0)</f>
        <v>0</v>
      </c>
      <c r="E13" s="85">
        <f>IF(AND(高電圧出力!E13&gt;高温過積載率!E13,高電圧出力!E13&lt;100%,過積載率!E13&lt;100%),高温過積載率!E13,0)</f>
        <v>0</v>
      </c>
      <c r="F13" s="85">
        <f>IF(AND(高電圧出力!F13&gt;高温過積載率!F13,高電圧出力!F13&lt;100%,過積載率!F13&lt;100%),高温過積載率!F13,0)</f>
        <v>0</v>
      </c>
      <c r="G13" s="85">
        <f>IF(AND(高電圧出力!G13&gt;高温過積載率!G13,高電圧出力!G13&lt;100%,過積載率!G13&lt;100%),高温過積載率!G13,0)</f>
        <v>0</v>
      </c>
      <c r="H13" s="85">
        <f>IF(AND(高電圧出力!H13&gt;高温過積載率!H13,高電圧出力!H13&lt;100%,過積載率!H13&lt;100%),高温過積載率!H13,0)</f>
        <v>0</v>
      </c>
      <c r="I13" s="85">
        <f>IF(AND(高電圧出力!I13&gt;高温過積載率!I13,高電圧出力!I13&lt;100%,過積載率!I13&lt;100%),高温過積載率!I13,0)</f>
        <v>0</v>
      </c>
      <c r="J13" s="85">
        <f>IF(AND(高電圧出力!J13&gt;高温過積載率!J13,高電圧出力!J13&lt;100%,過積載率!J13&lt;100%),高温過積載率!J13,0)</f>
        <v>0</v>
      </c>
      <c r="K13" s="85">
        <f>IF(AND(高電圧出力!K13&gt;高温過積載率!K13,高電圧出力!K13&lt;100%,過積載率!K13&lt;100%),高温過積載率!K13,0)</f>
        <v>0</v>
      </c>
      <c r="L13" s="85">
        <f>IF(AND(高電圧出力!L13&gt;高温過積載率!L13,高電圧出力!L13&lt;100%,過積載率!L13&lt;100%),高温過積載率!L13,0)</f>
        <v>0</v>
      </c>
      <c r="M13" s="85">
        <f>IF(AND(高電圧出力!M13&gt;高温過積載率!M13,高電圧出力!M13&lt;100%,過積載率!M13&lt;100%),高温過積載率!M13,0)</f>
        <v>0</v>
      </c>
      <c r="N13" s="85">
        <f>IF(AND(高電圧出力!N13&gt;高温過積載率!N13,高電圧出力!N13&lt;100%,過積載率!N13&lt;100%),高温過積載率!N13,0)</f>
        <v>0</v>
      </c>
      <c r="O13" s="85">
        <f>IF(AND(高電圧出力!O13&gt;高温過積載率!O13,高電圧出力!O13&lt;100%,過積載率!O13&lt;100%),高温過積載率!O13,0)</f>
        <v>0</v>
      </c>
      <c r="P13" s="85">
        <f>IF(AND(高電圧出力!P13&gt;高温過積載率!P13,高電圧出力!P13&lt;100%,過積載率!P13&lt;100%),高温過積載率!P13,0)</f>
        <v>0.68864400000000014</v>
      </c>
      <c r="Q13" s="85">
        <f>IF(AND(高電圧出力!Q13&gt;高温過積載率!Q13,高電圧出力!Q13&lt;100%,過積載率!Q13&lt;100%),高温過積載率!Q13,0)</f>
        <v>0.73455360000000014</v>
      </c>
      <c r="R13" s="85">
        <f>IF(AND(高電圧出力!R13&gt;高温過積載率!R13,高電圧出力!R13&lt;100%,過積載率!R13&lt;100%),高温過積載率!R13,0)</f>
        <v>0.78046320000000002</v>
      </c>
      <c r="S13" s="85">
        <f>IF(AND(高電圧出力!S13&gt;高温過積載率!S13,高電圧出力!S13&lt;100%,過積載率!S13&lt;100%),高温過積載率!S13,0)</f>
        <v>0.82637280000000002</v>
      </c>
      <c r="T13" s="85">
        <f>IF(AND(高電圧出力!T13&gt;高温過積載率!T13,高電圧出力!T13&lt;100%,過積載率!T13&lt;100%),高温過積載率!T13,0)</f>
        <v>0</v>
      </c>
      <c r="U13" s="85">
        <f>IF(AND(高電圧出力!U13&gt;高温過積載率!U13,高電圧出力!U13&lt;100%,過積載率!U13&lt;100%),高温過積載率!U13,0)</f>
        <v>0</v>
      </c>
      <c r="V13" s="85">
        <f>IF(AND(高電圧出力!V13&gt;高温過積載率!V13,高電圧出力!V13&lt;100%,過積載率!V13&lt;100%),高温過積載率!V13,0)</f>
        <v>0</v>
      </c>
      <c r="W13" s="85">
        <f>IF(AND(高電圧出力!W13&gt;高温過積載率!W13,高電圧出力!W13&lt;100%,過積載率!W13&lt;100%),高温過積載率!W13,0)</f>
        <v>0</v>
      </c>
      <c r="X13" s="85">
        <f>IF(AND(高電圧出力!X13&gt;高温過積載率!X13,高電圧出力!X13&lt;100%,過積載率!X13&lt;100%),高温過積載率!X13,0)</f>
        <v>0</v>
      </c>
      <c r="Y13" s="85">
        <f>IF(AND(高電圧出力!Y13&gt;高温過積載率!Y13,高電圧出力!Y13&lt;100%,過積載率!Y13&lt;100%),高温過積載率!Y13,0)</f>
        <v>0</v>
      </c>
      <c r="Z13" s="85">
        <f>IF(AND(高電圧出力!Z13&gt;高温過積載率!Z13,高電圧出力!Z13&lt;100%,過積載率!Z13&lt;100%),高温過積載率!Z13,0)</f>
        <v>0</v>
      </c>
      <c r="AA13" s="85">
        <f>IF(AND(高電圧出力!AA13&gt;高温過積載率!AA13,高電圧出力!AA13&lt;100%,過積載率!AA13&lt;100%),高温過積載率!AA13,0)</f>
        <v>0</v>
      </c>
      <c r="AB13" s="85">
        <f>IF(AND(高電圧出力!AB13&gt;高温過積載率!AB13,高電圧出力!AB13&lt;100%,過積載率!AB13&lt;100%),高温過積載率!AB13,0)</f>
        <v>0</v>
      </c>
      <c r="AC13" s="85">
        <f>IF(AND(高電圧出力!AC13&gt;高温過積載率!AC13,高電圧出力!AC13&lt;100%,過積載率!AC13&lt;100%),高温過積載率!AC13,0)</f>
        <v>0</v>
      </c>
      <c r="AD13" s="85">
        <f>IF(AND(高電圧出力!AD13&gt;高温過積載率!AD13,高電圧出力!AD13&lt;100%,過積載率!AD13&lt;100%),高温過積載率!AD13,0)</f>
        <v>0</v>
      </c>
      <c r="AE13" s="85">
        <f>IF(AND(高電圧出力!AE13&gt;高温過積載率!AE13,高電圧出力!AE13&lt;100%,過積載率!AE13&lt;100%),高温過積載率!AE13,0)</f>
        <v>0</v>
      </c>
      <c r="AF13" s="85">
        <f>IF(AND(高電圧出力!AF13&gt;高温過積載率!AF13,高電圧出力!AF13&lt;100%,過積載率!AF13&lt;100%),高温過積載率!AF13,0)</f>
        <v>0</v>
      </c>
      <c r="AG13" s="85">
        <f>IF(AND(高電圧出力!AG13&gt;高温過積載率!AG13,高電圧出力!AG13&lt;100%,過積載率!AG13&lt;100%),高温過積載率!AG13,0)</f>
        <v>0</v>
      </c>
      <c r="AH13" s="85">
        <f>IF(AND(高電圧出力!AH13&gt;高温過積載率!AH13,高電圧出力!AH13&lt;100%,過積載率!AH13&lt;100%),高温過積載率!AH13,0)</f>
        <v>0</v>
      </c>
      <c r="AI13" s="85">
        <f>IF(AND(高電圧出力!AI13&gt;高温過積載率!AI13,高電圧出力!AI13&lt;100%,過積載率!AI13&lt;100%),高温過積載率!AI13,0)</f>
        <v>0</v>
      </c>
      <c r="AJ13" s="85">
        <f>IF(AND(高電圧出力!AJ13&gt;高温過積載率!AJ13,高電圧出力!AJ13&lt;100%,過積載率!AJ13&lt;100%),高温過積載率!AJ13,0)</f>
        <v>0</v>
      </c>
      <c r="AK13" s="85">
        <f>IF(AND(高電圧出力!AK13&gt;高温過積載率!AK13,高電圧出力!AK13&lt;100%,過積載率!AK13&lt;100%),高温過積載率!AK13,0)</f>
        <v>0</v>
      </c>
      <c r="AL13" s="85">
        <f>IF(AND(高電圧出力!AL13&gt;高温過積載率!AL13,高電圧出力!AL13&lt;100%,過積載率!AL13&lt;100%),高温過積載率!AL13,0)</f>
        <v>0</v>
      </c>
      <c r="AM13" s="85">
        <f>IF(AND(高電圧出力!AM13&gt;高温過積載率!AM13,高電圧出力!AM13&lt;100%,過積載率!AM13&lt;100%),高温過積載率!AM13,0)</f>
        <v>0</v>
      </c>
      <c r="AN13" s="85">
        <f>IF(AND(高電圧出力!AN13&gt;高温過積載率!AN13,高電圧出力!AN13&lt;100%,過積載率!AN13&lt;100%),高温過積載率!AN13,0)</f>
        <v>0</v>
      </c>
      <c r="AO13" s="85">
        <f>IF(AND(高電圧出力!AO13&gt;高温過積載率!AO13,高電圧出力!AO13&lt;100%,過積載率!AO13&lt;100%),高温過積載率!AO13,0)</f>
        <v>0</v>
      </c>
    </row>
    <row r="14" spans="1:41">
      <c r="A14">
        <v>12</v>
      </c>
      <c r="B14" s="85">
        <f>IF(AND(高電圧出力!B14&gt;高温過積載率!B14,高電圧出力!B14&lt;100%,過積載率!B14&lt;100%),高温過積載率!B14,0)</f>
        <v>0</v>
      </c>
      <c r="C14" s="85">
        <f>IF(AND(高電圧出力!C14&gt;高温過積載率!C14,高電圧出力!C14&lt;100%,過積載率!C14&lt;100%),高温過積載率!C14,0)</f>
        <v>0</v>
      </c>
      <c r="D14" s="85">
        <f>IF(AND(高電圧出力!D14&gt;高温過積載率!D14,高電圧出力!D14&lt;100%,過積載率!D14&lt;100%),高温過積載率!D14,0)</f>
        <v>0</v>
      </c>
      <c r="E14" s="85">
        <f>IF(AND(高電圧出力!E14&gt;高温過積載率!E14,高電圧出力!E14&lt;100%,過積載率!E14&lt;100%),高温過積載率!E14,0)</f>
        <v>0</v>
      </c>
      <c r="F14" s="85">
        <f>IF(AND(高電圧出力!F14&gt;高温過積載率!F14,高電圧出力!F14&lt;100%,過積載率!F14&lt;100%),高温過積載率!F14,0)</f>
        <v>0</v>
      </c>
      <c r="G14" s="85">
        <f>IF(AND(高電圧出力!G14&gt;高温過積載率!G14,高電圧出力!G14&lt;100%,過積載率!G14&lt;100%),高温過積載率!G14,0)</f>
        <v>0</v>
      </c>
      <c r="H14" s="85">
        <f>IF(AND(高電圧出力!H14&gt;高温過積載率!H14,高電圧出力!H14&lt;100%,過積載率!H14&lt;100%),高温過積載率!H14,0)</f>
        <v>0</v>
      </c>
      <c r="I14" s="85">
        <f>IF(AND(高電圧出力!I14&gt;高温過積載率!I14,高電圧出力!I14&lt;100%,過積載率!I14&lt;100%),高温過積載率!I14,0)</f>
        <v>0</v>
      </c>
      <c r="J14" s="85">
        <f>IF(AND(高電圧出力!J14&gt;高温過積載率!J14,高電圧出力!J14&lt;100%,過積載率!J14&lt;100%),高温過積載率!J14,0)</f>
        <v>0</v>
      </c>
      <c r="K14" s="85">
        <f>IF(AND(高電圧出力!K14&gt;高温過積載率!K14,高電圧出力!K14&lt;100%,過積載率!K14&lt;100%),高温過積載率!K14,0)</f>
        <v>0</v>
      </c>
      <c r="L14" s="85">
        <f>IF(AND(高電圧出力!L14&gt;高温過積載率!L14,高電圧出力!L14&lt;100%,過積載率!L14&lt;100%),高温過積載率!L14,0)</f>
        <v>0</v>
      </c>
      <c r="M14" s="85">
        <f>IF(AND(高電圧出力!M14&gt;高温過積載率!M14,高電圧出力!M14&lt;100%,過積載率!M14&lt;100%),高温過積載率!M14,0)</f>
        <v>0</v>
      </c>
      <c r="N14" s="85">
        <f>IF(AND(高電圧出力!N14&gt;高温過積載率!N14,高電圧出力!N14&lt;100%,過積載率!N14&lt;100%),高温過積載率!N14,0)</f>
        <v>0</v>
      </c>
      <c r="O14" s="85">
        <f>IF(AND(高電圧出力!O14&gt;高温過積載率!O14,高電圧出力!O14&lt;100%,過積載率!O14&lt;100%),高温過積載率!O14,0)</f>
        <v>0</v>
      </c>
      <c r="P14" s="85">
        <f>IF(AND(高電圧出力!P14&gt;高温過積載率!P14,高電圧出力!P14&lt;100%,過積載率!P14&lt;100%),高温過積載率!P14,0)</f>
        <v>0</v>
      </c>
      <c r="Q14" s="85">
        <f>IF(AND(高電圧出力!Q14&gt;高温過積載率!Q14,高電圧出力!Q14&lt;100%,過積載率!Q14&lt;100%),高温過積載率!Q14,0)</f>
        <v>0</v>
      </c>
      <c r="R14" s="85">
        <f>IF(AND(高電圧出力!R14&gt;高温過積載率!R14,高電圧出力!R14&lt;100%,過積載率!R14&lt;100%),高温過積載率!R14,0)</f>
        <v>0</v>
      </c>
      <c r="S14" s="85">
        <f>IF(AND(高電圧出力!S14&gt;高温過積載率!S14,高電圧出力!S14&lt;100%,過積載率!S14&lt;100%),高温過積載率!S14,0)</f>
        <v>0</v>
      </c>
      <c r="T14" s="85">
        <f>IF(AND(高電圧出力!T14&gt;高温過積載率!T14,高電圧出力!T14&lt;100%,過積載率!T14&lt;100%),高温過積載率!T14,0)</f>
        <v>0</v>
      </c>
      <c r="U14" s="85">
        <f>IF(AND(高電圧出力!U14&gt;高温過積載率!U14,高電圧出力!U14&lt;100%,過積載率!U14&lt;100%),高温過積載率!U14,0)</f>
        <v>0</v>
      </c>
      <c r="V14" s="85">
        <f>IF(AND(高電圧出力!V14&gt;高温過積載率!V14,高電圧出力!V14&lt;100%,過積載率!V14&lt;100%),高温過積載率!V14,0)</f>
        <v>0</v>
      </c>
      <c r="W14" s="85">
        <f>IF(AND(高電圧出力!W14&gt;高温過積載率!W14,高電圧出力!W14&lt;100%,過積載率!W14&lt;100%),高温過積載率!W14,0)</f>
        <v>0</v>
      </c>
      <c r="X14" s="85">
        <f>IF(AND(高電圧出力!X14&gt;高温過積載率!X14,高電圧出力!X14&lt;100%,過積載率!X14&lt;100%),高温過積載率!X14,0)</f>
        <v>0</v>
      </c>
      <c r="Y14" s="85">
        <f>IF(AND(高電圧出力!Y14&gt;高温過積載率!Y14,高電圧出力!Y14&lt;100%,過積載率!Y14&lt;100%),高温過積載率!Y14,0)</f>
        <v>0</v>
      </c>
      <c r="Z14" s="85">
        <f>IF(AND(高電圧出力!Z14&gt;高温過積載率!Z14,高電圧出力!Z14&lt;100%,過積載率!Z14&lt;100%),高温過積載率!Z14,0)</f>
        <v>0</v>
      </c>
      <c r="AA14" s="85">
        <f>IF(AND(高電圧出力!AA14&gt;高温過積載率!AA14,高電圧出力!AA14&lt;100%,過積載率!AA14&lt;100%),高温過積載率!AA14,0)</f>
        <v>0</v>
      </c>
      <c r="AB14" s="85">
        <f>IF(AND(高電圧出力!AB14&gt;高温過積載率!AB14,高電圧出力!AB14&lt;100%,過積載率!AB14&lt;100%),高温過積載率!AB14,0)</f>
        <v>0</v>
      </c>
      <c r="AC14" s="85">
        <f>IF(AND(高電圧出力!AC14&gt;高温過積載率!AC14,高電圧出力!AC14&lt;100%,過積載率!AC14&lt;100%),高温過積載率!AC14,0)</f>
        <v>0</v>
      </c>
      <c r="AD14" s="85">
        <f>IF(AND(高電圧出力!AD14&gt;高温過積載率!AD14,高電圧出力!AD14&lt;100%,過積載率!AD14&lt;100%),高温過積載率!AD14,0)</f>
        <v>0</v>
      </c>
      <c r="AE14" s="85">
        <f>IF(AND(高電圧出力!AE14&gt;高温過積載率!AE14,高電圧出力!AE14&lt;100%,過積載率!AE14&lt;100%),高温過積載率!AE14,0)</f>
        <v>0</v>
      </c>
      <c r="AF14" s="85">
        <f>IF(AND(高電圧出力!AF14&gt;高温過積載率!AF14,高電圧出力!AF14&lt;100%,過積載率!AF14&lt;100%),高温過積載率!AF14,0)</f>
        <v>0</v>
      </c>
      <c r="AG14" s="85">
        <f>IF(AND(高電圧出力!AG14&gt;高温過積載率!AG14,高電圧出力!AG14&lt;100%,過積載率!AG14&lt;100%),高温過積載率!AG14,0)</f>
        <v>0</v>
      </c>
      <c r="AH14" s="85">
        <f>IF(AND(高電圧出力!AH14&gt;高温過積載率!AH14,高電圧出力!AH14&lt;100%,過積載率!AH14&lt;100%),高温過積載率!AH14,0)</f>
        <v>0</v>
      </c>
      <c r="AI14" s="85">
        <f>IF(AND(高電圧出力!AI14&gt;高温過積載率!AI14,高電圧出力!AI14&lt;100%,過積載率!AI14&lt;100%),高温過積載率!AI14,0)</f>
        <v>0</v>
      </c>
      <c r="AJ14" s="85">
        <f>IF(AND(高電圧出力!AJ14&gt;高温過積載率!AJ14,高電圧出力!AJ14&lt;100%,過積載率!AJ14&lt;100%),高温過積載率!AJ14,0)</f>
        <v>0</v>
      </c>
      <c r="AK14" s="85">
        <f>IF(AND(高電圧出力!AK14&gt;高温過積載率!AK14,高電圧出力!AK14&lt;100%,過積載率!AK14&lt;100%),高温過積載率!AK14,0)</f>
        <v>0</v>
      </c>
      <c r="AL14" s="85">
        <f>IF(AND(高電圧出力!AL14&gt;高温過積載率!AL14,高電圧出力!AL14&lt;100%,過積載率!AL14&lt;100%),高温過積載率!AL14,0)</f>
        <v>0</v>
      </c>
      <c r="AM14" s="85">
        <f>IF(AND(高電圧出力!AM14&gt;高温過積載率!AM14,高電圧出力!AM14&lt;100%,過積載率!AM14&lt;100%),高温過積載率!AM14,0)</f>
        <v>0</v>
      </c>
      <c r="AN14" s="85">
        <f>IF(AND(高電圧出力!AN14&gt;高温過積載率!AN14,高電圧出力!AN14&lt;100%,過積載率!AN14&lt;100%),高温過積載率!AN14,0)</f>
        <v>0</v>
      </c>
      <c r="AO14" s="85">
        <f>IF(AND(高電圧出力!AO14&gt;高温過積載率!AO14,高電圧出力!AO14&lt;100%,過積載率!AO14&lt;100%),高温過積載率!AO14,0)</f>
        <v>0</v>
      </c>
    </row>
    <row r="15" spans="1:41">
      <c r="A15">
        <v>13</v>
      </c>
      <c r="B15" s="85">
        <f>IF(AND(高電圧出力!B15&gt;高温過積載率!B15,高電圧出力!B15&lt;100%,過積載率!B15&lt;100%),高温過積載率!B15,0)</f>
        <v>0</v>
      </c>
      <c r="C15" s="85">
        <f>IF(AND(高電圧出力!C15&gt;高温過積載率!C15,高電圧出力!C15&lt;100%,過積載率!C15&lt;100%),高温過積載率!C15,0)</f>
        <v>0</v>
      </c>
      <c r="D15" s="85">
        <f>IF(AND(高電圧出力!D15&gt;高温過積載率!D15,高電圧出力!D15&lt;100%,過積載率!D15&lt;100%),高温過積載率!D15,0)</f>
        <v>0</v>
      </c>
      <c r="E15" s="85">
        <f>IF(AND(高電圧出力!E15&gt;高温過積載率!E15,高電圧出力!E15&lt;100%,過積載率!E15&lt;100%),高温過積載率!E15,0)</f>
        <v>0</v>
      </c>
      <c r="F15" s="85">
        <f>IF(AND(高電圧出力!F15&gt;高温過積載率!F15,高電圧出力!F15&lt;100%,過積載率!F15&lt;100%),高温過積載率!F15,0)</f>
        <v>0</v>
      </c>
      <c r="G15" s="85">
        <f>IF(AND(高電圧出力!G15&gt;高温過積載率!G15,高電圧出力!G15&lt;100%,過積載率!G15&lt;100%),高温過積載率!G15,0)</f>
        <v>0</v>
      </c>
      <c r="H15" s="85">
        <f>IF(AND(高電圧出力!H15&gt;高温過積載率!H15,高電圧出力!H15&lt;100%,過積載率!H15&lt;100%),高温過積載率!H15,0)</f>
        <v>0</v>
      </c>
      <c r="I15" s="85">
        <f>IF(AND(高電圧出力!I15&gt;高温過積載率!I15,高電圧出力!I15&lt;100%,過積載率!I15&lt;100%),高温過積載率!I15,0)</f>
        <v>0</v>
      </c>
      <c r="J15" s="85">
        <f>IF(AND(高電圧出力!J15&gt;高温過積載率!J15,高電圧出力!J15&lt;100%,過積載率!J15&lt;100%),高温過積載率!J15,0)</f>
        <v>0</v>
      </c>
      <c r="K15" s="85">
        <f>IF(AND(高電圧出力!K15&gt;高温過積載率!K15,高電圧出力!K15&lt;100%,過積載率!K15&lt;100%),高温過積載率!K15,0)</f>
        <v>0</v>
      </c>
      <c r="L15" s="85">
        <f>IF(AND(高電圧出力!L15&gt;高温過積載率!L15,高電圧出力!L15&lt;100%,過積載率!L15&lt;100%),高温過積載率!L15,0)</f>
        <v>0</v>
      </c>
      <c r="M15" s="85">
        <f>IF(AND(高電圧出力!M15&gt;高温過積載率!M15,高電圧出力!M15&lt;100%,過積載率!M15&lt;100%),高温過積載率!M15,0)</f>
        <v>0</v>
      </c>
      <c r="N15" s="85">
        <f>IF(AND(高電圧出力!N15&gt;高温過積載率!N15,高電圧出力!N15&lt;100%,過積載率!N15&lt;100%),高温過積載率!N15,0)</f>
        <v>0</v>
      </c>
      <c r="O15" s="85">
        <f>IF(AND(高電圧出力!O15&gt;高温過積載率!O15,高電圧出力!O15&lt;100%,過積載率!O15&lt;100%),高温過積載率!O15,0)</f>
        <v>0</v>
      </c>
      <c r="P15" s="85">
        <f>IF(AND(高電圧出力!P15&gt;高温過積載率!P15,高電圧出力!P15&lt;100%,過積載率!P15&lt;100%),高温過積載率!P15,0)</f>
        <v>0</v>
      </c>
      <c r="Q15" s="85">
        <f>IF(AND(高電圧出力!Q15&gt;高温過積載率!Q15,高電圧出力!Q15&lt;100%,過積載率!Q15&lt;100%),高温過積載率!Q15,0)</f>
        <v>0</v>
      </c>
      <c r="R15" s="85">
        <f>IF(AND(高電圧出力!R15&gt;高温過積載率!R15,高電圧出力!R15&lt;100%,過積載率!R15&lt;100%),高温過積載率!R15,0)</f>
        <v>0</v>
      </c>
      <c r="S15" s="85">
        <f>IF(AND(高電圧出力!S15&gt;高温過積載率!S15,高電圧出力!S15&lt;100%,過積載率!S15&lt;100%),高温過積載率!S15,0)</f>
        <v>0</v>
      </c>
      <c r="T15" s="85">
        <f>IF(AND(高電圧出力!T15&gt;高温過積載率!T15,高電圧出力!T15&lt;100%,過積載率!T15&lt;100%),高温過積載率!T15,0)</f>
        <v>0</v>
      </c>
      <c r="U15" s="85">
        <f>IF(AND(高電圧出力!U15&gt;高温過積載率!U15,高電圧出力!U15&lt;100%,過積載率!U15&lt;100%),高温過積載率!U15,0)</f>
        <v>0</v>
      </c>
      <c r="V15" s="85">
        <f>IF(AND(高電圧出力!V15&gt;高温過積載率!V15,高電圧出力!V15&lt;100%,過積載率!V15&lt;100%),高温過積載率!V15,0)</f>
        <v>0</v>
      </c>
      <c r="W15" s="85">
        <f>IF(AND(高電圧出力!W15&gt;高温過積載率!W15,高電圧出力!W15&lt;100%,過積載率!W15&lt;100%),高温過積載率!W15,0)</f>
        <v>0</v>
      </c>
      <c r="X15" s="85">
        <f>IF(AND(高電圧出力!X15&gt;高温過積載率!X15,高電圧出力!X15&lt;100%,過積載率!X15&lt;100%),高温過積載率!X15,0)</f>
        <v>0</v>
      </c>
      <c r="Y15" s="85">
        <f>IF(AND(高電圧出力!Y15&gt;高温過積載率!Y15,高電圧出力!Y15&lt;100%,過積載率!Y15&lt;100%),高温過積載率!Y15,0)</f>
        <v>0</v>
      </c>
      <c r="Z15" s="85">
        <f>IF(AND(高電圧出力!Z15&gt;高温過積載率!Z15,高電圧出力!Z15&lt;100%,過積載率!Z15&lt;100%),高温過積載率!Z15,0)</f>
        <v>0</v>
      </c>
      <c r="AA15" s="85">
        <f>IF(AND(高電圧出力!AA15&gt;高温過積載率!AA15,高電圧出力!AA15&lt;100%,過積載率!AA15&lt;100%),高温過積載率!AA15,0)</f>
        <v>0</v>
      </c>
      <c r="AB15" s="85">
        <f>IF(AND(高電圧出力!AB15&gt;高温過積載率!AB15,高電圧出力!AB15&lt;100%,過積載率!AB15&lt;100%),高温過積載率!AB15,0)</f>
        <v>0</v>
      </c>
      <c r="AC15" s="85">
        <f>IF(AND(高電圧出力!AC15&gt;高温過積載率!AC15,高電圧出力!AC15&lt;100%,過積載率!AC15&lt;100%),高温過積載率!AC15,0)</f>
        <v>0</v>
      </c>
      <c r="AD15" s="85">
        <f>IF(AND(高電圧出力!AD15&gt;高温過積載率!AD15,高電圧出力!AD15&lt;100%,過積載率!AD15&lt;100%),高温過積載率!AD15,0)</f>
        <v>0</v>
      </c>
      <c r="AE15" s="85">
        <f>IF(AND(高電圧出力!AE15&gt;高温過積載率!AE15,高電圧出力!AE15&lt;100%,過積載率!AE15&lt;100%),高温過積載率!AE15,0)</f>
        <v>0</v>
      </c>
      <c r="AF15" s="85">
        <f>IF(AND(高電圧出力!AF15&gt;高温過積載率!AF15,高電圧出力!AF15&lt;100%,過積載率!AF15&lt;100%),高温過積載率!AF15,0)</f>
        <v>0</v>
      </c>
      <c r="AG15" s="85">
        <f>IF(AND(高電圧出力!AG15&gt;高温過積載率!AG15,高電圧出力!AG15&lt;100%,過積載率!AG15&lt;100%),高温過積載率!AG15,0)</f>
        <v>0</v>
      </c>
      <c r="AH15" s="85">
        <f>IF(AND(高電圧出力!AH15&gt;高温過積載率!AH15,高電圧出力!AH15&lt;100%,過積載率!AH15&lt;100%),高温過積載率!AH15,0)</f>
        <v>0</v>
      </c>
      <c r="AI15" s="85">
        <f>IF(AND(高電圧出力!AI15&gt;高温過積載率!AI15,高電圧出力!AI15&lt;100%,過積載率!AI15&lt;100%),高温過積載率!AI15,0)</f>
        <v>0</v>
      </c>
      <c r="AJ15" s="85">
        <f>IF(AND(高電圧出力!AJ15&gt;高温過積載率!AJ15,高電圧出力!AJ15&lt;100%,過積載率!AJ15&lt;100%),高温過積載率!AJ15,0)</f>
        <v>0</v>
      </c>
      <c r="AK15" s="85">
        <f>IF(AND(高電圧出力!AK15&gt;高温過積載率!AK15,高電圧出力!AK15&lt;100%,過積載率!AK15&lt;100%),高温過積載率!AK15,0)</f>
        <v>0</v>
      </c>
      <c r="AL15" s="85">
        <f>IF(AND(高電圧出力!AL15&gt;高温過積載率!AL15,高電圧出力!AL15&lt;100%,過積載率!AL15&lt;100%),高温過積載率!AL15,0)</f>
        <v>0</v>
      </c>
      <c r="AM15" s="85">
        <f>IF(AND(高電圧出力!AM15&gt;高温過積載率!AM15,高電圧出力!AM15&lt;100%,過積載率!AM15&lt;100%),高温過積載率!AM15,0)</f>
        <v>0</v>
      </c>
      <c r="AN15" s="85">
        <f>IF(AND(高電圧出力!AN15&gt;高温過積載率!AN15,高電圧出力!AN15&lt;100%,過積載率!AN15&lt;100%),高温過積載率!AN15,0)</f>
        <v>0</v>
      </c>
      <c r="AO15" s="85">
        <f>IF(AND(高電圧出力!AO15&gt;高温過積載率!AO15,高電圧出力!AO15&lt;100%,過積載率!AO15&lt;100%),高温過積載率!AO15,0)</f>
        <v>0</v>
      </c>
    </row>
    <row r="16" spans="1:41">
      <c r="A16">
        <v>14</v>
      </c>
      <c r="B16" s="85">
        <f>IF(AND(高電圧出力!B16&gt;高温過積載率!B16,高電圧出力!B16&lt;100%,過積載率!B16&lt;100%),高温過積載率!B16,0)</f>
        <v>0</v>
      </c>
      <c r="C16" s="85">
        <f>IF(AND(高電圧出力!C16&gt;高温過積載率!C16,高電圧出力!C16&lt;100%,過積載率!C16&lt;100%),高温過積載率!C16,0)</f>
        <v>0</v>
      </c>
      <c r="D16" s="85">
        <f>IF(AND(高電圧出力!D16&gt;高温過積載率!D16,高電圧出力!D16&lt;100%,過積載率!D16&lt;100%),高温過積載率!D16,0)</f>
        <v>0</v>
      </c>
      <c r="E16" s="85">
        <f>IF(AND(高電圧出力!E16&gt;高温過積載率!E16,高電圧出力!E16&lt;100%,過積載率!E16&lt;100%),高温過積載率!E16,0)</f>
        <v>0</v>
      </c>
      <c r="F16" s="85">
        <f>IF(AND(高電圧出力!F16&gt;高温過積載率!F16,高電圧出力!F16&lt;100%,過積載率!F16&lt;100%),高温過積載率!F16,0)</f>
        <v>0</v>
      </c>
      <c r="G16" s="85">
        <f>IF(AND(高電圧出力!G16&gt;高温過積載率!G16,高電圧出力!G16&lt;100%,過積載率!G16&lt;100%),高温過積載率!G16,0)</f>
        <v>0</v>
      </c>
      <c r="H16" s="85">
        <f>IF(AND(高電圧出力!H16&gt;高温過積載率!H16,高電圧出力!H16&lt;100%,過積載率!H16&lt;100%),高温過積載率!H16,0)</f>
        <v>0</v>
      </c>
      <c r="I16" s="85">
        <f>IF(AND(高電圧出力!I16&gt;高温過積載率!I16,高電圧出力!I16&lt;100%,過積載率!I16&lt;100%),高温過積載率!I16,0)</f>
        <v>0</v>
      </c>
      <c r="J16" s="85">
        <f>IF(AND(高電圧出力!J16&gt;高温過積載率!J16,高電圧出力!J16&lt;100%,過積載率!J16&lt;100%),高温過積載率!J16,0)</f>
        <v>0</v>
      </c>
      <c r="K16" s="85">
        <f>IF(AND(高電圧出力!K16&gt;高温過積載率!K16,高電圧出力!K16&lt;100%,過積載率!K16&lt;100%),高温過積載率!K16,0)</f>
        <v>0</v>
      </c>
      <c r="L16" s="85">
        <f>IF(AND(高電圧出力!L16&gt;高温過積載率!L16,高電圧出力!L16&lt;100%,過積載率!L16&lt;100%),高温過積載率!L16,0)</f>
        <v>0</v>
      </c>
      <c r="M16" s="85">
        <f>IF(AND(高電圧出力!M16&gt;高温過積載率!M16,高電圧出力!M16&lt;100%,過積載率!M16&lt;100%),高温過積載率!M16,0)</f>
        <v>0</v>
      </c>
      <c r="N16" s="85">
        <f>IF(AND(高電圧出力!N16&gt;高温過積載率!N16,高電圧出力!N16&lt;100%,過積載率!N16&lt;100%),高温過積載率!N16,0)</f>
        <v>0</v>
      </c>
      <c r="O16" s="85">
        <f>IF(AND(高電圧出力!O16&gt;高温過積載率!O16,高電圧出力!O16&lt;100%,過積載率!O16&lt;100%),高温過積載率!O16,0)</f>
        <v>0</v>
      </c>
      <c r="P16" s="85">
        <f>IF(AND(高電圧出力!P16&gt;高温過積載率!P16,高電圧出力!P16&lt;100%,過積載率!P16&lt;100%),高温過積載率!P16,0)</f>
        <v>0</v>
      </c>
      <c r="Q16" s="85">
        <f>IF(AND(高電圧出力!Q16&gt;高温過積載率!Q16,高電圧出力!Q16&lt;100%,過積載率!Q16&lt;100%),高温過積載率!Q16,0)</f>
        <v>0</v>
      </c>
      <c r="R16" s="85">
        <f>IF(AND(高電圧出力!R16&gt;高温過積載率!R16,高電圧出力!R16&lt;100%,過積載率!R16&lt;100%),高温過積載率!R16,0)</f>
        <v>0</v>
      </c>
      <c r="S16" s="85">
        <f>IF(AND(高電圧出力!S16&gt;高温過積載率!S16,高電圧出力!S16&lt;100%,過積載率!S16&lt;100%),高温過積載率!S16,0)</f>
        <v>0</v>
      </c>
      <c r="T16" s="85">
        <f>IF(AND(高電圧出力!T16&gt;高温過積載率!T16,高電圧出力!T16&lt;100%,過積載率!T16&lt;100%),高温過積載率!T16,0)</f>
        <v>0</v>
      </c>
      <c r="U16" s="85">
        <f>IF(AND(高電圧出力!U16&gt;高温過積載率!U16,高電圧出力!U16&lt;100%,過積載率!U16&lt;100%),高温過積載率!U16,0)</f>
        <v>0</v>
      </c>
      <c r="V16" s="85">
        <f>IF(AND(高電圧出力!V16&gt;高温過積載率!V16,高電圧出力!V16&lt;100%,過積載率!V16&lt;100%),高温過積載率!V16,0)</f>
        <v>0</v>
      </c>
      <c r="W16" s="85">
        <f>IF(AND(高電圧出力!W16&gt;高温過積載率!W16,高電圧出力!W16&lt;100%,過積載率!W16&lt;100%),高温過積載率!W16,0)</f>
        <v>0</v>
      </c>
      <c r="X16" s="85">
        <f>IF(AND(高電圧出力!X16&gt;高温過積載率!X16,高電圧出力!X16&lt;100%,過積載率!X16&lt;100%),高温過積載率!X16,0)</f>
        <v>0</v>
      </c>
      <c r="Y16" s="85">
        <f>IF(AND(高電圧出力!Y16&gt;高温過積載率!Y16,高電圧出力!Y16&lt;100%,過積載率!Y16&lt;100%),高温過積載率!Y16,0)</f>
        <v>0</v>
      </c>
      <c r="Z16" s="85">
        <f>IF(AND(高電圧出力!Z16&gt;高温過積載率!Z16,高電圧出力!Z16&lt;100%,過積載率!Z16&lt;100%),高温過積載率!Z16,0)</f>
        <v>0</v>
      </c>
      <c r="AA16" s="85">
        <f>IF(AND(高電圧出力!AA16&gt;高温過積載率!AA16,高電圧出力!AA16&lt;100%,過積載率!AA16&lt;100%),高温過積載率!AA16,0)</f>
        <v>0</v>
      </c>
      <c r="AB16" s="85">
        <f>IF(AND(高電圧出力!AB16&gt;高温過積載率!AB16,高電圧出力!AB16&lt;100%,過積載率!AB16&lt;100%),高温過積載率!AB16,0)</f>
        <v>0</v>
      </c>
      <c r="AC16" s="85">
        <f>IF(AND(高電圧出力!AC16&gt;高温過積載率!AC16,高電圧出力!AC16&lt;100%,過積載率!AC16&lt;100%),高温過積載率!AC16,0)</f>
        <v>0</v>
      </c>
      <c r="AD16" s="85">
        <f>IF(AND(高電圧出力!AD16&gt;高温過積載率!AD16,高電圧出力!AD16&lt;100%,過積載率!AD16&lt;100%),高温過積載率!AD16,0)</f>
        <v>0</v>
      </c>
      <c r="AE16" s="85">
        <f>IF(AND(高電圧出力!AE16&gt;高温過積載率!AE16,高電圧出力!AE16&lt;100%,過積載率!AE16&lt;100%),高温過積載率!AE16,0)</f>
        <v>0</v>
      </c>
      <c r="AF16" s="85">
        <f>IF(AND(高電圧出力!AF16&gt;高温過積載率!AF16,高電圧出力!AF16&lt;100%,過積載率!AF16&lt;100%),高温過積載率!AF16,0)</f>
        <v>0</v>
      </c>
      <c r="AG16" s="85">
        <f>IF(AND(高電圧出力!AG16&gt;高温過積載率!AG16,高電圧出力!AG16&lt;100%,過積載率!AG16&lt;100%),高温過積載率!AG16,0)</f>
        <v>0</v>
      </c>
      <c r="AH16" s="85">
        <f>IF(AND(高電圧出力!AH16&gt;高温過積載率!AH16,高電圧出力!AH16&lt;100%,過積載率!AH16&lt;100%),高温過積載率!AH16,0)</f>
        <v>0</v>
      </c>
      <c r="AI16" s="85">
        <f>IF(AND(高電圧出力!AI16&gt;高温過積載率!AI16,高電圧出力!AI16&lt;100%,過積載率!AI16&lt;100%),高温過積載率!AI16,0)</f>
        <v>0</v>
      </c>
      <c r="AJ16" s="85">
        <f>IF(AND(高電圧出力!AJ16&gt;高温過積載率!AJ16,高電圧出力!AJ16&lt;100%,過積載率!AJ16&lt;100%),高温過積載率!AJ16,0)</f>
        <v>0</v>
      </c>
      <c r="AK16" s="85">
        <f>IF(AND(高電圧出力!AK16&gt;高温過積載率!AK16,高電圧出力!AK16&lt;100%,過積載率!AK16&lt;100%),高温過積載率!AK16,0)</f>
        <v>0</v>
      </c>
      <c r="AL16" s="85">
        <f>IF(AND(高電圧出力!AL16&gt;高温過積載率!AL16,高電圧出力!AL16&lt;100%,過積載率!AL16&lt;100%),高温過積載率!AL16,0)</f>
        <v>0</v>
      </c>
      <c r="AM16" s="85">
        <f>IF(AND(高電圧出力!AM16&gt;高温過積載率!AM16,高電圧出力!AM16&lt;100%,過積載率!AM16&lt;100%),高温過積載率!AM16,0)</f>
        <v>0</v>
      </c>
      <c r="AN16" s="85">
        <f>IF(AND(高電圧出力!AN16&gt;高温過積載率!AN16,高電圧出力!AN16&lt;100%,過積載率!AN16&lt;100%),高温過積載率!AN16,0)</f>
        <v>0</v>
      </c>
      <c r="AO16" s="85">
        <f>IF(AND(高電圧出力!AO16&gt;高温過積載率!AO16,高電圧出力!AO16&lt;100%,過積載率!AO16&lt;100%),高温過積載率!AO16,0)</f>
        <v>0</v>
      </c>
    </row>
    <row r="17" spans="1:41">
      <c r="A17">
        <v>15</v>
      </c>
      <c r="B17" s="85">
        <f>IF(AND(高電圧出力!B17&gt;高温過積載率!B17,高電圧出力!B17&lt;100%,過積載率!B17&lt;100%),高温過積載率!B17,0)</f>
        <v>0</v>
      </c>
      <c r="C17" s="85">
        <f>IF(AND(高電圧出力!C17&gt;高温過積載率!C17,高電圧出力!C17&lt;100%,過積載率!C17&lt;100%),高温過積載率!C17,0)</f>
        <v>0</v>
      </c>
      <c r="D17" s="85">
        <f>IF(AND(高電圧出力!D17&gt;高温過積載率!D17,高電圧出力!D17&lt;100%,過積載率!D17&lt;100%),高温過積載率!D17,0)</f>
        <v>0</v>
      </c>
      <c r="E17" s="85">
        <f>IF(AND(高電圧出力!E17&gt;高温過積載率!E17,高電圧出力!E17&lt;100%,過積載率!E17&lt;100%),高温過積載率!E17,0)</f>
        <v>0</v>
      </c>
      <c r="F17" s="85">
        <f>IF(AND(高電圧出力!F17&gt;高温過積載率!F17,高電圧出力!F17&lt;100%,過積載率!F17&lt;100%),高温過積載率!F17,0)</f>
        <v>0</v>
      </c>
      <c r="G17" s="85">
        <f>IF(AND(高電圧出力!G17&gt;高温過積載率!G17,高電圧出力!G17&lt;100%,過積載率!G17&lt;100%),高温過積載率!G17,0)</f>
        <v>0</v>
      </c>
      <c r="H17" s="85">
        <f>IF(AND(高電圧出力!H17&gt;高温過積載率!H17,高電圧出力!H17&lt;100%,過積載率!H17&lt;100%),高温過積載率!H17,0)</f>
        <v>0</v>
      </c>
      <c r="I17" s="85">
        <f>IF(AND(高電圧出力!I17&gt;高温過積載率!I17,高電圧出力!I17&lt;100%,過積載率!I17&lt;100%),高温過積載率!I17,0)</f>
        <v>0</v>
      </c>
      <c r="J17" s="85">
        <f>IF(AND(高電圧出力!J17&gt;高温過積載率!J17,高電圧出力!J17&lt;100%,過積載率!J17&lt;100%),高温過積載率!J17,0)</f>
        <v>0</v>
      </c>
      <c r="K17" s="85">
        <f>IF(AND(高電圧出力!K17&gt;高温過積載率!K17,高電圧出力!K17&lt;100%,過積載率!K17&lt;100%),高温過積載率!K17,0)</f>
        <v>0</v>
      </c>
      <c r="L17" s="85">
        <f>IF(AND(高電圧出力!L17&gt;高温過積載率!L17,高電圧出力!L17&lt;100%,過積載率!L17&lt;100%),高温過積載率!L17,0)</f>
        <v>0</v>
      </c>
      <c r="M17" s="85">
        <f>IF(AND(高電圧出力!M17&gt;高温過積載率!M17,高電圧出力!M17&lt;100%,過積載率!M17&lt;100%),高温過積載率!M17,0)</f>
        <v>0</v>
      </c>
      <c r="N17" s="85">
        <f>IF(AND(高電圧出力!N17&gt;高温過積載率!N17,高電圧出力!N17&lt;100%,過積載率!N17&lt;100%),高温過積載率!N17,0)</f>
        <v>0</v>
      </c>
      <c r="O17" s="85">
        <f>IF(AND(高電圧出力!O17&gt;高温過積載率!O17,高電圧出力!O17&lt;100%,過積載率!O17&lt;100%),高温過積載率!O17,0)</f>
        <v>0</v>
      </c>
      <c r="P17" s="85">
        <f>IF(AND(高電圧出力!P17&gt;高温過積載率!P17,高電圧出力!P17&lt;100%,過積載率!P17&lt;100%),高温過積載率!P17,0)</f>
        <v>0</v>
      </c>
      <c r="Q17" s="85">
        <f>IF(AND(高電圧出力!Q17&gt;高温過積載率!Q17,高電圧出力!Q17&lt;100%,過積載率!Q17&lt;100%),高温過積載率!Q17,0)</f>
        <v>0</v>
      </c>
      <c r="R17" s="85">
        <f>IF(AND(高電圧出力!R17&gt;高温過積載率!R17,高電圧出力!R17&lt;100%,過積載率!R17&lt;100%),高温過積載率!R17,0)</f>
        <v>0</v>
      </c>
      <c r="S17" s="85">
        <f>IF(AND(高電圧出力!S17&gt;高温過積載率!S17,高電圧出力!S17&lt;100%,過積載率!S17&lt;100%),高温過積載率!S17,0)</f>
        <v>0</v>
      </c>
      <c r="T17" s="85">
        <f>IF(AND(高電圧出力!T17&gt;高温過積載率!T17,高電圧出力!T17&lt;100%,過積載率!T17&lt;100%),高温過積載率!T17,0)</f>
        <v>0</v>
      </c>
      <c r="U17" s="85">
        <f>IF(AND(高電圧出力!U17&gt;高温過積載率!U17,高電圧出力!U17&lt;100%,過積載率!U17&lt;100%),高温過積載率!U17,0)</f>
        <v>0</v>
      </c>
      <c r="V17" s="85">
        <f>IF(AND(高電圧出力!V17&gt;高温過積載率!V17,高電圧出力!V17&lt;100%,過積載率!V17&lt;100%),高温過積載率!V17,0)</f>
        <v>0</v>
      </c>
      <c r="W17" s="85">
        <f>IF(AND(高電圧出力!W17&gt;高温過積載率!W17,高電圧出力!W17&lt;100%,過積載率!W17&lt;100%),高温過積載率!W17,0)</f>
        <v>0</v>
      </c>
      <c r="X17" s="85">
        <f>IF(AND(高電圧出力!X17&gt;高温過積載率!X17,高電圧出力!X17&lt;100%,過積載率!X17&lt;100%),高温過積載率!X17,0)</f>
        <v>0</v>
      </c>
      <c r="Y17" s="85">
        <f>IF(AND(高電圧出力!Y17&gt;高温過積載率!Y17,高電圧出力!Y17&lt;100%,過積載率!Y17&lt;100%),高温過積載率!Y17,0)</f>
        <v>0</v>
      </c>
      <c r="Z17" s="85">
        <f>IF(AND(高電圧出力!Z17&gt;高温過積載率!Z17,高電圧出力!Z17&lt;100%,過積載率!Z17&lt;100%),高温過積載率!Z17,0)</f>
        <v>0</v>
      </c>
      <c r="AA17" s="85">
        <f>IF(AND(高電圧出力!AA17&gt;高温過積載率!AA17,高電圧出力!AA17&lt;100%,過積載率!AA17&lt;100%),高温過積載率!AA17,0)</f>
        <v>0</v>
      </c>
      <c r="AB17" s="85">
        <f>IF(AND(高電圧出力!AB17&gt;高温過積載率!AB17,高電圧出力!AB17&lt;100%,過積載率!AB17&lt;100%),高温過積載率!AB17,0)</f>
        <v>0</v>
      </c>
      <c r="AC17" s="85">
        <f>IF(AND(高電圧出力!AC17&gt;高温過積載率!AC17,高電圧出力!AC17&lt;100%,過積載率!AC17&lt;100%),高温過積載率!AC17,0)</f>
        <v>0</v>
      </c>
      <c r="AD17" s="85">
        <f>IF(AND(高電圧出力!AD17&gt;高温過積載率!AD17,高電圧出力!AD17&lt;100%,過積載率!AD17&lt;100%),高温過積載率!AD17,0)</f>
        <v>0</v>
      </c>
      <c r="AE17" s="85">
        <f>IF(AND(高電圧出力!AE17&gt;高温過積載率!AE17,高電圧出力!AE17&lt;100%,過積載率!AE17&lt;100%),高温過積載率!AE17,0)</f>
        <v>0</v>
      </c>
      <c r="AF17" s="85">
        <f>IF(AND(高電圧出力!AF17&gt;高温過積載率!AF17,高電圧出力!AF17&lt;100%,過積載率!AF17&lt;100%),高温過積載率!AF17,0)</f>
        <v>0</v>
      </c>
      <c r="AG17" s="85">
        <f>IF(AND(高電圧出力!AG17&gt;高温過積載率!AG17,高電圧出力!AG17&lt;100%,過積載率!AG17&lt;100%),高温過積載率!AG17,0)</f>
        <v>0</v>
      </c>
      <c r="AH17" s="85">
        <f>IF(AND(高電圧出力!AH17&gt;高温過積載率!AH17,高電圧出力!AH17&lt;100%,過積載率!AH17&lt;100%),高温過積載率!AH17,0)</f>
        <v>0</v>
      </c>
      <c r="AI17" s="85">
        <f>IF(AND(高電圧出力!AI17&gt;高温過積載率!AI17,高電圧出力!AI17&lt;100%,過積載率!AI17&lt;100%),高温過積載率!AI17,0)</f>
        <v>0</v>
      </c>
      <c r="AJ17" s="85">
        <f>IF(AND(高電圧出力!AJ17&gt;高温過積載率!AJ17,高電圧出力!AJ17&lt;100%,過積載率!AJ17&lt;100%),高温過積載率!AJ17,0)</f>
        <v>0</v>
      </c>
      <c r="AK17" s="85">
        <f>IF(AND(高電圧出力!AK17&gt;高温過積載率!AK17,高電圧出力!AK17&lt;100%,過積載率!AK17&lt;100%),高温過積載率!AK17,0)</f>
        <v>0</v>
      </c>
      <c r="AL17" s="85">
        <f>IF(AND(高電圧出力!AL17&gt;高温過積載率!AL17,高電圧出力!AL17&lt;100%,過積載率!AL17&lt;100%),高温過積載率!AL17,0)</f>
        <v>0</v>
      </c>
      <c r="AM17" s="85">
        <f>IF(AND(高電圧出力!AM17&gt;高温過積載率!AM17,高電圧出力!AM17&lt;100%,過積載率!AM17&lt;100%),高温過積載率!AM17,0)</f>
        <v>0</v>
      </c>
      <c r="AN17" s="85">
        <f>IF(AND(高電圧出力!AN17&gt;高温過積載率!AN17,高電圧出力!AN17&lt;100%,過積載率!AN17&lt;100%),高温過積載率!AN17,0)</f>
        <v>0</v>
      </c>
      <c r="AO17" s="85">
        <f>IF(AND(高電圧出力!AO17&gt;高温過積載率!AO17,高電圧出力!AO17&lt;100%,過積載率!AO17&lt;100%),高温過積載率!AO17,0)</f>
        <v>0</v>
      </c>
    </row>
    <row r="18" spans="1:41">
      <c r="A18">
        <v>16</v>
      </c>
      <c r="B18" s="85">
        <f>IF(AND(高電圧出力!B18&gt;高温過積載率!B18,高電圧出力!B18&lt;100%,過積載率!B18&lt;100%),高温過積載率!B18,0)</f>
        <v>0</v>
      </c>
      <c r="C18" s="85">
        <f>IF(AND(高電圧出力!C18&gt;高温過積載率!C18,高電圧出力!C18&lt;100%,過積載率!C18&lt;100%),高温過積載率!C18,0)</f>
        <v>0</v>
      </c>
      <c r="D18" s="85">
        <f>IF(AND(高電圧出力!D18&gt;高温過積載率!D18,高電圧出力!D18&lt;100%,過積載率!D18&lt;100%),高温過積載率!D18,0)</f>
        <v>0</v>
      </c>
      <c r="E18" s="85">
        <f>IF(AND(高電圧出力!E18&gt;高温過積載率!E18,高電圧出力!E18&lt;100%,過積載率!E18&lt;100%),高温過積載率!E18,0)</f>
        <v>0</v>
      </c>
      <c r="F18" s="85">
        <f>IF(AND(高電圧出力!F18&gt;高温過積載率!F18,高電圧出力!F18&lt;100%,過積載率!F18&lt;100%),高温過積載率!F18,0)</f>
        <v>0</v>
      </c>
      <c r="G18" s="85">
        <f>IF(AND(高電圧出力!G18&gt;高温過積載率!G18,高電圧出力!G18&lt;100%,過積載率!G18&lt;100%),高温過積載率!G18,0)</f>
        <v>0</v>
      </c>
      <c r="H18" s="85">
        <f>IF(AND(高電圧出力!H18&gt;高温過積載率!H18,高電圧出力!H18&lt;100%,過積載率!H18&lt;100%),高温過積載率!H18,0)</f>
        <v>0</v>
      </c>
      <c r="I18" s="85">
        <f>IF(AND(高電圧出力!I18&gt;高温過積載率!I18,高電圧出力!I18&lt;100%,過積載率!I18&lt;100%),高温過積載率!I18,0)</f>
        <v>0</v>
      </c>
      <c r="J18" s="85">
        <f>IF(AND(高電圧出力!J18&gt;高温過積載率!J18,高電圧出力!J18&lt;100%,過積載率!J18&lt;100%),高温過積載率!J18,0)</f>
        <v>0</v>
      </c>
      <c r="K18" s="85">
        <f>IF(AND(高電圧出力!K18&gt;高温過積載率!K18,高電圧出力!K18&lt;100%,過積載率!K18&lt;100%),高温過積載率!K18,0)</f>
        <v>0</v>
      </c>
      <c r="L18" s="85">
        <f>IF(AND(高電圧出力!L18&gt;高温過積載率!L18,高電圧出力!L18&lt;100%,過積載率!L18&lt;100%),高温過積載率!L18,0)</f>
        <v>0</v>
      </c>
      <c r="M18" s="85">
        <f>IF(AND(高電圧出力!M18&gt;高温過積載率!M18,高電圧出力!M18&lt;100%,過積載率!M18&lt;100%),高温過積載率!M18,0)</f>
        <v>0</v>
      </c>
      <c r="N18" s="85">
        <f>IF(AND(高電圧出力!N18&gt;高温過積載率!N18,高電圧出力!N18&lt;100%,過積載率!N18&lt;100%),高温過積載率!N18,0)</f>
        <v>0</v>
      </c>
      <c r="O18" s="85">
        <f>IF(AND(高電圧出力!O18&gt;高温過積載率!O18,高電圧出力!O18&lt;100%,過積載率!O18&lt;100%),高温過積載率!O18,0)</f>
        <v>0</v>
      </c>
      <c r="P18" s="85">
        <f>IF(AND(高電圧出力!P18&gt;高温過積載率!P18,高電圧出力!P18&lt;100%,過積載率!P18&lt;100%),高温過積載率!P18,0)</f>
        <v>0</v>
      </c>
      <c r="Q18" s="85">
        <f>IF(AND(高電圧出力!Q18&gt;高温過積載率!Q18,高電圧出力!Q18&lt;100%,過積載率!Q18&lt;100%),高温過積載率!Q18,0)</f>
        <v>0</v>
      </c>
      <c r="R18" s="85">
        <f>IF(AND(高電圧出力!R18&gt;高温過積載率!R18,高電圧出力!R18&lt;100%,過積載率!R18&lt;100%),高温過積載率!R18,0)</f>
        <v>0</v>
      </c>
      <c r="S18" s="85">
        <f>IF(AND(高電圧出力!S18&gt;高温過積載率!S18,高電圧出力!S18&lt;100%,過積載率!S18&lt;100%),高温過積載率!S18,0)</f>
        <v>0</v>
      </c>
      <c r="T18" s="85">
        <f>IF(AND(高電圧出力!T18&gt;高温過積載率!T18,高電圧出力!T18&lt;100%,過積載率!T18&lt;100%),高温過積載率!T18,0)</f>
        <v>0</v>
      </c>
      <c r="U18" s="85">
        <f>IF(AND(高電圧出力!U18&gt;高温過積載率!U18,高電圧出力!U18&lt;100%,過積載率!U18&lt;100%),高温過積載率!U18,0)</f>
        <v>0</v>
      </c>
      <c r="V18" s="85">
        <f>IF(AND(高電圧出力!V18&gt;高温過積載率!V18,高電圧出力!V18&lt;100%,過積載率!V18&lt;100%),高温過積載率!V18,0)</f>
        <v>0</v>
      </c>
      <c r="W18" s="85">
        <f>IF(AND(高電圧出力!W18&gt;高温過積載率!W18,高電圧出力!W18&lt;100%,過積載率!W18&lt;100%),高温過積載率!W18,0)</f>
        <v>0</v>
      </c>
      <c r="X18" s="85">
        <f>IF(AND(高電圧出力!X18&gt;高温過積載率!X18,高電圧出力!X18&lt;100%,過積載率!X18&lt;100%),高温過積載率!X18,0)</f>
        <v>0</v>
      </c>
      <c r="Y18" s="85">
        <f>IF(AND(高電圧出力!Y18&gt;高温過積載率!Y18,高電圧出力!Y18&lt;100%,過積載率!Y18&lt;100%),高温過積載率!Y18,0)</f>
        <v>0</v>
      </c>
      <c r="Z18" s="85">
        <f>IF(AND(高電圧出力!Z18&gt;高温過積載率!Z18,高電圧出力!Z18&lt;100%,過積載率!Z18&lt;100%),高温過積載率!Z18,0)</f>
        <v>0</v>
      </c>
      <c r="AA18" s="85">
        <f>IF(AND(高電圧出力!AA18&gt;高温過積載率!AA18,高電圧出力!AA18&lt;100%,過積載率!AA18&lt;100%),高温過積載率!AA18,0)</f>
        <v>0</v>
      </c>
      <c r="AB18" s="85">
        <f>IF(AND(高電圧出力!AB18&gt;高温過積載率!AB18,高電圧出力!AB18&lt;100%,過積載率!AB18&lt;100%),高温過積載率!AB18,0)</f>
        <v>0</v>
      </c>
      <c r="AC18" s="85">
        <f>IF(AND(高電圧出力!AC18&gt;高温過積載率!AC18,高電圧出力!AC18&lt;100%,過積載率!AC18&lt;100%),高温過積載率!AC18,0)</f>
        <v>0</v>
      </c>
      <c r="AD18" s="85">
        <f>IF(AND(高電圧出力!AD18&gt;高温過積載率!AD18,高電圧出力!AD18&lt;100%,過積載率!AD18&lt;100%),高温過積載率!AD18,0)</f>
        <v>0</v>
      </c>
      <c r="AE18" s="85">
        <f>IF(AND(高電圧出力!AE18&gt;高温過積載率!AE18,高電圧出力!AE18&lt;100%,過積載率!AE18&lt;100%),高温過積載率!AE18,0)</f>
        <v>0</v>
      </c>
      <c r="AF18" s="85">
        <f>IF(AND(高電圧出力!AF18&gt;高温過積載率!AF18,高電圧出力!AF18&lt;100%,過積載率!AF18&lt;100%),高温過積載率!AF18,0)</f>
        <v>0</v>
      </c>
      <c r="AG18" s="85">
        <f>IF(AND(高電圧出力!AG18&gt;高温過積載率!AG18,高電圧出力!AG18&lt;100%,過積載率!AG18&lt;100%),高温過積載率!AG18,0)</f>
        <v>0</v>
      </c>
      <c r="AH18" s="85">
        <f>IF(AND(高電圧出力!AH18&gt;高温過積載率!AH18,高電圧出力!AH18&lt;100%,過積載率!AH18&lt;100%),高温過積載率!AH18,0)</f>
        <v>0</v>
      </c>
      <c r="AI18" s="85">
        <f>IF(AND(高電圧出力!AI18&gt;高温過積載率!AI18,高電圧出力!AI18&lt;100%,過積載率!AI18&lt;100%),高温過積載率!AI18,0)</f>
        <v>0</v>
      </c>
      <c r="AJ18" s="85">
        <f>IF(AND(高電圧出力!AJ18&gt;高温過積載率!AJ18,高電圧出力!AJ18&lt;100%,過積載率!AJ18&lt;100%),高温過積載率!AJ18,0)</f>
        <v>0</v>
      </c>
      <c r="AK18" s="85">
        <f>IF(AND(高電圧出力!AK18&gt;高温過積載率!AK18,高電圧出力!AK18&lt;100%,過積載率!AK18&lt;100%),高温過積載率!AK18,0)</f>
        <v>0</v>
      </c>
      <c r="AL18" s="85">
        <f>IF(AND(高電圧出力!AL18&gt;高温過積載率!AL18,高電圧出力!AL18&lt;100%,過積載率!AL18&lt;100%),高温過積載率!AL18,0)</f>
        <v>0</v>
      </c>
      <c r="AM18" s="85">
        <f>IF(AND(高電圧出力!AM18&gt;高温過積載率!AM18,高電圧出力!AM18&lt;100%,過積載率!AM18&lt;100%),高温過積載率!AM18,0)</f>
        <v>0</v>
      </c>
      <c r="AN18" s="85">
        <f>IF(AND(高電圧出力!AN18&gt;高温過積載率!AN18,高電圧出力!AN18&lt;100%,過積載率!AN18&lt;100%),高温過積載率!AN18,0)</f>
        <v>0</v>
      </c>
      <c r="AO18" s="85">
        <f>IF(AND(高電圧出力!AO18&gt;高温過積載率!AO18,高電圧出力!AO18&lt;100%,過積載率!AO18&lt;100%),高温過積載率!AO18,0)</f>
        <v>0</v>
      </c>
    </row>
    <row r="19" spans="1:41">
      <c r="A19">
        <v>17</v>
      </c>
      <c r="B19" s="85">
        <f>IF(AND(高電圧出力!B19&gt;高温過積載率!B19,高電圧出力!B19&lt;100%,過積載率!B19&lt;100%),高温過積載率!B19,0)</f>
        <v>0</v>
      </c>
      <c r="C19" s="85">
        <f>IF(AND(高電圧出力!C19&gt;高温過積載率!C19,高電圧出力!C19&lt;100%,過積載率!C19&lt;100%),高温過積載率!C19,0)</f>
        <v>0</v>
      </c>
      <c r="D19" s="85">
        <f>IF(AND(高電圧出力!D19&gt;高温過積載率!D19,高電圧出力!D19&lt;100%,過積載率!D19&lt;100%),高温過積載率!D19,0)</f>
        <v>0</v>
      </c>
      <c r="E19" s="85">
        <f>IF(AND(高電圧出力!E19&gt;高温過積載率!E19,高電圧出力!E19&lt;100%,過積載率!E19&lt;100%),高温過積載率!E19,0)</f>
        <v>0</v>
      </c>
      <c r="F19" s="85">
        <f>IF(AND(高電圧出力!F19&gt;高温過積載率!F19,高電圧出力!F19&lt;100%,過積載率!F19&lt;100%),高温過積載率!F19,0)</f>
        <v>0</v>
      </c>
      <c r="G19" s="85">
        <f>IF(AND(高電圧出力!G19&gt;高温過積載率!G19,高電圧出力!G19&lt;100%,過積載率!G19&lt;100%),高温過積載率!G19,0)</f>
        <v>0</v>
      </c>
      <c r="H19" s="85">
        <f>IF(AND(高電圧出力!H19&gt;高温過積載率!H19,高電圧出力!H19&lt;100%,過積載率!H19&lt;100%),高温過積載率!H19,0)</f>
        <v>0</v>
      </c>
      <c r="I19" s="85">
        <f>IF(AND(高電圧出力!I19&gt;高温過積載率!I19,高電圧出力!I19&lt;100%,過積載率!I19&lt;100%),高温過積載率!I19,0)</f>
        <v>0</v>
      </c>
      <c r="J19" s="85">
        <f>IF(AND(高電圧出力!J19&gt;高温過積載率!J19,高電圧出力!J19&lt;100%,過積載率!J19&lt;100%),高温過積載率!J19,0)</f>
        <v>0</v>
      </c>
      <c r="K19" s="85">
        <f>IF(AND(高電圧出力!K19&gt;高温過積載率!K19,高電圧出力!K19&lt;100%,過積載率!K19&lt;100%),高温過積載率!K19,0)</f>
        <v>0</v>
      </c>
      <c r="L19" s="85">
        <f>IF(AND(高電圧出力!L19&gt;高温過積載率!L19,高電圧出力!L19&lt;100%,過積載率!L19&lt;100%),高温過積載率!L19,0)</f>
        <v>0</v>
      </c>
      <c r="M19" s="85">
        <f>IF(AND(高電圧出力!M19&gt;高温過積載率!M19,高電圧出力!M19&lt;100%,過積載率!M19&lt;100%),高温過積載率!M19,0)</f>
        <v>0</v>
      </c>
      <c r="N19" s="85">
        <f>IF(AND(高電圧出力!N19&gt;高温過積載率!N19,高電圧出力!N19&lt;100%,過積載率!N19&lt;100%),高温過積載率!N19,0)</f>
        <v>0</v>
      </c>
      <c r="O19" s="85">
        <f>IF(AND(高電圧出力!O19&gt;高温過積載率!O19,高電圧出力!O19&lt;100%,過積載率!O19&lt;100%),高温過積載率!O19,0)</f>
        <v>0</v>
      </c>
      <c r="P19" s="85">
        <f>IF(AND(高電圧出力!P19&gt;高温過積載率!P19,高電圧出力!P19&lt;100%,過積載率!P19&lt;100%),高温過積載率!P19,0)</f>
        <v>0</v>
      </c>
      <c r="Q19" s="85">
        <f>IF(AND(高電圧出力!Q19&gt;高温過積載率!Q19,高電圧出力!Q19&lt;100%,過積載率!Q19&lt;100%),高温過積載率!Q19,0)</f>
        <v>0</v>
      </c>
      <c r="R19" s="85">
        <f>IF(AND(高電圧出力!R19&gt;高温過積載率!R19,高電圧出力!R19&lt;100%,過積載率!R19&lt;100%),高温過積載率!R19,0)</f>
        <v>0</v>
      </c>
      <c r="S19" s="85">
        <f>IF(AND(高電圧出力!S19&gt;高温過積載率!S19,高電圧出力!S19&lt;100%,過積載率!S19&lt;100%),高温過積載率!S19,0)</f>
        <v>0</v>
      </c>
      <c r="T19" s="85">
        <f>IF(AND(高電圧出力!T19&gt;高温過積載率!T19,高電圧出力!T19&lt;100%,過積載率!T19&lt;100%),高温過積載率!T19,0)</f>
        <v>0</v>
      </c>
      <c r="U19" s="85">
        <f>IF(AND(高電圧出力!U19&gt;高温過積載率!U19,高電圧出力!U19&lt;100%,過積載率!U19&lt;100%),高温過積載率!U19,0)</f>
        <v>0</v>
      </c>
      <c r="V19" s="85">
        <f>IF(AND(高電圧出力!V19&gt;高温過積載率!V19,高電圧出力!V19&lt;100%,過積載率!V19&lt;100%),高温過積載率!V19,0)</f>
        <v>0</v>
      </c>
      <c r="W19" s="85">
        <f>IF(AND(高電圧出力!W19&gt;高温過積載率!W19,高電圧出力!W19&lt;100%,過積載率!W19&lt;100%),高温過積載率!W19,0)</f>
        <v>0</v>
      </c>
      <c r="X19" s="85">
        <f>IF(AND(高電圧出力!X19&gt;高温過積載率!X19,高電圧出力!X19&lt;100%,過積載率!X19&lt;100%),高温過積載率!X19,0)</f>
        <v>0</v>
      </c>
      <c r="Y19" s="85">
        <f>IF(AND(高電圧出力!Y19&gt;高温過積載率!Y19,高電圧出力!Y19&lt;100%,過積載率!Y19&lt;100%),高温過積載率!Y19,0)</f>
        <v>0</v>
      </c>
      <c r="Z19" s="85">
        <f>IF(AND(高電圧出力!Z19&gt;高温過積載率!Z19,高電圧出力!Z19&lt;100%,過積載率!Z19&lt;100%),高温過積載率!Z19,0)</f>
        <v>0</v>
      </c>
      <c r="AA19" s="85">
        <f>IF(AND(高電圧出力!AA19&gt;高温過積載率!AA19,高電圧出力!AA19&lt;100%,過積載率!AA19&lt;100%),高温過積載率!AA19,0)</f>
        <v>0</v>
      </c>
      <c r="AB19" s="85">
        <f>IF(AND(高電圧出力!AB19&gt;高温過積載率!AB19,高電圧出力!AB19&lt;100%,過積載率!AB19&lt;100%),高温過積載率!AB19,0)</f>
        <v>0</v>
      </c>
      <c r="AC19" s="85">
        <f>IF(AND(高電圧出力!AC19&gt;高温過積載率!AC19,高電圧出力!AC19&lt;100%,過積載率!AC19&lt;100%),高温過積載率!AC19,0)</f>
        <v>0</v>
      </c>
      <c r="AD19" s="85">
        <f>IF(AND(高電圧出力!AD19&gt;高温過積載率!AD19,高電圧出力!AD19&lt;100%,過積載率!AD19&lt;100%),高温過積載率!AD19,0)</f>
        <v>0</v>
      </c>
      <c r="AE19" s="85">
        <f>IF(AND(高電圧出力!AE19&gt;高温過積載率!AE19,高電圧出力!AE19&lt;100%,過積載率!AE19&lt;100%),高温過積載率!AE19,0)</f>
        <v>0</v>
      </c>
      <c r="AF19" s="85">
        <f>IF(AND(高電圧出力!AF19&gt;高温過積載率!AF19,高電圧出力!AF19&lt;100%,過積載率!AF19&lt;100%),高温過積載率!AF19,0)</f>
        <v>0</v>
      </c>
      <c r="AG19" s="85">
        <f>IF(AND(高電圧出力!AG19&gt;高温過積載率!AG19,高電圧出力!AG19&lt;100%,過積載率!AG19&lt;100%),高温過積載率!AG19,0)</f>
        <v>0</v>
      </c>
      <c r="AH19" s="85">
        <f>IF(AND(高電圧出力!AH19&gt;高温過積載率!AH19,高電圧出力!AH19&lt;100%,過積載率!AH19&lt;100%),高温過積載率!AH19,0)</f>
        <v>0</v>
      </c>
      <c r="AI19" s="85">
        <f>IF(AND(高電圧出力!AI19&gt;高温過積載率!AI19,高電圧出力!AI19&lt;100%,過積載率!AI19&lt;100%),高温過積載率!AI19,0)</f>
        <v>0</v>
      </c>
      <c r="AJ19" s="85">
        <f>IF(AND(高電圧出力!AJ19&gt;高温過積載率!AJ19,高電圧出力!AJ19&lt;100%,過積載率!AJ19&lt;100%),高温過積載率!AJ19,0)</f>
        <v>0</v>
      </c>
      <c r="AK19" s="85">
        <f>IF(AND(高電圧出力!AK19&gt;高温過積載率!AK19,高電圧出力!AK19&lt;100%,過積載率!AK19&lt;100%),高温過積載率!AK19,0)</f>
        <v>0</v>
      </c>
      <c r="AL19" s="85">
        <f>IF(AND(高電圧出力!AL19&gt;高温過積載率!AL19,高電圧出力!AL19&lt;100%,過積載率!AL19&lt;100%),高温過積載率!AL19,0)</f>
        <v>0</v>
      </c>
      <c r="AM19" s="85">
        <f>IF(AND(高電圧出力!AM19&gt;高温過積載率!AM19,高電圧出力!AM19&lt;100%,過積載率!AM19&lt;100%),高温過積載率!AM19,0)</f>
        <v>0</v>
      </c>
      <c r="AN19" s="85">
        <f>IF(AND(高電圧出力!AN19&gt;高温過積載率!AN19,高電圧出力!AN19&lt;100%,過積載率!AN19&lt;100%),高温過積載率!AN19,0)</f>
        <v>0</v>
      </c>
      <c r="AO19" s="85">
        <f>IF(AND(高電圧出力!AO19&gt;高温過積載率!AO19,高電圧出力!AO19&lt;100%,過積載率!AO19&lt;100%),高温過積載率!AO19,0)</f>
        <v>0</v>
      </c>
    </row>
    <row r="20" spans="1:41">
      <c r="A20">
        <v>18</v>
      </c>
      <c r="B20" s="85">
        <f>IF(AND(高電圧出力!B20&gt;高温過積載率!B20,高電圧出力!B20&lt;100%,過積載率!B20&lt;100%),高温過積載率!B20,0)</f>
        <v>0</v>
      </c>
      <c r="C20" s="85">
        <f>IF(AND(高電圧出力!C20&gt;高温過積載率!C20,高電圧出力!C20&lt;100%,過積載率!C20&lt;100%),高温過積載率!C20,0)</f>
        <v>0</v>
      </c>
      <c r="D20" s="85">
        <f>IF(AND(高電圧出力!D20&gt;高温過積載率!D20,高電圧出力!D20&lt;100%,過積載率!D20&lt;100%),高温過積載率!D20,0)</f>
        <v>0</v>
      </c>
      <c r="E20" s="85">
        <f>IF(AND(高電圧出力!E20&gt;高温過積載率!E20,高電圧出力!E20&lt;100%,過積載率!E20&lt;100%),高温過積載率!E20,0)</f>
        <v>0</v>
      </c>
      <c r="F20" s="85">
        <f>IF(AND(高電圧出力!F20&gt;高温過積載率!F20,高電圧出力!F20&lt;100%,過積載率!F20&lt;100%),高温過積載率!F20,0)</f>
        <v>0</v>
      </c>
      <c r="G20" s="85">
        <f>IF(AND(高電圧出力!G20&gt;高温過積載率!G20,高電圧出力!G20&lt;100%,過積載率!G20&lt;100%),高温過積載率!G20,0)</f>
        <v>0</v>
      </c>
      <c r="H20" s="85">
        <f>IF(AND(高電圧出力!H20&gt;高温過積載率!H20,高電圧出力!H20&lt;100%,過積載率!H20&lt;100%),高温過積載率!H20,0)</f>
        <v>0</v>
      </c>
      <c r="I20" s="85">
        <f>IF(AND(高電圧出力!I20&gt;高温過積載率!I20,高電圧出力!I20&lt;100%,過積載率!I20&lt;100%),高温過積載率!I20,0)</f>
        <v>0</v>
      </c>
      <c r="J20" s="85">
        <f>IF(AND(高電圧出力!J20&gt;高温過積載率!J20,高電圧出力!J20&lt;100%,過積載率!J20&lt;100%),高温過積載率!J20,0)</f>
        <v>0</v>
      </c>
      <c r="K20" s="85">
        <f>IF(AND(高電圧出力!K20&gt;高温過積載率!K20,高電圧出力!K20&lt;100%,過積載率!K20&lt;100%),高温過積載率!K20,0)</f>
        <v>0</v>
      </c>
      <c r="L20" s="85">
        <f>IF(AND(高電圧出力!L20&gt;高温過積載率!L20,高電圧出力!L20&lt;100%,過積載率!L20&lt;100%),高温過積載率!L20,0)</f>
        <v>0</v>
      </c>
      <c r="M20" s="85">
        <f>IF(AND(高電圧出力!M20&gt;高温過積載率!M20,高電圧出力!M20&lt;100%,過積載率!M20&lt;100%),高温過積載率!M20,0)</f>
        <v>0</v>
      </c>
      <c r="N20" s="85">
        <f>IF(AND(高電圧出力!N20&gt;高温過積載率!N20,高電圧出力!N20&lt;100%,過積載率!N20&lt;100%),高温過積載率!N20,0)</f>
        <v>0</v>
      </c>
      <c r="O20" s="85">
        <f>IF(AND(高電圧出力!O20&gt;高温過積載率!O20,高電圧出力!O20&lt;100%,過積載率!O20&lt;100%),高温過積載率!O20,0)</f>
        <v>0</v>
      </c>
      <c r="P20" s="85">
        <f>IF(AND(高電圧出力!P20&gt;高温過積載率!P20,高電圧出力!P20&lt;100%,過積載率!P20&lt;100%),高温過積載率!P20,0)</f>
        <v>0</v>
      </c>
      <c r="Q20" s="85">
        <f>IF(AND(高電圧出力!Q20&gt;高温過積載率!Q20,高電圧出力!Q20&lt;100%,過積載率!Q20&lt;100%),高温過積載率!Q20,0)</f>
        <v>0</v>
      </c>
      <c r="R20" s="85">
        <f>IF(AND(高電圧出力!R20&gt;高温過積載率!R20,高電圧出力!R20&lt;100%,過積載率!R20&lt;100%),高温過積載率!R20,0)</f>
        <v>0</v>
      </c>
      <c r="S20" s="85">
        <f>IF(AND(高電圧出力!S20&gt;高温過積載率!S20,高電圧出力!S20&lt;100%,過積載率!S20&lt;100%),高温過積載率!S20,0)</f>
        <v>0</v>
      </c>
      <c r="T20" s="85">
        <f>IF(AND(高電圧出力!T20&gt;高温過積載率!T20,高電圧出力!T20&lt;100%,過積載率!T20&lt;100%),高温過積載率!T20,0)</f>
        <v>0</v>
      </c>
      <c r="U20" s="85">
        <f>IF(AND(高電圧出力!U20&gt;高温過積載率!U20,高電圧出力!U20&lt;100%,過積載率!U20&lt;100%),高温過積載率!U20,0)</f>
        <v>0</v>
      </c>
      <c r="V20" s="85">
        <f>IF(AND(高電圧出力!V20&gt;高温過積載率!V20,高電圧出力!V20&lt;100%,過積載率!V20&lt;100%),高温過積載率!V20,0)</f>
        <v>0</v>
      </c>
      <c r="W20" s="85">
        <f>IF(AND(高電圧出力!W20&gt;高温過積載率!W20,高電圧出力!W20&lt;100%,過積載率!W20&lt;100%),高温過積載率!W20,0)</f>
        <v>0</v>
      </c>
      <c r="X20" s="85">
        <f>IF(AND(高電圧出力!X20&gt;高温過積載率!X20,高電圧出力!X20&lt;100%,過積載率!X20&lt;100%),高温過積載率!X20,0)</f>
        <v>0</v>
      </c>
      <c r="Y20" s="85">
        <f>IF(AND(高電圧出力!Y20&gt;高温過積載率!Y20,高電圧出力!Y20&lt;100%,過積載率!Y20&lt;100%),高温過積載率!Y20,0)</f>
        <v>0</v>
      </c>
      <c r="Z20" s="85">
        <f>IF(AND(高電圧出力!Z20&gt;高温過積載率!Z20,高電圧出力!Z20&lt;100%,過積載率!Z20&lt;100%),高温過積載率!Z20,0)</f>
        <v>0</v>
      </c>
      <c r="AA20" s="85">
        <f>IF(AND(高電圧出力!AA20&gt;高温過積載率!AA20,高電圧出力!AA20&lt;100%,過積載率!AA20&lt;100%),高温過積載率!AA20,0)</f>
        <v>0</v>
      </c>
      <c r="AB20" s="85">
        <f>IF(AND(高電圧出力!AB20&gt;高温過積載率!AB20,高電圧出力!AB20&lt;100%,過積載率!AB20&lt;100%),高温過積載率!AB20,0)</f>
        <v>0</v>
      </c>
      <c r="AC20" s="85">
        <f>IF(AND(高電圧出力!AC20&gt;高温過積載率!AC20,高電圧出力!AC20&lt;100%,過積載率!AC20&lt;100%),高温過積載率!AC20,0)</f>
        <v>0</v>
      </c>
      <c r="AD20" s="85">
        <f>IF(AND(高電圧出力!AD20&gt;高温過積載率!AD20,高電圧出力!AD20&lt;100%,過積載率!AD20&lt;100%),高温過積載率!AD20,0)</f>
        <v>0</v>
      </c>
      <c r="AE20" s="85">
        <f>IF(AND(高電圧出力!AE20&gt;高温過積載率!AE20,高電圧出力!AE20&lt;100%,過積載率!AE20&lt;100%),高温過積載率!AE20,0)</f>
        <v>0</v>
      </c>
      <c r="AF20" s="85">
        <f>IF(AND(高電圧出力!AF20&gt;高温過積載率!AF20,高電圧出力!AF20&lt;100%,過積載率!AF20&lt;100%),高温過積載率!AF20,0)</f>
        <v>0</v>
      </c>
      <c r="AG20" s="85">
        <f>IF(AND(高電圧出力!AG20&gt;高温過積載率!AG20,高電圧出力!AG20&lt;100%,過積載率!AG20&lt;100%),高温過積載率!AG20,0)</f>
        <v>0</v>
      </c>
      <c r="AH20" s="85">
        <f>IF(AND(高電圧出力!AH20&gt;高温過積載率!AH20,高電圧出力!AH20&lt;100%,過積載率!AH20&lt;100%),高温過積載率!AH20,0)</f>
        <v>0</v>
      </c>
      <c r="AI20" s="85">
        <f>IF(AND(高電圧出力!AI20&gt;高温過積載率!AI20,高電圧出力!AI20&lt;100%,過積載率!AI20&lt;100%),高温過積載率!AI20,0)</f>
        <v>0</v>
      </c>
      <c r="AJ20" s="85">
        <f>IF(AND(高電圧出力!AJ20&gt;高温過積載率!AJ20,高電圧出力!AJ20&lt;100%,過積載率!AJ20&lt;100%),高温過積載率!AJ20,0)</f>
        <v>0</v>
      </c>
      <c r="AK20" s="85">
        <f>IF(AND(高電圧出力!AK20&gt;高温過積載率!AK20,高電圧出力!AK20&lt;100%,過積載率!AK20&lt;100%),高温過積載率!AK20,0)</f>
        <v>0</v>
      </c>
      <c r="AL20" s="85">
        <f>IF(AND(高電圧出力!AL20&gt;高温過積載率!AL20,高電圧出力!AL20&lt;100%,過積載率!AL20&lt;100%),高温過積載率!AL20,0)</f>
        <v>0</v>
      </c>
      <c r="AM20" s="85">
        <f>IF(AND(高電圧出力!AM20&gt;高温過積載率!AM20,高電圧出力!AM20&lt;100%,過積載率!AM20&lt;100%),高温過積載率!AM20,0)</f>
        <v>0</v>
      </c>
      <c r="AN20" s="85">
        <f>IF(AND(高電圧出力!AN20&gt;高温過積載率!AN20,高電圧出力!AN20&lt;100%,過積載率!AN20&lt;100%),高温過積載率!AN20,0)</f>
        <v>0</v>
      </c>
      <c r="AO20" s="85">
        <f>IF(AND(高電圧出力!AO20&gt;高温過積載率!AO20,高電圧出力!AO20&lt;100%,過積載率!AO20&lt;100%),高温過積載率!AO20,0)</f>
        <v>0</v>
      </c>
    </row>
    <row r="21" spans="1:41">
      <c r="A21">
        <v>19</v>
      </c>
      <c r="B21" s="85">
        <f>IF(AND(高電圧出力!B21&gt;高温過積載率!B21,高電圧出力!B21&lt;100%,過積載率!B21&lt;100%),高温過積載率!B21,0)</f>
        <v>0</v>
      </c>
      <c r="C21" s="85">
        <f>IF(AND(高電圧出力!C21&gt;高温過積載率!C21,高電圧出力!C21&lt;100%,過積載率!C21&lt;100%),高温過積載率!C21,0)</f>
        <v>0</v>
      </c>
      <c r="D21" s="85">
        <f>IF(AND(高電圧出力!D21&gt;高温過積載率!D21,高電圧出力!D21&lt;100%,過積載率!D21&lt;100%),高温過積載率!D21,0)</f>
        <v>0</v>
      </c>
      <c r="E21" s="85">
        <f>IF(AND(高電圧出力!E21&gt;高温過積載率!E21,高電圧出力!E21&lt;100%,過積載率!E21&lt;100%),高温過積載率!E21,0)</f>
        <v>0</v>
      </c>
      <c r="F21" s="85">
        <f>IF(AND(高電圧出力!F21&gt;高温過積載率!F21,高電圧出力!F21&lt;100%,過積載率!F21&lt;100%),高温過積載率!F21,0)</f>
        <v>0</v>
      </c>
      <c r="G21" s="85">
        <f>IF(AND(高電圧出力!G21&gt;高温過積載率!G21,高電圧出力!G21&lt;100%,過積載率!G21&lt;100%),高温過積載率!G21,0)</f>
        <v>0</v>
      </c>
      <c r="H21" s="85">
        <f>IF(AND(高電圧出力!H21&gt;高温過積載率!H21,高電圧出力!H21&lt;100%,過積載率!H21&lt;100%),高温過積載率!H21,0)</f>
        <v>0</v>
      </c>
      <c r="I21" s="85">
        <f>IF(AND(高電圧出力!I21&gt;高温過積載率!I21,高電圧出力!I21&lt;100%,過積載率!I21&lt;100%),高温過積載率!I21,0)</f>
        <v>0</v>
      </c>
      <c r="J21" s="85">
        <f>IF(AND(高電圧出力!J21&gt;高温過積載率!J21,高電圧出力!J21&lt;100%,過積載率!J21&lt;100%),高温過積載率!J21,0)</f>
        <v>0</v>
      </c>
      <c r="K21" s="85">
        <f>IF(AND(高電圧出力!K21&gt;高温過積載率!K21,高電圧出力!K21&lt;100%,過積載率!K21&lt;100%),高温過積載率!K21,0)</f>
        <v>0</v>
      </c>
      <c r="L21" s="85">
        <f>IF(AND(高電圧出力!L21&gt;高温過積載率!L21,高電圧出力!L21&lt;100%,過積載率!L21&lt;100%),高温過積載率!L21,0)</f>
        <v>0</v>
      </c>
      <c r="M21" s="85">
        <f>IF(AND(高電圧出力!M21&gt;高温過積載率!M21,高電圧出力!M21&lt;100%,過積載率!M21&lt;100%),高温過積載率!M21,0)</f>
        <v>0</v>
      </c>
      <c r="N21" s="85">
        <f>IF(AND(高電圧出力!N21&gt;高温過積載率!N21,高電圧出力!N21&lt;100%,過積載率!N21&lt;100%),高温過積載率!N21,0)</f>
        <v>0</v>
      </c>
      <c r="O21" s="85">
        <f>IF(AND(高電圧出力!O21&gt;高温過積載率!O21,高電圧出力!O21&lt;100%,過積載率!O21&lt;100%),高温過積載率!O21,0)</f>
        <v>0</v>
      </c>
      <c r="P21" s="85">
        <f>IF(AND(高電圧出力!P21&gt;高温過積載率!P21,高電圧出力!P21&lt;100%,過積載率!P21&lt;100%),高温過積載率!P21,0)</f>
        <v>0</v>
      </c>
      <c r="Q21" s="85">
        <f>IF(AND(高電圧出力!Q21&gt;高温過積載率!Q21,高電圧出力!Q21&lt;100%,過積載率!Q21&lt;100%),高温過積載率!Q21,0)</f>
        <v>0</v>
      </c>
      <c r="R21" s="85">
        <f>IF(AND(高電圧出力!R21&gt;高温過積載率!R21,高電圧出力!R21&lt;100%,過積載率!R21&lt;100%),高温過積載率!R21,0)</f>
        <v>0</v>
      </c>
      <c r="S21" s="85">
        <f>IF(AND(高電圧出力!S21&gt;高温過積載率!S21,高電圧出力!S21&lt;100%,過積載率!S21&lt;100%),高温過積載率!S21,0)</f>
        <v>0</v>
      </c>
      <c r="T21" s="85">
        <f>IF(AND(高電圧出力!T21&gt;高温過積載率!T21,高電圧出力!T21&lt;100%,過積載率!T21&lt;100%),高温過積載率!T21,0)</f>
        <v>0</v>
      </c>
      <c r="U21" s="85">
        <f>IF(AND(高電圧出力!U21&gt;高温過積載率!U21,高電圧出力!U21&lt;100%,過積載率!U21&lt;100%),高温過積載率!U21,0)</f>
        <v>0</v>
      </c>
      <c r="V21" s="85">
        <f>IF(AND(高電圧出力!V21&gt;高温過積載率!V21,高電圧出力!V21&lt;100%,過積載率!V21&lt;100%),高温過積載率!V21,0)</f>
        <v>0</v>
      </c>
      <c r="W21" s="85">
        <f>IF(AND(高電圧出力!W21&gt;高温過積載率!W21,高電圧出力!W21&lt;100%,過積載率!W21&lt;100%),高温過積載率!W21,0)</f>
        <v>0</v>
      </c>
      <c r="X21" s="85">
        <f>IF(AND(高電圧出力!X21&gt;高温過積載率!X21,高電圧出力!X21&lt;100%,過積載率!X21&lt;100%),高温過積載率!X21,0)</f>
        <v>0</v>
      </c>
      <c r="Y21" s="85">
        <f>IF(AND(高電圧出力!Y21&gt;高温過積載率!Y21,高電圧出力!Y21&lt;100%,過積載率!Y21&lt;100%),高温過積載率!Y21,0)</f>
        <v>0</v>
      </c>
      <c r="Z21" s="85">
        <f>IF(AND(高電圧出力!Z21&gt;高温過積載率!Z21,高電圧出力!Z21&lt;100%,過積載率!Z21&lt;100%),高温過積載率!Z21,0)</f>
        <v>0</v>
      </c>
      <c r="AA21" s="85">
        <f>IF(AND(高電圧出力!AA21&gt;高温過積載率!AA21,高電圧出力!AA21&lt;100%,過積載率!AA21&lt;100%),高温過積載率!AA21,0)</f>
        <v>0</v>
      </c>
      <c r="AB21" s="85">
        <f>IF(AND(高電圧出力!AB21&gt;高温過積載率!AB21,高電圧出力!AB21&lt;100%,過積載率!AB21&lt;100%),高温過積載率!AB21,0)</f>
        <v>0</v>
      </c>
      <c r="AC21" s="85">
        <f>IF(AND(高電圧出力!AC21&gt;高温過積載率!AC21,高電圧出力!AC21&lt;100%,過積載率!AC21&lt;100%),高温過積載率!AC21,0)</f>
        <v>0</v>
      </c>
      <c r="AD21" s="85">
        <f>IF(AND(高電圧出力!AD21&gt;高温過積載率!AD21,高電圧出力!AD21&lt;100%,過積載率!AD21&lt;100%),高温過積載率!AD21,0)</f>
        <v>0</v>
      </c>
      <c r="AE21" s="85">
        <f>IF(AND(高電圧出力!AE21&gt;高温過積載率!AE21,高電圧出力!AE21&lt;100%,過積載率!AE21&lt;100%),高温過積載率!AE21,0)</f>
        <v>0</v>
      </c>
      <c r="AF21" s="85">
        <f>IF(AND(高電圧出力!AF21&gt;高温過積載率!AF21,高電圧出力!AF21&lt;100%,過積載率!AF21&lt;100%),高温過積載率!AF21,0)</f>
        <v>0</v>
      </c>
      <c r="AG21" s="85">
        <f>IF(AND(高電圧出力!AG21&gt;高温過積載率!AG21,高電圧出力!AG21&lt;100%,過積載率!AG21&lt;100%),高温過積載率!AG21,0)</f>
        <v>0</v>
      </c>
      <c r="AH21" s="85">
        <f>IF(AND(高電圧出力!AH21&gt;高温過積載率!AH21,高電圧出力!AH21&lt;100%,過積載率!AH21&lt;100%),高温過積載率!AH21,0)</f>
        <v>0</v>
      </c>
      <c r="AI21" s="85">
        <f>IF(AND(高電圧出力!AI21&gt;高温過積載率!AI21,高電圧出力!AI21&lt;100%,過積載率!AI21&lt;100%),高温過積載率!AI21,0)</f>
        <v>0</v>
      </c>
      <c r="AJ21" s="85">
        <f>IF(AND(高電圧出力!AJ21&gt;高温過積載率!AJ21,高電圧出力!AJ21&lt;100%,過積載率!AJ21&lt;100%),高温過積載率!AJ21,0)</f>
        <v>0</v>
      </c>
      <c r="AK21" s="85">
        <f>IF(AND(高電圧出力!AK21&gt;高温過積載率!AK21,高電圧出力!AK21&lt;100%,過積載率!AK21&lt;100%),高温過積載率!AK21,0)</f>
        <v>0</v>
      </c>
      <c r="AL21" s="85">
        <f>IF(AND(高電圧出力!AL21&gt;高温過積載率!AL21,高電圧出力!AL21&lt;100%,過積載率!AL21&lt;100%),高温過積載率!AL21,0)</f>
        <v>0</v>
      </c>
      <c r="AM21" s="85">
        <f>IF(AND(高電圧出力!AM21&gt;高温過積載率!AM21,高電圧出力!AM21&lt;100%,過積載率!AM21&lt;100%),高温過積載率!AM21,0)</f>
        <v>0</v>
      </c>
      <c r="AN21" s="85">
        <f>IF(AND(高電圧出力!AN21&gt;高温過積載率!AN21,高電圧出力!AN21&lt;100%,過積載率!AN21&lt;100%),高温過積載率!AN21,0)</f>
        <v>0</v>
      </c>
      <c r="AO21" s="85">
        <f>IF(AND(高電圧出力!AO21&gt;高温過積載率!AO21,高電圧出力!AO21&lt;100%,過積載率!AO21&lt;100%),高温過積載率!AO21,0)</f>
        <v>0</v>
      </c>
    </row>
    <row r="22" spans="1:41">
      <c r="A22">
        <v>20</v>
      </c>
      <c r="B22" s="85">
        <f>IF(AND(高電圧出力!B22&gt;高温過積載率!B22,高電圧出力!B22&lt;100%,過積載率!B22&lt;100%),高温過積載率!B22,0)</f>
        <v>0</v>
      </c>
      <c r="C22" s="85">
        <f>IF(AND(高電圧出力!C22&gt;高温過積載率!C22,高電圧出力!C22&lt;100%,過積載率!C22&lt;100%),高温過積載率!C22,0)</f>
        <v>0</v>
      </c>
      <c r="D22" s="85">
        <f>IF(AND(高電圧出力!D22&gt;高温過積載率!D22,高電圧出力!D22&lt;100%,過積載率!D22&lt;100%),高温過積載率!D22,0)</f>
        <v>0</v>
      </c>
      <c r="E22" s="85">
        <f>IF(AND(高電圧出力!E22&gt;高温過積載率!E22,高電圧出力!E22&lt;100%,過積載率!E22&lt;100%),高温過積載率!E22,0)</f>
        <v>0</v>
      </c>
      <c r="F22" s="85">
        <f>IF(AND(高電圧出力!F22&gt;高温過積載率!F22,高電圧出力!F22&lt;100%,過積載率!F22&lt;100%),高温過積載率!F22,0)</f>
        <v>0</v>
      </c>
      <c r="G22" s="85">
        <f>IF(AND(高電圧出力!G22&gt;高温過積載率!G22,高電圧出力!G22&lt;100%,過積載率!G22&lt;100%),高温過積載率!G22,0)</f>
        <v>0</v>
      </c>
      <c r="H22" s="85">
        <f>IF(AND(高電圧出力!H22&gt;高温過積載率!H22,高電圧出力!H22&lt;100%,過積載率!H22&lt;100%),高温過積載率!H22,0)</f>
        <v>0</v>
      </c>
      <c r="I22" s="85">
        <f>IF(AND(高電圧出力!I22&gt;高温過積載率!I22,高電圧出力!I22&lt;100%,過積載率!I22&lt;100%),高温過積載率!I22,0)</f>
        <v>0</v>
      </c>
      <c r="J22" s="85">
        <f>IF(AND(高電圧出力!J22&gt;高温過積載率!J22,高電圧出力!J22&lt;100%,過積載率!J22&lt;100%),高温過積載率!J22,0)</f>
        <v>0</v>
      </c>
      <c r="K22" s="85">
        <f>IF(AND(高電圧出力!K22&gt;高温過積載率!K22,高電圧出力!K22&lt;100%,過積載率!K22&lt;100%),高温過積載率!K22,0)</f>
        <v>0</v>
      </c>
      <c r="L22" s="85">
        <f>IF(AND(高電圧出力!L22&gt;高温過積載率!L22,高電圧出力!L22&lt;100%,過積載率!L22&lt;100%),高温過積載率!L22,0)</f>
        <v>0</v>
      </c>
      <c r="M22" s="85">
        <f>IF(AND(高電圧出力!M22&gt;高温過積載率!M22,高電圧出力!M22&lt;100%,過積載率!M22&lt;100%),高温過積載率!M22,0)</f>
        <v>0</v>
      </c>
      <c r="N22" s="85">
        <f>IF(AND(高電圧出力!N22&gt;高温過積載率!N22,高電圧出力!N22&lt;100%,過積載率!N22&lt;100%),高温過積載率!N22,0)</f>
        <v>0</v>
      </c>
      <c r="O22" s="85">
        <f>IF(AND(高電圧出力!O22&gt;高温過積載率!O22,高電圧出力!O22&lt;100%,過積載率!O22&lt;100%),高温過積載率!O22,0)</f>
        <v>0</v>
      </c>
      <c r="P22" s="85">
        <f>IF(AND(高電圧出力!P22&gt;高温過積載率!P22,高電圧出力!P22&lt;100%,過積載率!P22&lt;100%),高温過積載率!P22,0)</f>
        <v>0</v>
      </c>
      <c r="Q22" s="85">
        <f>IF(AND(高電圧出力!Q22&gt;高温過積載率!Q22,高電圧出力!Q22&lt;100%,過積載率!Q22&lt;100%),高温過積載率!Q22,0)</f>
        <v>0</v>
      </c>
      <c r="R22" s="85">
        <f>IF(AND(高電圧出力!R22&gt;高温過積載率!R22,高電圧出力!R22&lt;100%,過積載率!R22&lt;100%),高温過積載率!R22,0)</f>
        <v>0</v>
      </c>
      <c r="S22" s="85">
        <f>IF(AND(高電圧出力!S22&gt;高温過積載率!S22,高電圧出力!S22&lt;100%,過積載率!S22&lt;100%),高温過積載率!S22,0)</f>
        <v>0</v>
      </c>
      <c r="T22" s="85">
        <f>IF(AND(高電圧出力!T22&gt;高温過積載率!T22,高電圧出力!T22&lt;100%,過積載率!T22&lt;100%),高温過積載率!T22,0)</f>
        <v>0</v>
      </c>
      <c r="U22" s="85">
        <f>IF(AND(高電圧出力!U22&gt;高温過積載率!U22,高電圧出力!U22&lt;100%,過積載率!U22&lt;100%),高温過積載率!U22,0)</f>
        <v>0</v>
      </c>
      <c r="V22" s="85">
        <f>IF(AND(高電圧出力!V22&gt;高温過積載率!V22,高電圧出力!V22&lt;100%,過積載率!V22&lt;100%),高温過積載率!V22,0)</f>
        <v>0</v>
      </c>
      <c r="W22" s="85">
        <f>IF(AND(高電圧出力!W22&gt;高温過積載率!W22,高電圧出力!W22&lt;100%,過積載率!W22&lt;100%),高温過積載率!W22,0)</f>
        <v>0</v>
      </c>
      <c r="X22" s="85">
        <f>IF(AND(高電圧出力!X22&gt;高温過積載率!X22,高電圧出力!X22&lt;100%,過積載率!X22&lt;100%),高温過積載率!X22,0)</f>
        <v>0</v>
      </c>
      <c r="Y22" s="85">
        <f>IF(AND(高電圧出力!Y22&gt;高温過積載率!Y22,高電圧出力!Y22&lt;100%,過積載率!Y22&lt;100%),高温過積載率!Y22,0)</f>
        <v>0</v>
      </c>
      <c r="Z22" s="85">
        <f>IF(AND(高電圧出力!Z22&gt;高温過積載率!Z22,高電圧出力!Z22&lt;100%,過積載率!Z22&lt;100%),高温過積載率!Z22,0)</f>
        <v>0</v>
      </c>
      <c r="AA22" s="85">
        <f>IF(AND(高電圧出力!AA22&gt;高温過積載率!AA22,高電圧出力!AA22&lt;100%,過積載率!AA22&lt;100%),高温過積載率!AA22,0)</f>
        <v>0</v>
      </c>
      <c r="AB22" s="85">
        <f>IF(AND(高電圧出力!AB22&gt;高温過積載率!AB22,高電圧出力!AB22&lt;100%,過積載率!AB22&lt;100%),高温過積載率!AB22,0)</f>
        <v>0</v>
      </c>
      <c r="AC22" s="85">
        <f>IF(AND(高電圧出力!AC22&gt;高温過積載率!AC22,高電圧出力!AC22&lt;100%,過積載率!AC22&lt;100%),高温過積載率!AC22,0)</f>
        <v>0</v>
      </c>
      <c r="AD22" s="85">
        <f>IF(AND(高電圧出力!AD22&gt;高温過積載率!AD22,高電圧出力!AD22&lt;100%,過積載率!AD22&lt;100%),高温過積載率!AD22,0)</f>
        <v>0</v>
      </c>
      <c r="AE22" s="85">
        <f>IF(AND(高電圧出力!AE22&gt;高温過積載率!AE22,高電圧出力!AE22&lt;100%,過積載率!AE22&lt;100%),高温過積載率!AE22,0)</f>
        <v>0</v>
      </c>
      <c r="AF22" s="85">
        <f>IF(AND(高電圧出力!AF22&gt;高温過積載率!AF22,高電圧出力!AF22&lt;100%,過積載率!AF22&lt;100%),高温過積載率!AF22,0)</f>
        <v>0</v>
      </c>
      <c r="AG22" s="85">
        <f>IF(AND(高電圧出力!AG22&gt;高温過積載率!AG22,高電圧出力!AG22&lt;100%,過積載率!AG22&lt;100%),高温過積載率!AG22,0)</f>
        <v>0</v>
      </c>
      <c r="AH22" s="85">
        <f>IF(AND(高電圧出力!AH22&gt;高温過積載率!AH22,高電圧出力!AH22&lt;100%,過積載率!AH22&lt;100%),高温過積載率!AH22,0)</f>
        <v>0</v>
      </c>
      <c r="AI22" s="85">
        <f>IF(AND(高電圧出力!AI22&gt;高温過積載率!AI22,高電圧出力!AI22&lt;100%,過積載率!AI22&lt;100%),高温過積載率!AI22,0)</f>
        <v>0</v>
      </c>
      <c r="AJ22" s="85">
        <f>IF(AND(高電圧出力!AJ22&gt;高温過積載率!AJ22,高電圧出力!AJ22&lt;100%,過積載率!AJ22&lt;100%),高温過積載率!AJ22,0)</f>
        <v>0</v>
      </c>
      <c r="AK22" s="85">
        <f>IF(AND(高電圧出力!AK22&gt;高温過積載率!AK22,高電圧出力!AK22&lt;100%,過積載率!AK22&lt;100%),高温過積載率!AK22,0)</f>
        <v>0</v>
      </c>
      <c r="AL22" s="85">
        <f>IF(AND(高電圧出力!AL22&gt;高温過積載率!AL22,高電圧出力!AL22&lt;100%,過積載率!AL22&lt;100%),高温過積載率!AL22,0)</f>
        <v>0</v>
      </c>
      <c r="AM22" s="85">
        <f>IF(AND(高電圧出力!AM22&gt;高温過積載率!AM22,高電圧出力!AM22&lt;100%,過積載率!AM22&lt;100%),高温過積載率!AM22,0)</f>
        <v>0</v>
      </c>
      <c r="AN22" s="85">
        <f>IF(AND(高電圧出力!AN22&gt;高温過積載率!AN22,高電圧出力!AN22&lt;100%,過積載率!AN22&lt;100%),高温過積載率!AN22,0)</f>
        <v>0</v>
      </c>
      <c r="AO22" s="85">
        <f>IF(AND(高電圧出力!AO22&gt;高温過積載率!AO22,高電圧出力!AO22&lt;100%,過積載率!AO22&lt;100%),高温過積載率!AO22,0)</f>
        <v>0</v>
      </c>
    </row>
    <row r="23" spans="1:41">
      <c r="A23">
        <v>21</v>
      </c>
      <c r="B23" s="85">
        <f>IF(AND(高電圧出力!B23&gt;高温過積載率!B23,高電圧出力!B23&lt;100%,過積載率!B23&lt;100%),高温過積載率!B23,0)</f>
        <v>0</v>
      </c>
      <c r="C23" s="85">
        <f>IF(AND(高電圧出力!C23&gt;高温過積載率!C23,高電圧出力!C23&lt;100%,過積載率!C23&lt;100%),高温過積載率!C23,0)</f>
        <v>0</v>
      </c>
      <c r="D23" s="85">
        <f>IF(AND(高電圧出力!D23&gt;高温過積載率!D23,高電圧出力!D23&lt;100%,過積載率!D23&lt;100%),高温過積載率!D23,0)</f>
        <v>0</v>
      </c>
      <c r="E23" s="85">
        <f>IF(AND(高電圧出力!E23&gt;高温過積載率!E23,高電圧出力!E23&lt;100%,過積載率!E23&lt;100%),高温過積載率!E23,0)</f>
        <v>0</v>
      </c>
      <c r="F23" s="85">
        <f>IF(AND(高電圧出力!F23&gt;高温過積載率!F23,高電圧出力!F23&lt;100%,過積載率!F23&lt;100%),高温過積載率!F23,0)</f>
        <v>0</v>
      </c>
      <c r="G23" s="85">
        <f>IF(AND(高電圧出力!G23&gt;高温過積載率!G23,高電圧出力!G23&lt;100%,過積載率!G23&lt;100%),高温過積載率!G23,0)</f>
        <v>0</v>
      </c>
      <c r="H23" s="85">
        <f>IF(AND(高電圧出力!H23&gt;高温過積載率!H23,高電圧出力!H23&lt;100%,過積載率!H23&lt;100%),高温過積載率!H23,0)</f>
        <v>0</v>
      </c>
      <c r="I23" s="85">
        <f>IF(AND(高電圧出力!I23&gt;高温過積載率!I23,高電圧出力!I23&lt;100%,過積載率!I23&lt;100%),高温過積載率!I23,0)</f>
        <v>0</v>
      </c>
      <c r="J23" s="85">
        <f>IF(AND(高電圧出力!J23&gt;高温過積載率!J23,高電圧出力!J23&lt;100%,過積載率!J23&lt;100%),高温過積載率!J23,0)</f>
        <v>0</v>
      </c>
      <c r="K23" s="85">
        <f>IF(AND(高電圧出力!K23&gt;高温過積載率!K23,高電圧出力!K23&lt;100%,過積載率!K23&lt;100%),高温過積載率!K23,0)</f>
        <v>0</v>
      </c>
      <c r="L23" s="85">
        <f>IF(AND(高電圧出力!L23&gt;高温過積載率!L23,高電圧出力!L23&lt;100%,過積載率!L23&lt;100%),高温過積載率!L23,0)</f>
        <v>0</v>
      </c>
      <c r="M23" s="85">
        <f>IF(AND(高電圧出力!M23&gt;高温過積載率!M23,高電圧出力!M23&lt;100%,過積載率!M23&lt;100%),高温過積載率!M23,0)</f>
        <v>0</v>
      </c>
      <c r="N23" s="85">
        <f>IF(AND(高電圧出力!N23&gt;高温過積載率!N23,高電圧出力!N23&lt;100%,過積載率!N23&lt;100%),高温過積載率!N23,0)</f>
        <v>0</v>
      </c>
      <c r="O23" s="85">
        <f>IF(AND(高電圧出力!O23&gt;高温過積載率!O23,高電圧出力!O23&lt;100%,過積載率!O23&lt;100%),高温過積載率!O23,0)</f>
        <v>0</v>
      </c>
      <c r="P23" s="85">
        <f>IF(AND(高電圧出力!P23&gt;高温過積載率!P23,高電圧出力!P23&lt;100%,過積載率!P23&lt;100%),高温過積載率!P23,0)</f>
        <v>0</v>
      </c>
      <c r="Q23" s="85">
        <f>IF(AND(高電圧出力!Q23&gt;高温過積載率!Q23,高電圧出力!Q23&lt;100%,過積載率!Q23&lt;100%),高温過積載率!Q23,0)</f>
        <v>0</v>
      </c>
      <c r="R23" s="85">
        <f>IF(AND(高電圧出力!R23&gt;高温過積載率!R23,高電圧出力!R23&lt;100%,過積載率!R23&lt;100%),高温過積載率!R23,0)</f>
        <v>0</v>
      </c>
      <c r="S23" s="85">
        <f>IF(AND(高電圧出力!S23&gt;高温過積載率!S23,高電圧出力!S23&lt;100%,過積載率!S23&lt;100%),高温過積載率!S23,0)</f>
        <v>0</v>
      </c>
      <c r="T23" s="85">
        <f>IF(AND(高電圧出力!T23&gt;高温過積載率!T23,高電圧出力!T23&lt;100%,過積載率!T23&lt;100%),高温過積載率!T23,0)</f>
        <v>0</v>
      </c>
      <c r="U23" s="85">
        <f>IF(AND(高電圧出力!U23&gt;高温過積載率!U23,高電圧出力!U23&lt;100%,過積載率!U23&lt;100%),高温過積載率!U23,0)</f>
        <v>0</v>
      </c>
      <c r="V23" s="85">
        <f>IF(AND(高電圧出力!V23&gt;高温過積載率!V23,高電圧出力!V23&lt;100%,過積載率!V23&lt;100%),高温過積載率!V23,0)</f>
        <v>0</v>
      </c>
      <c r="W23" s="85">
        <f>IF(AND(高電圧出力!W23&gt;高温過積載率!W23,高電圧出力!W23&lt;100%,過積載率!W23&lt;100%),高温過積載率!W23,0)</f>
        <v>0</v>
      </c>
      <c r="X23" s="85">
        <f>IF(AND(高電圧出力!X23&gt;高温過積載率!X23,高電圧出力!X23&lt;100%,過積載率!X23&lt;100%),高温過積載率!X23,0)</f>
        <v>0</v>
      </c>
      <c r="Y23" s="85">
        <f>IF(AND(高電圧出力!Y23&gt;高温過積載率!Y23,高電圧出力!Y23&lt;100%,過積載率!Y23&lt;100%),高温過積載率!Y23,0)</f>
        <v>0</v>
      </c>
      <c r="Z23" s="85">
        <f>IF(AND(高電圧出力!Z23&gt;高温過積載率!Z23,高電圧出力!Z23&lt;100%,過積載率!Z23&lt;100%),高温過積載率!Z23,0)</f>
        <v>0</v>
      </c>
      <c r="AA23" s="85">
        <f>IF(AND(高電圧出力!AA23&gt;高温過積載率!AA23,高電圧出力!AA23&lt;100%,過積載率!AA23&lt;100%),高温過積載率!AA23,0)</f>
        <v>0</v>
      </c>
      <c r="AB23" s="85">
        <f>IF(AND(高電圧出力!AB23&gt;高温過積載率!AB23,高電圧出力!AB23&lt;100%,過積載率!AB23&lt;100%),高温過積載率!AB23,0)</f>
        <v>0</v>
      </c>
      <c r="AC23" s="85">
        <f>IF(AND(高電圧出力!AC23&gt;高温過積載率!AC23,高電圧出力!AC23&lt;100%,過積載率!AC23&lt;100%),高温過積載率!AC23,0)</f>
        <v>0</v>
      </c>
      <c r="AD23" s="85">
        <f>IF(AND(高電圧出力!AD23&gt;高温過積載率!AD23,高電圧出力!AD23&lt;100%,過積載率!AD23&lt;100%),高温過積載率!AD23,0)</f>
        <v>0</v>
      </c>
      <c r="AE23" s="85">
        <f>IF(AND(高電圧出力!AE23&gt;高温過積載率!AE23,高電圧出力!AE23&lt;100%,過積載率!AE23&lt;100%),高温過積載率!AE23,0)</f>
        <v>0</v>
      </c>
      <c r="AF23" s="85">
        <f>IF(AND(高電圧出力!AF23&gt;高温過積載率!AF23,高電圧出力!AF23&lt;100%,過積載率!AF23&lt;100%),高温過積載率!AF23,0)</f>
        <v>0</v>
      </c>
      <c r="AG23" s="85">
        <f>IF(AND(高電圧出力!AG23&gt;高温過積載率!AG23,高電圧出力!AG23&lt;100%,過積載率!AG23&lt;100%),高温過積載率!AG23,0)</f>
        <v>0</v>
      </c>
      <c r="AH23" s="85">
        <f>IF(AND(高電圧出力!AH23&gt;高温過積載率!AH23,高電圧出力!AH23&lt;100%,過積載率!AH23&lt;100%),高温過積載率!AH23,0)</f>
        <v>0</v>
      </c>
      <c r="AI23" s="85">
        <f>IF(AND(高電圧出力!AI23&gt;高温過積載率!AI23,高電圧出力!AI23&lt;100%,過積載率!AI23&lt;100%),高温過積載率!AI23,0)</f>
        <v>0</v>
      </c>
      <c r="AJ23" s="85">
        <f>IF(AND(高電圧出力!AJ23&gt;高温過積載率!AJ23,高電圧出力!AJ23&lt;100%,過積載率!AJ23&lt;100%),高温過積載率!AJ23,0)</f>
        <v>0</v>
      </c>
      <c r="AK23" s="85">
        <f>IF(AND(高電圧出力!AK23&gt;高温過積載率!AK23,高電圧出力!AK23&lt;100%,過積載率!AK23&lt;100%),高温過積載率!AK23,0)</f>
        <v>0</v>
      </c>
      <c r="AL23" s="85">
        <f>IF(AND(高電圧出力!AL23&gt;高温過積載率!AL23,高電圧出力!AL23&lt;100%,過積載率!AL23&lt;100%),高温過積載率!AL23,0)</f>
        <v>0</v>
      </c>
      <c r="AM23" s="85">
        <f>IF(AND(高電圧出力!AM23&gt;高温過積載率!AM23,高電圧出力!AM23&lt;100%,過積載率!AM23&lt;100%),高温過積載率!AM23,0)</f>
        <v>0</v>
      </c>
      <c r="AN23" s="85">
        <f>IF(AND(高電圧出力!AN23&gt;高温過積載率!AN23,高電圧出力!AN23&lt;100%,過積載率!AN23&lt;100%),高温過積載率!AN23,0)</f>
        <v>0</v>
      </c>
      <c r="AO23" s="85">
        <f>IF(AND(高電圧出力!AO23&gt;高温過積載率!AO23,高電圧出力!AO23&lt;100%,過積載率!AO23&lt;100%),高温過積載率!AO23,0)</f>
        <v>0</v>
      </c>
    </row>
    <row r="24" spans="1:41">
      <c r="A24">
        <v>22</v>
      </c>
      <c r="B24" s="85">
        <f>IF(AND(高電圧出力!B24&gt;高温過積載率!B24,高電圧出力!B24&lt;100%,過積載率!B24&lt;100%),高温過積載率!B24,0)</f>
        <v>0</v>
      </c>
      <c r="C24" s="85">
        <f>IF(AND(高電圧出力!C24&gt;高温過積載率!C24,高電圧出力!C24&lt;100%,過積載率!C24&lt;100%),高温過積載率!C24,0)</f>
        <v>0</v>
      </c>
      <c r="D24" s="85">
        <f>IF(AND(高電圧出力!D24&gt;高温過積載率!D24,高電圧出力!D24&lt;100%,過積載率!D24&lt;100%),高温過積載率!D24,0)</f>
        <v>0</v>
      </c>
      <c r="E24" s="85">
        <f>IF(AND(高電圧出力!E24&gt;高温過積載率!E24,高電圧出力!E24&lt;100%,過積載率!E24&lt;100%),高温過積載率!E24,0)</f>
        <v>0</v>
      </c>
      <c r="F24" s="85">
        <f>IF(AND(高電圧出力!F24&gt;高温過積載率!F24,高電圧出力!F24&lt;100%,過積載率!F24&lt;100%),高温過積載率!F24,0)</f>
        <v>0</v>
      </c>
      <c r="G24" s="85">
        <f>IF(AND(高電圧出力!G24&gt;高温過積載率!G24,高電圧出力!G24&lt;100%,過積載率!G24&lt;100%),高温過積載率!G24,0)</f>
        <v>0</v>
      </c>
      <c r="H24" s="85">
        <f>IF(AND(高電圧出力!H24&gt;高温過積載率!H24,高電圧出力!H24&lt;100%,過積載率!H24&lt;100%),高温過積載率!H24,0)</f>
        <v>0</v>
      </c>
      <c r="I24" s="85">
        <f>IF(AND(高電圧出力!I24&gt;高温過積載率!I24,高電圧出力!I24&lt;100%,過積載率!I24&lt;100%),高温過積載率!I24,0)</f>
        <v>0</v>
      </c>
      <c r="J24" s="85">
        <f>IF(AND(高電圧出力!J24&gt;高温過積載率!J24,高電圧出力!J24&lt;100%,過積載率!J24&lt;100%),高温過積載率!J24,0)</f>
        <v>0</v>
      </c>
      <c r="K24" s="85">
        <f>IF(AND(高電圧出力!K24&gt;高温過積載率!K24,高電圧出力!K24&lt;100%,過積載率!K24&lt;100%),高温過積載率!K24,0)</f>
        <v>0</v>
      </c>
      <c r="L24" s="85">
        <f>IF(AND(高電圧出力!L24&gt;高温過積載率!L24,高電圧出力!L24&lt;100%,過積載率!L24&lt;100%),高温過積載率!L24,0)</f>
        <v>0</v>
      </c>
      <c r="M24" s="85">
        <f>IF(AND(高電圧出力!M24&gt;高温過積載率!M24,高電圧出力!M24&lt;100%,過積載率!M24&lt;100%),高温過積載率!M24,0)</f>
        <v>0</v>
      </c>
      <c r="N24" s="85">
        <f>IF(AND(高電圧出力!N24&gt;高温過積載率!N24,高電圧出力!N24&lt;100%,過積載率!N24&lt;100%),高温過積載率!N24,0)</f>
        <v>0</v>
      </c>
      <c r="O24" s="85">
        <f>IF(AND(高電圧出力!O24&gt;高温過積載率!O24,高電圧出力!O24&lt;100%,過積載率!O24&lt;100%),高温過積載率!O24,0)</f>
        <v>0</v>
      </c>
      <c r="P24" s="85">
        <f>IF(AND(高電圧出力!P24&gt;高温過積載率!P24,高電圧出力!P24&lt;100%,過積載率!P24&lt;100%),高温過積載率!P24,0)</f>
        <v>0</v>
      </c>
      <c r="Q24" s="85">
        <f>IF(AND(高電圧出力!Q24&gt;高温過積載率!Q24,高電圧出力!Q24&lt;100%,過積載率!Q24&lt;100%),高温過積載率!Q24,0)</f>
        <v>0</v>
      </c>
      <c r="R24" s="85">
        <f>IF(AND(高電圧出力!R24&gt;高温過積載率!R24,高電圧出力!R24&lt;100%,過積載率!R24&lt;100%),高温過積載率!R24,0)</f>
        <v>0</v>
      </c>
      <c r="S24" s="85">
        <f>IF(AND(高電圧出力!S24&gt;高温過積載率!S24,高電圧出力!S24&lt;100%,過積載率!S24&lt;100%),高温過積載率!S24,0)</f>
        <v>0</v>
      </c>
      <c r="T24" s="85">
        <f>IF(AND(高電圧出力!T24&gt;高温過積載率!T24,高電圧出力!T24&lt;100%,過積載率!T24&lt;100%),高温過積載率!T24,0)</f>
        <v>0</v>
      </c>
      <c r="U24" s="85">
        <f>IF(AND(高電圧出力!U24&gt;高温過積載率!U24,高電圧出力!U24&lt;100%,過積載率!U24&lt;100%),高温過積載率!U24,0)</f>
        <v>0</v>
      </c>
      <c r="V24" s="85">
        <f>IF(AND(高電圧出力!V24&gt;高温過積載率!V24,高電圧出力!V24&lt;100%,過積載率!V24&lt;100%),高温過積載率!V24,0)</f>
        <v>0</v>
      </c>
      <c r="W24" s="85">
        <f>IF(AND(高電圧出力!W24&gt;高温過積載率!W24,高電圧出力!W24&lt;100%,過積載率!W24&lt;100%),高温過積載率!W24,0)</f>
        <v>0</v>
      </c>
      <c r="X24" s="85">
        <f>IF(AND(高電圧出力!X24&gt;高温過積載率!X24,高電圧出力!X24&lt;100%,過積載率!X24&lt;100%),高温過積載率!X24,0)</f>
        <v>0</v>
      </c>
      <c r="Y24" s="85">
        <f>IF(AND(高電圧出力!Y24&gt;高温過積載率!Y24,高電圧出力!Y24&lt;100%,過積載率!Y24&lt;100%),高温過積載率!Y24,0)</f>
        <v>0</v>
      </c>
      <c r="Z24" s="85">
        <f>IF(AND(高電圧出力!Z24&gt;高温過積載率!Z24,高電圧出力!Z24&lt;100%,過積載率!Z24&lt;100%),高温過積載率!Z24,0)</f>
        <v>0</v>
      </c>
      <c r="AA24" s="85">
        <f>IF(AND(高電圧出力!AA24&gt;高温過積載率!AA24,高電圧出力!AA24&lt;100%,過積載率!AA24&lt;100%),高温過積載率!AA24,0)</f>
        <v>0</v>
      </c>
      <c r="AB24" s="85">
        <f>IF(AND(高電圧出力!AB24&gt;高温過積載率!AB24,高電圧出力!AB24&lt;100%,過積載率!AB24&lt;100%),高温過積載率!AB24,0)</f>
        <v>0</v>
      </c>
      <c r="AC24" s="85">
        <f>IF(AND(高電圧出力!AC24&gt;高温過積載率!AC24,高電圧出力!AC24&lt;100%,過積載率!AC24&lt;100%),高温過積載率!AC24,0)</f>
        <v>0</v>
      </c>
      <c r="AD24" s="85">
        <f>IF(AND(高電圧出力!AD24&gt;高温過積載率!AD24,高電圧出力!AD24&lt;100%,過積載率!AD24&lt;100%),高温過積載率!AD24,0)</f>
        <v>0</v>
      </c>
      <c r="AE24" s="85">
        <f>IF(AND(高電圧出力!AE24&gt;高温過積載率!AE24,高電圧出力!AE24&lt;100%,過積載率!AE24&lt;100%),高温過積載率!AE24,0)</f>
        <v>0</v>
      </c>
      <c r="AF24" s="85">
        <f>IF(AND(高電圧出力!AF24&gt;高温過積載率!AF24,高電圧出力!AF24&lt;100%,過積載率!AF24&lt;100%),高温過積載率!AF24,0)</f>
        <v>0</v>
      </c>
      <c r="AG24" s="85">
        <f>IF(AND(高電圧出力!AG24&gt;高温過積載率!AG24,高電圧出力!AG24&lt;100%,過積載率!AG24&lt;100%),高温過積載率!AG24,0)</f>
        <v>0</v>
      </c>
      <c r="AH24" s="85">
        <f>IF(AND(高電圧出力!AH24&gt;高温過積載率!AH24,高電圧出力!AH24&lt;100%,過積載率!AH24&lt;100%),高温過積載率!AH24,0)</f>
        <v>0</v>
      </c>
      <c r="AI24" s="85">
        <f>IF(AND(高電圧出力!AI24&gt;高温過積載率!AI24,高電圧出力!AI24&lt;100%,過積載率!AI24&lt;100%),高温過積載率!AI24,0)</f>
        <v>0</v>
      </c>
      <c r="AJ24" s="85">
        <f>IF(AND(高電圧出力!AJ24&gt;高温過積載率!AJ24,高電圧出力!AJ24&lt;100%,過積載率!AJ24&lt;100%),高温過積載率!AJ24,0)</f>
        <v>0</v>
      </c>
      <c r="AK24" s="85">
        <f>IF(AND(高電圧出力!AK24&gt;高温過積載率!AK24,高電圧出力!AK24&lt;100%,過積載率!AK24&lt;100%),高温過積載率!AK24,0)</f>
        <v>0</v>
      </c>
      <c r="AL24" s="85">
        <f>IF(AND(高電圧出力!AL24&gt;高温過積載率!AL24,高電圧出力!AL24&lt;100%,過積載率!AL24&lt;100%),高温過積載率!AL24,0)</f>
        <v>0</v>
      </c>
      <c r="AM24" s="85">
        <f>IF(AND(高電圧出力!AM24&gt;高温過積載率!AM24,高電圧出力!AM24&lt;100%,過積載率!AM24&lt;100%),高温過積載率!AM24,0)</f>
        <v>0</v>
      </c>
      <c r="AN24" s="85">
        <f>IF(AND(高電圧出力!AN24&gt;高温過積載率!AN24,高電圧出力!AN24&lt;100%,過積載率!AN24&lt;100%),高温過積載率!AN24,0)</f>
        <v>0</v>
      </c>
      <c r="AO24" s="85">
        <f>IF(AND(高電圧出力!AO24&gt;高温過積載率!AO24,高電圧出力!AO24&lt;100%,過積載率!AO24&lt;100%),高温過積載率!AO24,0)</f>
        <v>0</v>
      </c>
    </row>
    <row r="25" spans="1:41">
      <c r="A25">
        <v>23</v>
      </c>
      <c r="B25" s="85">
        <f>IF(AND(高電圧出力!B25&gt;高温過積載率!B25,高電圧出力!B25&lt;100%,過積載率!B25&lt;100%),高温過積載率!B25,0)</f>
        <v>0</v>
      </c>
      <c r="C25" s="85">
        <f>IF(AND(高電圧出力!C25&gt;高温過積載率!C25,高電圧出力!C25&lt;100%,過積載率!C25&lt;100%),高温過積載率!C25,0)</f>
        <v>0</v>
      </c>
      <c r="D25" s="85">
        <f>IF(AND(高電圧出力!D25&gt;高温過積載率!D25,高電圧出力!D25&lt;100%,過積載率!D25&lt;100%),高温過積載率!D25,0)</f>
        <v>0</v>
      </c>
      <c r="E25" s="85">
        <f>IF(AND(高電圧出力!E25&gt;高温過積載率!E25,高電圧出力!E25&lt;100%,過積載率!E25&lt;100%),高温過積載率!E25,0)</f>
        <v>0</v>
      </c>
      <c r="F25" s="85">
        <f>IF(AND(高電圧出力!F25&gt;高温過積載率!F25,高電圧出力!F25&lt;100%,過積載率!F25&lt;100%),高温過積載率!F25,0)</f>
        <v>0</v>
      </c>
      <c r="G25" s="85">
        <f>IF(AND(高電圧出力!G25&gt;高温過積載率!G25,高電圧出力!G25&lt;100%,過積載率!G25&lt;100%),高温過積載率!G25,0)</f>
        <v>0</v>
      </c>
      <c r="H25" s="85">
        <f>IF(AND(高電圧出力!H25&gt;高温過積載率!H25,高電圧出力!H25&lt;100%,過積載率!H25&lt;100%),高温過積載率!H25,0)</f>
        <v>0</v>
      </c>
      <c r="I25" s="85">
        <f>IF(AND(高電圧出力!I25&gt;高温過積載率!I25,高電圧出力!I25&lt;100%,過積載率!I25&lt;100%),高温過積載率!I25,0)</f>
        <v>0</v>
      </c>
      <c r="J25" s="85">
        <f>IF(AND(高電圧出力!J25&gt;高温過積載率!J25,高電圧出力!J25&lt;100%,過積載率!J25&lt;100%),高温過積載率!J25,0)</f>
        <v>0</v>
      </c>
      <c r="K25" s="85">
        <f>IF(AND(高電圧出力!K25&gt;高温過積載率!K25,高電圧出力!K25&lt;100%,過積載率!K25&lt;100%),高温過積載率!K25,0)</f>
        <v>0</v>
      </c>
      <c r="L25" s="85">
        <f>IF(AND(高電圧出力!L25&gt;高温過積載率!L25,高電圧出力!L25&lt;100%,過積載率!L25&lt;100%),高温過積載率!L25,0)</f>
        <v>0</v>
      </c>
      <c r="M25" s="85">
        <f>IF(AND(高電圧出力!M25&gt;高温過積載率!M25,高電圧出力!M25&lt;100%,過積載率!M25&lt;100%),高温過積載率!M25,0)</f>
        <v>0</v>
      </c>
      <c r="N25" s="85">
        <f>IF(AND(高電圧出力!N25&gt;高温過積載率!N25,高電圧出力!N25&lt;100%,過積載率!N25&lt;100%),高温過積載率!N25,0)</f>
        <v>0</v>
      </c>
      <c r="O25" s="85">
        <f>IF(AND(高電圧出力!O25&gt;高温過積載率!O25,高電圧出力!O25&lt;100%,過積載率!O25&lt;100%),高温過積載率!O25,0)</f>
        <v>0</v>
      </c>
      <c r="P25" s="85">
        <f>IF(AND(高電圧出力!P25&gt;高温過積載率!P25,高電圧出力!P25&lt;100%,過積載率!P25&lt;100%),高温過積載率!P25,0)</f>
        <v>0</v>
      </c>
      <c r="Q25" s="85">
        <f>IF(AND(高電圧出力!Q25&gt;高温過積載率!Q25,高電圧出力!Q25&lt;100%,過積載率!Q25&lt;100%),高温過積載率!Q25,0)</f>
        <v>0</v>
      </c>
      <c r="R25" s="85">
        <f>IF(AND(高電圧出力!R25&gt;高温過積載率!R25,高電圧出力!R25&lt;100%,過積載率!R25&lt;100%),高温過積載率!R25,0)</f>
        <v>0</v>
      </c>
      <c r="S25" s="85">
        <f>IF(AND(高電圧出力!S25&gt;高温過積載率!S25,高電圧出力!S25&lt;100%,過積載率!S25&lt;100%),高温過積載率!S25,0)</f>
        <v>0</v>
      </c>
      <c r="T25" s="85">
        <f>IF(AND(高電圧出力!T25&gt;高温過積載率!T25,高電圧出力!T25&lt;100%,過積載率!T25&lt;100%),高温過積載率!T25,0)</f>
        <v>0</v>
      </c>
      <c r="U25" s="85">
        <f>IF(AND(高電圧出力!U25&gt;高温過積載率!U25,高電圧出力!U25&lt;100%,過積載率!U25&lt;100%),高温過積載率!U25,0)</f>
        <v>0</v>
      </c>
      <c r="V25" s="85">
        <f>IF(AND(高電圧出力!V25&gt;高温過積載率!V25,高電圧出力!V25&lt;100%,過積載率!V25&lt;100%),高温過積載率!V25,0)</f>
        <v>0</v>
      </c>
      <c r="W25" s="85">
        <f>IF(AND(高電圧出力!W25&gt;高温過積載率!W25,高電圧出力!W25&lt;100%,過積載率!W25&lt;100%),高温過積載率!W25,0)</f>
        <v>0</v>
      </c>
      <c r="X25" s="85">
        <f>IF(AND(高電圧出力!X25&gt;高温過積載率!X25,高電圧出力!X25&lt;100%,過積載率!X25&lt;100%),高温過積載率!X25,0)</f>
        <v>0</v>
      </c>
      <c r="Y25" s="85">
        <f>IF(AND(高電圧出力!Y25&gt;高温過積載率!Y25,高電圧出力!Y25&lt;100%,過積載率!Y25&lt;100%),高温過積載率!Y25,0)</f>
        <v>0</v>
      </c>
      <c r="Z25" s="85">
        <f>IF(AND(高電圧出力!Z25&gt;高温過積載率!Z25,高電圧出力!Z25&lt;100%,過積載率!Z25&lt;100%),高温過積載率!Z25,0)</f>
        <v>0</v>
      </c>
      <c r="AA25" s="85">
        <f>IF(AND(高電圧出力!AA25&gt;高温過積載率!AA25,高電圧出力!AA25&lt;100%,過積載率!AA25&lt;100%),高温過積載率!AA25,0)</f>
        <v>0</v>
      </c>
      <c r="AB25" s="85">
        <f>IF(AND(高電圧出力!AB25&gt;高温過積載率!AB25,高電圧出力!AB25&lt;100%,過積載率!AB25&lt;100%),高温過積載率!AB25,0)</f>
        <v>0</v>
      </c>
      <c r="AC25" s="85">
        <f>IF(AND(高電圧出力!AC25&gt;高温過積載率!AC25,高電圧出力!AC25&lt;100%,過積載率!AC25&lt;100%),高温過積載率!AC25,0)</f>
        <v>0</v>
      </c>
      <c r="AD25" s="85">
        <f>IF(AND(高電圧出力!AD25&gt;高温過積載率!AD25,高電圧出力!AD25&lt;100%,過積載率!AD25&lt;100%),高温過積載率!AD25,0)</f>
        <v>0</v>
      </c>
      <c r="AE25" s="85">
        <f>IF(AND(高電圧出力!AE25&gt;高温過積載率!AE25,高電圧出力!AE25&lt;100%,過積載率!AE25&lt;100%),高温過積載率!AE25,0)</f>
        <v>0</v>
      </c>
      <c r="AF25" s="85">
        <f>IF(AND(高電圧出力!AF25&gt;高温過積載率!AF25,高電圧出力!AF25&lt;100%,過積載率!AF25&lt;100%),高温過積載率!AF25,0)</f>
        <v>0</v>
      </c>
      <c r="AG25" s="85">
        <f>IF(AND(高電圧出力!AG25&gt;高温過積載率!AG25,高電圧出力!AG25&lt;100%,過積載率!AG25&lt;100%),高温過積載率!AG25,0)</f>
        <v>0</v>
      </c>
      <c r="AH25" s="85">
        <f>IF(AND(高電圧出力!AH25&gt;高温過積載率!AH25,高電圧出力!AH25&lt;100%,過積載率!AH25&lt;100%),高温過積載率!AH25,0)</f>
        <v>0</v>
      </c>
      <c r="AI25" s="85">
        <f>IF(AND(高電圧出力!AI25&gt;高温過積載率!AI25,高電圧出力!AI25&lt;100%,過積載率!AI25&lt;100%),高温過積載率!AI25,0)</f>
        <v>0</v>
      </c>
      <c r="AJ25" s="85">
        <f>IF(AND(高電圧出力!AJ25&gt;高温過積載率!AJ25,高電圧出力!AJ25&lt;100%,過積載率!AJ25&lt;100%),高温過積載率!AJ25,0)</f>
        <v>0</v>
      </c>
      <c r="AK25" s="85">
        <f>IF(AND(高電圧出力!AK25&gt;高温過積載率!AK25,高電圧出力!AK25&lt;100%,過積載率!AK25&lt;100%),高温過積載率!AK25,0)</f>
        <v>0</v>
      </c>
      <c r="AL25" s="85">
        <f>IF(AND(高電圧出力!AL25&gt;高温過積載率!AL25,高電圧出力!AL25&lt;100%,過積載率!AL25&lt;100%),高温過積載率!AL25,0)</f>
        <v>0</v>
      </c>
      <c r="AM25" s="85">
        <f>IF(AND(高電圧出力!AM25&gt;高温過積載率!AM25,高電圧出力!AM25&lt;100%,過積載率!AM25&lt;100%),高温過積載率!AM25,0)</f>
        <v>0</v>
      </c>
      <c r="AN25" s="85">
        <f>IF(AND(高電圧出力!AN25&gt;高温過積載率!AN25,高電圧出力!AN25&lt;100%,過積載率!AN25&lt;100%),高温過積載率!AN25,0)</f>
        <v>0</v>
      </c>
      <c r="AO25" s="85">
        <f>IF(AND(高電圧出力!AO25&gt;高温過積載率!AO25,高電圧出力!AO25&lt;100%,過積載率!AO25&lt;100%),高温過積載率!AO25,0)</f>
        <v>0</v>
      </c>
    </row>
    <row r="26" spans="1:41">
      <c r="A26">
        <v>24</v>
      </c>
      <c r="B26" s="85">
        <f>IF(AND(高電圧出力!B26&gt;高温過積載率!B26,高電圧出力!B26&lt;100%,過積載率!B26&lt;100%),高温過積載率!B26,0)</f>
        <v>0</v>
      </c>
      <c r="C26" s="85">
        <f>IF(AND(高電圧出力!C26&gt;高温過積載率!C26,高電圧出力!C26&lt;100%,過積載率!C26&lt;100%),高温過積載率!C26,0)</f>
        <v>0</v>
      </c>
      <c r="D26" s="85">
        <f>IF(AND(高電圧出力!D26&gt;高温過積載率!D26,高電圧出力!D26&lt;100%,過積載率!D26&lt;100%),高温過積載率!D26,0)</f>
        <v>0</v>
      </c>
      <c r="E26" s="85">
        <f>IF(AND(高電圧出力!E26&gt;高温過積載率!E26,高電圧出力!E26&lt;100%,過積載率!E26&lt;100%),高温過積載率!E26,0)</f>
        <v>0</v>
      </c>
      <c r="F26" s="85">
        <f>IF(AND(高電圧出力!F26&gt;高温過積載率!F26,高電圧出力!F26&lt;100%,過積載率!F26&lt;100%),高温過積載率!F26,0)</f>
        <v>0</v>
      </c>
      <c r="G26" s="85">
        <f>IF(AND(高電圧出力!G26&gt;高温過積載率!G26,高電圧出力!G26&lt;100%,過積載率!G26&lt;100%),高温過積載率!G26,0)</f>
        <v>0</v>
      </c>
      <c r="H26" s="85">
        <f>IF(AND(高電圧出力!H26&gt;高温過積載率!H26,高電圧出力!H26&lt;100%,過積載率!H26&lt;100%),高温過積載率!H26,0)</f>
        <v>0</v>
      </c>
      <c r="I26" s="85">
        <f>IF(AND(高電圧出力!I26&gt;高温過積載率!I26,高電圧出力!I26&lt;100%,過積載率!I26&lt;100%),高温過積載率!I26,0)</f>
        <v>0</v>
      </c>
      <c r="J26" s="85">
        <f>IF(AND(高電圧出力!J26&gt;高温過積載率!J26,高電圧出力!J26&lt;100%,過積載率!J26&lt;100%),高温過積載率!J26,0)</f>
        <v>0</v>
      </c>
      <c r="K26" s="85">
        <f>IF(AND(高電圧出力!K26&gt;高温過積載率!K26,高電圧出力!K26&lt;100%,過積載率!K26&lt;100%),高温過積載率!K26,0)</f>
        <v>0</v>
      </c>
      <c r="L26" s="85">
        <f>IF(AND(高電圧出力!L26&gt;高温過積載率!L26,高電圧出力!L26&lt;100%,過積載率!L26&lt;100%),高温過積載率!L26,0)</f>
        <v>0</v>
      </c>
      <c r="M26" s="85">
        <f>IF(AND(高電圧出力!M26&gt;高温過積載率!M26,高電圧出力!M26&lt;100%,過積載率!M26&lt;100%),高温過積載率!M26,0)</f>
        <v>0</v>
      </c>
      <c r="N26" s="85">
        <f>IF(AND(高電圧出力!N26&gt;高温過積載率!N26,高電圧出力!N26&lt;100%,過積載率!N26&lt;100%),高温過積載率!N26,0)</f>
        <v>0</v>
      </c>
      <c r="O26" s="85">
        <f>IF(AND(高電圧出力!O26&gt;高温過積載率!O26,高電圧出力!O26&lt;100%,過積載率!O26&lt;100%),高温過積載率!O26,0)</f>
        <v>0</v>
      </c>
      <c r="P26" s="85">
        <f>IF(AND(高電圧出力!P26&gt;高温過積載率!P26,高電圧出力!P26&lt;100%,過積載率!P26&lt;100%),高温過積載率!P26,0)</f>
        <v>0</v>
      </c>
      <c r="Q26" s="85">
        <f>IF(AND(高電圧出力!Q26&gt;高温過積載率!Q26,高電圧出力!Q26&lt;100%,過積載率!Q26&lt;100%),高温過積載率!Q26,0)</f>
        <v>0</v>
      </c>
      <c r="R26" s="85">
        <f>IF(AND(高電圧出力!R26&gt;高温過積載率!R26,高電圧出力!R26&lt;100%,過積載率!R26&lt;100%),高温過積載率!R26,0)</f>
        <v>0</v>
      </c>
      <c r="S26" s="85">
        <f>IF(AND(高電圧出力!S26&gt;高温過積載率!S26,高電圧出力!S26&lt;100%,過積載率!S26&lt;100%),高温過積載率!S26,0)</f>
        <v>0</v>
      </c>
      <c r="T26" s="85">
        <f>IF(AND(高電圧出力!T26&gt;高温過積載率!T26,高電圧出力!T26&lt;100%,過積載率!T26&lt;100%),高温過積載率!T26,0)</f>
        <v>0</v>
      </c>
      <c r="U26" s="85">
        <f>IF(AND(高電圧出力!U26&gt;高温過積載率!U26,高電圧出力!U26&lt;100%,過積載率!U26&lt;100%),高温過積載率!U26,0)</f>
        <v>0</v>
      </c>
      <c r="V26" s="85">
        <f>IF(AND(高電圧出力!V26&gt;高温過積載率!V26,高電圧出力!V26&lt;100%,過積載率!V26&lt;100%),高温過積載率!V26,0)</f>
        <v>0</v>
      </c>
      <c r="W26" s="85">
        <f>IF(AND(高電圧出力!W26&gt;高温過積載率!W26,高電圧出力!W26&lt;100%,過積載率!W26&lt;100%),高温過積載率!W26,0)</f>
        <v>0</v>
      </c>
      <c r="X26" s="85">
        <f>IF(AND(高電圧出力!X26&gt;高温過積載率!X26,高電圧出力!X26&lt;100%,過積載率!X26&lt;100%),高温過積載率!X26,0)</f>
        <v>0</v>
      </c>
      <c r="Y26" s="85">
        <f>IF(AND(高電圧出力!Y26&gt;高温過積載率!Y26,高電圧出力!Y26&lt;100%,過積載率!Y26&lt;100%),高温過積載率!Y26,0)</f>
        <v>0</v>
      </c>
      <c r="Z26" s="85">
        <f>IF(AND(高電圧出力!Z26&gt;高温過積載率!Z26,高電圧出力!Z26&lt;100%,過積載率!Z26&lt;100%),高温過積載率!Z26,0)</f>
        <v>0</v>
      </c>
      <c r="AA26" s="85">
        <f>IF(AND(高電圧出力!AA26&gt;高温過積載率!AA26,高電圧出力!AA26&lt;100%,過積載率!AA26&lt;100%),高温過積載率!AA26,0)</f>
        <v>0</v>
      </c>
      <c r="AB26" s="85">
        <f>IF(AND(高電圧出力!AB26&gt;高温過積載率!AB26,高電圧出力!AB26&lt;100%,過積載率!AB26&lt;100%),高温過積載率!AB26,0)</f>
        <v>0</v>
      </c>
      <c r="AC26" s="85">
        <f>IF(AND(高電圧出力!AC26&gt;高温過積載率!AC26,高電圧出力!AC26&lt;100%,過積載率!AC26&lt;100%),高温過積載率!AC26,0)</f>
        <v>0</v>
      </c>
      <c r="AD26" s="85">
        <f>IF(AND(高電圧出力!AD26&gt;高温過積載率!AD26,高電圧出力!AD26&lt;100%,過積載率!AD26&lt;100%),高温過積載率!AD26,0)</f>
        <v>0</v>
      </c>
      <c r="AE26" s="85">
        <f>IF(AND(高電圧出力!AE26&gt;高温過積載率!AE26,高電圧出力!AE26&lt;100%,過積載率!AE26&lt;100%),高温過積載率!AE26,0)</f>
        <v>0</v>
      </c>
      <c r="AF26" s="85">
        <f>IF(AND(高電圧出力!AF26&gt;高温過積載率!AF26,高電圧出力!AF26&lt;100%,過積載率!AF26&lt;100%),高温過積載率!AF26,0)</f>
        <v>0</v>
      </c>
      <c r="AG26" s="85">
        <f>IF(AND(高電圧出力!AG26&gt;高温過積載率!AG26,高電圧出力!AG26&lt;100%,過積載率!AG26&lt;100%),高温過積載率!AG26,0)</f>
        <v>0</v>
      </c>
      <c r="AH26" s="85">
        <f>IF(AND(高電圧出力!AH26&gt;高温過積載率!AH26,高電圧出力!AH26&lt;100%,過積載率!AH26&lt;100%),高温過積載率!AH26,0)</f>
        <v>0</v>
      </c>
      <c r="AI26" s="85">
        <f>IF(AND(高電圧出力!AI26&gt;高温過積載率!AI26,高電圧出力!AI26&lt;100%,過積載率!AI26&lt;100%),高温過積載率!AI26,0)</f>
        <v>0</v>
      </c>
      <c r="AJ26" s="85">
        <f>IF(AND(高電圧出力!AJ26&gt;高温過積載率!AJ26,高電圧出力!AJ26&lt;100%,過積載率!AJ26&lt;100%),高温過積載率!AJ26,0)</f>
        <v>0</v>
      </c>
      <c r="AK26" s="85">
        <f>IF(AND(高電圧出力!AK26&gt;高温過積載率!AK26,高電圧出力!AK26&lt;100%,過積載率!AK26&lt;100%),高温過積載率!AK26,0)</f>
        <v>0</v>
      </c>
      <c r="AL26" s="85">
        <f>IF(AND(高電圧出力!AL26&gt;高温過積載率!AL26,高電圧出力!AL26&lt;100%,過積載率!AL26&lt;100%),高温過積載率!AL26,0)</f>
        <v>0</v>
      </c>
      <c r="AM26" s="85">
        <f>IF(AND(高電圧出力!AM26&gt;高温過積載率!AM26,高電圧出力!AM26&lt;100%,過積載率!AM26&lt;100%),高温過積載率!AM26,0)</f>
        <v>0</v>
      </c>
      <c r="AN26" s="85">
        <f>IF(AND(高電圧出力!AN26&gt;高温過積載率!AN26,高電圧出力!AN26&lt;100%,過積載率!AN26&lt;100%),高温過積載率!AN26,0)</f>
        <v>0</v>
      </c>
      <c r="AO26" s="85">
        <f>IF(AND(高電圧出力!AO26&gt;高温過積載率!AO26,高電圧出力!AO26&lt;100%,過積載率!AO26&lt;100%),高温過積載率!AO26,0)</f>
        <v>0</v>
      </c>
    </row>
    <row r="27" spans="1:41">
      <c r="A27">
        <v>25</v>
      </c>
      <c r="B27" s="85">
        <f>IF(AND(高電圧出力!B27&gt;高温過積載率!B27,高電圧出力!B27&lt;100%,過積載率!B27&lt;100%),高温過積載率!B27,0)</f>
        <v>0</v>
      </c>
      <c r="C27" s="85">
        <f>IF(AND(高電圧出力!C27&gt;高温過積載率!C27,高電圧出力!C27&lt;100%,過積載率!C27&lt;100%),高温過積載率!C27,0)</f>
        <v>0</v>
      </c>
      <c r="D27" s="85">
        <f>IF(AND(高電圧出力!D27&gt;高温過積載率!D27,高電圧出力!D27&lt;100%,過積載率!D27&lt;100%),高温過積載率!D27,0)</f>
        <v>0</v>
      </c>
      <c r="E27" s="85">
        <f>IF(AND(高電圧出力!E27&gt;高温過積載率!E27,高電圧出力!E27&lt;100%,過積載率!E27&lt;100%),高温過積載率!E27,0)</f>
        <v>0</v>
      </c>
      <c r="F27" s="85">
        <f>IF(AND(高電圧出力!F27&gt;高温過積載率!F27,高電圧出力!F27&lt;100%,過積載率!F27&lt;100%),高温過積載率!F27,0)</f>
        <v>0</v>
      </c>
      <c r="G27" s="85">
        <f>IF(AND(高電圧出力!G27&gt;高温過積載率!G27,高電圧出力!G27&lt;100%,過積載率!G27&lt;100%),高温過積載率!G27,0)</f>
        <v>0</v>
      </c>
      <c r="H27" s="85">
        <f>IF(AND(高電圧出力!H27&gt;高温過積載率!H27,高電圧出力!H27&lt;100%,過積載率!H27&lt;100%),高温過積載率!H27,0)</f>
        <v>0</v>
      </c>
      <c r="I27" s="85">
        <f>IF(AND(高電圧出力!I27&gt;高温過積載率!I27,高電圧出力!I27&lt;100%,過積載率!I27&lt;100%),高温過積載率!I27,0)</f>
        <v>0</v>
      </c>
      <c r="J27" s="85">
        <f>IF(AND(高電圧出力!J27&gt;高温過積載率!J27,高電圧出力!J27&lt;100%,過積載率!J27&lt;100%),高温過積載率!J27,0)</f>
        <v>0</v>
      </c>
      <c r="K27" s="85">
        <f>IF(AND(高電圧出力!K27&gt;高温過積載率!K27,高電圧出力!K27&lt;100%,過積載率!K27&lt;100%),高温過積載率!K27,0)</f>
        <v>0</v>
      </c>
      <c r="L27" s="85">
        <f>IF(AND(高電圧出力!L27&gt;高温過積載率!L27,高電圧出力!L27&lt;100%,過積載率!L27&lt;100%),高温過積載率!L27,0)</f>
        <v>0</v>
      </c>
      <c r="M27" s="85">
        <f>IF(AND(高電圧出力!M27&gt;高温過積載率!M27,高電圧出力!M27&lt;100%,過積載率!M27&lt;100%),高温過積載率!M27,0)</f>
        <v>0</v>
      </c>
      <c r="N27" s="85">
        <f>IF(AND(高電圧出力!N27&gt;高温過積載率!N27,高電圧出力!N27&lt;100%,過積載率!N27&lt;100%),高温過積載率!N27,0)</f>
        <v>0</v>
      </c>
      <c r="O27" s="85">
        <f>IF(AND(高電圧出力!O27&gt;高温過積載率!O27,高電圧出力!O27&lt;100%,過積載率!O27&lt;100%),高温過積載率!O27,0)</f>
        <v>0</v>
      </c>
      <c r="P27" s="85">
        <f>IF(AND(高電圧出力!P27&gt;高温過積載率!P27,高電圧出力!P27&lt;100%,過積載率!P27&lt;100%),高温過積載率!P27,0)</f>
        <v>0</v>
      </c>
      <c r="Q27" s="85">
        <f>IF(AND(高電圧出力!Q27&gt;高温過積載率!Q27,高電圧出力!Q27&lt;100%,過積載率!Q27&lt;100%),高温過積載率!Q27,0)</f>
        <v>0</v>
      </c>
      <c r="R27" s="85">
        <f>IF(AND(高電圧出力!R27&gt;高温過積載率!R27,高電圧出力!R27&lt;100%,過積載率!R27&lt;100%),高温過積載率!R27,0)</f>
        <v>0</v>
      </c>
      <c r="S27" s="85">
        <f>IF(AND(高電圧出力!S27&gt;高温過積載率!S27,高電圧出力!S27&lt;100%,過積載率!S27&lt;100%),高温過積載率!S27,0)</f>
        <v>0</v>
      </c>
      <c r="T27" s="85">
        <f>IF(AND(高電圧出力!T27&gt;高温過積載率!T27,高電圧出力!T27&lt;100%,過積載率!T27&lt;100%),高温過積載率!T27,0)</f>
        <v>0</v>
      </c>
      <c r="U27" s="85">
        <f>IF(AND(高電圧出力!U27&gt;高温過積載率!U27,高電圧出力!U27&lt;100%,過積載率!U27&lt;100%),高温過積載率!U27,0)</f>
        <v>0</v>
      </c>
      <c r="V27" s="85">
        <f>IF(AND(高電圧出力!V27&gt;高温過積載率!V27,高電圧出力!V27&lt;100%,過積載率!V27&lt;100%),高温過積載率!V27,0)</f>
        <v>0</v>
      </c>
      <c r="W27" s="85">
        <f>IF(AND(高電圧出力!W27&gt;高温過積載率!W27,高電圧出力!W27&lt;100%,過積載率!W27&lt;100%),高温過積載率!W27,0)</f>
        <v>0</v>
      </c>
      <c r="X27" s="85">
        <f>IF(AND(高電圧出力!X27&gt;高温過積載率!X27,高電圧出力!X27&lt;100%,過積載率!X27&lt;100%),高温過積載率!X27,0)</f>
        <v>0</v>
      </c>
      <c r="Y27" s="85">
        <f>IF(AND(高電圧出力!Y27&gt;高温過積載率!Y27,高電圧出力!Y27&lt;100%,過積載率!Y27&lt;100%),高温過積載率!Y27,0)</f>
        <v>0</v>
      </c>
      <c r="Z27" s="85">
        <f>IF(AND(高電圧出力!Z27&gt;高温過積載率!Z27,高電圧出力!Z27&lt;100%,過積載率!Z27&lt;100%),高温過積載率!Z27,0)</f>
        <v>0</v>
      </c>
      <c r="AA27" s="85">
        <f>IF(AND(高電圧出力!AA27&gt;高温過積載率!AA27,高電圧出力!AA27&lt;100%,過積載率!AA27&lt;100%),高温過積載率!AA27,0)</f>
        <v>0</v>
      </c>
      <c r="AB27" s="85">
        <f>IF(AND(高電圧出力!AB27&gt;高温過積載率!AB27,高電圧出力!AB27&lt;100%,過積載率!AB27&lt;100%),高温過積載率!AB27,0)</f>
        <v>0</v>
      </c>
      <c r="AC27" s="85">
        <f>IF(AND(高電圧出力!AC27&gt;高温過積載率!AC27,高電圧出力!AC27&lt;100%,過積載率!AC27&lt;100%),高温過積載率!AC27,0)</f>
        <v>0</v>
      </c>
      <c r="AD27" s="85">
        <f>IF(AND(高電圧出力!AD27&gt;高温過積載率!AD27,高電圧出力!AD27&lt;100%,過積載率!AD27&lt;100%),高温過積載率!AD27,0)</f>
        <v>0</v>
      </c>
      <c r="AE27" s="85">
        <f>IF(AND(高電圧出力!AE27&gt;高温過積載率!AE27,高電圧出力!AE27&lt;100%,過積載率!AE27&lt;100%),高温過積載率!AE27,0)</f>
        <v>0</v>
      </c>
      <c r="AF27" s="85">
        <f>IF(AND(高電圧出力!AF27&gt;高温過積載率!AF27,高電圧出力!AF27&lt;100%,過積載率!AF27&lt;100%),高温過積載率!AF27,0)</f>
        <v>0</v>
      </c>
      <c r="AG27" s="85">
        <f>IF(AND(高電圧出力!AG27&gt;高温過積載率!AG27,高電圧出力!AG27&lt;100%,過積載率!AG27&lt;100%),高温過積載率!AG27,0)</f>
        <v>0</v>
      </c>
      <c r="AH27" s="85">
        <f>IF(AND(高電圧出力!AH27&gt;高温過積載率!AH27,高電圧出力!AH27&lt;100%,過積載率!AH27&lt;100%),高温過積載率!AH27,0)</f>
        <v>0</v>
      </c>
      <c r="AI27" s="85">
        <f>IF(AND(高電圧出力!AI27&gt;高温過積載率!AI27,高電圧出力!AI27&lt;100%,過積載率!AI27&lt;100%),高温過積載率!AI27,0)</f>
        <v>0</v>
      </c>
      <c r="AJ27" s="85">
        <f>IF(AND(高電圧出力!AJ27&gt;高温過積載率!AJ27,高電圧出力!AJ27&lt;100%,過積載率!AJ27&lt;100%),高温過積載率!AJ27,0)</f>
        <v>0</v>
      </c>
      <c r="AK27" s="85">
        <f>IF(AND(高電圧出力!AK27&gt;高温過積載率!AK27,高電圧出力!AK27&lt;100%,過積載率!AK27&lt;100%),高温過積載率!AK27,0)</f>
        <v>0</v>
      </c>
      <c r="AL27" s="85">
        <f>IF(AND(高電圧出力!AL27&gt;高温過積載率!AL27,高電圧出力!AL27&lt;100%,過積載率!AL27&lt;100%),高温過積載率!AL27,0)</f>
        <v>0</v>
      </c>
      <c r="AM27" s="85">
        <f>IF(AND(高電圧出力!AM27&gt;高温過積載率!AM27,高電圧出力!AM27&lt;100%,過積載率!AM27&lt;100%),高温過積載率!AM27,0)</f>
        <v>0</v>
      </c>
      <c r="AN27" s="85">
        <f>IF(AND(高電圧出力!AN27&gt;高温過積載率!AN27,高電圧出力!AN27&lt;100%,過積載率!AN27&lt;100%),高温過積載率!AN27,0)</f>
        <v>0</v>
      </c>
      <c r="AO27" s="85">
        <f>IF(AND(高電圧出力!AO27&gt;高温過積載率!AO27,高電圧出力!AO27&lt;100%,過積載率!AO27&lt;100%),高温過積載率!AO27,0)</f>
        <v>0</v>
      </c>
    </row>
    <row r="28" spans="1:41">
      <c r="A28">
        <v>26</v>
      </c>
      <c r="B28" s="85">
        <f>IF(AND(高電圧出力!B28&gt;高温過積載率!B28,高電圧出力!B28&lt;100%,過積載率!B28&lt;100%),高温過積載率!B28,0)</f>
        <v>0</v>
      </c>
      <c r="C28" s="85">
        <f>IF(AND(高電圧出力!C28&gt;高温過積載率!C28,高電圧出力!C28&lt;100%,過積載率!C28&lt;100%),高温過積載率!C28,0)</f>
        <v>0</v>
      </c>
      <c r="D28" s="85">
        <f>IF(AND(高電圧出力!D28&gt;高温過積載率!D28,高電圧出力!D28&lt;100%,過積載率!D28&lt;100%),高温過積載率!D28,0)</f>
        <v>0</v>
      </c>
      <c r="E28" s="85">
        <f>IF(AND(高電圧出力!E28&gt;高温過積載率!E28,高電圧出力!E28&lt;100%,過積載率!E28&lt;100%),高温過積載率!E28,0)</f>
        <v>0</v>
      </c>
      <c r="F28" s="85">
        <f>IF(AND(高電圧出力!F28&gt;高温過積載率!F28,高電圧出力!F28&lt;100%,過積載率!F28&lt;100%),高温過積載率!F28,0)</f>
        <v>0</v>
      </c>
      <c r="G28" s="85">
        <f>IF(AND(高電圧出力!G28&gt;高温過積載率!G28,高電圧出力!G28&lt;100%,過積載率!G28&lt;100%),高温過積載率!G28,0)</f>
        <v>0</v>
      </c>
      <c r="H28" s="85">
        <f>IF(AND(高電圧出力!H28&gt;高温過積載率!H28,高電圧出力!H28&lt;100%,過積載率!H28&lt;100%),高温過積載率!H28,0)</f>
        <v>0</v>
      </c>
      <c r="I28" s="85">
        <f>IF(AND(高電圧出力!I28&gt;高温過積載率!I28,高電圧出力!I28&lt;100%,過積載率!I28&lt;100%),高温過積載率!I28,0)</f>
        <v>0</v>
      </c>
      <c r="J28" s="85">
        <f>IF(AND(高電圧出力!J28&gt;高温過積載率!J28,高電圧出力!J28&lt;100%,過積載率!J28&lt;100%),高温過積載率!J28,0)</f>
        <v>0</v>
      </c>
      <c r="K28" s="85">
        <f>IF(AND(高電圧出力!K28&gt;高温過積載率!K28,高電圧出力!K28&lt;100%,過積載率!K28&lt;100%),高温過積載率!K28,0)</f>
        <v>0</v>
      </c>
      <c r="L28" s="85">
        <f>IF(AND(高電圧出力!L28&gt;高温過積載率!L28,高電圧出力!L28&lt;100%,過積載率!L28&lt;100%),高温過積載率!L28,0)</f>
        <v>0</v>
      </c>
      <c r="M28" s="85">
        <f>IF(AND(高電圧出力!M28&gt;高温過積載率!M28,高電圧出力!M28&lt;100%,過積載率!M28&lt;100%),高温過積載率!M28,0)</f>
        <v>0</v>
      </c>
      <c r="N28" s="85">
        <f>IF(AND(高電圧出力!N28&gt;高温過積載率!N28,高電圧出力!N28&lt;100%,過積載率!N28&lt;100%),高温過積載率!N28,0)</f>
        <v>0</v>
      </c>
      <c r="O28" s="85">
        <f>IF(AND(高電圧出力!O28&gt;高温過積載率!O28,高電圧出力!O28&lt;100%,過積載率!O28&lt;100%),高温過積載率!O28,0)</f>
        <v>0</v>
      </c>
      <c r="P28" s="85">
        <f>IF(AND(高電圧出力!P28&gt;高温過積載率!P28,高電圧出力!P28&lt;100%,過積載率!P28&lt;100%),高温過積載率!P28,0)</f>
        <v>0</v>
      </c>
      <c r="Q28" s="85">
        <f>IF(AND(高電圧出力!Q28&gt;高温過積載率!Q28,高電圧出力!Q28&lt;100%,過積載率!Q28&lt;100%),高温過積載率!Q28,0)</f>
        <v>0</v>
      </c>
      <c r="R28" s="85">
        <f>IF(AND(高電圧出力!R28&gt;高温過積載率!R28,高電圧出力!R28&lt;100%,過積載率!R28&lt;100%),高温過積載率!R28,0)</f>
        <v>0</v>
      </c>
      <c r="S28" s="85">
        <f>IF(AND(高電圧出力!S28&gt;高温過積載率!S28,高電圧出力!S28&lt;100%,過積載率!S28&lt;100%),高温過積載率!S28,0)</f>
        <v>0</v>
      </c>
      <c r="T28" s="85">
        <f>IF(AND(高電圧出力!T28&gt;高温過積載率!T28,高電圧出力!T28&lt;100%,過積載率!T28&lt;100%),高温過積載率!T28,0)</f>
        <v>0</v>
      </c>
      <c r="U28" s="85">
        <f>IF(AND(高電圧出力!U28&gt;高温過積載率!U28,高電圧出力!U28&lt;100%,過積載率!U28&lt;100%),高温過積載率!U28,0)</f>
        <v>0</v>
      </c>
      <c r="V28" s="85">
        <f>IF(AND(高電圧出力!V28&gt;高温過積載率!V28,高電圧出力!V28&lt;100%,過積載率!V28&lt;100%),高温過積載率!V28,0)</f>
        <v>0</v>
      </c>
      <c r="W28" s="85">
        <f>IF(AND(高電圧出力!W28&gt;高温過積載率!W28,高電圧出力!W28&lt;100%,過積載率!W28&lt;100%),高温過積載率!W28,0)</f>
        <v>0</v>
      </c>
      <c r="X28" s="85">
        <f>IF(AND(高電圧出力!X28&gt;高温過積載率!X28,高電圧出力!X28&lt;100%,過積載率!X28&lt;100%),高温過積載率!X28,0)</f>
        <v>0</v>
      </c>
      <c r="Y28" s="85">
        <f>IF(AND(高電圧出力!Y28&gt;高温過積載率!Y28,高電圧出力!Y28&lt;100%,過積載率!Y28&lt;100%),高温過積載率!Y28,0)</f>
        <v>0</v>
      </c>
      <c r="Z28" s="85">
        <f>IF(AND(高電圧出力!Z28&gt;高温過積載率!Z28,高電圧出力!Z28&lt;100%,過積載率!Z28&lt;100%),高温過積載率!Z28,0)</f>
        <v>0</v>
      </c>
      <c r="AA28" s="85">
        <f>IF(AND(高電圧出力!AA28&gt;高温過積載率!AA28,高電圧出力!AA28&lt;100%,過積載率!AA28&lt;100%),高温過積載率!AA28,0)</f>
        <v>0</v>
      </c>
      <c r="AB28" s="85">
        <f>IF(AND(高電圧出力!AB28&gt;高温過積載率!AB28,高電圧出力!AB28&lt;100%,過積載率!AB28&lt;100%),高温過積載率!AB28,0)</f>
        <v>0</v>
      </c>
      <c r="AC28" s="85">
        <f>IF(AND(高電圧出力!AC28&gt;高温過積載率!AC28,高電圧出力!AC28&lt;100%,過積載率!AC28&lt;100%),高温過積載率!AC28,0)</f>
        <v>0</v>
      </c>
      <c r="AD28" s="85">
        <f>IF(AND(高電圧出力!AD28&gt;高温過積載率!AD28,高電圧出力!AD28&lt;100%,過積載率!AD28&lt;100%),高温過積載率!AD28,0)</f>
        <v>0</v>
      </c>
      <c r="AE28" s="85">
        <f>IF(AND(高電圧出力!AE28&gt;高温過積載率!AE28,高電圧出力!AE28&lt;100%,過積載率!AE28&lt;100%),高温過積載率!AE28,0)</f>
        <v>0</v>
      </c>
      <c r="AF28" s="85">
        <f>IF(AND(高電圧出力!AF28&gt;高温過積載率!AF28,高電圧出力!AF28&lt;100%,過積載率!AF28&lt;100%),高温過積載率!AF28,0)</f>
        <v>0</v>
      </c>
      <c r="AG28" s="85">
        <f>IF(AND(高電圧出力!AG28&gt;高温過積載率!AG28,高電圧出力!AG28&lt;100%,過積載率!AG28&lt;100%),高温過積載率!AG28,0)</f>
        <v>0</v>
      </c>
      <c r="AH28" s="85">
        <f>IF(AND(高電圧出力!AH28&gt;高温過積載率!AH28,高電圧出力!AH28&lt;100%,過積載率!AH28&lt;100%),高温過積載率!AH28,0)</f>
        <v>0</v>
      </c>
      <c r="AI28" s="85">
        <f>IF(AND(高電圧出力!AI28&gt;高温過積載率!AI28,高電圧出力!AI28&lt;100%,過積載率!AI28&lt;100%),高温過積載率!AI28,0)</f>
        <v>0</v>
      </c>
      <c r="AJ28" s="85">
        <f>IF(AND(高電圧出力!AJ28&gt;高温過積載率!AJ28,高電圧出力!AJ28&lt;100%,過積載率!AJ28&lt;100%),高温過積載率!AJ28,0)</f>
        <v>0</v>
      </c>
      <c r="AK28" s="85">
        <f>IF(AND(高電圧出力!AK28&gt;高温過積載率!AK28,高電圧出力!AK28&lt;100%,過積載率!AK28&lt;100%),高温過積載率!AK28,0)</f>
        <v>0</v>
      </c>
      <c r="AL28" s="85">
        <f>IF(AND(高電圧出力!AL28&gt;高温過積載率!AL28,高電圧出力!AL28&lt;100%,過積載率!AL28&lt;100%),高温過積載率!AL28,0)</f>
        <v>0</v>
      </c>
      <c r="AM28" s="85">
        <f>IF(AND(高電圧出力!AM28&gt;高温過積載率!AM28,高電圧出力!AM28&lt;100%,過積載率!AM28&lt;100%),高温過積載率!AM28,0)</f>
        <v>0</v>
      </c>
      <c r="AN28" s="85">
        <f>IF(AND(高電圧出力!AN28&gt;高温過積載率!AN28,高電圧出力!AN28&lt;100%,過積載率!AN28&lt;100%),高温過積載率!AN28,0)</f>
        <v>0</v>
      </c>
      <c r="AO28" s="85">
        <f>IF(AND(高電圧出力!AO28&gt;高温過積載率!AO28,高電圧出力!AO28&lt;100%,過積載率!AO28&lt;100%),高温過積載率!AO28,0)</f>
        <v>0</v>
      </c>
    </row>
    <row r="29" spans="1:41">
      <c r="A29">
        <v>27</v>
      </c>
      <c r="B29" s="85">
        <f>IF(AND(高電圧出力!B29&gt;高温過積載率!B29,高電圧出力!B29&lt;100%,過積載率!B29&lt;100%),高温過積載率!B29,0)</f>
        <v>0</v>
      </c>
      <c r="C29" s="85">
        <f>IF(AND(高電圧出力!C29&gt;高温過積載率!C29,高電圧出力!C29&lt;100%,過積載率!C29&lt;100%),高温過積載率!C29,0)</f>
        <v>0</v>
      </c>
      <c r="D29" s="85">
        <f>IF(AND(高電圧出力!D29&gt;高温過積載率!D29,高電圧出力!D29&lt;100%,過積載率!D29&lt;100%),高温過積載率!D29,0)</f>
        <v>0</v>
      </c>
      <c r="E29" s="85">
        <f>IF(AND(高電圧出力!E29&gt;高温過積載率!E29,高電圧出力!E29&lt;100%,過積載率!E29&lt;100%),高温過積載率!E29,0)</f>
        <v>0</v>
      </c>
      <c r="F29" s="85">
        <f>IF(AND(高電圧出力!F29&gt;高温過積載率!F29,高電圧出力!F29&lt;100%,過積載率!F29&lt;100%),高温過積載率!F29,0)</f>
        <v>0</v>
      </c>
      <c r="G29" s="85">
        <f>IF(AND(高電圧出力!G29&gt;高温過積載率!G29,高電圧出力!G29&lt;100%,過積載率!G29&lt;100%),高温過積載率!G29,0)</f>
        <v>0</v>
      </c>
      <c r="H29" s="85">
        <f>IF(AND(高電圧出力!H29&gt;高温過積載率!H29,高電圧出力!H29&lt;100%,過積載率!H29&lt;100%),高温過積載率!H29,0)</f>
        <v>0</v>
      </c>
      <c r="I29" s="85">
        <f>IF(AND(高電圧出力!I29&gt;高温過積載率!I29,高電圧出力!I29&lt;100%,過積載率!I29&lt;100%),高温過積載率!I29,0)</f>
        <v>0</v>
      </c>
      <c r="J29" s="85">
        <f>IF(AND(高電圧出力!J29&gt;高温過積載率!J29,高電圧出力!J29&lt;100%,過積載率!J29&lt;100%),高温過積載率!J29,0)</f>
        <v>0</v>
      </c>
      <c r="K29" s="85">
        <f>IF(AND(高電圧出力!K29&gt;高温過積載率!K29,高電圧出力!K29&lt;100%,過積載率!K29&lt;100%),高温過積載率!K29,0)</f>
        <v>0</v>
      </c>
      <c r="L29" s="85">
        <f>IF(AND(高電圧出力!L29&gt;高温過積載率!L29,高電圧出力!L29&lt;100%,過積載率!L29&lt;100%),高温過積載率!L29,0)</f>
        <v>0</v>
      </c>
      <c r="M29" s="85">
        <f>IF(AND(高電圧出力!M29&gt;高温過積載率!M29,高電圧出力!M29&lt;100%,過積載率!M29&lt;100%),高温過積載率!M29,0)</f>
        <v>0</v>
      </c>
      <c r="N29" s="85">
        <f>IF(AND(高電圧出力!N29&gt;高温過積載率!N29,高電圧出力!N29&lt;100%,過積載率!N29&lt;100%),高温過積載率!N29,0)</f>
        <v>0</v>
      </c>
      <c r="O29" s="85">
        <f>IF(AND(高電圧出力!O29&gt;高温過積載率!O29,高電圧出力!O29&lt;100%,過積載率!O29&lt;100%),高温過積載率!O29,0)</f>
        <v>0</v>
      </c>
      <c r="P29" s="85">
        <f>IF(AND(高電圧出力!P29&gt;高温過積載率!P29,高電圧出力!P29&lt;100%,過積載率!P29&lt;100%),高温過積載率!P29,0)</f>
        <v>0</v>
      </c>
      <c r="Q29" s="85">
        <f>IF(AND(高電圧出力!Q29&gt;高温過積載率!Q29,高電圧出力!Q29&lt;100%,過積載率!Q29&lt;100%),高温過積載率!Q29,0)</f>
        <v>0</v>
      </c>
      <c r="R29" s="85">
        <f>IF(AND(高電圧出力!R29&gt;高温過積載率!R29,高電圧出力!R29&lt;100%,過積載率!R29&lt;100%),高温過積載率!R29,0)</f>
        <v>0</v>
      </c>
      <c r="S29" s="85">
        <f>IF(AND(高電圧出力!S29&gt;高温過積載率!S29,高電圧出力!S29&lt;100%,過積載率!S29&lt;100%),高温過積載率!S29,0)</f>
        <v>0</v>
      </c>
      <c r="T29" s="85">
        <f>IF(AND(高電圧出力!T29&gt;高温過積載率!T29,高電圧出力!T29&lt;100%,過積載率!T29&lt;100%),高温過積載率!T29,0)</f>
        <v>0</v>
      </c>
      <c r="U29" s="85">
        <f>IF(AND(高電圧出力!U29&gt;高温過積載率!U29,高電圧出力!U29&lt;100%,過積載率!U29&lt;100%),高温過積載率!U29,0)</f>
        <v>0</v>
      </c>
      <c r="V29" s="85">
        <f>IF(AND(高電圧出力!V29&gt;高温過積載率!V29,高電圧出力!V29&lt;100%,過積載率!V29&lt;100%),高温過積載率!V29,0)</f>
        <v>0</v>
      </c>
      <c r="W29" s="85">
        <f>IF(AND(高電圧出力!W29&gt;高温過積載率!W29,高電圧出力!W29&lt;100%,過積載率!W29&lt;100%),高温過積載率!W29,0)</f>
        <v>0</v>
      </c>
      <c r="X29" s="85">
        <f>IF(AND(高電圧出力!X29&gt;高温過積載率!X29,高電圧出力!X29&lt;100%,過積載率!X29&lt;100%),高温過積載率!X29,0)</f>
        <v>0</v>
      </c>
      <c r="Y29" s="85">
        <f>IF(AND(高電圧出力!Y29&gt;高温過積載率!Y29,高電圧出力!Y29&lt;100%,過積載率!Y29&lt;100%),高温過積載率!Y29,0)</f>
        <v>0</v>
      </c>
      <c r="Z29" s="85">
        <f>IF(AND(高電圧出力!Z29&gt;高温過積載率!Z29,高電圧出力!Z29&lt;100%,過積載率!Z29&lt;100%),高温過積載率!Z29,0)</f>
        <v>0</v>
      </c>
      <c r="AA29" s="85">
        <f>IF(AND(高電圧出力!AA29&gt;高温過積載率!AA29,高電圧出力!AA29&lt;100%,過積載率!AA29&lt;100%),高温過積載率!AA29,0)</f>
        <v>0</v>
      </c>
      <c r="AB29" s="85">
        <f>IF(AND(高電圧出力!AB29&gt;高温過積載率!AB29,高電圧出力!AB29&lt;100%,過積載率!AB29&lt;100%),高温過積載率!AB29,0)</f>
        <v>0</v>
      </c>
      <c r="AC29" s="85">
        <f>IF(AND(高電圧出力!AC29&gt;高温過積載率!AC29,高電圧出力!AC29&lt;100%,過積載率!AC29&lt;100%),高温過積載率!AC29,0)</f>
        <v>0</v>
      </c>
      <c r="AD29" s="85">
        <f>IF(AND(高電圧出力!AD29&gt;高温過積載率!AD29,高電圧出力!AD29&lt;100%,過積載率!AD29&lt;100%),高温過積載率!AD29,0)</f>
        <v>0</v>
      </c>
      <c r="AE29" s="85">
        <f>IF(AND(高電圧出力!AE29&gt;高温過積載率!AE29,高電圧出力!AE29&lt;100%,過積載率!AE29&lt;100%),高温過積載率!AE29,0)</f>
        <v>0</v>
      </c>
      <c r="AF29" s="85">
        <f>IF(AND(高電圧出力!AF29&gt;高温過積載率!AF29,高電圧出力!AF29&lt;100%,過積載率!AF29&lt;100%),高温過積載率!AF29,0)</f>
        <v>0</v>
      </c>
      <c r="AG29" s="85">
        <f>IF(AND(高電圧出力!AG29&gt;高温過積載率!AG29,高電圧出力!AG29&lt;100%,過積載率!AG29&lt;100%),高温過積載率!AG29,0)</f>
        <v>0</v>
      </c>
      <c r="AH29" s="85">
        <f>IF(AND(高電圧出力!AH29&gt;高温過積載率!AH29,高電圧出力!AH29&lt;100%,過積載率!AH29&lt;100%),高温過積載率!AH29,0)</f>
        <v>0</v>
      </c>
      <c r="AI29" s="85">
        <f>IF(AND(高電圧出力!AI29&gt;高温過積載率!AI29,高電圧出力!AI29&lt;100%,過積載率!AI29&lt;100%),高温過積載率!AI29,0)</f>
        <v>0</v>
      </c>
      <c r="AJ29" s="85">
        <f>IF(AND(高電圧出力!AJ29&gt;高温過積載率!AJ29,高電圧出力!AJ29&lt;100%,過積載率!AJ29&lt;100%),高温過積載率!AJ29,0)</f>
        <v>0</v>
      </c>
      <c r="AK29" s="85">
        <f>IF(AND(高電圧出力!AK29&gt;高温過積載率!AK29,高電圧出力!AK29&lt;100%,過積載率!AK29&lt;100%),高温過積載率!AK29,0)</f>
        <v>0</v>
      </c>
      <c r="AL29" s="85">
        <f>IF(AND(高電圧出力!AL29&gt;高温過積載率!AL29,高電圧出力!AL29&lt;100%,過積載率!AL29&lt;100%),高温過積載率!AL29,0)</f>
        <v>0</v>
      </c>
      <c r="AM29" s="85">
        <f>IF(AND(高電圧出力!AM29&gt;高温過積載率!AM29,高電圧出力!AM29&lt;100%,過積載率!AM29&lt;100%),高温過積載率!AM29,0)</f>
        <v>0</v>
      </c>
      <c r="AN29" s="85">
        <f>IF(AND(高電圧出力!AN29&gt;高温過積載率!AN29,高電圧出力!AN29&lt;100%,過積載率!AN29&lt;100%),高温過積載率!AN29,0)</f>
        <v>0</v>
      </c>
      <c r="AO29" s="85">
        <f>IF(AND(高電圧出力!AO29&gt;高温過積載率!AO29,高電圧出力!AO29&lt;100%,過積載率!AO29&lt;100%),高温過積載率!AO29,0)</f>
        <v>0</v>
      </c>
    </row>
  </sheetData>
  <phoneticPr fontId="2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AO42"/>
  <sheetViews>
    <sheetView zoomScale="85" zoomScaleNormal="85" workbookViewId="0">
      <selection activeCell="M11" sqref="M11"/>
    </sheetView>
  </sheetViews>
  <sheetFormatPr defaultRowHeight="14.1"/>
  <sheetData>
    <row r="1" spans="1:41">
      <c r="A1" t="s">
        <v>1848</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f>IF(HUAWEI製ＰＣＳ接続枚数計算ツール!$M$109&gt;=枚数!$A3,B$2*$A3,0)</f>
        <v>1</v>
      </c>
      <c r="C3">
        <f>IF(HUAWEI製ＰＣＳ接続枚数計算ツール!$M$109&gt;=枚数!$A3,C$2*$A3,0)</f>
        <v>2</v>
      </c>
      <c r="D3">
        <f>IF(HUAWEI製ＰＣＳ接続枚数計算ツール!$M$109&gt;=枚数!$A3,D$2*$A3,0)</f>
        <v>3</v>
      </c>
      <c r="E3">
        <f>IF(HUAWEI製ＰＣＳ接続枚数計算ツール!$M$109&gt;=枚数!$A3,E$2*$A3,0)</f>
        <v>4</v>
      </c>
      <c r="F3">
        <f>IF(HUAWEI製ＰＣＳ接続枚数計算ツール!$M$109&gt;=枚数!$A3,F$2*$A3,0)</f>
        <v>5</v>
      </c>
      <c r="G3">
        <f>IF(HUAWEI製ＰＣＳ接続枚数計算ツール!$M$109&gt;=枚数!$A3,G$2*$A3,0)</f>
        <v>6</v>
      </c>
      <c r="H3">
        <f>IF(HUAWEI製ＰＣＳ接続枚数計算ツール!$M$109&gt;=枚数!$A3,H$2*$A3,0)</f>
        <v>7</v>
      </c>
      <c r="I3">
        <f>IF(HUAWEI製ＰＣＳ接続枚数計算ツール!$M$109&gt;=枚数!$A3,I$2*$A3,0)</f>
        <v>8</v>
      </c>
      <c r="J3">
        <f>IF(HUAWEI製ＰＣＳ接続枚数計算ツール!$M$109&gt;=枚数!$A3,J$2*$A3,0)</f>
        <v>9</v>
      </c>
      <c r="K3">
        <f>IF(HUAWEI製ＰＣＳ接続枚数計算ツール!$M$109&gt;=枚数!$A3,K$2*$A3,0)</f>
        <v>10</v>
      </c>
      <c r="L3">
        <f>IF(HUAWEI製ＰＣＳ接続枚数計算ツール!$M$109&gt;=枚数!$A3,L$2*$A3,0)</f>
        <v>11</v>
      </c>
      <c r="M3">
        <f>IF(HUAWEI製ＰＣＳ接続枚数計算ツール!$M$109&gt;=枚数!$A3,M$2*$A3,0)</f>
        <v>12</v>
      </c>
      <c r="N3">
        <f>IF(HUAWEI製ＰＣＳ接続枚数計算ツール!$M$109&gt;=枚数!$A3,N$2*$A3,0)</f>
        <v>13</v>
      </c>
      <c r="O3">
        <f>IF(HUAWEI製ＰＣＳ接続枚数計算ツール!$M$109&gt;=枚数!$A3,O$2*$A3,0)</f>
        <v>14</v>
      </c>
      <c r="P3">
        <f>IF(HUAWEI製ＰＣＳ接続枚数計算ツール!$M$109&gt;=枚数!$A3,P$2*$A3,0)</f>
        <v>15</v>
      </c>
      <c r="Q3">
        <f>IF(HUAWEI製ＰＣＳ接続枚数計算ツール!$M$109&gt;=枚数!$A3,Q$2*$A3,0)</f>
        <v>16</v>
      </c>
      <c r="R3">
        <f>IF(HUAWEI製ＰＣＳ接続枚数計算ツール!$M$109&gt;=枚数!$A3,R$2*$A3,0)</f>
        <v>17</v>
      </c>
      <c r="S3">
        <f>IF(HUAWEI製ＰＣＳ接続枚数計算ツール!$M$109&gt;=枚数!$A3,S$2*$A3,0)</f>
        <v>18</v>
      </c>
      <c r="T3">
        <f>IF(HUAWEI製ＰＣＳ接続枚数計算ツール!$M$109&gt;=枚数!$A3,T$2*$A3,0)</f>
        <v>19</v>
      </c>
      <c r="U3">
        <f>IF(HUAWEI製ＰＣＳ接続枚数計算ツール!$M$109&gt;=枚数!$A3,U$2*$A3,0)</f>
        <v>20</v>
      </c>
      <c r="V3">
        <f>IF(HUAWEI製ＰＣＳ接続枚数計算ツール!$M$109&gt;=枚数!$A3,V$2*$A3,0)</f>
        <v>21</v>
      </c>
      <c r="W3">
        <f>IF(HUAWEI製ＰＣＳ接続枚数計算ツール!$M$109&gt;=枚数!$A3,W$2*$A3,0)</f>
        <v>22</v>
      </c>
      <c r="X3">
        <f>IF(HUAWEI製ＰＣＳ接続枚数計算ツール!$M$109&gt;=枚数!$A3,X$2*$A3,0)</f>
        <v>23</v>
      </c>
      <c r="Y3">
        <f>IF(HUAWEI製ＰＣＳ接続枚数計算ツール!$M$109&gt;=枚数!$A3,Y$2*$A3,0)</f>
        <v>24</v>
      </c>
      <c r="Z3">
        <f>IF(HUAWEI製ＰＣＳ接続枚数計算ツール!$M$109&gt;=枚数!$A3,Z$2*$A3,0)</f>
        <v>25</v>
      </c>
      <c r="AA3">
        <f>IF(HUAWEI製ＰＣＳ接続枚数計算ツール!$M$109&gt;=枚数!$A3,AA$2*$A3,0)</f>
        <v>26</v>
      </c>
      <c r="AB3">
        <f>IF(HUAWEI製ＰＣＳ接続枚数計算ツール!$M$109&gt;=枚数!$A3,AB$2*$A3,0)</f>
        <v>27</v>
      </c>
      <c r="AC3">
        <f>IF(HUAWEI製ＰＣＳ接続枚数計算ツール!$M$109&gt;=枚数!$A3,AC$2*$A3,0)</f>
        <v>28</v>
      </c>
      <c r="AD3">
        <f>IF(HUAWEI製ＰＣＳ接続枚数計算ツール!$M$109&gt;=枚数!$A3,AD$2*$A3,0)</f>
        <v>29</v>
      </c>
      <c r="AE3">
        <f>IF(HUAWEI製ＰＣＳ接続枚数計算ツール!$M$109&gt;=枚数!$A3,AE$2*$A3,0)</f>
        <v>30</v>
      </c>
      <c r="AF3">
        <f>IF(HUAWEI製ＰＣＳ接続枚数計算ツール!$M$109&gt;=枚数!$A3,AF$2*$A3,0)</f>
        <v>31</v>
      </c>
      <c r="AG3">
        <f>IF(HUAWEI製ＰＣＳ接続枚数計算ツール!$M$109&gt;=枚数!$A3,AG$2*$A3,0)</f>
        <v>32</v>
      </c>
      <c r="AH3">
        <f>IF(HUAWEI製ＰＣＳ接続枚数計算ツール!$M$109&gt;=枚数!$A3,AH$2*$A3,0)</f>
        <v>33</v>
      </c>
      <c r="AI3">
        <f>IF(HUAWEI製ＰＣＳ接続枚数計算ツール!$M$109&gt;=枚数!$A3,AI$2*$A3,0)</f>
        <v>34</v>
      </c>
      <c r="AJ3">
        <f>IF(HUAWEI製ＰＣＳ接続枚数計算ツール!$M$109&gt;=枚数!$A3,AJ$2*$A3,0)</f>
        <v>35</v>
      </c>
      <c r="AK3">
        <f>IF(HUAWEI製ＰＣＳ接続枚数計算ツール!$M$109&gt;=枚数!$A3,AK$2*$A3,0)</f>
        <v>36</v>
      </c>
      <c r="AL3">
        <f>IF(HUAWEI製ＰＣＳ接続枚数計算ツール!$M$109&gt;=枚数!$A3,AL$2*$A3,0)</f>
        <v>37</v>
      </c>
      <c r="AM3">
        <f>IF(HUAWEI製ＰＣＳ接続枚数計算ツール!$M$109&gt;=枚数!$A3,AM$2*$A3,0)</f>
        <v>38</v>
      </c>
      <c r="AN3">
        <f>IF(HUAWEI製ＰＣＳ接続枚数計算ツール!$M$109&gt;=枚数!$A3,AN$2*$A3,0)</f>
        <v>39</v>
      </c>
      <c r="AO3">
        <f>IF(HUAWEI製ＰＣＳ接続枚数計算ツール!$M$109&gt;=枚数!$A3,AO$2*$A3,0)</f>
        <v>40</v>
      </c>
    </row>
    <row r="4" spans="1:41">
      <c r="A4">
        <v>2</v>
      </c>
      <c r="B4">
        <f>IF(HUAWEI製ＰＣＳ接続枚数計算ツール!$M$109&gt;=枚数!$A4,B$2*$A4,0)</f>
        <v>2</v>
      </c>
      <c r="C4">
        <f>IF(HUAWEI製ＰＣＳ接続枚数計算ツール!$M$109&gt;=枚数!$A4,C$2*$A4,0)</f>
        <v>4</v>
      </c>
      <c r="D4">
        <f>IF(HUAWEI製ＰＣＳ接続枚数計算ツール!$M$109&gt;=枚数!$A4,D$2*$A4,0)</f>
        <v>6</v>
      </c>
      <c r="E4">
        <f>IF(HUAWEI製ＰＣＳ接続枚数計算ツール!$M$109&gt;=枚数!$A4,E$2*$A4,0)</f>
        <v>8</v>
      </c>
      <c r="F4">
        <f>IF(HUAWEI製ＰＣＳ接続枚数計算ツール!$M$109&gt;=枚数!$A4,F$2*$A4,0)</f>
        <v>10</v>
      </c>
      <c r="G4">
        <f>IF(HUAWEI製ＰＣＳ接続枚数計算ツール!$M$109&gt;=枚数!$A4,G$2*$A4,0)</f>
        <v>12</v>
      </c>
      <c r="H4">
        <f>IF(HUAWEI製ＰＣＳ接続枚数計算ツール!$M$109&gt;=枚数!$A4,H$2*$A4,0)</f>
        <v>14</v>
      </c>
      <c r="I4">
        <f>IF(HUAWEI製ＰＣＳ接続枚数計算ツール!$M$109&gt;=枚数!$A4,I$2*$A4,0)</f>
        <v>16</v>
      </c>
      <c r="J4">
        <f>IF(HUAWEI製ＰＣＳ接続枚数計算ツール!$M$109&gt;=枚数!$A4,J$2*$A4,0)</f>
        <v>18</v>
      </c>
      <c r="K4">
        <f>IF(HUAWEI製ＰＣＳ接続枚数計算ツール!$M$109&gt;=枚数!$A4,K$2*$A4,0)</f>
        <v>20</v>
      </c>
      <c r="L4">
        <f>IF(HUAWEI製ＰＣＳ接続枚数計算ツール!$M$109&gt;=枚数!$A4,L$2*$A4,0)</f>
        <v>22</v>
      </c>
      <c r="M4">
        <f>IF(HUAWEI製ＰＣＳ接続枚数計算ツール!$M$109&gt;=枚数!$A4,M$2*$A4,0)</f>
        <v>24</v>
      </c>
      <c r="N4">
        <f>IF(HUAWEI製ＰＣＳ接続枚数計算ツール!$M$109&gt;=枚数!$A4,N$2*$A4,0)</f>
        <v>26</v>
      </c>
      <c r="O4">
        <f>IF(HUAWEI製ＰＣＳ接続枚数計算ツール!$M$109&gt;=枚数!$A4,O$2*$A4,0)</f>
        <v>28</v>
      </c>
      <c r="P4">
        <f>IF(HUAWEI製ＰＣＳ接続枚数計算ツール!$M$109&gt;=枚数!$A4,P$2*$A4,0)</f>
        <v>30</v>
      </c>
      <c r="Q4">
        <f>IF(HUAWEI製ＰＣＳ接続枚数計算ツール!$M$109&gt;=枚数!$A4,Q$2*$A4,0)</f>
        <v>32</v>
      </c>
      <c r="R4">
        <f>IF(HUAWEI製ＰＣＳ接続枚数計算ツール!$M$109&gt;=枚数!$A4,R$2*$A4,0)</f>
        <v>34</v>
      </c>
      <c r="S4">
        <f>IF(HUAWEI製ＰＣＳ接続枚数計算ツール!$M$109&gt;=枚数!$A4,S$2*$A4,0)</f>
        <v>36</v>
      </c>
      <c r="T4">
        <f>IF(HUAWEI製ＰＣＳ接続枚数計算ツール!$M$109&gt;=枚数!$A4,T$2*$A4,0)</f>
        <v>38</v>
      </c>
      <c r="U4">
        <f>IF(HUAWEI製ＰＣＳ接続枚数計算ツール!$M$109&gt;=枚数!$A4,U$2*$A4,0)</f>
        <v>40</v>
      </c>
      <c r="V4">
        <f>IF(HUAWEI製ＰＣＳ接続枚数計算ツール!$M$109&gt;=枚数!$A4,V$2*$A4,0)</f>
        <v>42</v>
      </c>
      <c r="W4">
        <f>IF(HUAWEI製ＰＣＳ接続枚数計算ツール!$M$109&gt;=枚数!$A4,W$2*$A4,0)</f>
        <v>44</v>
      </c>
      <c r="X4">
        <f>IF(HUAWEI製ＰＣＳ接続枚数計算ツール!$M$109&gt;=枚数!$A4,X$2*$A4,0)</f>
        <v>46</v>
      </c>
      <c r="Y4">
        <f>IF(HUAWEI製ＰＣＳ接続枚数計算ツール!$M$109&gt;=枚数!$A4,Y$2*$A4,0)</f>
        <v>48</v>
      </c>
      <c r="Z4">
        <f>IF(HUAWEI製ＰＣＳ接続枚数計算ツール!$M$109&gt;=枚数!$A4,Z$2*$A4,0)</f>
        <v>50</v>
      </c>
      <c r="AA4">
        <f>IF(HUAWEI製ＰＣＳ接続枚数計算ツール!$M$109&gt;=枚数!$A4,AA$2*$A4,0)</f>
        <v>52</v>
      </c>
      <c r="AB4">
        <f>IF(HUAWEI製ＰＣＳ接続枚数計算ツール!$M$109&gt;=枚数!$A4,AB$2*$A4,0)</f>
        <v>54</v>
      </c>
      <c r="AC4">
        <f>IF(HUAWEI製ＰＣＳ接続枚数計算ツール!$M$109&gt;=枚数!$A4,AC$2*$A4,0)</f>
        <v>56</v>
      </c>
      <c r="AD4">
        <f>IF(HUAWEI製ＰＣＳ接続枚数計算ツール!$M$109&gt;=枚数!$A4,AD$2*$A4,0)</f>
        <v>58</v>
      </c>
      <c r="AE4">
        <f>IF(HUAWEI製ＰＣＳ接続枚数計算ツール!$M$109&gt;=枚数!$A4,AE$2*$A4,0)</f>
        <v>60</v>
      </c>
      <c r="AF4">
        <f>IF(HUAWEI製ＰＣＳ接続枚数計算ツール!$M$109&gt;=枚数!$A4,AF$2*$A4,0)</f>
        <v>62</v>
      </c>
      <c r="AG4">
        <f>IF(HUAWEI製ＰＣＳ接続枚数計算ツール!$M$109&gt;=枚数!$A4,AG$2*$A4,0)</f>
        <v>64</v>
      </c>
      <c r="AH4">
        <f>IF(HUAWEI製ＰＣＳ接続枚数計算ツール!$M$109&gt;=枚数!$A4,AH$2*$A4,0)</f>
        <v>66</v>
      </c>
      <c r="AI4">
        <f>IF(HUAWEI製ＰＣＳ接続枚数計算ツール!$M$109&gt;=枚数!$A4,AI$2*$A4,0)</f>
        <v>68</v>
      </c>
      <c r="AJ4">
        <f>IF(HUAWEI製ＰＣＳ接続枚数計算ツール!$M$109&gt;=枚数!$A4,AJ$2*$A4,0)</f>
        <v>70</v>
      </c>
      <c r="AK4">
        <f>IF(HUAWEI製ＰＣＳ接続枚数計算ツール!$M$109&gt;=枚数!$A4,AK$2*$A4,0)</f>
        <v>72</v>
      </c>
      <c r="AL4">
        <f>IF(HUAWEI製ＰＣＳ接続枚数計算ツール!$M$109&gt;=枚数!$A4,AL$2*$A4,0)</f>
        <v>74</v>
      </c>
      <c r="AM4">
        <f>IF(HUAWEI製ＰＣＳ接続枚数計算ツール!$M$109&gt;=枚数!$A4,AM$2*$A4,0)</f>
        <v>76</v>
      </c>
      <c r="AN4">
        <f>IF(HUAWEI製ＰＣＳ接続枚数計算ツール!$M$109&gt;=枚数!$A4,AN$2*$A4,0)</f>
        <v>78</v>
      </c>
      <c r="AO4">
        <f>IF(HUAWEI製ＰＣＳ接続枚数計算ツール!$M$109&gt;=枚数!$A4,AO$2*$A4,0)</f>
        <v>80</v>
      </c>
    </row>
    <row r="5" spans="1:41">
      <c r="A5">
        <v>3</v>
      </c>
      <c r="B5">
        <f>IF(HUAWEI製ＰＣＳ接続枚数計算ツール!$M$109&gt;=枚数!$A5,B$2*$A5,0)</f>
        <v>3</v>
      </c>
      <c r="C5">
        <f>IF(HUAWEI製ＰＣＳ接続枚数計算ツール!$M$109&gt;=枚数!$A5,C$2*$A5,0)</f>
        <v>6</v>
      </c>
      <c r="D5">
        <f>IF(HUAWEI製ＰＣＳ接続枚数計算ツール!$M$109&gt;=枚数!$A5,D$2*$A5,0)</f>
        <v>9</v>
      </c>
      <c r="E5">
        <f>IF(HUAWEI製ＰＣＳ接続枚数計算ツール!$M$109&gt;=枚数!$A5,E$2*$A5,0)</f>
        <v>12</v>
      </c>
      <c r="F5">
        <f>IF(HUAWEI製ＰＣＳ接続枚数計算ツール!$M$109&gt;=枚数!$A5,F$2*$A5,0)</f>
        <v>15</v>
      </c>
      <c r="G5">
        <f>IF(HUAWEI製ＰＣＳ接続枚数計算ツール!$M$109&gt;=枚数!$A5,G$2*$A5,0)</f>
        <v>18</v>
      </c>
      <c r="H5">
        <f>IF(HUAWEI製ＰＣＳ接続枚数計算ツール!$M$109&gt;=枚数!$A5,H$2*$A5,0)</f>
        <v>21</v>
      </c>
      <c r="I5">
        <f>IF(HUAWEI製ＰＣＳ接続枚数計算ツール!$M$109&gt;=枚数!$A5,I$2*$A5,0)</f>
        <v>24</v>
      </c>
      <c r="J5">
        <f>IF(HUAWEI製ＰＣＳ接続枚数計算ツール!$M$109&gt;=枚数!$A5,J$2*$A5,0)</f>
        <v>27</v>
      </c>
      <c r="K5">
        <f>IF(HUAWEI製ＰＣＳ接続枚数計算ツール!$M$109&gt;=枚数!$A5,K$2*$A5,0)</f>
        <v>30</v>
      </c>
      <c r="L5">
        <f>IF(HUAWEI製ＰＣＳ接続枚数計算ツール!$M$109&gt;=枚数!$A5,L$2*$A5,0)</f>
        <v>33</v>
      </c>
      <c r="M5">
        <f>IF(HUAWEI製ＰＣＳ接続枚数計算ツール!$M$109&gt;=枚数!$A5,M$2*$A5,0)</f>
        <v>36</v>
      </c>
      <c r="N5">
        <f>IF(HUAWEI製ＰＣＳ接続枚数計算ツール!$M$109&gt;=枚数!$A5,N$2*$A5,0)</f>
        <v>39</v>
      </c>
      <c r="O5">
        <f>IF(HUAWEI製ＰＣＳ接続枚数計算ツール!$M$109&gt;=枚数!$A5,O$2*$A5,0)</f>
        <v>42</v>
      </c>
      <c r="P5">
        <f>IF(HUAWEI製ＰＣＳ接続枚数計算ツール!$M$109&gt;=枚数!$A5,P$2*$A5,0)</f>
        <v>45</v>
      </c>
      <c r="Q5">
        <f>IF(HUAWEI製ＰＣＳ接続枚数計算ツール!$M$109&gt;=枚数!$A5,Q$2*$A5,0)</f>
        <v>48</v>
      </c>
      <c r="R5">
        <f>IF(HUAWEI製ＰＣＳ接続枚数計算ツール!$M$109&gt;=枚数!$A5,R$2*$A5,0)</f>
        <v>51</v>
      </c>
      <c r="S5">
        <f>IF(HUAWEI製ＰＣＳ接続枚数計算ツール!$M$109&gt;=枚数!$A5,S$2*$A5,0)</f>
        <v>54</v>
      </c>
      <c r="T5">
        <f>IF(HUAWEI製ＰＣＳ接続枚数計算ツール!$M$109&gt;=枚数!$A5,T$2*$A5,0)</f>
        <v>57</v>
      </c>
      <c r="U5">
        <f>IF(HUAWEI製ＰＣＳ接続枚数計算ツール!$M$109&gt;=枚数!$A5,U$2*$A5,0)</f>
        <v>60</v>
      </c>
      <c r="V5">
        <f>IF(HUAWEI製ＰＣＳ接続枚数計算ツール!$M$109&gt;=枚数!$A5,V$2*$A5,0)</f>
        <v>63</v>
      </c>
      <c r="W5">
        <f>IF(HUAWEI製ＰＣＳ接続枚数計算ツール!$M$109&gt;=枚数!$A5,W$2*$A5,0)</f>
        <v>66</v>
      </c>
      <c r="X5">
        <f>IF(HUAWEI製ＰＣＳ接続枚数計算ツール!$M$109&gt;=枚数!$A5,X$2*$A5,0)</f>
        <v>69</v>
      </c>
      <c r="Y5">
        <f>IF(HUAWEI製ＰＣＳ接続枚数計算ツール!$M$109&gt;=枚数!$A5,Y$2*$A5,0)</f>
        <v>72</v>
      </c>
      <c r="Z5">
        <f>IF(HUAWEI製ＰＣＳ接続枚数計算ツール!$M$109&gt;=枚数!$A5,Z$2*$A5,0)</f>
        <v>75</v>
      </c>
      <c r="AA5">
        <f>IF(HUAWEI製ＰＣＳ接続枚数計算ツール!$M$109&gt;=枚数!$A5,AA$2*$A5,0)</f>
        <v>78</v>
      </c>
      <c r="AB5">
        <f>IF(HUAWEI製ＰＣＳ接続枚数計算ツール!$M$109&gt;=枚数!$A5,AB$2*$A5,0)</f>
        <v>81</v>
      </c>
      <c r="AC5">
        <f>IF(HUAWEI製ＰＣＳ接続枚数計算ツール!$M$109&gt;=枚数!$A5,AC$2*$A5,0)</f>
        <v>84</v>
      </c>
      <c r="AD5">
        <f>IF(HUAWEI製ＰＣＳ接続枚数計算ツール!$M$109&gt;=枚数!$A5,AD$2*$A5,0)</f>
        <v>87</v>
      </c>
      <c r="AE5">
        <f>IF(HUAWEI製ＰＣＳ接続枚数計算ツール!$M$109&gt;=枚数!$A5,AE$2*$A5,0)</f>
        <v>90</v>
      </c>
      <c r="AF5">
        <f>IF(HUAWEI製ＰＣＳ接続枚数計算ツール!$M$109&gt;=枚数!$A5,AF$2*$A5,0)</f>
        <v>93</v>
      </c>
      <c r="AG5">
        <f>IF(HUAWEI製ＰＣＳ接続枚数計算ツール!$M$109&gt;=枚数!$A5,AG$2*$A5,0)</f>
        <v>96</v>
      </c>
      <c r="AH5">
        <f>IF(HUAWEI製ＰＣＳ接続枚数計算ツール!$M$109&gt;=枚数!$A5,AH$2*$A5,0)</f>
        <v>99</v>
      </c>
      <c r="AI5">
        <f>IF(HUAWEI製ＰＣＳ接続枚数計算ツール!$M$109&gt;=枚数!$A5,AI$2*$A5,0)</f>
        <v>102</v>
      </c>
      <c r="AJ5">
        <f>IF(HUAWEI製ＰＣＳ接続枚数計算ツール!$M$109&gt;=枚数!$A5,AJ$2*$A5,0)</f>
        <v>105</v>
      </c>
      <c r="AK5">
        <f>IF(HUAWEI製ＰＣＳ接続枚数計算ツール!$M$109&gt;=枚数!$A5,AK$2*$A5,0)</f>
        <v>108</v>
      </c>
      <c r="AL5">
        <f>IF(HUAWEI製ＰＣＳ接続枚数計算ツール!$M$109&gt;=枚数!$A5,AL$2*$A5,0)</f>
        <v>111</v>
      </c>
      <c r="AM5">
        <f>IF(HUAWEI製ＰＣＳ接続枚数計算ツール!$M$109&gt;=枚数!$A5,AM$2*$A5,0)</f>
        <v>114</v>
      </c>
      <c r="AN5">
        <f>IF(HUAWEI製ＰＣＳ接続枚数計算ツール!$M$109&gt;=枚数!$A5,AN$2*$A5,0)</f>
        <v>117</v>
      </c>
      <c r="AO5">
        <f>IF(HUAWEI製ＰＣＳ接続枚数計算ツール!$M$109&gt;=枚数!$A5,AO$2*$A5,0)</f>
        <v>120</v>
      </c>
    </row>
    <row r="6" spans="1:41">
      <c r="A6">
        <v>4</v>
      </c>
      <c r="B6">
        <f>IF(HUAWEI製ＰＣＳ接続枚数計算ツール!$M$109&gt;=枚数!$A6,B$2*$A6,0)</f>
        <v>4</v>
      </c>
      <c r="C6">
        <f>IF(HUAWEI製ＰＣＳ接続枚数計算ツール!$M$109&gt;=枚数!$A6,C$2*$A6,0)</f>
        <v>8</v>
      </c>
      <c r="D6">
        <f>IF(HUAWEI製ＰＣＳ接続枚数計算ツール!$M$109&gt;=枚数!$A6,D$2*$A6,0)</f>
        <v>12</v>
      </c>
      <c r="E6">
        <f>IF(HUAWEI製ＰＣＳ接続枚数計算ツール!$M$109&gt;=枚数!$A6,E$2*$A6,0)</f>
        <v>16</v>
      </c>
      <c r="F6">
        <f>IF(HUAWEI製ＰＣＳ接続枚数計算ツール!$M$109&gt;=枚数!$A6,F$2*$A6,0)</f>
        <v>20</v>
      </c>
      <c r="G6">
        <f>IF(HUAWEI製ＰＣＳ接続枚数計算ツール!$M$109&gt;=枚数!$A6,G$2*$A6,0)</f>
        <v>24</v>
      </c>
      <c r="H6">
        <f>IF(HUAWEI製ＰＣＳ接続枚数計算ツール!$M$109&gt;=枚数!$A6,H$2*$A6,0)</f>
        <v>28</v>
      </c>
      <c r="I6">
        <f>IF(HUAWEI製ＰＣＳ接続枚数計算ツール!$M$109&gt;=枚数!$A6,I$2*$A6,0)</f>
        <v>32</v>
      </c>
      <c r="J6">
        <f>IF(HUAWEI製ＰＣＳ接続枚数計算ツール!$M$109&gt;=枚数!$A6,J$2*$A6,0)</f>
        <v>36</v>
      </c>
      <c r="K6">
        <f>IF(HUAWEI製ＰＣＳ接続枚数計算ツール!$M$109&gt;=枚数!$A6,K$2*$A6,0)</f>
        <v>40</v>
      </c>
      <c r="L6">
        <f>IF(HUAWEI製ＰＣＳ接続枚数計算ツール!$M$109&gt;=枚数!$A6,L$2*$A6,0)</f>
        <v>44</v>
      </c>
      <c r="M6">
        <f>IF(HUAWEI製ＰＣＳ接続枚数計算ツール!$M$109&gt;=枚数!$A6,M$2*$A6,0)</f>
        <v>48</v>
      </c>
      <c r="N6">
        <f>IF(HUAWEI製ＰＣＳ接続枚数計算ツール!$M$109&gt;=枚数!$A6,N$2*$A6,0)</f>
        <v>52</v>
      </c>
      <c r="O6">
        <f>IF(HUAWEI製ＰＣＳ接続枚数計算ツール!$M$109&gt;=枚数!$A6,O$2*$A6,0)</f>
        <v>56</v>
      </c>
      <c r="P6">
        <f>IF(HUAWEI製ＰＣＳ接続枚数計算ツール!$M$109&gt;=枚数!$A6,P$2*$A6,0)</f>
        <v>60</v>
      </c>
      <c r="Q6">
        <f>IF(HUAWEI製ＰＣＳ接続枚数計算ツール!$M$109&gt;=枚数!$A6,Q$2*$A6,0)</f>
        <v>64</v>
      </c>
      <c r="R6">
        <f>IF(HUAWEI製ＰＣＳ接続枚数計算ツール!$M$109&gt;=枚数!$A6,R$2*$A6,0)</f>
        <v>68</v>
      </c>
      <c r="S6">
        <f>IF(HUAWEI製ＰＣＳ接続枚数計算ツール!$M$109&gt;=枚数!$A6,S$2*$A6,0)</f>
        <v>72</v>
      </c>
      <c r="T6">
        <f>IF(HUAWEI製ＰＣＳ接続枚数計算ツール!$M$109&gt;=枚数!$A6,T$2*$A6,0)</f>
        <v>76</v>
      </c>
      <c r="U6">
        <f>IF(HUAWEI製ＰＣＳ接続枚数計算ツール!$M$109&gt;=枚数!$A6,U$2*$A6,0)</f>
        <v>80</v>
      </c>
      <c r="V6">
        <f>IF(HUAWEI製ＰＣＳ接続枚数計算ツール!$M$109&gt;=枚数!$A6,V$2*$A6,0)</f>
        <v>84</v>
      </c>
      <c r="W6">
        <f>IF(HUAWEI製ＰＣＳ接続枚数計算ツール!$M$109&gt;=枚数!$A6,W$2*$A6,0)</f>
        <v>88</v>
      </c>
      <c r="X6">
        <f>IF(HUAWEI製ＰＣＳ接続枚数計算ツール!$M$109&gt;=枚数!$A6,X$2*$A6,0)</f>
        <v>92</v>
      </c>
      <c r="Y6">
        <f>IF(HUAWEI製ＰＣＳ接続枚数計算ツール!$M$109&gt;=枚数!$A6,Y$2*$A6,0)</f>
        <v>96</v>
      </c>
      <c r="Z6">
        <f>IF(HUAWEI製ＰＣＳ接続枚数計算ツール!$M$109&gt;=枚数!$A6,Z$2*$A6,0)</f>
        <v>100</v>
      </c>
      <c r="AA6">
        <f>IF(HUAWEI製ＰＣＳ接続枚数計算ツール!$M$109&gt;=枚数!$A6,AA$2*$A6,0)</f>
        <v>104</v>
      </c>
      <c r="AB6">
        <f>IF(HUAWEI製ＰＣＳ接続枚数計算ツール!$M$109&gt;=枚数!$A6,AB$2*$A6,0)</f>
        <v>108</v>
      </c>
      <c r="AC6">
        <f>IF(HUAWEI製ＰＣＳ接続枚数計算ツール!$M$109&gt;=枚数!$A6,AC$2*$A6,0)</f>
        <v>112</v>
      </c>
      <c r="AD6">
        <f>IF(HUAWEI製ＰＣＳ接続枚数計算ツール!$M$109&gt;=枚数!$A6,AD$2*$A6,0)</f>
        <v>116</v>
      </c>
      <c r="AE6">
        <f>IF(HUAWEI製ＰＣＳ接続枚数計算ツール!$M$109&gt;=枚数!$A6,AE$2*$A6,0)</f>
        <v>120</v>
      </c>
      <c r="AF6">
        <f>IF(HUAWEI製ＰＣＳ接続枚数計算ツール!$M$109&gt;=枚数!$A6,AF$2*$A6,0)</f>
        <v>124</v>
      </c>
      <c r="AG6">
        <f>IF(HUAWEI製ＰＣＳ接続枚数計算ツール!$M$109&gt;=枚数!$A6,AG$2*$A6,0)</f>
        <v>128</v>
      </c>
      <c r="AH6">
        <f>IF(HUAWEI製ＰＣＳ接続枚数計算ツール!$M$109&gt;=枚数!$A6,AH$2*$A6,0)</f>
        <v>132</v>
      </c>
      <c r="AI6">
        <f>IF(HUAWEI製ＰＣＳ接続枚数計算ツール!$M$109&gt;=枚数!$A6,AI$2*$A6,0)</f>
        <v>136</v>
      </c>
      <c r="AJ6">
        <f>IF(HUAWEI製ＰＣＳ接続枚数計算ツール!$M$109&gt;=枚数!$A6,AJ$2*$A6,0)</f>
        <v>140</v>
      </c>
      <c r="AK6">
        <f>IF(HUAWEI製ＰＣＳ接続枚数計算ツール!$M$109&gt;=枚数!$A6,AK$2*$A6,0)</f>
        <v>144</v>
      </c>
      <c r="AL6">
        <f>IF(HUAWEI製ＰＣＳ接続枚数計算ツール!$M$109&gt;=枚数!$A6,AL$2*$A6,0)</f>
        <v>148</v>
      </c>
      <c r="AM6">
        <f>IF(HUAWEI製ＰＣＳ接続枚数計算ツール!$M$109&gt;=枚数!$A6,AM$2*$A6,0)</f>
        <v>152</v>
      </c>
      <c r="AN6">
        <f>IF(HUAWEI製ＰＣＳ接続枚数計算ツール!$M$109&gt;=枚数!$A6,AN$2*$A6,0)</f>
        <v>156</v>
      </c>
      <c r="AO6">
        <f>IF(HUAWEI製ＰＣＳ接続枚数計算ツール!$M$109&gt;=枚数!$A6,AO$2*$A6,0)</f>
        <v>160</v>
      </c>
    </row>
    <row r="7" spans="1:41">
      <c r="A7">
        <v>5</v>
      </c>
      <c r="B7">
        <f>IF(HUAWEI製ＰＣＳ接続枚数計算ツール!$M$109&gt;=枚数!$A7,B$2*$A7,0)</f>
        <v>5</v>
      </c>
      <c r="C7">
        <f>IF(HUAWEI製ＰＣＳ接続枚数計算ツール!$M$109&gt;=枚数!$A7,C$2*$A7,0)</f>
        <v>10</v>
      </c>
      <c r="D7">
        <f>IF(HUAWEI製ＰＣＳ接続枚数計算ツール!$M$109&gt;=枚数!$A7,D$2*$A7,0)</f>
        <v>15</v>
      </c>
      <c r="E7">
        <f>IF(HUAWEI製ＰＣＳ接続枚数計算ツール!$M$109&gt;=枚数!$A7,E$2*$A7,0)</f>
        <v>20</v>
      </c>
      <c r="F7">
        <f>IF(HUAWEI製ＰＣＳ接続枚数計算ツール!$M$109&gt;=枚数!$A7,F$2*$A7,0)</f>
        <v>25</v>
      </c>
      <c r="G7">
        <f>IF(HUAWEI製ＰＣＳ接続枚数計算ツール!$M$109&gt;=枚数!$A7,G$2*$A7,0)</f>
        <v>30</v>
      </c>
      <c r="H7">
        <f>IF(HUAWEI製ＰＣＳ接続枚数計算ツール!$M$109&gt;=枚数!$A7,H$2*$A7,0)</f>
        <v>35</v>
      </c>
      <c r="I7">
        <f>IF(HUAWEI製ＰＣＳ接続枚数計算ツール!$M$109&gt;=枚数!$A7,I$2*$A7,0)</f>
        <v>40</v>
      </c>
      <c r="J7">
        <f>IF(HUAWEI製ＰＣＳ接続枚数計算ツール!$M$109&gt;=枚数!$A7,J$2*$A7,0)</f>
        <v>45</v>
      </c>
      <c r="K7">
        <f>IF(HUAWEI製ＰＣＳ接続枚数計算ツール!$M$109&gt;=枚数!$A7,K$2*$A7,0)</f>
        <v>50</v>
      </c>
      <c r="L7">
        <f>IF(HUAWEI製ＰＣＳ接続枚数計算ツール!$M$109&gt;=枚数!$A7,L$2*$A7,0)</f>
        <v>55</v>
      </c>
      <c r="M7">
        <f>IF(HUAWEI製ＰＣＳ接続枚数計算ツール!$M$109&gt;=枚数!$A7,M$2*$A7,0)</f>
        <v>60</v>
      </c>
      <c r="N7">
        <f>IF(HUAWEI製ＰＣＳ接続枚数計算ツール!$M$109&gt;=枚数!$A7,N$2*$A7,0)</f>
        <v>65</v>
      </c>
      <c r="O7">
        <f>IF(HUAWEI製ＰＣＳ接続枚数計算ツール!$M$109&gt;=枚数!$A7,O$2*$A7,0)</f>
        <v>70</v>
      </c>
      <c r="P7">
        <f>IF(HUAWEI製ＰＣＳ接続枚数計算ツール!$M$109&gt;=枚数!$A7,P$2*$A7,0)</f>
        <v>75</v>
      </c>
      <c r="Q7">
        <f>IF(HUAWEI製ＰＣＳ接続枚数計算ツール!$M$109&gt;=枚数!$A7,Q$2*$A7,0)</f>
        <v>80</v>
      </c>
      <c r="R7">
        <f>IF(HUAWEI製ＰＣＳ接続枚数計算ツール!$M$109&gt;=枚数!$A7,R$2*$A7,0)</f>
        <v>85</v>
      </c>
      <c r="S7">
        <f>IF(HUAWEI製ＰＣＳ接続枚数計算ツール!$M$109&gt;=枚数!$A7,S$2*$A7,0)</f>
        <v>90</v>
      </c>
      <c r="T7">
        <f>IF(HUAWEI製ＰＣＳ接続枚数計算ツール!$M$109&gt;=枚数!$A7,T$2*$A7,0)</f>
        <v>95</v>
      </c>
      <c r="U7">
        <f>IF(HUAWEI製ＰＣＳ接続枚数計算ツール!$M$109&gt;=枚数!$A7,U$2*$A7,0)</f>
        <v>100</v>
      </c>
      <c r="V7">
        <f>IF(HUAWEI製ＰＣＳ接続枚数計算ツール!$M$109&gt;=枚数!$A7,V$2*$A7,0)</f>
        <v>105</v>
      </c>
      <c r="W7">
        <f>IF(HUAWEI製ＰＣＳ接続枚数計算ツール!$M$109&gt;=枚数!$A7,W$2*$A7,0)</f>
        <v>110</v>
      </c>
      <c r="X7">
        <f>IF(HUAWEI製ＰＣＳ接続枚数計算ツール!$M$109&gt;=枚数!$A7,X$2*$A7,0)</f>
        <v>115</v>
      </c>
      <c r="Y7">
        <f>IF(HUAWEI製ＰＣＳ接続枚数計算ツール!$M$109&gt;=枚数!$A7,Y$2*$A7,0)</f>
        <v>120</v>
      </c>
      <c r="Z7">
        <f>IF(HUAWEI製ＰＣＳ接続枚数計算ツール!$M$109&gt;=枚数!$A7,Z$2*$A7,0)</f>
        <v>125</v>
      </c>
      <c r="AA7">
        <f>IF(HUAWEI製ＰＣＳ接続枚数計算ツール!$M$109&gt;=枚数!$A7,AA$2*$A7,0)</f>
        <v>130</v>
      </c>
      <c r="AB7">
        <f>IF(HUAWEI製ＰＣＳ接続枚数計算ツール!$M$109&gt;=枚数!$A7,AB$2*$A7,0)</f>
        <v>135</v>
      </c>
      <c r="AC7">
        <f>IF(HUAWEI製ＰＣＳ接続枚数計算ツール!$M$109&gt;=枚数!$A7,AC$2*$A7,0)</f>
        <v>140</v>
      </c>
      <c r="AD7">
        <f>IF(HUAWEI製ＰＣＳ接続枚数計算ツール!$M$109&gt;=枚数!$A7,AD$2*$A7,0)</f>
        <v>145</v>
      </c>
      <c r="AE7">
        <f>IF(HUAWEI製ＰＣＳ接続枚数計算ツール!$M$109&gt;=枚数!$A7,AE$2*$A7,0)</f>
        <v>150</v>
      </c>
      <c r="AF7">
        <f>IF(HUAWEI製ＰＣＳ接続枚数計算ツール!$M$109&gt;=枚数!$A7,AF$2*$A7,0)</f>
        <v>155</v>
      </c>
      <c r="AG7">
        <f>IF(HUAWEI製ＰＣＳ接続枚数計算ツール!$M$109&gt;=枚数!$A7,AG$2*$A7,0)</f>
        <v>160</v>
      </c>
      <c r="AH7">
        <f>IF(HUAWEI製ＰＣＳ接続枚数計算ツール!$M$109&gt;=枚数!$A7,AH$2*$A7,0)</f>
        <v>165</v>
      </c>
      <c r="AI7">
        <f>IF(HUAWEI製ＰＣＳ接続枚数計算ツール!$M$109&gt;=枚数!$A7,AI$2*$A7,0)</f>
        <v>170</v>
      </c>
      <c r="AJ7">
        <f>IF(HUAWEI製ＰＣＳ接続枚数計算ツール!$M$109&gt;=枚数!$A7,AJ$2*$A7,0)</f>
        <v>175</v>
      </c>
      <c r="AK7">
        <f>IF(HUAWEI製ＰＣＳ接続枚数計算ツール!$M$109&gt;=枚数!$A7,AK$2*$A7,0)</f>
        <v>180</v>
      </c>
      <c r="AL7">
        <f>IF(HUAWEI製ＰＣＳ接続枚数計算ツール!$M$109&gt;=枚数!$A7,AL$2*$A7,0)</f>
        <v>185</v>
      </c>
      <c r="AM7">
        <f>IF(HUAWEI製ＰＣＳ接続枚数計算ツール!$M$109&gt;=枚数!$A7,AM$2*$A7,0)</f>
        <v>190</v>
      </c>
      <c r="AN7">
        <f>IF(HUAWEI製ＰＣＳ接続枚数計算ツール!$M$109&gt;=枚数!$A7,AN$2*$A7,0)</f>
        <v>195</v>
      </c>
      <c r="AO7">
        <f>IF(HUAWEI製ＰＣＳ接続枚数計算ツール!$M$109&gt;=枚数!$A7,AO$2*$A7,0)</f>
        <v>200</v>
      </c>
    </row>
    <row r="8" spans="1:41">
      <c r="A8">
        <v>6</v>
      </c>
      <c r="B8">
        <f>IF(HUAWEI製ＰＣＳ接続枚数計算ツール!$M$109&gt;=枚数!$A8,B$2*$A8,0)</f>
        <v>6</v>
      </c>
      <c r="C8">
        <f>IF(HUAWEI製ＰＣＳ接続枚数計算ツール!$M$109&gt;=枚数!$A8,C$2*$A8,0)</f>
        <v>12</v>
      </c>
      <c r="D8">
        <f>IF(HUAWEI製ＰＣＳ接続枚数計算ツール!$M$109&gt;=枚数!$A8,D$2*$A8,0)</f>
        <v>18</v>
      </c>
      <c r="E8">
        <f>IF(HUAWEI製ＰＣＳ接続枚数計算ツール!$M$109&gt;=枚数!$A8,E$2*$A8,0)</f>
        <v>24</v>
      </c>
      <c r="F8">
        <f>IF(HUAWEI製ＰＣＳ接続枚数計算ツール!$M$109&gt;=枚数!$A8,F$2*$A8,0)</f>
        <v>30</v>
      </c>
      <c r="G8">
        <f>IF(HUAWEI製ＰＣＳ接続枚数計算ツール!$M$109&gt;=枚数!$A8,G$2*$A8,0)</f>
        <v>36</v>
      </c>
      <c r="H8">
        <f>IF(HUAWEI製ＰＣＳ接続枚数計算ツール!$M$109&gt;=枚数!$A8,H$2*$A8,0)</f>
        <v>42</v>
      </c>
      <c r="I8">
        <f>IF(HUAWEI製ＰＣＳ接続枚数計算ツール!$M$109&gt;=枚数!$A8,I$2*$A8,0)</f>
        <v>48</v>
      </c>
      <c r="J8">
        <f>IF(HUAWEI製ＰＣＳ接続枚数計算ツール!$M$109&gt;=枚数!$A8,J$2*$A8,0)</f>
        <v>54</v>
      </c>
      <c r="K8">
        <f>IF(HUAWEI製ＰＣＳ接続枚数計算ツール!$M$109&gt;=枚数!$A8,K$2*$A8,0)</f>
        <v>60</v>
      </c>
      <c r="L8">
        <f>IF(HUAWEI製ＰＣＳ接続枚数計算ツール!$M$109&gt;=枚数!$A8,L$2*$A8,0)</f>
        <v>66</v>
      </c>
      <c r="M8">
        <f>IF(HUAWEI製ＰＣＳ接続枚数計算ツール!$M$109&gt;=枚数!$A8,M$2*$A8,0)</f>
        <v>72</v>
      </c>
      <c r="N8">
        <f>IF(HUAWEI製ＰＣＳ接続枚数計算ツール!$M$109&gt;=枚数!$A8,N$2*$A8,0)</f>
        <v>78</v>
      </c>
      <c r="O8">
        <f>IF(HUAWEI製ＰＣＳ接続枚数計算ツール!$M$109&gt;=枚数!$A8,O$2*$A8,0)</f>
        <v>84</v>
      </c>
      <c r="P8">
        <f>IF(HUAWEI製ＰＣＳ接続枚数計算ツール!$M$109&gt;=枚数!$A8,P$2*$A8,0)</f>
        <v>90</v>
      </c>
      <c r="Q8">
        <f>IF(HUAWEI製ＰＣＳ接続枚数計算ツール!$M$109&gt;=枚数!$A8,Q$2*$A8,0)</f>
        <v>96</v>
      </c>
      <c r="R8">
        <f>IF(HUAWEI製ＰＣＳ接続枚数計算ツール!$M$109&gt;=枚数!$A8,R$2*$A8,0)</f>
        <v>102</v>
      </c>
      <c r="S8">
        <f>IF(HUAWEI製ＰＣＳ接続枚数計算ツール!$M$109&gt;=枚数!$A8,S$2*$A8,0)</f>
        <v>108</v>
      </c>
      <c r="T8">
        <f>IF(HUAWEI製ＰＣＳ接続枚数計算ツール!$M$109&gt;=枚数!$A8,T$2*$A8,0)</f>
        <v>114</v>
      </c>
      <c r="U8">
        <f>IF(HUAWEI製ＰＣＳ接続枚数計算ツール!$M$109&gt;=枚数!$A8,U$2*$A8,0)</f>
        <v>120</v>
      </c>
      <c r="V8">
        <f>IF(HUAWEI製ＰＣＳ接続枚数計算ツール!$M$109&gt;=枚数!$A8,V$2*$A8,0)</f>
        <v>126</v>
      </c>
      <c r="W8">
        <f>IF(HUAWEI製ＰＣＳ接続枚数計算ツール!$M$109&gt;=枚数!$A8,W$2*$A8,0)</f>
        <v>132</v>
      </c>
      <c r="X8">
        <f>IF(HUAWEI製ＰＣＳ接続枚数計算ツール!$M$109&gt;=枚数!$A8,X$2*$A8,0)</f>
        <v>138</v>
      </c>
      <c r="Y8">
        <f>IF(HUAWEI製ＰＣＳ接続枚数計算ツール!$M$109&gt;=枚数!$A8,Y$2*$A8,0)</f>
        <v>144</v>
      </c>
      <c r="Z8">
        <f>IF(HUAWEI製ＰＣＳ接続枚数計算ツール!$M$109&gt;=枚数!$A8,Z$2*$A8,0)</f>
        <v>150</v>
      </c>
      <c r="AA8">
        <f>IF(HUAWEI製ＰＣＳ接続枚数計算ツール!$M$109&gt;=枚数!$A8,AA$2*$A8,0)</f>
        <v>156</v>
      </c>
      <c r="AB8">
        <f>IF(HUAWEI製ＰＣＳ接続枚数計算ツール!$M$109&gt;=枚数!$A8,AB$2*$A8,0)</f>
        <v>162</v>
      </c>
      <c r="AC8">
        <f>IF(HUAWEI製ＰＣＳ接続枚数計算ツール!$M$109&gt;=枚数!$A8,AC$2*$A8,0)</f>
        <v>168</v>
      </c>
      <c r="AD8">
        <f>IF(HUAWEI製ＰＣＳ接続枚数計算ツール!$M$109&gt;=枚数!$A8,AD$2*$A8,0)</f>
        <v>174</v>
      </c>
      <c r="AE8">
        <f>IF(HUAWEI製ＰＣＳ接続枚数計算ツール!$M$109&gt;=枚数!$A8,AE$2*$A8,0)</f>
        <v>180</v>
      </c>
      <c r="AF8">
        <f>IF(HUAWEI製ＰＣＳ接続枚数計算ツール!$M$109&gt;=枚数!$A8,AF$2*$A8,0)</f>
        <v>186</v>
      </c>
      <c r="AG8">
        <f>IF(HUAWEI製ＰＣＳ接続枚数計算ツール!$M$109&gt;=枚数!$A8,AG$2*$A8,0)</f>
        <v>192</v>
      </c>
      <c r="AH8">
        <f>IF(HUAWEI製ＰＣＳ接続枚数計算ツール!$M$109&gt;=枚数!$A8,AH$2*$A8,0)</f>
        <v>198</v>
      </c>
      <c r="AI8">
        <f>IF(HUAWEI製ＰＣＳ接続枚数計算ツール!$M$109&gt;=枚数!$A8,AI$2*$A8,0)</f>
        <v>204</v>
      </c>
      <c r="AJ8">
        <f>IF(HUAWEI製ＰＣＳ接続枚数計算ツール!$M$109&gt;=枚数!$A8,AJ$2*$A8,0)</f>
        <v>210</v>
      </c>
      <c r="AK8">
        <f>IF(HUAWEI製ＰＣＳ接続枚数計算ツール!$M$109&gt;=枚数!$A8,AK$2*$A8,0)</f>
        <v>216</v>
      </c>
      <c r="AL8">
        <f>IF(HUAWEI製ＰＣＳ接続枚数計算ツール!$M$109&gt;=枚数!$A8,AL$2*$A8,0)</f>
        <v>222</v>
      </c>
      <c r="AM8">
        <f>IF(HUAWEI製ＰＣＳ接続枚数計算ツール!$M$109&gt;=枚数!$A8,AM$2*$A8,0)</f>
        <v>228</v>
      </c>
      <c r="AN8">
        <f>IF(HUAWEI製ＰＣＳ接続枚数計算ツール!$M$109&gt;=枚数!$A8,AN$2*$A8,0)</f>
        <v>234</v>
      </c>
      <c r="AO8">
        <f>IF(HUAWEI製ＰＣＳ接続枚数計算ツール!$M$109&gt;=枚数!$A8,AO$2*$A8,0)</f>
        <v>240</v>
      </c>
    </row>
    <row r="9" spans="1:41">
      <c r="A9">
        <v>7</v>
      </c>
      <c r="B9">
        <f>IF(HUAWEI製ＰＣＳ接続枚数計算ツール!$M$109&gt;=枚数!$A9,B$2*$A9,0)</f>
        <v>7</v>
      </c>
      <c r="C9">
        <f>IF(HUAWEI製ＰＣＳ接続枚数計算ツール!$M$109&gt;=枚数!$A9,C$2*$A9,0)</f>
        <v>14</v>
      </c>
      <c r="D9">
        <f>IF(HUAWEI製ＰＣＳ接続枚数計算ツール!$M$109&gt;=枚数!$A9,D$2*$A9,0)</f>
        <v>21</v>
      </c>
      <c r="E9">
        <f>IF(HUAWEI製ＰＣＳ接続枚数計算ツール!$M$109&gt;=枚数!$A9,E$2*$A9,0)</f>
        <v>28</v>
      </c>
      <c r="F9">
        <f>IF(HUAWEI製ＰＣＳ接続枚数計算ツール!$M$109&gt;=枚数!$A9,F$2*$A9,0)</f>
        <v>35</v>
      </c>
      <c r="G9">
        <f>IF(HUAWEI製ＰＣＳ接続枚数計算ツール!$M$109&gt;=枚数!$A9,G$2*$A9,0)</f>
        <v>42</v>
      </c>
      <c r="H9">
        <f>IF(HUAWEI製ＰＣＳ接続枚数計算ツール!$M$109&gt;=枚数!$A9,H$2*$A9,0)</f>
        <v>49</v>
      </c>
      <c r="I9">
        <f>IF(HUAWEI製ＰＣＳ接続枚数計算ツール!$M$109&gt;=枚数!$A9,I$2*$A9,0)</f>
        <v>56</v>
      </c>
      <c r="J9">
        <f>IF(HUAWEI製ＰＣＳ接続枚数計算ツール!$M$109&gt;=枚数!$A9,J$2*$A9,0)</f>
        <v>63</v>
      </c>
      <c r="K9">
        <f>IF(HUAWEI製ＰＣＳ接続枚数計算ツール!$M$109&gt;=枚数!$A9,K$2*$A9,0)</f>
        <v>70</v>
      </c>
      <c r="L9">
        <f>IF(HUAWEI製ＰＣＳ接続枚数計算ツール!$M$109&gt;=枚数!$A9,L$2*$A9,0)</f>
        <v>77</v>
      </c>
      <c r="M9">
        <f>IF(HUAWEI製ＰＣＳ接続枚数計算ツール!$M$109&gt;=枚数!$A9,M$2*$A9,0)</f>
        <v>84</v>
      </c>
      <c r="N9">
        <f>IF(HUAWEI製ＰＣＳ接続枚数計算ツール!$M$109&gt;=枚数!$A9,N$2*$A9,0)</f>
        <v>91</v>
      </c>
      <c r="O9">
        <f>IF(HUAWEI製ＰＣＳ接続枚数計算ツール!$M$109&gt;=枚数!$A9,O$2*$A9,0)</f>
        <v>98</v>
      </c>
      <c r="P9">
        <f>IF(HUAWEI製ＰＣＳ接続枚数計算ツール!$M$109&gt;=枚数!$A9,P$2*$A9,0)</f>
        <v>105</v>
      </c>
      <c r="Q9">
        <f>IF(HUAWEI製ＰＣＳ接続枚数計算ツール!$M$109&gt;=枚数!$A9,Q$2*$A9,0)</f>
        <v>112</v>
      </c>
      <c r="R9">
        <f>IF(HUAWEI製ＰＣＳ接続枚数計算ツール!$M$109&gt;=枚数!$A9,R$2*$A9,0)</f>
        <v>119</v>
      </c>
      <c r="S9">
        <f>IF(HUAWEI製ＰＣＳ接続枚数計算ツール!$M$109&gt;=枚数!$A9,S$2*$A9,0)</f>
        <v>126</v>
      </c>
      <c r="T9">
        <f>IF(HUAWEI製ＰＣＳ接続枚数計算ツール!$M$109&gt;=枚数!$A9,T$2*$A9,0)</f>
        <v>133</v>
      </c>
      <c r="U9">
        <f>IF(HUAWEI製ＰＣＳ接続枚数計算ツール!$M$109&gt;=枚数!$A9,U$2*$A9,0)</f>
        <v>140</v>
      </c>
      <c r="V9">
        <f>IF(HUAWEI製ＰＣＳ接続枚数計算ツール!$M$109&gt;=枚数!$A9,V$2*$A9,0)</f>
        <v>147</v>
      </c>
      <c r="W9">
        <f>IF(HUAWEI製ＰＣＳ接続枚数計算ツール!$M$109&gt;=枚数!$A9,W$2*$A9,0)</f>
        <v>154</v>
      </c>
      <c r="X9">
        <f>IF(HUAWEI製ＰＣＳ接続枚数計算ツール!$M$109&gt;=枚数!$A9,X$2*$A9,0)</f>
        <v>161</v>
      </c>
      <c r="Y9">
        <f>IF(HUAWEI製ＰＣＳ接続枚数計算ツール!$M$109&gt;=枚数!$A9,Y$2*$A9,0)</f>
        <v>168</v>
      </c>
      <c r="Z9">
        <f>IF(HUAWEI製ＰＣＳ接続枚数計算ツール!$M$109&gt;=枚数!$A9,Z$2*$A9,0)</f>
        <v>175</v>
      </c>
      <c r="AA9">
        <f>IF(HUAWEI製ＰＣＳ接続枚数計算ツール!$M$109&gt;=枚数!$A9,AA$2*$A9,0)</f>
        <v>182</v>
      </c>
      <c r="AB9">
        <f>IF(HUAWEI製ＰＣＳ接続枚数計算ツール!$M$109&gt;=枚数!$A9,AB$2*$A9,0)</f>
        <v>189</v>
      </c>
      <c r="AC9">
        <f>IF(HUAWEI製ＰＣＳ接続枚数計算ツール!$M$109&gt;=枚数!$A9,AC$2*$A9,0)</f>
        <v>196</v>
      </c>
      <c r="AD9">
        <f>IF(HUAWEI製ＰＣＳ接続枚数計算ツール!$M$109&gt;=枚数!$A9,AD$2*$A9,0)</f>
        <v>203</v>
      </c>
      <c r="AE9">
        <f>IF(HUAWEI製ＰＣＳ接続枚数計算ツール!$M$109&gt;=枚数!$A9,AE$2*$A9,0)</f>
        <v>210</v>
      </c>
      <c r="AF9">
        <f>IF(HUAWEI製ＰＣＳ接続枚数計算ツール!$M$109&gt;=枚数!$A9,AF$2*$A9,0)</f>
        <v>217</v>
      </c>
      <c r="AG9">
        <f>IF(HUAWEI製ＰＣＳ接続枚数計算ツール!$M$109&gt;=枚数!$A9,AG$2*$A9,0)</f>
        <v>224</v>
      </c>
      <c r="AH9">
        <f>IF(HUAWEI製ＰＣＳ接続枚数計算ツール!$M$109&gt;=枚数!$A9,AH$2*$A9,0)</f>
        <v>231</v>
      </c>
      <c r="AI9">
        <f>IF(HUAWEI製ＰＣＳ接続枚数計算ツール!$M$109&gt;=枚数!$A9,AI$2*$A9,0)</f>
        <v>238</v>
      </c>
      <c r="AJ9">
        <f>IF(HUAWEI製ＰＣＳ接続枚数計算ツール!$M$109&gt;=枚数!$A9,AJ$2*$A9,0)</f>
        <v>245</v>
      </c>
      <c r="AK9">
        <f>IF(HUAWEI製ＰＣＳ接続枚数計算ツール!$M$109&gt;=枚数!$A9,AK$2*$A9,0)</f>
        <v>252</v>
      </c>
      <c r="AL9">
        <f>IF(HUAWEI製ＰＣＳ接続枚数計算ツール!$M$109&gt;=枚数!$A9,AL$2*$A9,0)</f>
        <v>259</v>
      </c>
      <c r="AM9">
        <f>IF(HUAWEI製ＰＣＳ接続枚数計算ツール!$M$109&gt;=枚数!$A9,AM$2*$A9,0)</f>
        <v>266</v>
      </c>
      <c r="AN9">
        <f>IF(HUAWEI製ＰＣＳ接続枚数計算ツール!$M$109&gt;=枚数!$A9,AN$2*$A9,0)</f>
        <v>273</v>
      </c>
      <c r="AO9">
        <f>IF(HUAWEI製ＰＣＳ接続枚数計算ツール!$M$109&gt;=枚数!$A9,AO$2*$A9,0)</f>
        <v>280</v>
      </c>
    </row>
    <row r="10" spans="1:41">
      <c r="A10">
        <v>8</v>
      </c>
      <c r="B10">
        <f>IF(HUAWEI製ＰＣＳ接続枚数計算ツール!$M$109&gt;=枚数!$A10,B$2*$A10,0)</f>
        <v>8</v>
      </c>
      <c r="C10">
        <f>IF(HUAWEI製ＰＣＳ接続枚数計算ツール!$M$109&gt;=枚数!$A10,C$2*$A10,0)</f>
        <v>16</v>
      </c>
      <c r="D10">
        <f>IF(HUAWEI製ＰＣＳ接続枚数計算ツール!$M$109&gt;=枚数!$A10,D$2*$A10,0)</f>
        <v>24</v>
      </c>
      <c r="E10">
        <f>IF(HUAWEI製ＰＣＳ接続枚数計算ツール!$M$109&gt;=枚数!$A10,E$2*$A10,0)</f>
        <v>32</v>
      </c>
      <c r="F10">
        <f>IF(HUAWEI製ＰＣＳ接続枚数計算ツール!$M$109&gt;=枚数!$A10,F$2*$A10,0)</f>
        <v>40</v>
      </c>
      <c r="G10">
        <f>IF(HUAWEI製ＰＣＳ接続枚数計算ツール!$M$109&gt;=枚数!$A10,G$2*$A10,0)</f>
        <v>48</v>
      </c>
      <c r="H10">
        <f>IF(HUAWEI製ＰＣＳ接続枚数計算ツール!$M$109&gt;=枚数!$A10,H$2*$A10,0)</f>
        <v>56</v>
      </c>
      <c r="I10">
        <f>IF(HUAWEI製ＰＣＳ接続枚数計算ツール!$M$109&gt;=枚数!$A10,I$2*$A10,0)</f>
        <v>64</v>
      </c>
      <c r="J10">
        <f>IF(HUAWEI製ＰＣＳ接続枚数計算ツール!$M$109&gt;=枚数!$A10,J$2*$A10,0)</f>
        <v>72</v>
      </c>
      <c r="K10">
        <f>IF(HUAWEI製ＰＣＳ接続枚数計算ツール!$M$109&gt;=枚数!$A10,K$2*$A10,0)</f>
        <v>80</v>
      </c>
      <c r="L10">
        <f>IF(HUAWEI製ＰＣＳ接続枚数計算ツール!$M$109&gt;=枚数!$A10,L$2*$A10,0)</f>
        <v>88</v>
      </c>
      <c r="M10">
        <f>IF(HUAWEI製ＰＣＳ接続枚数計算ツール!$M$109&gt;=枚数!$A10,M$2*$A10,0)</f>
        <v>96</v>
      </c>
      <c r="N10">
        <f>IF(HUAWEI製ＰＣＳ接続枚数計算ツール!$M$109&gt;=枚数!$A10,N$2*$A10,0)</f>
        <v>104</v>
      </c>
      <c r="O10">
        <f>IF(HUAWEI製ＰＣＳ接続枚数計算ツール!$M$109&gt;=枚数!$A10,O$2*$A10,0)</f>
        <v>112</v>
      </c>
      <c r="P10">
        <f>IF(HUAWEI製ＰＣＳ接続枚数計算ツール!$M$109&gt;=枚数!$A10,P$2*$A10,0)</f>
        <v>120</v>
      </c>
      <c r="Q10">
        <f>IF(HUAWEI製ＰＣＳ接続枚数計算ツール!$M$109&gt;=枚数!$A10,Q$2*$A10,0)</f>
        <v>128</v>
      </c>
      <c r="R10">
        <f>IF(HUAWEI製ＰＣＳ接続枚数計算ツール!$M$109&gt;=枚数!$A10,R$2*$A10,0)</f>
        <v>136</v>
      </c>
      <c r="S10">
        <f>IF(HUAWEI製ＰＣＳ接続枚数計算ツール!$M$109&gt;=枚数!$A10,S$2*$A10,0)</f>
        <v>144</v>
      </c>
      <c r="T10">
        <f>IF(HUAWEI製ＰＣＳ接続枚数計算ツール!$M$109&gt;=枚数!$A10,T$2*$A10,0)</f>
        <v>152</v>
      </c>
      <c r="U10">
        <f>IF(HUAWEI製ＰＣＳ接続枚数計算ツール!$M$109&gt;=枚数!$A10,U$2*$A10,0)</f>
        <v>160</v>
      </c>
      <c r="V10">
        <f>IF(HUAWEI製ＰＣＳ接続枚数計算ツール!$M$109&gt;=枚数!$A10,V$2*$A10,0)</f>
        <v>168</v>
      </c>
      <c r="W10">
        <f>IF(HUAWEI製ＰＣＳ接続枚数計算ツール!$M$109&gt;=枚数!$A10,W$2*$A10,0)</f>
        <v>176</v>
      </c>
      <c r="X10">
        <f>IF(HUAWEI製ＰＣＳ接続枚数計算ツール!$M$109&gt;=枚数!$A10,X$2*$A10,0)</f>
        <v>184</v>
      </c>
      <c r="Y10">
        <f>IF(HUAWEI製ＰＣＳ接続枚数計算ツール!$M$109&gt;=枚数!$A10,Y$2*$A10,0)</f>
        <v>192</v>
      </c>
      <c r="Z10">
        <f>IF(HUAWEI製ＰＣＳ接続枚数計算ツール!$M$109&gt;=枚数!$A10,Z$2*$A10,0)</f>
        <v>200</v>
      </c>
      <c r="AA10">
        <f>IF(HUAWEI製ＰＣＳ接続枚数計算ツール!$M$109&gt;=枚数!$A10,AA$2*$A10,0)</f>
        <v>208</v>
      </c>
      <c r="AB10">
        <f>IF(HUAWEI製ＰＣＳ接続枚数計算ツール!$M$109&gt;=枚数!$A10,AB$2*$A10,0)</f>
        <v>216</v>
      </c>
      <c r="AC10">
        <f>IF(HUAWEI製ＰＣＳ接続枚数計算ツール!$M$109&gt;=枚数!$A10,AC$2*$A10,0)</f>
        <v>224</v>
      </c>
      <c r="AD10">
        <f>IF(HUAWEI製ＰＣＳ接続枚数計算ツール!$M$109&gt;=枚数!$A10,AD$2*$A10,0)</f>
        <v>232</v>
      </c>
      <c r="AE10">
        <f>IF(HUAWEI製ＰＣＳ接続枚数計算ツール!$M$109&gt;=枚数!$A10,AE$2*$A10,0)</f>
        <v>240</v>
      </c>
      <c r="AF10">
        <f>IF(HUAWEI製ＰＣＳ接続枚数計算ツール!$M$109&gt;=枚数!$A10,AF$2*$A10,0)</f>
        <v>248</v>
      </c>
      <c r="AG10">
        <f>IF(HUAWEI製ＰＣＳ接続枚数計算ツール!$M$109&gt;=枚数!$A10,AG$2*$A10,0)</f>
        <v>256</v>
      </c>
      <c r="AH10">
        <f>IF(HUAWEI製ＰＣＳ接続枚数計算ツール!$M$109&gt;=枚数!$A10,AH$2*$A10,0)</f>
        <v>264</v>
      </c>
      <c r="AI10">
        <f>IF(HUAWEI製ＰＣＳ接続枚数計算ツール!$M$109&gt;=枚数!$A10,AI$2*$A10,0)</f>
        <v>272</v>
      </c>
      <c r="AJ10">
        <f>IF(HUAWEI製ＰＣＳ接続枚数計算ツール!$M$109&gt;=枚数!$A10,AJ$2*$A10,0)</f>
        <v>280</v>
      </c>
      <c r="AK10">
        <f>IF(HUAWEI製ＰＣＳ接続枚数計算ツール!$M$109&gt;=枚数!$A10,AK$2*$A10,0)</f>
        <v>288</v>
      </c>
      <c r="AL10">
        <f>IF(HUAWEI製ＰＣＳ接続枚数計算ツール!$M$109&gt;=枚数!$A10,AL$2*$A10,0)</f>
        <v>296</v>
      </c>
      <c r="AM10">
        <f>IF(HUAWEI製ＰＣＳ接続枚数計算ツール!$M$109&gt;=枚数!$A10,AM$2*$A10,0)</f>
        <v>304</v>
      </c>
      <c r="AN10">
        <f>IF(HUAWEI製ＰＣＳ接続枚数計算ツール!$M$109&gt;=枚数!$A10,AN$2*$A10,0)</f>
        <v>312</v>
      </c>
      <c r="AO10">
        <f>IF(HUAWEI製ＰＣＳ接続枚数計算ツール!$M$109&gt;=枚数!$A10,AO$2*$A10,0)</f>
        <v>320</v>
      </c>
    </row>
    <row r="11" spans="1:41">
      <c r="A11">
        <v>9</v>
      </c>
      <c r="B11">
        <f>IF(HUAWEI製ＰＣＳ接続枚数計算ツール!$M$109&gt;=枚数!$A11,B$2*$A11,0)</f>
        <v>9</v>
      </c>
      <c r="C11">
        <f>IF(HUAWEI製ＰＣＳ接続枚数計算ツール!$M$109&gt;=枚数!$A11,C$2*$A11,0)</f>
        <v>18</v>
      </c>
      <c r="D11">
        <f>IF(HUAWEI製ＰＣＳ接続枚数計算ツール!$M$109&gt;=枚数!$A11,D$2*$A11,0)</f>
        <v>27</v>
      </c>
      <c r="E11">
        <f>IF(HUAWEI製ＰＣＳ接続枚数計算ツール!$M$109&gt;=枚数!$A11,E$2*$A11,0)</f>
        <v>36</v>
      </c>
      <c r="F11">
        <f>IF(HUAWEI製ＰＣＳ接続枚数計算ツール!$M$109&gt;=枚数!$A11,F$2*$A11,0)</f>
        <v>45</v>
      </c>
      <c r="G11">
        <f>IF(HUAWEI製ＰＣＳ接続枚数計算ツール!$M$109&gt;=枚数!$A11,G$2*$A11,0)</f>
        <v>54</v>
      </c>
      <c r="H11">
        <f>IF(HUAWEI製ＰＣＳ接続枚数計算ツール!$M$109&gt;=枚数!$A11,H$2*$A11,0)</f>
        <v>63</v>
      </c>
      <c r="I11">
        <f>IF(HUAWEI製ＰＣＳ接続枚数計算ツール!$M$109&gt;=枚数!$A11,I$2*$A11,0)</f>
        <v>72</v>
      </c>
      <c r="J11">
        <f>IF(HUAWEI製ＰＣＳ接続枚数計算ツール!$M$109&gt;=枚数!$A11,J$2*$A11,0)</f>
        <v>81</v>
      </c>
      <c r="K11">
        <f>IF(HUAWEI製ＰＣＳ接続枚数計算ツール!$M$109&gt;=枚数!$A11,K$2*$A11,0)</f>
        <v>90</v>
      </c>
      <c r="L11">
        <f>IF(HUAWEI製ＰＣＳ接続枚数計算ツール!$M$109&gt;=枚数!$A11,L$2*$A11,0)</f>
        <v>99</v>
      </c>
      <c r="M11">
        <f>IF(HUAWEI製ＰＣＳ接続枚数計算ツール!$M$109&gt;=枚数!$A11,M$2*$A11,0)</f>
        <v>108</v>
      </c>
      <c r="N11">
        <f>IF(HUAWEI製ＰＣＳ接続枚数計算ツール!$M$109&gt;=枚数!$A11,N$2*$A11,0)</f>
        <v>117</v>
      </c>
      <c r="O11">
        <f>IF(HUAWEI製ＰＣＳ接続枚数計算ツール!$M$109&gt;=枚数!$A11,O$2*$A11,0)</f>
        <v>126</v>
      </c>
      <c r="P11">
        <f>IF(HUAWEI製ＰＣＳ接続枚数計算ツール!$M$109&gt;=枚数!$A11,P$2*$A11,0)</f>
        <v>135</v>
      </c>
      <c r="Q11">
        <f>IF(HUAWEI製ＰＣＳ接続枚数計算ツール!$M$109&gt;=枚数!$A11,Q$2*$A11,0)</f>
        <v>144</v>
      </c>
      <c r="R11">
        <f>IF(HUAWEI製ＰＣＳ接続枚数計算ツール!$M$109&gt;=枚数!$A11,R$2*$A11,0)</f>
        <v>153</v>
      </c>
      <c r="S11">
        <f>IF(HUAWEI製ＰＣＳ接続枚数計算ツール!$M$109&gt;=枚数!$A11,S$2*$A11,0)</f>
        <v>162</v>
      </c>
      <c r="T11">
        <f>IF(HUAWEI製ＰＣＳ接続枚数計算ツール!$M$109&gt;=枚数!$A11,T$2*$A11,0)</f>
        <v>171</v>
      </c>
      <c r="U11">
        <f>IF(HUAWEI製ＰＣＳ接続枚数計算ツール!$M$109&gt;=枚数!$A11,U$2*$A11,0)</f>
        <v>180</v>
      </c>
      <c r="V11">
        <f>IF(HUAWEI製ＰＣＳ接続枚数計算ツール!$M$109&gt;=枚数!$A11,V$2*$A11,0)</f>
        <v>189</v>
      </c>
      <c r="W11">
        <f>IF(HUAWEI製ＰＣＳ接続枚数計算ツール!$M$109&gt;=枚数!$A11,W$2*$A11,0)</f>
        <v>198</v>
      </c>
      <c r="X11">
        <f>IF(HUAWEI製ＰＣＳ接続枚数計算ツール!$M$109&gt;=枚数!$A11,X$2*$A11,0)</f>
        <v>207</v>
      </c>
      <c r="Y11">
        <f>IF(HUAWEI製ＰＣＳ接続枚数計算ツール!$M$109&gt;=枚数!$A11,Y$2*$A11,0)</f>
        <v>216</v>
      </c>
      <c r="Z11">
        <f>IF(HUAWEI製ＰＣＳ接続枚数計算ツール!$M$109&gt;=枚数!$A11,Z$2*$A11,0)</f>
        <v>225</v>
      </c>
      <c r="AA11">
        <f>IF(HUAWEI製ＰＣＳ接続枚数計算ツール!$M$109&gt;=枚数!$A11,AA$2*$A11,0)</f>
        <v>234</v>
      </c>
      <c r="AB11">
        <f>IF(HUAWEI製ＰＣＳ接続枚数計算ツール!$M$109&gt;=枚数!$A11,AB$2*$A11,0)</f>
        <v>243</v>
      </c>
      <c r="AC11">
        <f>IF(HUAWEI製ＰＣＳ接続枚数計算ツール!$M$109&gt;=枚数!$A11,AC$2*$A11,0)</f>
        <v>252</v>
      </c>
      <c r="AD11">
        <f>IF(HUAWEI製ＰＣＳ接続枚数計算ツール!$M$109&gt;=枚数!$A11,AD$2*$A11,0)</f>
        <v>261</v>
      </c>
      <c r="AE11">
        <f>IF(HUAWEI製ＰＣＳ接続枚数計算ツール!$M$109&gt;=枚数!$A11,AE$2*$A11,0)</f>
        <v>270</v>
      </c>
      <c r="AF11">
        <f>IF(HUAWEI製ＰＣＳ接続枚数計算ツール!$M$109&gt;=枚数!$A11,AF$2*$A11,0)</f>
        <v>279</v>
      </c>
      <c r="AG11">
        <f>IF(HUAWEI製ＰＣＳ接続枚数計算ツール!$M$109&gt;=枚数!$A11,AG$2*$A11,0)</f>
        <v>288</v>
      </c>
      <c r="AH11">
        <f>IF(HUAWEI製ＰＣＳ接続枚数計算ツール!$M$109&gt;=枚数!$A11,AH$2*$A11,0)</f>
        <v>297</v>
      </c>
      <c r="AI11">
        <f>IF(HUAWEI製ＰＣＳ接続枚数計算ツール!$M$109&gt;=枚数!$A11,AI$2*$A11,0)</f>
        <v>306</v>
      </c>
      <c r="AJ11">
        <f>IF(HUAWEI製ＰＣＳ接続枚数計算ツール!$M$109&gt;=枚数!$A11,AJ$2*$A11,0)</f>
        <v>315</v>
      </c>
      <c r="AK11">
        <f>IF(HUAWEI製ＰＣＳ接続枚数計算ツール!$M$109&gt;=枚数!$A11,AK$2*$A11,0)</f>
        <v>324</v>
      </c>
      <c r="AL11">
        <f>IF(HUAWEI製ＰＣＳ接続枚数計算ツール!$M$109&gt;=枚数!$A11,AL$2*$A11,0)</f>
        <v>333</v>
      </c>
      <c r="AM11">
        <f>IF(HUAWEI製ＰＣＳ接続枚数計算ツール!$M$109&gt;=枚数!$A11,AM$2*$A11,0)</f>
        <v>342</v>
      </c>
      <c r="AN11">
        <f>IF(HUAWEI製ＰＣＳ接続枚数計算ツール!$M$109&gt;=枚数!$A11,AN$2*$A11,0)</f>
        <v>351</v>
      </c>
      <c r="AO11">
        <f>IF(HUAWEI製ＰＣＳ接続枚数計算ツール!$M$109&gt;=枚数!$A11,AO$2*$A11,0)</f>
        <v>360</v>
      </c>
    </row>
    <row r="12" spans="1:41">
      <c r="A12">
        <v>10</v>
      </c>
      <c r="B12">
        <f>IF(HUAWEI製ＰＣＳ接続枚数計算ツール!$M$109&gt;=枚数!$A12,B$2*$A12,0)</f>
        <v>10</v>
      </c>
      <c r="C12">
        <f>IF(HUAWEI製ＰＣＳ接続枚数計算ツール!$M$109&gt;=枚数!$A12,C$2*$A12,0)</f>
        <v>20</v>
      </c>
      <c r="D12">
        <f>IF(HUAWEI製ＰＣＳ接続枚数計算ツール!$M$109&gt;=枚数!$A12,D$2*$A12,0)</f>
        <v>30</v>
      </c>
      <c r="E12">
        <f>IF(HUAWEI製ＰＣＳ接続枚数計算ツール!$M$109&gt;=枚数!$A12,E$2*$A12,0)</f>
        <v>40</v>
      </c>
      <c r="F12">
        <f>IF(HUAWEI製ＰＣＳ接続枚数計算ツール!$M$109&gt;=枚数!$A12,F$2*$A12,0)</f>
        <v>50</v>
      </c>
      <c r="G12">
        <f>IF(HUAWEI製ＰＣＳ接続枚数計算ツール!$M$109&gt;=枚数!$A12,G$2*$A12,0)</f>
        <v>60</v>
      </c>
      <c r="H12">
        <f>IF(HUAWEI製ＰＣＳ接続枚数計算ツール!$M$109&gt;=枚数!$A12,H$2*$A12,0)</f>
        <v>70</v>
      </c>
      <c r="I12">
        <f>IF(HUAWEI製ＰＣＳ接続枚数計算ツール!$M$109&gt;=枚数!$A12,I$2*$A12,0)</f>
        <v>80</v>
      </c>
      <c r="J12">
        <f>IF(HUAWEI製ＰＣＳ接続枚数計算ツール!$M$109&gt;=枚数!$A12,J$2*$A12,0)</f>
        <v>90</v>
      </c>
      <c r="K12">
        <f>IF(HUAWEI製ＰＣＳ接続枚数計算ツール!$M$109&gt;=枚数!$A12,K$2*$A12,0)</f>
        <v>100</v>
      </c>
      <c r="L12">
        <f>IF(HUAWEI製ＰＣＳ接続枚数計算ツール!$M$109&gt;=枚数!$A12,L$2*$A12,0)</f>
        <v>110</v>
      </c>
      <c r="M12">
        <f>IF(HUAWEI製ＰＣＳ接続枚数計算ツール!$M$109&gt;=枚数!$A12,M$2*$A12,0)</f>
        <v>120</v>
      </c>
      <c r="N12">
        <f>IF(HUAWEI製ＰＣＳ接続枚数計算ツール!$M$109&gt;=枚数!$A12,N$2*$A12,0)</f>
        <v>130</v>
      </c>
      <c r="O12">
        <f>IF(HUAWEI製ＰＣＳ接続枚数計算ツール!$M$109&gt;=枚数!$A12,O$2*$A12,0)</f>
        <v>140</v>
      </c>
      <c r="P12">
        <f>IF(HUAWEI製ＰＣＳ接続枚数計算ツール!$M$109&gt;=枚数!$A12,P$2*$A12,0)</f>
        <v>150</v>
      </c>
      <c r="Q12">
        <f>IF(HUAWEI製ＰＣＳ接続枚数計算ツール!$M$109&gt;=枚数!$A12,Q$2*$A12,0)</f>
        <v>160</v>
      </c>
      <c r="R12">
        <f>IF(HUAWEI製ＰＣＳ接続枚数計算ツール!$M$109&gt;=枚数!$A12,R$2*$A12,0)</f>
        <v>170</v>
      </c>
      <c r="S12">
        <f>IF(HUAWEI製ＰＣＳ接続枚数計算ツール!$M$109&gt;=枚数!$A12,S$2*$A12,0)</f>
        <v>180</v>
      </c>
      <c r="T12">
        <f>IF(HUAWEI製ＰＣＳ接続枚数計算ツール!$M$109&gt;=枚数!$A12,T$2*$A12,0)</f>
        <v>190</v>
      </c>
      <c r="U12">
        <f>IF(HUAWEI製ＰＣＳ接続枚数計算ツール!$M$109&gt;=枚数!$A12,U$2*$A12,0)</f>
        <v>200</v>
      </c>
      <c r="V12">
        <f>IF(HUAWEI製ＰＣＳ接続枚数計算ツール!$M$109&gt;=枚数!$A12,V$2*$A12,0)</f>
        <v>210</v>
      </c>
      <c r="W12">
        <f>IF(HUAWEI製ＰＣＳ接続枚数計算ツール!$M$109&gt;=枚数!$A12,W$2*$A12,0)</f>
        <v>220</v>
      </c>
      <c r="X12">
        <f>IF(HUAWEI製ＰＣＳ接続枚数計算ツール!$M$109&gt;=枚数!$A12,X$2*$A12,0)</f>
        <v>230</v>
      </c>
      <c r="Y12">
        <f>IF(HUAWEI製ＰＣＳ接続枚数計算ツール!$M$109&gt;=枚数!$A12,Y$2*$A12,0)</f>
        <v>240</v>
      </c>
      <c r="Z12">
        <f>IF(HUAWEI製ＰＣＳ接続枚数計算ツール!$M$109&gt;=枚数!$A12,Z$2*$A12,0)</f>
        <v>250</v>
      </c>
      <c r="AA12">
        <f>IF(HUAWEI製ＰＣＳ接続枚数計算ツール!$M$109&gt;=枚数!$A12,AA$2*$A12,0)</f>
        <v>260</v>
      </c>
      <c r="AB12">
        <f>IF(HUAWEI製ＰＣＳ接続枚数計算ツール!$M$109&gt;=枚数!$A12,AB$2*$A12,0)</f>
        <v>270</v>
      </c>
      <c r="AC12">
        <f>IF(HUAWEI製ＰＣＳ接続枚数計算ツール!$M$109&gt;=枚数!$A12,AC$2*$A12,0)</f>
        <v>280</v>
      </c>
      <c r="AD12">
        <f>IF(HUAWEI製ＰＣＳ接続枚数計算ツール!$M$109&gt;=枚数!$A12,AD$2*$A12,0)</f>
        <v>290</v>
      </c>
      <c r="AE12">
        <f>IF(HUAWEI製ＰＣＳ接続枚数計算ツール!$M$109&gt;=枚数!$A12,AE$2*$A12,0)</f>
        <v>300</v>
      </c>
      <c r="AF12">
        <f>IF(HUAWEI製ＰＣＳ接続枚数計算ツール!$M$109&gt;=枚数!$A12,AF$2*$A12,0)</f>
        <v>310</v>
      </c>
      <c r="AG12">
        <f>IF(HUAWEI製ＰＣＳ接続枚数計算ツール!$M$109&gt;=枚数!$A12,AG$2*$A12,0)</f>
        <v>320</v>
      </c>
      <c r="AH12">
        <f>IF(HUAWEI製ＰＣＳ接続枚数計算ツール!$M$109&gt;=枚数!$A12,AH$2*$A12,0)</f>
        <v>330</v>
      </c>
      <c r="AI12">
        <f>IF(HUAWEI製ＰＣＳ接続枚数計算ツール!$M$109&gt;=枚数!$A12,AI$2*$A12,0)</f>
        <v>340</v>
      </c>
      <c r="AJ12">
        <f>IF(HUAWEI製ＰＣＳ接続枚数計算ツール!$M$109&gt;=枚数!$A12,AJ$2*$A12,0)</f>
        <v>350</v>
      </c>
      <c r="AK12">
        <f>IF(HUAWEI製ＰＣＳ接続枚数計算ツール!$M$109&gt;=枚数!$A12,AK$2*$A12,0)</f>
        <v>360</v>
      </c>
      <c r="AL12">
        <f>IF(HUAWEI製ＰＣＳ接続枚数計算ツール!$M$109&gt;=枚数!$A12,AL$2*$A12,0)</f>
        <v>370</v>
      </c>
      <c r="AM12">
        <f>IF(HUAWEI製ＰＣＳ接続枚数計算ツール!$M$109&gt;=枚数!$A12,AM$2*$A12,0)</f>
        <v>380</v>
      </c>
      <c r="AN12">
        <f>IF(HUAWEI製ＰＣＳ接続枚数計算ツール!$M$109&gt;=枚数!$A12,AN$2*$A12,0)</f>
        <v>390</v>
      </c>
      <c r="AO12">
        <f>IF(HUAWEI製ＰＣＳ接続枚数計算ツール!$M$109&gt;=枚数!$A12,AO$2*$A12,0)</f>
        <v>400</v>
      </c>
    </row>
    <row r="13" spans="1:41">
      <c r="A13">
        <v>11</v>
      </c>
      <c r="B13">
        <f>IF(HUAWEI製ＰＣＳ接続枚数計算ツール!$M$109&gt;=枚数!$A13,B$2*$A13,0)</f>
        <v>11</v>
      </c>
      <c r="C13">
        <f>IF(HUAWEI製ＰＣＳ接続枚数計算ツール!$M$109&gt;=枚数!$A13,C$2*$A13,0)</f>
        <v>22</v>
      </c>
      <c r="D13">
        <f>IF(HUAWEI製ＰＣＳ接続枚数計算ツール!$M$109&gt;=枚数!$A13,D$2*$A13,0)</f>
        <v>33</v>
      </c>
      <c r="E13">
        <f>IF(HUAWEI製ＰＣＳ接続枚数計算ツール!$M$109&gt;=枚数!$A13,E$2*$A13,0)</f>
        <v>44</v>
      </c>
      <c r="F13">
        <f>IF(HUAWEI製ＰＣＳ接続枚数計算ツール!$M$109&gt;=枚数!$A13,F$2*$A13,0)</f>
        <v>55</v>
      </c>
      <c r="G13">
        <f>IF(HUAWEI製ＰＣＳ接続枚数計算ツール!$M$109&gt;=枚数!$A13,G$2*$A13,0)</f>
        <v>66</v>
      </c>
      <c r="H13">
        <f>IF(HUAWEI製ＰＣＳ接続枚数計算ツール!$M$109&gt;=枚数!$A13,H$2*$A13,0)</f>
        <v>77</v>
      </c>
      <c r="I13">
        <f>IF(HUAWEI製ＰＣＳ接続枚数計算ツール!$M$109&gt;=枚数!$A13,I$2*$A13,0)</f>
        <v>88</v>
      </c>
      <c r="J13">
        <f>IF(HUAWEI製ＰＣＳ接続枚数計算ツール!$M$109&gt;=枚数!$A13,J$2*$A13,0)</f>
        <v>99</v>
      </c>
      <c r="K13">
        <f>IF(HUAWEI製ＰＣＳ接続枚数計算ツール!$M$109&gt;=枚数!$A13,K$2*$A13,0)</f>
        <v>110</v>
      </c>
      <c r="L13">
        <f>IF(HUAWEI製ＰＣＳ接続枚数計算ツール!$M$109&gt;=枚数!$A13,L$2*$A13,0)</f>
        <v>121</v>
      </c>
      <c r="M13">
        <f>IF(HUAWEI製ＰＣＳ接続枚数計算ツール!$M$109&gt;=枚数!$A13,M$2*$A13,0)</f>
        <v>132</v>
      </c>
      <c r="N13">
        <f>IF(HUAWEI製ＰＣＳ接続枚数計算ツール!$M$109&gt;=枚数!$A13,N$2*$A13,0)</f>
        <v>143</v>
      </c>
      <c r="O13">
        <f>IF(HUAWEI製ＰＣＳ接続枚数計算ツール!$M$109&gt;=枚数!$A13,O$2*$A13,0)</f>
        <v>154</v>
      </c>
      <c r="P13">
        <f>IF(HUAWEI製ＰＣＳ接続枚数計算ツール!$M$109&gt;=枚数!$A13,P$2*$A13,0)</f>
        <v>165</v>
      </c>
      <c r="Q13">
        <f>IF(HUAWEI製ＰＣＳ接続枚数計算ツール!$M$109&gt;=枚数!$A13,Q$2*$A13,0)</f>
        <v>176</v>
      </c>
      <c r="R13">
        <f>IF(HUAWEI製ＰＣＳ接続枚数計算ツール!$M$109&gt;=枚数!$A13,R$2*$A13,0)</f>
        <v>187</v>
      </c>
      <c r="S13">
        <f>IF(HUAWEI製ＰＣＳ接続枚数計算ツール!$M$109&gt;=枚数!$A13,S$2*$A13,0)</f>
        <v>198</v>
      </c>
      <c r="T13">
        <f>IF(HUAWEI製ＰＣＳ接続枚数計算ツール!$M$109&gt;=枚数!$A13,T$2*$A13,0)</f>
        <v>209</v>
      </c>
      <c r="U13">
        <f>IF(HUAWEI製ＰＣＳ接続枚数計算ツール!$M$109&gt;=枚数!$A13,U$2*$A13,0)</f>
        <v>220</v>
      </c>
      <c r="V13">
        <f>IF(HUAWEI製ＰＣＳ接続枚数計算ツール!$M$109&gt;=枚数!$A13,V$2*$A13,0)</f>
        <v>231</v>
      </c>
      <c r="W13">
        <f>IF(HUAWEI製ＰＣＳ接続枚数計算ツール!$M$109&gt;=枚数!$A13,W$2*$A13,0)</f>
        <v>242</v>
      </c>
      <c r="X13">
        <f>IF(HUAWEI製ＰＣＳ接続枚数計算ツール!$M$109&gt;=枚数!$A13,X$2*$A13,0)</f>
        <v>253</v>
      </c>
      <c r="Y13">
        <f>IF(HUAWEI製ＰＣＳ接続枚数計算ツール!$M$109&gt;=枚数!$A13,Y$2*$A13,0)</f>
        <v>264</v>
      </c>
      <c r="Z13">
        <f>IF(HUAWEI製ＰＣＳ接続枚数計算ツール!$M$109&gt;=枚数!$A13,Z$2*$A13,0)</f>
        <v>275</v>
      </c>
      <c r="AA13">
        <f>IF(HUAWEI製ＰＣＳ接続枚数計算ツール!$M$109&gt;=枚数!$A13,AA$2*$A13,0)</f>
        <v>286</v>
      </c>
      <c r="AB13">
        <f>IF(HUAWEI製ＰＣＳ接続枚数計算ツール!$M$109&gt;=枚数!$A13,AB$2*$A13,0)</f>
        <v>297</v>
      </c>
      <c r="AC13">
        <f>IF(HUAWEI製ＰＣＳ接続枚数計算ツール!$M$109&gt;=枚数!$A13,AC$2*$A13,0)</f>
        <v>308</v>
      </c>
      <c r="AD13">
        <f>IF(HUAWEI製ＰＣＳ接続枚数計算ツール!$M$109&gt;=枚数!$A13,AD$2*$A13,0)</f>
        <v>319</v>
      </c>
      <c r="AE13">
        <f>IF(HUAWEI製ＰＣＳ接続枚数計算ツール!$M$109&gt;=枚数!$A13,AE$2*$A13,0)</f>
        <v>330</v>
      </c>
      <c r="AF13">
        <f>IF(HUAWEI製ＰＣＳ接続枚数計算ツール!$M$109&gt;=枚数!$A13,AF$2*$A13,0)</f>
        <v>341</v>
      </c>
      <c r="AG13">
        <f>IF(HUAWEI製ＰＣＳ接続枚数計算ツール!$M$109&gt;=枚数!$A13,AG$2*$A13,0)</f>
        <v>352</v>
      </c>
      <c r="AH13">
        <f>IF(HUAWEI製ＰＣＳ接続枚数計算ツール!$M$109&gt;=枚数!$A13,AH$2*$A13,0)</f>
        <v>363</v>
      </c>
      <c r="AI13">
        <f>IF(HUAWEI製ＰＣＳ接続枚数計算ツール!$M$109&gt;=枚数!$A13,AI$2*$A13,0)</f>
        <v>374</v>
      </c>
      <c r="AJ13">
        <f>IF(HUAWEI製ＰＣＳ接続枚数計算ツール!$M$109&gt;=枚数!$A13,AJ$2*$A13,0)</f>
        <v>385</v>
      </c>
      <c r="AK13">
        <f>IF(HUAWEI製ＰＣＳ接続枚数計算ツール!$M$109&gt;=枚数!$A13,AK$2*$A13,0)</f>
        <v>396</v>
      </c>
      <c r="AL13">
        <f>IF(HUAWEI製ＰＣＳ接続枚数計算ツール!$M$109&gt;=枚数!$A13,AL$2*$A13,0)</f>
        <v>407</v>
      </c>
      <c r="AM13">
        <f>IF(HUAWEI製ＰＣＳ接続枚数計算ツール!$M$109&gt;=枚数!$A13,AM$2*$A13,0)</f>
        <v>418</v>
      </c>
      <c r="AN13">
        <f>IF(HUAWEI製ＰＣＳ接続枚数計算ツール!$M$109&gt;=枚数!$A13,AN$2*$A13,0)</f>
        <v>429</v>
      </c>
      <c r="AO13">
        <f>IF(HUAWEI製ＰＣＳ接続枚数計算ツール!$M$109&gt;=枚数!$A13,AO$2*$A13,0)</f>
        <v>440</v>
      </c>
    </row>
    <row r="14" spans="1:41">
      <c r="A14">
        <v>12</v>
      </c>
      <c r="B14">
        <f>IF(HUAWEI製ＰＣＳ接続枚数計算ツール!$M$109&gt;=枚数!$A14,B$2*$A14,0)</f>
        <v>12</v>
      </c>
      <c r="C14">
        <f>IF(HUAWEI製ＰＣＳ接続枚数計算ツール!$M$109&gt;=枚数!$A14,C$2*$A14,0)</f>
        <v>24</v>
      </c>
      <c r="D14">
        <f>IF(HUAWEI製ＰＣＳ接続枚数計算ツール!$M$109&gt;=枚数!$A14,D$2*$A14,0)</f>
        <v>36</v>
      </c>
      <c r="E14">
        <f>IF(HUAWEI製ＰＣＳ接続枚数計算ツール!$M$109&gt;=枚数!$A14,E$2*$A14,0)</f>
        <v>48</v>
      </c>
      <c r="F14">
        <f>IF(HUAWEI製ＰＣＳ接続枚数計算ツール!$M$109&gt;=枚数!$A14,F$2*$A14,0)</f>
        <v>60</v>
      </c>
      <c r="G14">
        <f>IF(HUAWEI製ＰＣＳ接続枚数計算ツール!$M$109&gt;=枚数!$A14,G$2*$A14,0)</f>
        <v>72</v>
      </c>
      <c r="H14">
        <f>IF(HUAWEI製ＰＣＳ接続枚数計算ツール!$M$109&gt;=枚数!$A14,H$2*$A14,0)</f>
        <v>84</v>
      </c>
      <c r="I14">
        <f>IF(HUAWEI製ＰＣＳ接続枚数計算ツール!$M$109&gt;=枚数!$A14,I$2*$A14,0)</f>
        <v>96</v>
      </c>
      <c r="J14">
        <f>IF(HUAWEI製ＰＣＳ接続枚数計算ツール!$M$109&gt;=枚数!$A14,J$2*$A14,0)</f>
        <v>108</v>
      </c>
      <c r="K14">
        <f>IF(HUAWEI製ＰＣＳ接続枚数計算ツール!$M$109&gt;=枚数!$A14,K$2*$A14,0)</f>
        <v>120</v>
      </c>
      <c r="L14">
        <f>IF(HUAWEI製ＰＣＳ接続枚数計算ツール!$M$109&gt;=枚数!$A14,L$2*$A14,0)</f>
        <v>132</v>
      </c>
      <c r="M14">
        <f>IF(HUAWEI製ＰＣＳ接続枚数計算ツール!$M$109&gt;=枚数!$A14,M$2*$A14,0)</f>
        <v>144</v>
      </c>
      <c r="N14">
        <f>IF(HUAWEI製ＰＣＳ接続枚数計算ツール!$M$109&gt;=枚数!$A14,N$2*$A14,0)</f>
        <v>156</v>
      </c>
      <c r="O14">
        <f>IF(HUAWEI製ＰＣＳ接続枚数計算ツール!$M$109&gt;=枚数!$A14,O$2*$A14,0)</f>
        <v>168</v>
      </c>
      <c r="P14">
        <f>IF(HUAWEI製ＰＣＳ接続枚数計算ツール!$M$109&gt;=枚数!$A14,P$2*$A14,0)</f>
        <v>180</v>
      </c>
      <c r="Q14">
        <f>IF(HUAWEI製ＰＣＳ接続枚数計算ツール!$M$109&gt;=枚数!$A14,Q$2*$A14,0)</f>
        <v>192</v>
      </c>
      <c r="R14">
        <f>IF(HUAWEI製ＰＣＳ接続枚数計算ツール!$M$109&gt;=枚数!$A14,R$2*$A14,0)</f>
        <v>204</v>
      </c>
      <c r="S14">
        <f>IF(HUAWEI製ＰＣＳ接続枚数計算ツール!$M$109&gt;=枚数!$A14,S$2*$A14,0)</f>
        <v>216</v>
      </c>
      <c r="T14">
        <f>IF(HUAWEI製ＰＣＳ接続枚数計算ツール!$M$109&gt;=枚数!$A14,T$2*$A14,0)</f>
        <v>228</v>
      </c>
      <c r="U14">
        <f>IF(HUAWEI製ＰＣＳ接続枚数計算ツール!$M$109&gt;=枚数!$A14,U$2*$A14,0)</f>
        <v>240</v>
      </c>
      <c r="V14">
        <f>IF(HUAWEI製ＰＣＳ接続枚数計算ツール!$M$109&gt;=枚数!$A14,V$2*$A14,0)</f>
        <v>252</v>
      </c>
      <c r="W14">
        <f>IF(HUAWEI製ＰＣＳ接続枚数計算ツール!$M$109&gt;=枚数!$A14,W$2*$A14,0)</f>
        <v>264</v>
      </c>
      <c r="X14">
        <f>IF(HUAWEI製ＰＣＳ接続枚数計算ツール!$M$109&gt;=枚数!$A14,X$2*$A14,0)</f>
        <v>276</v>
      </c>
      <c r="Y14">
        <f>IF(HUAWEI製ＰＣＳ接続枚数計算ツール!$M$109&gt;=枚数!$A14,Y$2*$A14,0)</f>
        <v>288</v>
      </c>
      <c r="Z14">
        <f>IF(HUAWEI製ＰＣＳ接続枚数計算ツール!$M$109&gt;=枚数!$A14,Z$2*$A14,0)</f>
        <v>300</v>
      </c>
      <c r="AA14">
        <f>IF(HUAWEI製ＰＣＳ接続枚数計算ツール!$M$109&gt;=枚数!$A14,AA$2*$A14,0)</f>
        <v>312</v>
      </c>
      <c r="AB14">
        <f>IF(HUAWEI製ＰＣＳ接続枚数計算ツール!$M$109&gt;=枚数!$A14,AB$2*$A14,0)</f>
        <v>324</v>
      </c>
      <c r="AC14">
        <f>IF(HUAWEI製ＰＣＳ接続枚数計算ツール!$M$109&gt;=枚数!$A14,AC$2*$A14,0)</f>
        <v>336</v>
      </c>
      <c r="AD14">
        <f>IF(HUAWEI製ＰＣＳ接続枚数計算ツール!$M$109&gt;=枚数!$A14,AD$2*$A14,0)</f>
        <v>348</v>
      </c>
      <c r="AE14">
        <f>IF(HUAWEI製ＰＣＳ接続枚数計算ツール!$M$109&gt;=枚数!$A14,AE$2*$A14,0)</f>
        <v>360</v>
      </c>
      <c r="AF14">
        <f>IF(HUAWEI製ＰＣＳ接続枚数計算ツール!$M$109&gt;=枚数!$A14,AF$2*$A14,0)</f>
        <v>372</v>
      </c>
      <c r="AG14">
        <f>IF(HUAWEI製ＰＣＳ接続枚数計算ツール!$M$109&gt;=枚数!$A14,AG$2*$A14,0)</f>
        <v>384</v>
      </c>
      <c r="AH14">
        <f>IF(HUAWEI製ＰＣＳ接続枚数計算ツール!$M$109&gt;=枚数!$A14,AH$2*$A14,0)</f>
        <v>396</v>
      </c>
      <c r="AI14">
        <f>IF(HUAWEI製ＰＣＳ接続枚数計算ツール!$M$109&gt;=枚数!$A14,AI$2*$A14,0)</f>
        <v>408</v>
      </c>
      <c r="AJ14">
        <f>IF(HUAWEI製ＰＣＳ接続枚数計算ツール!$M$109&gt;=枚数!$A14,AJ$2*$A14,0)</f>
        <v>420</v>
      </c>
      <c r="AK14">
        <f>IF(HUAWEI製ＰＣＳ接続枚数計算ツール!$M$109&gt;=枚数!$A14,AK$2*$A14,0)</f>
        <v>432</v>
      </c>
      <c r="AL14">
        <f>IF(HUAWEI製ＰＣＳ接続枚数計算ツール!$M$109&gt;=枚数!$A14,AL$2*$A14,0)</f>
        <v>444</v>
      </c>
      <c r="AM14">
        <f>IF(HUAWEI製ＰＣＳ接続枚数計算ツール!$M$109&gt;=枚数!$A14,AM$2*$A14,0)</f>
        <v>456</v>
      </c>
      <c r="AN14">
        <f>IF(HUAWEI製ＰＣＳ接続枚数計算ツール!$M$109&gt;=枚数!$A14,AN$2*$A14,0)</f>
        <v>468</v>
      </c>
      <c r="AO14">
        <f>IF(HUAWEI製ＰＣＳ接続枚数計算ツール!$M$109&gt;=枚数!$A14,AO$2*$A14,0)</f>
        <v>480</v>
      </c>
    </row>
    <row r="15" spans="1:41">
      <c r="A15">
        <v>13</v>
      </c>
      <c r="B15">
        <f>IF(HUAWEI製ＰＣＳ接続枚数計算ツール!$M$109&gt;=枚数!$A15,B$2*$A15,0)</f>
        <v>13</v>
      </c>
      <c r="C15">
        <f>IF(HUAWEI製ＰＣＳ接続枚数計算ツール!$M$109&gt;=枚数!$A15,C$2*$A15,0)</f>
        <v>26</v>
      </c>
      <c r="D15">
        <f>IF(HUAWEI製ＰＣＳ接続枚数計算ツール!$M$109&gt;=枚数!$A15,D$2*$A15,0)</f>
        <v>39</v>
      </c>
      <c r="E15">
        <f>IF(HUAWEI製ＰＣＳ接続枚数計算ツール!$M$109&gt;=枚数!$A15,E$2*$A15,0)</f>
        <v>52</v>
      </c>
      <c r="F15">
        <f>IF(HUAWEI製ＰＣＳ接続枚数計算ツール!$M$109&gt;=枚数!$A15,F$2*$A15,0)</f>
        <v>65</v>
      </c>
      <c r="G15">
        <f>IF(HUAWEI製ＰＣＳ接続枚数計算ツール!$M$109&gt;=枚数!$A15,G$2*$A15,0)</f>
        <v>78</v>
      </c>
      <c r="H15">
        <f>IF(HUAWEI製ＰＣＳ接続枚数計算ツール!$M$109&gt;=枚数!$A15,H$2*$A15,0)</f>
        <v>91</v>
      </c>
      <c r="I15">
        <f>IF(HUAWEI製ＰＣＳ接続枚数計算ツール!$M$109&gt;=枚数!$A15,I$2*$A15,0)</f>
        <v>104</v>
      </c>
      <c r="J15">
        <f>IF(HUAWEI製ＰＣＳ接続枚数計算ツール!$M$109&gt;=枚数!$A15,J$2*$A15,0)</f>
        <v>117</v>
      </c>
      <c r="K15">
        <f>IF(HUAWEI製ＰＣＳ接続枚数計算ツール!$M$109&gt;=枚数!$A15,K$2*$A15,0)</f>
        <v>130</v>
      </c>
      <c r="L15">
        <f>IF(HUAWEI製ＰＣＳ接続枚数計算ツール!$M$109&gt;=枚数!$A15,L$2*$A15,0)</f>
        <v>143</v>
      </c>
      <c r="M15">
        <f>IF(HUAWEI製ＰＣＳ接続枚数計算ツール!$M$109&gt;=枚数!$A15,M$2*$A15,0)</f>
        <v>156</v>
      </c>
      <c r="N15">
        <f>IF(HUAWEI製ＰＣＳ接続枚数計算ツール!$M$109&gt;=枚数!$A15,N$2*$A15,0)</f>
        <v>169</v>
      </c>
      <c r="O15">
        <f>IF(HUAWEI製ＰＣＳ接続枚数計算ツール!$M$109&gt;=枚数!$A15,O$2*$A15,0)</f>
        <v>182</v>
      </c>
      <c r="P15">
        <f>IF(HUAWEI製ＰＣＳ接続枚数計算ツール!$M$109&gt;=枚数!$A15,P$2*$A15,0)</f>
        <v>195</v>
      </c>
      <c r="Q15">
        <f>IF(HUAWEI製ＰＣＳ接続枚数計算ツール!$M$109&gt;=枚数!$A15,Q$2*$A15,0)</f>
        <v>208</v>
      </c>
      <c r="R15">
        <f>IF(HUAWEI製ＰＣＳ接続枚数計算ツール!$M$109&gt;=枚数!$A15,R$2*$A15,0)</f>
        <v>221</v>
      </c>
      <c r="S15">
        <f>IF(HUAWEI製ＰＣＳ接続枚数計算ツール!$M$109&gt;=枚数!$A15,S$2*$A15,0)</f>
        <v>234</v>
      </c>
      <c r="T15">
        <f>IF(HUAWEI製ＰＣＳ接続枚数計算ツール!$M$109&gt;=枚数!$A15,T$2*$A15,0)</f>
        <v>247</v>
      </c>
      <c r="U15">
        <f>IF(HUAWEI製ＰＣＳ接続枚数計算ツール!$M$109&gt;=枚数!$A15,U$2*$A15,0)</f>
        <v>260</v>
      </c>
      <c r="V15">
        <f>IF(HUAWEI製ＰＣＳ接続枚数計算ツール!$M$109&gt;=枚数!$A15,V$2*$A15,0)</f>
        <v>273</v>
      </c>
      <c r="W15">
        <f>IF(HUAWEI製ＰＣＳ接続枚数計算ツール!$M$109&gt;=枚数!$A15,W$2*$A15,0)</f>
        <v>286</v>
      </c>
      <c r="X15">
        <f>IF(HUAWEI製ＰＣＳ接続枚数計算ツール!$M$109&gt;=枚数!$A15,X$2*$A15,0)</f>
        <v>299</v>
      </c>
      <c r="Y15">
        <f>IF(HUAWEI製ＰＣＳ接続枚数計算ツール!$M$109&gt;=枚数!$A15,Y$2*$A15,0)</f>
        <v>312</v>
      </c>
      <c r="Z15">
        <f>IF(HUAWEI製ＰＣＳ接続枚数計算ツール!$M$109&gt;=枚数!$A15,Z$2*$A15,0)</f>
        <v>325</v>
      </c>
      <c r="AA15">
        <f>IF(HUAWEI製ＰＣＳ接続枚数計算ツール!$M$109&gt;=枚数!$A15,AA$2*$A15,0)</f>
        <v>338</v>
      </c>
      <c r="AB15">
        <f>IF(HUAWEI製ＰＣＳ接続枚数計算ツール!$M$109&gt;=枚数!$A15,AB$2*$A15,0)</f>
        <v>351</v>
      </c>
      <c r="AC15">
        <f>IF(HUAWEI製ＰＣＳ接続枚数計算ツール!$M$109&gt;=枚数!$A15,AC$2*$A15,0)</f>
        <v>364</v>
      </c>
      <c r="AD15">
        <f>IF(HUAWEI製ＰＣＳ接続枚数計算ツール!$M$109&gt;=枚数!$A15,AD$2*$A15,0)</f>
        <v>377</v>
      </c>
      <c r="AE15">
        <f>IF(HUAWEI製ＰＣＳ接続枚数計算ツール!$M$109&gt;=枚数!$A15,AE$2*$A15,0)</f>
        <v>390</v>
      </c>
      <c r="AF15">
        <f>IF(HUAWEI製ＰＣＳ接続枚数計算ツール!$M$109&gt;=枚数!$A15,AF$2*$A15,0)</f>
        <v>403</v>
      </c>
      <c r="AG15">
        <f>IF(HUAWEI製ＰＣＳ接続枚数計算ツール!$M$109&gt;=枚数!$A15,AG$2*$A15,0)</f>
        <v>416</v>
      </c>
      <c r="AH15">
        <f>IF(HUAWEI製ＰＣＳ接続枚数計算ツール!$M$109&gt;=枚数!$A15,AH$2*$A15,0)</f>
        <v>429</v>
      </c>
      <c r="AI15">
        <f>IF(HUAWEI製ＰＣＳ接続枚数計算ツール!$M$109&gt;=枚数!$A15,AI$2*$A15,0)</f>
        <v>442</v>
      </c>
      <c r="AJ15">
        <f>IF(HUAWEI製ＰＣＳ接続枚数計算ツール!$M$109&gt;=枚数!$A15,AJ$2*$A15,0)</f>
        <v>455</v>
      </c>
      <c r="AK15">
        <f>IF(HUAWEI製ＰＣＳ接続枚数計算ツール!$M$109&gt;=枚数!$A15,AK$2*$A15,0)</f>
        <v>468</v>
      </c>
      <c r="AL15">
        <f>IF(HUAWEI製ＰＣＳ接続枚数計算ツール!$M$109&gt;=枚数!$A15,AL$2*$A15,0)</f>
        <v>481</v>
      </c>
      <c r="AM15">
        <f>IF(HUAWEI製ＰＣＳ接続枚数計算ツール!$M$109&gt;=枚数!$A15,AM$2*$A15,0)</f>
        <v>494</v>
      </c>
      <c r="AN15">
        <f>IF(HUAWEI製ＰＣＳ接続枚数計算ツール!$M$109&gt;=枚数!$A15,AN$2*$A15,0)</f>
        <v>507</v>
      </c>
      <c r="AO15">
        <f>IF(HUAWEI製ＰＣＳ接続枚数計算ツール!$M$109&gt;=枚数!$A15,AO$2*$A15,0)</f>
        <v>520</v>
      </c>
    </row>
    <row r="16" spans="1:41">
      <c r="A16">
        <v>14</v>
      </c>
      <c r="B16">
        <f>IF(HUAWEI製ＰＣＳ接続枚数計算ツール!$M$109&gt;=枚数!$A16,B$2*$A16,0)</f>
        <v>14</v>
      </c>
      <c r="C16">
        <f>IF(HUAWEI製ＰＣＳ接続枚数計算ツール!$M$109&gt;=枚数!$A16,C$2*$A16,0)</f>
        <v>28</v>
      </c>
      <c r="D16">
        <f>IF(HUAWEI製ＰＣＳ接続枚数計算ツール!$M$109&gt;=枚数!$A16,D$2*$A16,0)</f>
        <v>42</v>
      </c>
      <c r="E16">
        <f>IF(HUAWEI製ＰＣＳ接続枚数計算ツール!$M$109&gt;=枚数!$A16,E$2*$A16,0)</f>
        <v>56</v>
      </c>
      <c r="F16">
        <f>IF(HUAWEI製ＰＣＳ接続枚数計算ツール!$M$109&gt;=枚数!$A16,F$2*$A16,0)</f>
        <v>70</v>
      </c>
      <c r="G16">
        <f>IF(HUAWEI製ＰＣＳ接続枚数計算ツール!$M$109&gt;=枚数!$A16,G$2*$A16,0)</f>
        <v>84</v>
      </c>
      <c r="H16">
        <f>IF(HUAWEI製ＰＣＳ接続枚数計算ツール!$M$109&gt;=枚数!$A16,H$2*$A16,0)</f>
        <v>98</v>
      </c>
      <c r="I16">
        <f>IF(HUAWEI製ＰＣＳ接続枚数計算ツール!$M$109&gt;=枚数!$A16,I$2*$A16,0)</f>
        <v>112</v>
      </c>
      <c r="J16">
        <f>IF(HUAWEI製ＰＣＳ接続枚数計算ツール!$M$109&gt;=枚数!$A16,J$2*$A16,0)</f>
        <v>126</v>
      </c>
      <c r="K16">
        <f>IF(HUAWEI製ＰＣＳ接続枚数計算ツール!$M$109&gt;=枚数!$A16,K$2*$A16,0)</f>
        <v>140</v>
      </c>
      <c r="L16">
        <f>IF(HUAWEI製ＰＣＳ接続枚数計算ツール!$M$109&gt;=枚数!$A16,L$2*$A16,0)</f>
        <v>154</v>
      </c>
      <c r="M16">
        <f>IF(HUAWEI製ＰＣＳ接続枚数計算ツール!$M$109&gt;=枚数!$A16,M$2*$A16,0)</f>
        <v>168</v>
      </c>
      <c r="N16">
        <f>IF(HUAWEI製ＰＣＳ接続枚数計算ツール!$M$109&gt;=枚数!$A16,N$2*$A16,0)</f>
        <v>182</v>
      </c>
      <c r="O16">
        <f>IF(HUAWEI製ＰＣＳ接続枚数計算ツール!$M$109&gt;=枚数!$A16,O$2*$A16,0)</f>
        <v>196</v>
      </c>
      <c r="P16">
        <f>IF(HUAWEI製ＰＣＳ接続枚数計算ツール!$M$109&gt;=枚数!$A16,P$2*$A16,0)</f>
        <v>210</v>
      </c>
      <c r="Q16">
        <f>IF(HUAWEI製ＰＣＳ接続枚数計算ツール!$M$109&gt;=枚数!$A16,Q$2*$A16,0)</f>
        <v>224</v>
      </c>
      <c r="R16">
        <f>IF(HUAWEI製ＰＣＳ接続枚数計算ツール!$M$109&gt;=枚数!$A16,R$2*$A16,0)</f>
        <v>238</v>
      </c>
      <c r="S16">
        <f>IF(HUAWEI製ＰＣＳ接続枚数計算ツール!$M$109&gt;=枚数!$A16,S$2*$A16,0)</f>
        <v>252</v>
      </c>
      <c r="T16">
        <f>IF(HUAWEI製ＰＣＳ接続枚数計算ツール!$M$109&gt;=枚数!$A16,T$2*$A16,0)</f>
        <v>266</v>
      </c>
      <c r="U16">
        <f>IF(HUAWEI製ＰＣＳ接続枚数計算ツール!$M$109&gt;=枚数!$A16,U$2*$A16,0)</f>
        <v>280</v>
      </c>
      <c r="V16">
        <f>IF(HUAWEI製ＰＣＳ接続枚数計算ツール!$M$109&gt;=枚数!$A16,V$2*$A16,0)</f>
        <v>294</v>
      </c>
      <c r="W16">
        <f>IF(HUAWEI製ＰＣＳ接続枚数計算ツール!$M$109&gt;=枚数!$A16,W$2*$A16,0)</f>
        <v>308</v>
      </c>
      <c r="X16">
        <f>IF(HUAWEI製ＰＣＳ接続枚数計算ツール!$M$109&gt;=枚数!$A16,X$2*$A16,0)</f>
        <v>322</v>
      </c>
      <c r="Y16">
        <f>IF(HUAWEI製ＰＣＳ接続枚数計算ツール!$M$109&gt;=枚数!$A16,Y$2*$A16,0)</f>
        <v>336</v>
      </c>
      <c r="Z16">
        <f>IF(HUAWEI製ＰＣＳ接続枚数計算ツール!$M$109&gt;=枚数!$A16,Z$2*$A16,0)</f>
        <v>350</v>
      </c>
      <c r="AA16">
        <f>IF(HUAWEI製ＰＣＳ接続枚数計算ツール!$M$109&gt;=枚数!$A16,AA$2*$A16,0)</f>
        <v>364</v>
      </c>
      <c r="AB16">
        <f>IF(HUAWEI製ＰＣＳ接続枚数計算ツール!$M$109&gt;=枚数!$A16,AB$2*$A16,0)</f>
        <v>378</v>
      </c>
      <c r="AC16">
        <f>IF(HUAWEI製ＰＣＳ接続枚数計算ツール!$M$109&gt;=枚数!$A16,AC$2*$A16,0)</f>
        <v>392</v>
      </c>
      <c r="AD16">
        <f>IF(HUAWEI製ＰＣＳ接続枚数計算ツール!$M$109&gt;=枚数!$A16,AD$2*$A16,0)</f>
        <v>406</v>
      </c>
      <c r="AE16">
        <f>IF(HUAWEI製ＰＣＳ接続枚数計算ツール!$M$109&gt;=枚数!$A16,AE$2*$A16,0)</f>
        <v>420</v>
      </c>
      <c r="AF16">
        <f>IF(HUAWEI製ＰＣＳ接続枚数計算ツール!$M$109&gt;=枚数!$A16,AF$2*$A16,0)</f>
        <v>434</v>
      </c>
      <c r="AG16">
        <f>IF(HUAWEI製ＰＣＳ接続枚数計算ツール!$M$109&gt;=枚数!$A16,AG$2*$A16,0)</f>
        <v>448</v>
      </c>
      <c r="AH16">
        <f>IF(HUAWEI製ＰＣＳ接続枚数計算ツール!$M$109&gt;=枚数!$A16,AH$2*$A16,0)</f>
        <v>462</v>
      </c>
      <c r="AI16">
        <f>IF(HUAWEI製ＰＣＳ接続枚数計算ツール!$M$109&gt;=枚数!$A16,AI$2*$A16,0)</f>
        <v>476</v>
      </c>
      <c r="AJ16">
        <f>IF(HUAWEI製ＰＣＳ接続枚数計算ツール!$M$109&gt;=枚数!$A16,AJ$2*$A16,0)</f>
        <v>490</v>
      </c>
      <c r="AK16">
        <f>IF(HUAWEI製ＰＣＳ接続枚数計算ツール!$M$109&gt;=枚数!$A16,AK$2*$A16,0)</f>
        <v>504</v>
      </c>
      <c r="AL16">
        <f>IF(HUAWEI製ＰＣＳ接続枚数計算ツール!$M$109&gt;=枚数!$A16,AL$2*$A16,0)</f>
        <v>518</v>
      </c>
      <c r="AM16">
        <f>IF(HUAWEI製ＰＣＳ接続枚数計算ツール!$M$109&gt;=枚数!$A16,AM$2*$A16,0)</f>
        <v>532</v>
      </c>
      <c r="AN16">
        <f>IF(HUAWEI製ＰＣＳ接続枚数計算ツール!$M$109&gt;=枚数!$A16,AN$2*$A16,0)</f>
        <v>546</v>
      </c>
      <c r="AO16">
        <f>IF(HUAWEI製ＰＣＳ接続枚数計算ツール!$M$109&gt;=枚数!$A16,AO$2*$A16,0)</f>
        <v>560</v>
      </c>
    </row>
    <row r="17" spans="1:41">
      <c r="A17">
        <v>15</v>
      </c>
      <c r="B17">
        <f>IF(HUAWEI製ＰＣＳ接続枚数計算ツール!$M$109&gt;=枚数!$A17,B$2*$A17,0)</f>
        <v>15</v>
      </c>
      <c r="C17">
        <f>IF(HUAWEI製ＰＣＳ接続枚数計算ツール!$M$109&gt;=枚数!$A17,C$2*$A17,0)</f>
        <v>30</v>
      </c>
      <c r="D17">
        <f>IF(HUAWEI製ＰＣＳ接続枚数計算ツール!$M$109&gt;=枚数!$A17,D$2*$A17,0)</f>
        <v>45</v>
      </c>
      <c r="E17">
        <f>IF(HUAWEI製ＰＣＳ接続枚数計算ツール!$M$109&gt;=枚数!$A17,E$2*$A17,0)</f>
        <v>60</v>
      </c>
      <c r="F17">
        <f>IF(HUAWEI製ＰＣＳ接続枚数計算ツール!$M$109&gt;=枚数!$A17,F$2*$A17,0)</f>
        <v>75</v>
      </c>
      <c r="G17">
        <f>IF(HUAWEI製ＰＣＳ接続枚数計算ツール!$M$109&gt;=枚数!$A17,G$2*$A17,0)</f>
        <v>90</v>
      </c>
      <c r="H17">
        <f>IF(HUAWEI製ＰＣＳ接続枚数計算ツール!$M$109&gt;=枚数!$A17,H$2*$A17,0)</f>
        <v>105</v>
      </c>
      <c r="I17">
        <f>IF(HUAWEI製ＰＣＳ接続枚数計算ツール!$M$109&gt;=枚数!$A17,I$2*$A17,0)</f>
        <v>120</v>
      </c>
      <c r="J17">
        <f>IF(HUAWEI製ＰＣＳ接続枚数計算ツール!$M$109&gt;=枚数!$A17,J$2*$A17,0)</f>
        <v>135</v>
      </c>
      <c r="K17">
        <f>IF(HUAWEI製ＰＣＳ接続枚数計算ツール!$M$109&gt;=枚数!$A17,K$2*$A17,0)</f>
        <v>150</v>
      </c>
      <c r="L17">
        <f>IF(HUAWEI製ＰＣＳ接続枚数計算ツール!$M$109&gt;=枚数!$A17,L$2*$A17,0)</f>
        <v>165</v>
      </c>
      <c r="M17">
        <f>IF(HUAWEI製ＰＣＳ接続枚数計算ツール!$M$109&gt;=枚数!$A17,M$2*$A17,0)</f>
        <v>180</v>
      </c>
      <c r="N17">
        <f>IF(HUAWEI製ＰＣＳ接続枚数計算ツール!$M$109&gt;=枚数!$A17,N$2*$A17,0)</f>
        <v>195</v>
      </c>
      <c r="O17">
        <f>IF(HUAWEI製ＰＣＳ接続枚数計算ツール!$M$109&gt;=枚数!$A17,O$2*$A17,0)</f>
        <v>210</v>
      </c>
      <c r="P17">
        <f>IF(HUAWEI製ＰＣＳ接続枚数計算ツール!$M$109&gt;=枚数!$A17,P$2*$A17,0)</f>
        <v>225</v>
      </c>
      <c r="Q17">
        <f>IF(HUAWEI製ＰＣＳ接続枚数計算ツール!$M$109&gt;=枚数!$A17,Q$2*$A17,0)</f>
        <v>240</v>
      </c>
      <c r="R17">
        <f>IF(HUAWEI製ＰＣＳ接続枚数計算ツール!$M$109&gt;=枚数!$A17,R$2*$A17,0)</f>
        <v>255</v>
      </c>
      <c r="S17">
        <f>IF(HUAWEI製ＰＣＳ接続枚数計算ツール!$M$109&gt;=枚数!$A17,S$2*$A17,0)</f>
        <v>270</v>
      </c>
      <c r="T17">
        <f>IF(HUAWEI製ＰＣＳ接続枚数計算ツール!$M$109&gt;=枚数!$A17,T$2*$A17,0)</f>
        <v>285</v>
      </c>
      <c r="U17">
        <f>IF(HUAWEI製ＰＣＳ接続枚数計算ツール!$M$109&gt;=枚数!$A17,U$2*$A17,0)</f>
        <v>300</v>
      </c>
      <c r="V17">
        <f>IF(HUAWEI製ＰＣＳ接続枚数計算ツール!$M$109&gt;=枚数!$A17,V$2*$A17,0)</f>
        <v>315</v>
      </c>
      <c r="W17">
        <f>IF(HUAWEI製ＰＣＳ接続枚数計算ツール!$M$109&gt;=枚数!$A17,W$2*$A17,0)</f>
        <v>330</v>
      </c>
      <c r="X17">
        <f>IF(HUAWEI製ＰＣＳ接続枚数計算ツール!$M$109&gt;=枚数!$A17,X$2*$A17,0)</f>
        <v>345</v>
      </c>
      <c r="Y17">
        <f>IF(HUAWEI製ＰＣＳ接続枚数計算ツール!$M$109&gt;=枚数!$A17,Y$2*$A17,0)</f>
        <v>360</v>
      </c>
      <c r="Z17">
        <f>IF(HUAWEI製ＰＣＳ接続枚数計算ツール!$M$109&gt;=枚数!$A17,Z$2*$A17,0)</f>
        <v>375</v>
      </c>
      <c r="AA17">
        <f>IF(HUAWEI製ＰＣＳ接続枚数計算ツール!$M$109&gt;=枚数!$A17,AA$2*$A17,0)</f>
        <v>390</v>
      </c>
      <c r="AB17">
        <f>IF(HUAWEI製ＰＣＳ接続枚数計算ツール!$M$109&gt;=枚数!$A17,AB$2*$A17,0)</f>
        <v>405</v>
      </c>
      <c r="AC17">
        <f>IF(HUAWEI製ＰＣＳ接続枚数計算ツール!$M$109&gt;=枚数!$A17,AC$2*$A17,0)</f>
        <v>420</v>
      </c>
      <c r="AD17">
        <f>IF(HUAWEI製ＰＣＳ接続枚数計算ツール!$M$109&gt;=枚数!$A17,AD$2*$A17,0)</f>
        <v>435</v>
      </c>
      <c r="AE17">
        <f>IF(HUAWEI製ＰＣＳ接続枚数計算ツール!$M$109&gt;=枚数!$A17,AE$2*$A17,0)</f>
        <v>450</v>
      </c>
      <c r="AF17">
        <f>IF(HUAWEI製ＰＣＳ接続枚数計算ツール!$M$109&gt;=枚数!$A17,AF$2*$A17,0)</f>
        <v>465</v>
      </c>
      <c r="AG17">
        <f>IF(HUAWEI製ＰＣＳ接続枚数計算ツール!$M$109&gt;=枚数!$A17,AG$2*$A17,0)</f>
        <v>480</v>
      </c>
      <c r="AH17">
        <f>IF(HUAWEI製ＰＣＳ接続枚数計算ツール!$M$109&gt;=枚数!$A17,AH$2*$A17,0)</f>
        <v>495</v>
      </c>
      <c r="AI17">
        <f>IF(HUAWEI製ＰＣＳ接続枚数計算ツール!$M$109&gt;=枚数!$A17,AI$2*$A17,0)</f>
        <v>510</v>
      </c>
      <c r="AJ17">
        <f>IF(HUAWEI製ＰＣＳ接続枚数計算ツール!$M$109&gt;=枚数!$A17,AJ$2*$A17,0)</f>
        <v>525</v>
      </c>
      <c r="AK17">
        <f>IF(HUAWEI製ＰＣＳ接続枚数計算ツール!$M$109&gt;=枚数!$A17,AK$2*$A17,0)</f>
        <v>540</v>
      </c>
      <c r="AL17">
        <f>IF(HUAWEI製ＰＣＳ接続枚数計算ツール!$M$109&gt;=枚数!$A17,AL$2*$A17,0)</f>
        <v>555</v>
      </c>
      <c r="AM17">
        <f>IF(HUAWEI製ＰＣＳ接続枚数計算ツール!$M$109&gt;=枚数!$A17,AM$2*$A17,0)</f>
        <v>570</v>
      </c>
      <c r="AN17">
        <f>IF(HUAWEI製ＰＣＳ接続枚数計算ツール!$M$109&gt;=枚数!$A17,AN$2*$A17,0)</f>
        <v>585</v>
      </c>
      <c r="AO17">
        <f>IF(HUAWEI製ＰＣＳ接続枚数計算ツール!$M$109&gt;=枚数!$A17,AO$2*$A17,0)</f>
        <v>600</v>
      </c>
    </row>
    <row r="18" spans="1:41">
      <c r="A18">
        <v>16</v>
      </c>
      <c r="B18">
        <f>IF(HUAWEI製ＰＣＳ接続枚数計算ツール!$M$109&gt;=枚数!$A18,B$2*$A18,0)</f>
        <v>16</v>
      </c>
      <c r="C18">
        <f>IF(HUAWEI製ＰＣＳ接続枚数計算ツール!$M$109&gt;=枚数!$A18,C$2*$A18,0)</f>
        <v>32</v>
      </c>
      <c r="D18">
        <f>IF(HUAWEI製ＰＣＳ接続枚数計算ツール!$M$109&gt;=枚数!$A18,D$2*$A18,0)</f>
        <v>48</v>
      </c>
      <c r="E18">
        <f>IF(HUAWEI製ＰＣＳ接続枚数計算ツール!$M$109&gt;=枚数!$A18,E$2*$A18,0)</f>
        <v>64</v>
      </c>
      <c r="F18">
        <f>IF(HUAWEI製ＰＣＳ接続枚数計算ツール!$M$109&gt;=枚数!$A18,F$2*$A18,0)</f>
        <v>80</v>
      </c>
      <c r="G18">
        <f>IF(HUAWEI製ＰＣＳ接続枚数計算ツール!$M$109&gt;=枚数!$A18,G$2*$A18,0)</f>
        <v>96</v>
      </c>
      <c r="H18">
        <f>IF(HUAWEI製ＰＣＳ接続枚数計算ツール!$M$109&gt;=枚数!$A18,H$2*$A18,0)</f>
        <v>112</v>
      </c>
      <c r="I18">
        <f>IF(HUAWEI製ＰＣＳ接続枚数計算ツール!$M$109&gt;=枚数!$A18,I$2*$A18,0)</f>
        <v>128</v>
      </c>
      <c r="J18">
        <f>IF(HUAWEI製ＰＣＳ接続枚数計算ツール!$M$109&gt;=枚数!$A18,J$2*$A18,0)</f>
        <v>144</v>
      </c>
      <c r="K18">
        <f>IF(HUAWEI製ＰＣＳ接続枚数計算ツール!$M$109&gt;=枚数!$A18,K$2*$A18,0)</f>
        <v>160</v>
      </c>
      <c r="L18">
        <f>IF(HUAWEI製ＰＣＳ接続枚数計算ツール!$M$109&gt;=枚数!$A18,L$2*$A18,0)</f>
        <v>176</v>
      </c>
      <c r="M18">
        <f>IF(HUAWEI製ＰＣＳ接続枚数計算ツール!$M$109&gt;=枚数!$A18,M$2*$A18,0)</f>
        <v>192</v>
      </c>
      <c r="N18">
        <f>IF(HUAWEI製ＰＣＳ接続枚数計算ツール!$M$109&gt;=枚数!$A18,N$2*$A18,0)</f>
        <v>208</v>
      </c>
      <c r="O18">
        <f>IF(HUAWEI製ＰＣＳ接続枚数計算ツール!$M$109&gt;=枚数!$A18,O$2*$A18,0)</f>
        <v>224</v>
      </c>
      <c r="P18">
        <f>IF(HUAWEI製ＰＣＳ接続枚数計算ツール!$M$109&gt;=枚数!$A18,P$2*$A18,0)</f>
        <v>240</v>
      </c>
      <c r="Q18">
        <f>IF(HUAWEI製ＰＣＳ接続枚数計算ツール!$M$109&gt;=枚数!$A18,Q$2*$A18,0)</f>
        <v>256</v>
      </c>
      <c r="R18">
        <f>IF(HUAWEI製ＰＣＳ接続枚数計算ツール!$M$109&gt;=枚数!$A18,R$2*$A18,0)</f>
        <v>272</v>
      </c>
      <c r="S18">
        <f>IF(HUAWEI製ＰＣＳ接続枚数計算ツール!$M$109&gt;=枚数!$A18,S$2*$A18,0)</f>
        <v>288</v>
      </c>
      <c r="T18">
        <f>IF(HUAWEI製ＰＣＳ接続枚数計算ツール!$M$109&gt;=枚数!$A18,T$2*$A18,0)</f>
        <v>304</v>
      </c>
      <c r="U18">
        <f>IF(HUAWEI製ＰＣＳ接続枚数計算ツール!$M$109&gt;=枚数!$A18,U$2*$A18,0)</f>
        <v>320</v>
      </c>
      <c r="V18">
        <f>IF(HUAWEI製ＰＣＳ接続枚数計算ツール!$M$109&gt;=枚数!$A18,V$2*$A18,0)</f>
        <v>336</v>
      </c>
      <c r="W18">
        <f>IF(HUAWEI製ＰＣＳ接続枚数計算ツール!$M$109&gt;=枚数!$A18,W$2*$A18,0)</f>
        <v>352</v>
      </c>
      <c r="X18">
        <f>IF(HUAWEI製ＰＣＳ接続枚数計算ツール!$M$109&gt;=枚数!$A18,X$2*$A18,0)</f>
        <v>368</v>
      </c>
      <c r="Y18">
        <f>IF(HUAWEI製ＰＣＳ接続枚数計算ツール!$M$109&gt;=枚数!$A18,Y$2*$A18,0)</f>
        <v>384</v>
      </c>
      <c r="Z18">
        <f>IF(HUAWEI製ＰＣＳ接続枚数計算ツール!$M$109&gt;=枚数!$A18,Z$2*$A18,0)</f>
        <v>400</v>
      </c>
      <c r="AA18">
        <f>IF(HUAWEI製ＰＣＳ接続枚数計算ツール!$M$109&gt;=枚数!$A18,AA$2*$A18,0)</f>
        <v>416</v>
      </c>
      <c r="AB18">
        <f>IF(HUAWEI製ＰＣＳ接続枚数計算ツール!$M$109&gt;=枚数!$A18,AB$2*$A18,0)</f>
        <v>432</v>
      </c>
      <c r="AC18">
        <f>IF(HUAWEI製ＰＣＳ接続枚数計算ツール!$M$109&gt;=枚数!$A18,AC$2*$A18,0)</f>
        <v>448</v>
      </c>
      <c r="AD18">
        <f>IF(HUAWEI製ＰＣＳ接続枚数計算ツール!$M$109&gt;=枚数!$A18,AD$2*$A18,0)</f>
        <v>464</v>
      </c>
      <c r="AE18">
        <f>IF(HUAWEI製ＰＣＳ接続枚数計算ツール!$M$109&gt;=枚数!$A18,AE$2*$A18,0)</f>
        <v>480</v>
      </c>
      <c r="AF18">
        <f>IF(HUAWEI製ＰＣＳ接続枚数計算ツール!$M$109&gt;=枚数!$A18,AF$2*$A18,0)</f>
        <v>496</v>
      </c>
      <c r="AG18">
        <f>IF(HUAWEI製ＰＣＳ接続枚数計算ツール!$M$109&gt;=枚数!$A18,AG$2*$A18,0)</f>
        <v>512</v>
      </c>
      <c r="AH18">
        <f>IF(HUAWEI製ＰＣＳ接続枚数計算ツール!$M$109&gt;=枚数!$A18,AH$2*$A18,0)</f>
        <v>528</v>
      </c>
      <c r="AI18">
        <f>IF(HUAWEI製ＰＣＳ接続枚数計算ツール!$M$109&gt;=枚数!$A18,AI$2*$A18,0)</f>
        <v>544</v>
      </c>
      <c r="AJ18">
        <f>IF(HUAWEI製ＰＣＳ接続枚数計算ツール!$M$109&gt;=枚数!$A18,AJ$2*$A18,0)</f>
        <v>560</v>
      </c>
      <c r="AK18">
        <f>IF(HUAWEI製ＰＣＳ接続枚数計算ツール!$M$109&gt;=枚数!$A18,AK$2*$A18,0)</f>
        <v>576</v>
      </c>
      <c r="AL18">
        <f>IF(HUAWEI製ＰＣＳ接続枚数計算ツール!$M$109&gt;=枚数!$A18,AL$2*$A18,0)</f>
        <v>592</v>
      </c>
      <c r="AM18">
        <f>IF(HUAWEI製ＰＣＳ接続枚数計算ツール!$M$109&gt;=枚数!$A18,AM$2*$A18,0)</f>
        <v>608</v>
      </c>
      <c r="AN18">
        <f>IF(HUAWEI製ＰＣＳ接続枚数計算ツール!$M$109&gt;=枚数!$A18,AN$2*$A18,0)</f>
        <v>624</v>
      </c>
      <c r="AO18">
        <f>IF(HUAWEI製ＰＣＳ接続枚数計算ツール!$M$109&gt;=枚数!$A18,AO$2*$A18,0)</f>
        <v>640</v>
      </c>
    </row>
    <row r="19" spans="1:41">
      <c r="A19">
        <v>17</v>
      </c>
      <c r="B19">
        <f>IF(HUAWEI製ＰＣＳ接続枚数計算ツール!$M$109&gt;=枚数!$A19,B$2*$A19,0)</f>
        <v>17</v>
      </c>
      <c r="C19">
        <f>IF(HUAWEI製ＰＣＳ接続枚数計算ツール!$M$109&gt;=枚数!$A19,C$2*$A19,0)</f>
        <v>34</v>
      </c>
      <c r="D19">
        <f>IF(HUAWEI製ＰＣＳ接続枚数計算ツール!$M$109&gt;=枚数!$A19,D$2*$A19,0)</f>
        <v>51</v>
      </c>
      <c r="E19">
        <f>IF(HUAWEI製ＰＣＳ接続枚数計算ツール!$M$109&gt;=枚数!$A19,E$2*$A19,0)</f>
        <v>68</v>
      </c>
      <c r="F19">
        <f>IF(HUAWEI製ＰＣＳ接続枚数計算ツール!$M$109&gt;=枚数!$A19,F$2*$A19,0)</f>
        <v>85</v>
      </c>
      <c r="G19">
        <f>IF(HUAWEI製ＰＣＳ接続枚数計算ツール!$M$109&gt;=枚数!$A19,G$2*$A19,0)</f>
        <v>102</v>
      </c>
      <c r="H19">
        <f>IF(HUAWEI製ＰＣＳ接続枚数計算ツール!$M$109&gt;=枚数!$A19,H$2*$A19,0)</f>
        <v>119</v>
      </c>
      <c r="I19">
        <f>IF(HUAWEI製ＰＣＳ接続枚数計算ツール!$M$109&gt;=枚数!$A19,I$2*$A19,0)</f>
        <v>136</v>
      </c>
      <c r="J19">
        <f>IF(HUAWEI製ＰＣＳ接続枚数計算ツール!$M$109&gt;=枚数!$A19,J$2*$A19,0)</f>
        <v>153</v>
      </c>
      <c r="K19">
        <f>IF(HUAWEI製ＰＣＳ接続枚数計算ツール!$M$109&gt;=枚数!$A19,K$2*$A19,0)</f>
        <v>170</v>
      </c>
      <c r="L19">
        <f>IF(HUAWEI製ＰＣＳ接続枚数計算ツール!$M$109&gt;=枚数!$A19,L$2*$A19,0)</f>
        <v>187</v>
      </c>
      <c r="M19">
        <f>IF(HUAWEI製ＰＣＳ接続枚数計算ツール!$M$109&gt;=枚数!$A19,M$2*$A19,0)</f>
        <v>204</v>
      </c>
      <c r="N19">
        <f>IF(HUAWEI製ＰＣＳ接続枚数計算ツール!$M$109&gt;=枚数!$A19,N$2*$A19,0)</f>
        <v>221</v>
      </c>
      <c r="O19">
        <f>IF(HUAWEI製ＰＣＳ接続枚数計算ツール!$M$109&gt;=枚数!$A19,O$2*$A19,0)</f>
        <v>238</v>
      </c>
      <c r="P19">
        <f>IF(HUAWEI製ＰＣＳ接続枚数計算ツール!$M$109&gt;=枚数!$A19,P$2*$A19,0)</f>
        <v>255</v>
      </c>
      <c r="Q19">
        <f>IF(HUAWEI製ＰＣＳ接続枚数計算ツール!$M$109&gt;=枚数!$A19,Q$2*$A19,0)</f>
        <v>272</v>
      </c>
      <c r="R19">
        <f>IF(HUAWEI製ＰＣＳ接続枚数計算ツール!$M$109&gt;=枚数!$A19,R$2*$A19,0)</f>
        <v>289</v>
      </c>
      <c r="S19">
        <f>IF(HUAWEI製ＰＣＳ接続枚数計算ツール!$M$109&gt;=枚数!$A19,S$2*$A19,0)</f>
        <v>306</v>
      </c>
      <c r="T19">
        <f>IF(HUAWEI製ＰＣＳ接続枚数計算ツール!$M$109&gt;=枚数!$A19,T$2*$A19,0)</f>
        <v>323</v>
      </c>
      <c r="U19">
        <f>IF(HUAWEI製ＰＣＳ接続枚数計算ツール!$M$109&gt;=枚数!$A19,U$2*$A19,0)</f>
        <v>340</v>
      </c>
      <c r="V19">
        <f>IF(HUAWEI製ＰＣＳ接続枚数計算ツール!$M$109&gt;=枚数!$A19,V$2*$A19,0)</f>
        <v>357</v>
      </c>
      <c r="W19">
        <f>IF(HUAWEI製ＰＣＳ接続枚数計算ツール!$M$109&gt;=枚数!$A19,W$2*$A19,0)</f>
        <v>374</v>
      </c>
      <c r="X19">
        <f>IF(HUAWEI製ＰＣＳ接続枚数計算ツール!$M$109&gt;=枚数!$A19,X$2*$A19,0)</f>
        <v>391</v>
      </c>
      <c r="Y19">
        <f>IF(HUAWEI製ＰＣＳ接続枚数計算ツール!$M$109&gt;=枚数!$A19,Y$2*$A19,0)</f>
        <v>408</v>
      </c>
      <c r="Z19">
        <f>IF(HUAWEI製ＰＣＳ接続枚数計算ツール!$M$109&gt;=枚数!$A19,Z$2*$A19,0)</f>
        <v>425</v>
      </c>
      <c r="AA19">
        <f>IF(HUAWEI製ＰＣＳ接続枚数計算ツール!$M$109&gt;=枚数!$A19,AA$2*$A19,0)</f>
        <v>442</v>
      </c>
      <c r="AB19">
        <f>IF(HUAWEI製ＰＣＳ接続枚数計算ツール!$M$109&gt;=枚数!$A19,AB$2*$A19,0)</f>
        <v>459</v>
      </c>
      <c r="AC19">
        <f>IF(HUAWEI製ＰＣＳ接続枚数計算ツール!$M$109&gt;=枚数!$A19,AC$2*$A19,0)</f>
        <v>476</v>
      </c>
      <c r="AD19">
        <f>IF(HUAWEI製ＰＣＳ接続枚数計算ツール!$M$109&gt;=枚数!$A19,AD$2*$A19,0)</f>
        <v>493</v>
      </c>
      <c r="AE19">
        <f>IF(HUAWEI製ＰＣＳ接続枚数計算ツール!$M$109&gt;=枚数!$A19,AE$2*$A19,0)</f>
        <v>510</v>
      </c>
      <c r="AF19">
        <f>IF(HUAWEI製ＰＣＳ接続枚数計算ツール!$M$109&gt;=枚数!$A19,AF$2*$A19,0)</f>
        <v>527</v>
      </c>
      <c r="AG19">
        <f>IF(HUAWEI製ＰＣＳ接続枚数計算ツール!$M$109&gt;=枚数!$A19,AG$2*$A19,0)</f>
        <v>544</v>
      </c>
      <c r="AH19">
        <f>IF(HUAWEI製ＰＣＳ接続枚数計算ツール!$M$109&gt;=枚数!$A19,AH$2*$A19,0)</f>
        <v>561</v>
      </c>
      <c r="AI19">
        <f>IF(HUAWEI製ＰＣＳ接続枚数計算ツール!$M$109&gt;=枚数!$A19,AI$2*$A19,0)</f>
        <v>578</v>
      </c>
      <c r="AJ19">
        <f>IF(HUAWEI製ＰＣＳ接続枚数計算ツール!$M$109&gt;=枚数!$A19,AJ$2*$A19,0)</f>
        <v>595</v>
      </c>
      <c r="AK19">
        <f>IF(HUAWEI製ＰＣＳ接続枚数計算ツール!$M$109&gt;=枚数!$A19,AK$2*$A19,0)</f>
        <v>612</v>
      </c>
      <c r="AL19">
        <f>IF(HUAWEI製ＰＣＳ接続枚数計算ツール!$M$109&gt;=枚数!$A19,AL$2*$A19,0)</f>
        <v>629</v>
      </c>
      <c r="AM19">
        <f>IF(HUAWEI製ＰＣＳ接続枚数計算ツール!$M$109&gt;=枚数!$A19,AM$2*$A19,0)</f>
        <v>646</v>
      </c>
      <c r="AN19">
        <f>IF(HUAWEI製ＰＣＳ接続枚数計算ツール!$M$109&gt;=枚数!$A19,AN$2*$A19,0)</f>
        <v>663</v>
      </c>
      <c r="AO19">
        <f>IF(HUAWEI製ＰＣＳ接続枚数計算ツール!$M$109&gt;=枚数!$A19,AO$2*$A19,0)</f>
        <v>680</v>
      </c>
    </row>
    <row r="20" spans="1:41">
      <c r="A20">
        <v>18</v>
      </c>
      <c r="B20">
        <f>IF(HUAWEI製ＰＣＳ接続枚数計算ツール!$M$109&gt;=枚数!$A20,B$2*$A20,0)</f>
        <v>18</v>
      </c>
      <c r="C20">
        <f>IF(HUAWEI製ＰＣＳ接続枚数計算ツール!$M$109&gt;=枚数!$A20,C$2*$A20,0)</f>
        <v>36</v>
      </c>
      <c r="D20">
        <f>IF(HUAWEI製ＰＣＳ接続枚数計算ツール!$M$109&gt;=枚数!$A20,D$2*$A20,0)</f>
        <v>54</v>
      </c>
      <c r="E20">
        <f>IF(HUAWEI製ＰＣＳ接続枚数計算ツール!$M$109&gt;=枚数!$A20,E$2*$A20,0)</f>
        <v>72</v>
      </c>
      <c r="F20">
        <f>IF(HUAWEI製ＰＣＳ接続枚数計算ツール!$M$109&gt;=枚数!$A20,F$2*$A20,0)</f>
        <v>90</v>
      </c>
      <c r="G20">
        <f>IF(HUAWEI製ＰＣＳ接続枚数計算ツール!$M$109&gt;=枚数!$A20,G$2*$A20,0)</f>
        <v>108</v>
      </c>
      <c r="H20">
        <f>IF(HUAWEI製ＰＣＳ接続枚数計算ツール!$M$109&gt;=枚数!$A20,H$2*$A20,0)</f>
        <v>126</v>
      </c>
      <c r="I20">
        <f>IF(HUAWEI製ＰＣＳ接続枚数計算ツール!$M$109&gt;=枚数!$A20,I$2*$A20,0)</f>
        <v>144</v>
      </c>
      <c r="J20">
        <f>IF(HUAWEI製ＰＣＳ接続枚数計算ツール!$M$109&gt;=枚数!$A20,J$2*$A20,0)</f>
        <v>162</v>
      </c>
      <c r="K20">
        <f>IF(HUAWEI製ＰＣＳ接続枚数計算ツール!$M$109&gt;=枚数!$A20,K$2*$A20,0)</f>
        <v>180</v>
      </c>
      <c r="L20">
        <f>IF(HUAWEI製ＰＣＳ接続枚数計算ツール!$M$109&gt;=枚数!$A20,L$2*$A20,0)</f>
        <v>198</v>
      </c>
      <c r="M20">
        <f>IF(HUAWEI製ＰＣＳ接続枚数計算ツール!$M$109&gt;=枚数!$A20,M$2*$A20,0)</f>
        <v>216</v>
      </c>
      <c r="N20">
        <f>IF(HUAWEI製ＰＣＳ接続枚数計算ツール!$M$109&gt;=枚数!$A20,N$2*$A20,0)</f>
        <v>234</v>
      </c>
      <c r="O20">
        <f>IF(HUAWEI製ＰＣＳ接続枚数計算ツール!$M$109&gt;=枚数!$A20,O$2*$A20,0)</f>
        <v>252</v>
      </c>
      <c r="P20">
        <f>IF(HUAWEI製ＰＣＳ接続枚数計算ツール!$M$109&gt;=枚数!$A20,P$2*$A20,0)</f>
        <v>270</v>
      </c>
      <c r="Q20">
        <f>IF(HUAWEI製ＰＣＳ接続枚数計算ツール!$M$109&gt;=枚数!$A20,Q$2*$A20,0)</f>
        <v>288</v>
      </c>
      <c r="R20">
        <f>IF(HUAWEI製ＰＣＳ接続枚数計算ツール!$M$109&gt;=枚数!$A20,R$2*$A20,0)</f>
        <v>306</v>
      </c>
      <c r="S20">
        <f>IF(HUAWEI製ＰＣＳ接続枚数計算ツール!$M$109&gt;=枚数!$A20,S$2*$A20,0)</f>
        <v>324</v>
      </c>
      <c r="T20">
        <f>IF(HUAWEI製ＰＣＳ接続枚数計算ツール!$M$109&gt;=枚数!$A20,T$2*$A20,0)</f>
        <v>342</v>
      </c>
      <c r="U20">
        <f>IF(HUAWEI製ＰＣＳ接続枚数計算ツール!$M$109&gt;=枚数!$A20,U$2*$A20,0)</f>
        <v>360</v>
      </c>
      <c r="V20">
        <f>IF(HUAWEI製ＰＣＳ接続枚数計算ツール!$M$109&gt;=枚数!$A20,V$2*$A20,0)</f>
        <v>378</v>
      </c>
      <c r="W20">
        <f>IF(HUAWEI製ＰＣＳ接続枚数計算ツール!$M$109&gt;=枚数!$A20,W$2*$A20,0)</f>
        <v>396</v>
      </c>
      <c r="X20">
        <f>IF(HUAWEI製ＰＣＳ接続枚数計算ツール!$M$109&gt;=枚数!$A20,X$2*$A20,0)</f>
        <v>414</v>
      </c>
      <c r="Y20">
        <f>IF(HUAWEI製ＰＣＳ接続枚数計算ツール!$M$109&gt;=枚数!$A20,Y$2*$A20,0)</f>
        <v>432</v>
      </c>
      <c r="Z20">
        <f>IF(HUAWEI製ＰＣＳ接続枚数計算ツール!$M$109&gt;=枚数!$A20,Z$2*$A20,0)</f>
        <v>450</v>
      </c>
      <c r="AA20">
        <f>IF(HUAWEI製ＰＣＳ接続枚数計算ツール!$M$109&gt;=枚数!$A20,AA$2*$A20,0)</f>
        <v>468</v>
      </c>
      <c r="AB20">
        <f>IF(HUAWEI製ＰＣＳ接続枚数計算ツール!$M$109&gt;=枚数!$A20,AB$2*$A20,0)</f>
        <v>486</v>
      </c>
      <c r="AC20">
        <f>IF(HUAWEI製ＰＣＳ接続枚数計算ツール!$M$109&gt;=枚数!$A20,AC$2*$A20,0)</f>
        <v>504</v>
      </c>
      <c r="AD20">
        <f>IF(HUAWEI製ＰＣＳ接続枚数計算ツール!$M$109&gt;=枚数!$A20,AD$2*$A20,0)</f>
        <v>522</v>
      </c>
      <c r="AE20">
        <f>IF(HUAWEI製ＰＣＳ接続枚数計算ツール!$M$109&gt;=枚数!$A20,AE$2*$A20,0)</f>
        <v>540</v>
      </c>
      <c r="AF20">
        <f>IF(HUAWEI製ＰＣＳ接続枚数計算ツール!$M$109&gt;=枚数!$A20,AF$2*$A20,0)</f>
        <v>558</v>
      </c>
      <c r="AG20">
        <f>IF(HUAWEI製ＰＣＳ接続枚数計算ツール!$M$109&gt;=枚数!$A20,AG$2*$A20,0)</f>
        <v>576</v>
      </c>
      <c r="AH20">
        <f>IF(HUAWEI製ＰＣＳ接続枚数計算ツール!$M$109&gt;=枚数!$A20,AH$2*$A20,0)</f>
        <v>594</v>
      </c>
      <c r="AI20">
        <f>IF(HUAWEI製ＰＣＳ接続枚数計算ツール!$M$109&gt;=枚数!$A20,AI$2*$A20,0)</f>
        <v>612</v>
      </c>
      <c r="AJ20">
        <f>IF(HUAWEI製ＰＣＳ接続枚数計算ツール!$M$109&gt;=枚数!$A20,AJ$2*$A20,0)</f>
        <v>630</v>
      </c>
      <c r="AK20">
        <f>IF(HUAWEI製ＰＣＳ接続枚数計算ツール!$M$109&gt;=枚数!$A20,AK$2*$A20,0)</f>
        <v>648</v>
      </c>
      <c r="AL20">
        <f>IF(HUAWEI製ＰＣＳ接続枚数計算ツール!$M$109&gt;=枚数!$A20,AL$2*$A20,0)</f>
        <v>666</v>
      </c>
      <c r="AM20">
        <f>IF(HUAWEI製ＰＣＳ接続枚数計算ツール!$M$109&gt;=枚数!$A20,AM$2*$A20,0)</f>
        <v>684</v>
      </c>
      <c r="AN20">
        <f>IF(HUAWEI製ＰＣＳ接続枚数計算ツール!$M$109&gt;=枚数!$A20,AN$2*$A20,0)</f>
        <v>702</v>
      </c>
      <c r="AO20">
        <f>IF(HUAWEI製ＰＣＳ接続枚数計算ツール!$M$109&gt;=枚数!$A20,AO$2*$A20,0)</f>
        <v>720</v>
      </c>
    </row>
    <row r="21" spans="1:41">
      <c r="A21">
        <v>19</v>
      </c>
      <c r="B21">
        <f>IF(HUAWEI製ＰＣＳ接続枚数計算ツール!$M$109&gt;=枚数!$A21,B$2*$A21,0)</f>
        <v>0</v>
      </c>
      <c r="C21">
        <f>IF(HUAWEI製ＰＣＳ接続枚数計算ツール!$M$109&gt;=枚数!$A21,C$2*$A21,0)</f>
        <v>0</v>
      </c>
      <c r="D21">
        <f>IF(HUAWEI製ＰＣＳ接続枚数計算ツール!$M$109&gt;=枚数!$A21,D$2*$A21,0)</f>
        <v>0</v>
      </c>
      <c r="E21">
        <f>IF(HUAWEI製ＰＣＳ接続枚数計算ツール!$M$109&gt;=枚数!$A21,E$2*$A21,0)</f>
        <v>0</v>
      </c>
      <c r="F21">
        <f>IF(HUAWEI製ＰＣＳ接続枚数計算ツール!$M$109&gt;=枚数!$A21,F$2*$A21,0)</f>
        <v>0</v>
      </c>
      <c r="G21">
        <f>IF(HUAWEI製ＰＣＳ接続枚数計算ツール!$M$109&gt;=枚数!$A21,G$2*$A21,0)</f>
        <v>0</v>
      </c>
      <c r="H21">
        <f>IF(HUAWEI製ＰＣＳ接続枚数計算ツール!$M$109&gt;=枚数!$A21,H$2*$A21,0)</f>
        <v>0</v>
      </c>
      <c r="I21">
        <f>IF(HUAWEI製ＰＣＳ接続枚数計算ツール!$M$109&gt;=枚数!$A21,I$2*$A21,0)</f>
        <v>0</v>
      </c>
      <c r="J21">
        <f>IF(HUAWEI製ＰＣＳ接続枚数計算ツール!$M$109&gt;=枚数!$A21,J$2*$A21,0)</f>
        <v>0</v>
      </c>
      <c r="K21">
        <f>IF(HUAWEI製ＰＣＳ接続枚数計算ツール!$M$109&gt;=枚数!$A21,K$2*$A21,0)</f>
        <v>0</v>
      </c>
      <c r="L21">
        <f>IF(HUAWEI製ＰＣＳ接続枚数計算ツール!$M$109&gt;=枚数!$A21,L$2*$A21,0)</f>
        <v>0</v>
      </c>
      <c r="M21">
        <f>IF(HUAWEI製ＰＣＳ接続枚数計算ツール!$M$109&gt;=枚数!$A21,M$2*$A21,0)</f>
        <v>0</v>
      </c>
      <c r="N21">
        <f>IF(HUAWEI製ＰＣＳ接続枚数計算ツール!$M$109&gt;=枚数!$A21,N$2*$A21,0)</f>
        <v>0</v>
      </c>
      <c r="O21">
        <f>IF(HUAWEI製ＰＣＳ接続枚数計算ツール!$M$109&gt;=枚数!$A21,O$2*$A21,0)</f>
        <v>0</v>
      </c>
      <c r="P21">
        <f>IF(HUAWEI製ＰＣＳ接続枚数計算ツール!$M$109&gt;=枚数!$A21,P$2*$A21,0)</f>
        <v>0</v>
      </c>
      <c r="Q21">
        <f>IF(HUAWEI製ＰＣＳ接続枚数計算ツール!$M$109&gt;=枚数!$A21,Q$2*$A21,0)</f>
        <v>0</v>
      </c>
      <c r="R21">
        <f>IF(HUAWEI製ＰＣＳ接続枚数計算ツール!$M$109&gt;=枚数!$A21,R$2*$A21,0)</f>
        <v>0</v>
      </c>
      <c r="S21">
        <f>IF(HUAWEI製ＰＣＳ接続枚数計算ツール!$M$109&gt;=枚数!$A21,S$2*$A21,0)</f>
        <v>0</v>
      </c>
      <c r="T21">
        <f>IF(HUAWEI製ＰＣＳ接続枚数計算ツール!$M$109&gt;=枚数!$A21,T$2*$A21,0)</f>
        <v>0</v>
      </c>
      <c r="U21">
        <f>IF(HUAWEI製ＰＣＳ接続枚数計算ツール!$M$109&gt;=枚数!$A21,U$2*$A21,0)</f>
        <v>0</v>
      </c>
      <c r="V21">
        <f>IF(HUAWEI製ＰＣＳ接続枚数計算ツール!$M$109&gt;=枚数!$A21,V$2*$A21,0)</f>
        <v>0</v>
      </c>
      <c r="W21">
        <f>IF(HUAWEI製ＰＣＳ接続枚数計算ツール!$M$109&gt;=枚数!$A21,W$2*$A21,0)</f>
        <v>0</v>
      </c>
      <c r="X21">
        <f>IF(HUAWEI製ＰＣＳ接続枚数計算ツール!$M$109&gt;=枚数!$A21,X$2*$A21,0)</f>
        <v>0</v>
      </c>
      <c r="Y21">
        <f>IF(HUAWEI製ＰＣＳ接続枚数計算ツール!$M$109&gt;=枚数!$A21,Y$2*$A21,0)</f>
        <v>0</v>
      </c>
      <c r="Z21">
        <f>IF(HUAWEI製ＰＣＳ接続枚数計算ツール!$M$109&gt;=枚数!$A21,Z$2*$A21,0)</f>
        <v>0</v>
      </c>
      <c r="AA21">
        <f>IF(HUAWEI製ＰＣＳ接続枚数計算ツール!$M$109&gt;=枚数!$A21,AA$2*$A21,0)</f>
        <v>0</v>
      </c>
      <c r="AB21">
        <f>IF(HUAWEI製ＰＣＳ接続枚数計算ツール!$M$109&gt;=枚数!$A21,AB$2*$A21,0)</f>
        <v>0</v>
      </c>
      <c r="AC21">
        <f>IF(HUAWEI製ＰＣＳ接続枚数計算ツール!$M$109&gt;=枚数!$A21,AC$2*$A21,0)</f>
        <v>0</v>
      </c>
      <c r="AD21">
        <f>IF(HUAWEI製ＰＣＳ接続枚数計算ツール!$M$109&gt;=枚数!$A21,AD$2*$A21,0)</f>
        <v>0</v>
      </c>
      <c r="AE21">
        <f>IF(HUAWEI製ＰＣＳ接続枚数計算ツール!$M$109&gt;=枚数!$A21,AE$2*$A21,0)</f>
        <v>0</v>
      </c>
      <c r="AF21">
        <f>IF(HUAWEI製ＰＣＳ接続枚数計算ツール!$M$109&gt;=枚数!$A21,AF$2*$A21,0)</f>
        <v>0</v>
      </c>
      <c r="AG21">
        <f>IF(HUAWEI製ＰＣＳ接続枚数計算ツール!$M$109&gt;=枚数!$A21,AG$2*$A21,0)</f>
        <v>0</v>
      </c>
      <c r="AH21">
        <f>IF(HUAWEI製ＰＣＳ接続枚数計算ツール!$M$109&gt;=枚数!$A21,AH$2*$A21,0)</f>
        <v>0</v>
      </c>
      <c r="AI21">
        <f>IF(HUAWEI製ＰＣＳ接続枚数計算ツール!$M$109&gt;=枚数!$A21,AI$2*$A21,0)</f>
        <v>0</v>
      </c>
      <c r="AJ21">
        <f>IF(HUAWEI製ＰＣＳ接続枚数計算ツール!$M$109&gt;=枚数!$A21,AJ$2*$A21,0)</f>
        <v>0</v>
      </c>
      <c r="AK21">
        <f>IF(HUAWEI製ＰＣＳ接続枚数計算ツール!$M$109&gt;=枚数!$A21,AK$2*$A21,0)</f>
        <v>0</v>
      </c>
      <c r="AL21">
        <f>IF(HUAWEI製ＰＣＳ接続枚数計算ツール!$M$109&gt;=枚数!$A21,AL$2*$A21,0)</f>
        <v>0</v>
      </c>
      <c r="AM21">
        <f>IF(HUAWEI製ＰＣＳ接続枚数計算ツール!$M$109&gt;=枚数!$A21,AM$2*$A21,0)</f>
        <v>0</v>
      </c>
      <c r="AN21">
        <f>IF(HUAWEI製ＰＣＳ接続枚数計算ツール!$M$109&gt;=枚数!$A21,AN$2*$A21,0)</f>
        <v>0</v>
      </c>
      <c r="AO21">
        <f>IF(HUAWEI製ＰＣＳ接続枚数計算ツール!$M$109&gt;=枚数!$A21,AO$2*$A21,0)</f>
        <v>0</v>
      </c>
    </row>
    <row r="22" spans="1:41">
      <c r="A22">
        <v>20</v>
      </c>
      <c r="B22">
        <f>IF(HUAWEI製ＰＣＳ接続枚数計算ツール!$M$109&gt;=枚数!$A22,B$2*$A22,0)</f>
        <v>0</v>
      </c>
      <c r="C22">
        <f>IF(HUAWEI製ＰＣＳ接続枚数計算ツール!$M$109&gt;=枚数!$A22,C$2*$A22,0)</f>
        <v>0</v>
      </c>
      <c r="D22">
        <f>IF(HUAWEI製ＰＣＳ接続枚数計算ツール!$M$109&gt;=枚数!$A22,D$2*$A22,0)</f>
        <v>0</v>
      </c>
      <c r="E22">
        <f>IF(HUAWEI製ＰＣＳ接続枚数計算ツール!$M$109&gt;=枚数!$A22,E$2*$A22,0)</f>
        <v>0</v>
      </c>
      <c r="F22">
        <f>IF(HUAWEI製ＰＣＳ接続枚数計算ツール!$M$109&gt;=枚数!$A22,F$2*$A22,0)</f>
        <v>0</v>
      </c>
      <c r="G22">
        <f>IF(HUAWEI製ＰＣＳ接続枚数計算ツール!$M$109&gt;=枚数!$A22,G$2*$A22,0)</f>
        <v>0</v>
      </c>
      <c r="H22">
        <f>IF(HUAWEI製ＰＣＳ接続枚数計算ツール!$M$109&gt;=枚数!$A22,H$2*$A22,0)</f>
        <v>0</v>
      </c>
      <c r="I22">
        <f>IF(HUAWEI製ＰＣＳ接続枚数計算ツール!$M$109&gt;=枚数!$A22,I$2*$A22,0)</f>
        <v>0</v>
      </c>
      <c r="J22">
        <f>IF(HUAWEI製ＰＣＳ接続枚数計算ツール!$M$109&gt;=枚数!$A22,J$2*$A22,0)</f>
        <v>0</v>
      </c>
      <c r="K22">
        <f>IF(HUAWEI製ＰＣＳ接続枚数計算ツール!$M$109&gt;=枚数!$A22,K$2*$A22,0)</f>
        <v>0</v>
      </c>
      <c r="L22">
        <f>IF(HUAWEI製ＰＣＳ接続枚数計算ツール!$M$109&gt;=枚数!$A22,L$2*$A22,0)</f>
        <v>0</v>
      </c>
      <c r="M22">
        <f>IF(HUAWEI製ＰＣＳ接続枚数計算ツール!$M$109&gt;=枚数!$A22,M$2*$A22,0)</f>
        <v>0</v>
      </c>
      <c r="N22">
        <f>IF(HUAWEI製ＰＣＳ接続枚数計算ツール!$M$109&gt;=枚数!$A22,N$2*$A22,0)</f>
        <v>0</v>
      </c>
      <c r="O22">
        <f>IF(HUAWEI製ＰＣＳ接続枚数計算ツール!$M$109&gt;=枚数!$A22,O$2*$A22,0)</f>
        <v>0</v>
      </c>
      <c r="P22">
        <f>IF(HUAWEI製ＰＣＳ接続枚数計算ツール!$M$109&gt;=枚数!$A22,P$2*$A22,0)</f>
        <v>0</v>
      </c>
      <c r="Q22">
        <f>IF(HUAWEI製ＰＣＳ接続枚数計算ツール!$M$109&gt;=枚数!$A22,Q$2*$A22,0)</f>
        <v>0</v>
      </c>
      <c r="R22">
        <f>IF(HUAWEI製ＰＣＳ接続枚数計算ツール!$M$109&gt;=枚数!$A22,R$2*$A22,0)</f>
        <v>0</v>
      </c>
      <c r="S22">
        <f>IF(HUAWEI製ＰＣＳ接続枚数計算ツール!$M$109&gt;=枚数!$A22,S$2*$A22,0)</f>
        <v>0</v>
      </c>
      <c r="T22">
        <f>IF(HUAWEI製ＰＣＳ接続枚数計算ツール!$M$109&gt;=枚数!$A22,T$2*$A22,0)</f>
        <v>0</v>
      </c>
      <c r="U22">
        <f>IF(HUAWEI製ＰＣＳ接続枚数計算ツール!$M$109&gt;=枚数!$A22,U$2*$A22,0)</f>
        <v>0</v>
      </c>
      <c r="V22">
        <f>IF(HUAWEI製ＰＣＳ接続枚数計算ツール!$M$109&gt;=枚数!$A22,V$2*$A22,0)</f>
        <v>0</v>
      </c>
      <c r="W22">
        <f>IF(HUAWEI製ＰＣＳ接続枚数計算ツール!$M$109&gt;=枚数!$A22,W$2*$A22,0)</f>
        <v>0</v>
      </c>
      <c r="X22">
        <f>IF(HUAWEI製ＰＣＳ接続枚数計算ツール!$M$109&gt;=枚数!$A22,X$2*$A22,0)</f>
        <v>0</v>
      </c>
      <c r="Y22">
        <f>IF(HUAWEI製ＰＣＳ接続枚数計算ツール!$M$109&gt;=枚数!$A22,Y$2*$A22,0)</f>
        <v>0</v>
      </c>
      <c r="Z22">
        <f>IF(HUAWEI製ＰＣＳ接続枚数計算ツール!$M$109&gt;=枚数!$A22,Z$2*$A22,0)</f>
        <v>0</v>
      </c>
      <c r="AA22">
        <f>IF(HUAWEI製ＰＣＳ接続枚数計算ツール!$M$109&gt;=枚数!$A22,AA$2*$A22,0)</f>
        <v>0</v>
      </c>
      <c r="AB22">
        <f>IF(HUAWEI製ＰＣＳ接続枚数計算ツール!$M$109&gt;=枚数!$A22,AB$2*$A22,0)</f>
        <v>0</v>
      </c>
      <c r="AC22">
        <f>IF(HUAWEI製ＰＣＳ接続枚数計算ツール!$M$109&gt;=枚数!$A22,AC$2*$A22,0)</f>
        <v>0</v>
      </c>
      <c r="AD22">
        <f>IF(HUAWEI製ＰＣＳ接続枚数計算ツール!$M$109&gt;=枚数!$A22,AD$2*$A22,0)</f>
        <v>0</v>
      </c>
      <c r="AE22">
        <f>IF(HUAWEI製ＰＣＳ接続枚数計算ツール!$M$109&gt;=枚数!$A22,AE$2*$A22,0)</f>
        <v>0</v>
      </c>
      <c r="AF22">
        <f>IF(HUAWEI製ＰＣＳ接続枚数計算ツール!$M$109&gt;=枚数!$A22,AF$2*$A22,0)</f>
        <v>0</v>
      </c>
      <c r="AG22">
        <f>IF(HUAWEI製ＰＣＳ接続枚数計算ツール!$M$109&gt;=枚数!$A22,AG$2*$A22,0)</f>
        <v>0</v>
      </c>
      <c r="AH22">
        <f>IF(HUAWEI製ＰＣＳ接続枚数計算ツール!$M$109&gt;=枚数!$A22,AH$2*$A22,0)</f>
        <v>0</v>
      </c>
      <c r="AI22">
        <f>IF(HUAWEI製ＰＣＳ接続枚数計算ツール!$M$109&gt;=枚数!$A22,AI$2*$A22,0)</f>
        <v>0</v>
      </c>
      <c r="AJ22">
        <f>IF(HUAWEI製ＰＣＳ接続枚数計算ツール!$M$109&gt;=枚数!$A22,AJ$2*$A22,0)</f>
        <v>0</v>
      </c>
      <c r="AK22">
        <f>IF(HUAWEI製ＰＣＳ接続枚数計算ツール!$M$109&gt;=枚数!$A22,AK$2*$A22,0)</f>
        <v>0</v>
      </c>
      <c r="AL22">
        <f>IF(HUAWEI製ＰＣＳ接続枚数計算ツール!$M$109&gt;=枚数!$A22,AL$2*$A22,0)</f>
        <v>0</v>
      </c>
      <c r="AM22">
        <f>IF(HUAWEI製ＰＣＳ接続枚数計算ツール!$M$109&gt;=枚数!$A22,AM$2*$A22,0)</f>
        <v>0</v>
      </c>
      <c r="AN22">
        <f>IF(HUAWEI製ＰＣＳ接続枚数計算ツール!$M$109&gt;=枚数!$A22,AN$2*$A22,0)</f>
        <v>0</v>
      </c>
      <c r="AO22">
        <f>IF(HUAWEI製ＰＣＳ接続枚数計算ツール!$M$109&gt;=枚数!$A22,AO$2*$A22,0)</f>
        <v>0</v>
      </c>
    </row>
    <row r="23" spans="1:41">
      <c r="A23">
        <v>21</v>
      </c>
      <c r="B23">
        <f>IF(HUAWEI製ＰＣＳ接続枚数計算ツール!$M$109&gt;=枚数!$A23,B$2*$A23,0)</f>
        <v>0</v>
      </c>
      <c r="C23">
        <f>IF(HUAWEI製ＰＣＳ接続枚数計算ツール!$M$109&gt;=枚数!$A23,C$2*$A23,0)</f>
        <v>0</v>
      </c>
      <c r="D23">
        <f>IF(HUAWEI製ＰＣＳ接続枚数計算ツール!$M$109&gt;=枚数!$A23,D$2*$A23,0)</f>
        <v>0</v>
      </c>
      <c r="E23">
        <f>IF(HUAWEI製ＰＣＳ接続枚数計算ツール!$M$109&gt;=枚数!$A23,E$2*$A23,0)</f>
        <v>0</v>
      </c>
      <c r="F23">
        <f>IF(HUAWEI製ＰＣＳ接続枚数計算ツール!$M$109&gt;=枚数!$A23,F$2*$A23,0)</f>
        <v>0</v>
      </c>
      <c r="G23">
        <f>IF(HUAWEI製ＰＣＳ接続枚数計算ツール!$M$109&gt;=枚数!$A23,G$2*$A23,0)</f>
        <v>0</v>
      </c>
      <c r="H23">
        <f>IF(HUAWEI製ＰＣＳ接続枚数計算ツール!$M$109&gt;=枚数!$A23,H$2*$A23,0)</f>
        <v>0</v>
      </c>
      <c r="I23">
        <f>IF(HUAWEI製ＰＣＳ接続枚数計算ツール!$M$109&gt;=枚数!$A23,I$2*$A23,0)</f>
        <v>0</v>
      </c>
      <c r="J23">
        <f>IF(HUAWEI製ＰＣＳ接続枚数計算ツール!$M$109&gt;=枚数!$A23,J$2*$A23,0)</f>
        <v>0</v>
      </c>
      <c r="K23">
        <f>IF(HUAWEI製ＰＣＳ接続枚数計算ツール!$M$109&gt;=枚数!$A23,K$2*$A23,0)</f>
        <v>0</v>
      </c>
      <c r="L23">
        <f>IF(HUAWEI製ＰＣＳ接続枚数計算ツール!$M$109&gt;=枚数!$A23,L$2*$A23,0)</f>
        <v>0</v>
      </c>
      <c r="M23">
        <f>IF(HUAWEI製ＰＣＳ接続枚数計算ツール!$M$109&gt;=枚数!$A23,M$2*$A23,0)</f>
        <v>0</v>
      </c>
      <c r="N23">
        <f>IF(HUAWEI製ＰＣＳ接続枚数計算ツール!$M$109&gt;=枚数!$A23,N$2*$A23,0)</f>
        <v>0</v>
      </c>
      <c r="O23">
        <f>IF(HUAWEI製ＰＣＳ接続枚数計算ツール!$M$109&gt;=枚数!$A23,O$2*$A23,0)</f>
        <v>0</v>
      </c>
      <c r="P23">
        <f>IF(HUAWEI製ＰＣＳ接続枚数計算ツール!$M$109&gt;=枚数!$A23,P$2*$A23,0)</f>
        <v>0</v>
      </c>
      <c r="Q23">
        <f>IF(HUAWEI製ＰＣＳ接続枚数計算ツール!$M$109&gt;=枚数!$A23,Q$2*$A23,0)</f>
        <v>0</v>
      </c>
      <c r="R23">
        <f>IF(HUAWEI製ＰＣＳ接続枚数計算ツール!$M$109&gt;=枚数!$A23,R$2*$A23,0)</f>
        <v>0</v>
      </c>
      <c r="S23">
        <f>IF(HUAWEI製ＰＣＳ接続枚数計算ツール!$M$109&gt;=枚数!$A23,S$2*$A23,0)</f>
        <v>0</v>
      </c>
      <c r="T23">
        <f>IF(HUAWEI製ＰＣＳ接続枚数計算ツール!$M$109&gt;=枚数!$A23,T$2*$A23,0)</f>
        <v>0</v>
      </c>
      <c r="U23">
        <f>IF(HUAWEI製ＰＣＳ接続枚数計算ツール!$M$109&gt;=枚数!$A23,U$2*$A23,0)</f>
        <v>0</v>
      </c>
      <c r="V23">
        <f>IF(HUAWEI製ＰＣＳ接続枚数計算ツール!$M$109&gt;=枚数!$A23,V$2*$A23,0)</f>
        <v>0</v>
      </c>
      <c r="W23">
        <f>IF(HUAWEI製ＰＣＳ接続枚数計算ツール!$M$109&gt;=枚数!$A23,W$2*$A23,0)</f>
        <v>0</v>
      </c>
      <c r="X23">
        <f>IF(HUAWEI製ＰＣＳ接続枚数計算ツール!$M$109&gt;=枚数!$A23,X$2*$A23,0)</f>
        <v>0</v>
      </c>
      <c r="Y23">
        <f>IF(HUAWEI製ＰＣＳ接続枚数計算ツール!$M$109&gt;=枚数!$A23,Y$2*$A23,0)</f>
        <v>0</v>
      </c>
      <c r="Z23">
        <f>IF(HUAWEI製ＰＣＳ接続枚数計算ツール!$M$109&gt;=枚数!$A23,Z$2*$A23,0)</f>
        <v>0</v>
      </c>
      <c r="AA23">
        <f>IF(HUAWEI製ＰＣＳ接続枚数計算ツール!$M$109&gt;=枚数!$A23,AA$2*$A23,0)</f>
        <v>0</v>
      </c>
      <c r="AB23">
        <f>IF(HUAWEI製ＰＣＳ接続枚数計算ツール!$M$109&gt;=枚数!$A23,AB$2*$A23,0)</f>
        <v>0</v>
      </c>
      <c r="AC23">
        <f>IF(HUAWEI製ＰＣＳ接続枚数計算ツール!$M$109&gt;=枚数!$A23,AC$2*$A23,0)</f>
        <v>0</v>
      </c>
      <c r="AD23">
        <f>IF(HUAWEI製ＰＣＳ接続枚数計算ツール!$M$109&gt;=枚数!$A23,AD$2*$A23,0)</f>
        <v>0</v>
      </c>
      <c r="AE23">
        <f>IF(HUAWEI製ＰＣＳ接続枚数計算ツール!$M$109&gt;=枚数!$A23,AE$2*$A23,0)</f>
        <v>0</v>
      </c>
      <c r="AF23">
        <f>IF(HUAWEI製ＰＣＳ接続枚数計算ツール!$M$109&gt;=枚数!$A23,AF$2*$A23,0)</f>
        <v>0</v>
      </c>
      <c r="AG23">
        <f>IF(HUAWEI製ＰＣＳ接続枚数計算ツール!$M$109&gt;=枚数!$A23,AG$2*$A23,0)</f>
        <v>0</v>
      </c>
      <c r="AH23">
        <f>IF(HUAWEI製ＰＣＳ接続枚数計算ツール!$M$109&gt;=枚数!$A23,AH$2*$A23,0)</f>
        <v>0</v>
      </c>
      <c r="AI23">
        <f>IF(HUAWEI製ＰＣＳ接続枚数計算ツール!$M$109&gt;=枚数!$A23,AI$2*$A23,0)</f>
        <v>0</v>
      </c>
      <c r="AJ23">
        <f>IF(HUAWEI製ＰＣＳ接続枚数計算ツール!$M$109&gt;=枚数!$A23,AJ$2*$A23,0)</f>
        <v>0</v>
      </c>
      <c r="AK23">
        <f>IF(HUAWEI製ＰＣＳ接続枚数計算ツール!$M$109&gt;=枚数!$A23,AK$2*$A23,0)</f>
        <v>0</v>
      </c>
      <c r="AL23">
        <f>IF(HUAWEI製ＰＣＳ接続枚数計算ツール!$M$109&gt;=枚数!$A23,AL$2*$A23,0)</f>
        <v>0</v>
      </c>
      <c r="AM23">
        <f>IF(HUAWEI製ＰＣＳ接続枚数計算ツール!$M$109&gt;=枚数!$A23,AM$2*$A23,0)</f>
        <v>0</v>
      </c>
      <c r="AN23">
        <f>IF(HUAWEI製ＰＣＳ接続枚数計算ツール!$M$109&gt;=枚数!$A23,AN$2*$A23,0)</f>
        <v>0</v>
      </c>
      <c r="AO23">
        <f>IF(HUAWEI製ＰＣＳ接続枚数計算ツール!$M$109&gt;=枚数!$A23,AO$2*$A23,0)</f>
        <v>0</v>
      </c>
    </row>
    <row r="24" spans="1:41">
      <c r="A24">
        <v>22</v>
      </c>
      <c r="B24">
        <f>IF(HUAWEI製ＰＣＳ接続枚数計算ツール!$M$109&gt;=枚数!$A24,B$2*$A24,0)</f>
        <v>0</v>
      </c>
      <c r="C24">
        <f>IF(HUAWEI製ＰＣＳ接続枚数計算ツール!$M$109&gt;=枚数!$A24,C$2*$A24,0)</f>
        <v>0</v>
      </c>
      <c r="D24">
        <f>IF(HUAWEI製ＰＣＳ接続枚数計算ツール!$M$109&gt;=枚数!$A24,D$2*$A24,0)</f>
        <v>0</v>
      </c>
      <c r="E24">
        <f>IF(HUAWEI製ＰＣＳ接続枚数計算ツール!$M$109&gt;=枚数!$A24,E$2*$A24,0)</f>
        <v>0</v>
      </c>
      <c r="F24">
        <f>IF(HUAWEI製ＰＣＳ接続枚数計算ツール!$M$109&gt;=枚数!$A24,F$2*$A24,0)</f>
        <v>0</v>
      </c>
      <c r="G24">
        <f>IF(HUAWEI製ＰＣＳ接続枚数計算ツール!$M$109&gt;=枚数!$A24,G$2*$A24,0)</f>
        <v>0</v>
      </c>
      <c r="H24">
        <f>IF(HUAWEI製ＰＣＳ接続枚数計算ツール!$M$109&gt;=枚数!$A24,H$2*$A24,0)</f>
        <v>0</v>
      </c>
      <c r="I24">
        <f>IF(HUAWEI製ＰＣＳ接続枚数計算ツール!$M$109&gt;=枚数!$A24,I$2*$A24,0)</f>
        <v>0</v>
      </c>
      <c r="J24">
        <f>IF(HUAWEI製ＰＣＳ接続枚数計算ツール!$M$109&gt;=枚数!$A24,J$2*$A24,0)</f>
        <v>0</v>
      </c>
      <c r="K24">
        <f>IF(HUAWEI製ＰＣＳ接続枚数計算ツール!$M$109&gt;=枚数!$A24,K$2*$A24,0)</f>
        <v>0</v>
      </c>
      <c r="L24">
        <f>IF(HUAWEI製ＰＣＳ接続枚数計算ツール!$M$109&gt;=枚数!$A24,L$2*$A24,0)</f>
        <v>0</v>
      </c>
      <c r="M24">
        <f>IF(HUAWEI製ＰＣＳ接続枚数計算ツール!$M$109&gt;=枚数!$A24,M$2*$A24,0)</f>
        <v>0</v>
      </c>
      <c r="N24">
        <f>IF(HUAWEI製ＰＣＳ接続枚数計算ツール!$M$109&gt;=枚数!$A24,N$2*$A24,0)</f>
        <v>0</v>
      </c>
      <c r="O24">
        <f>IF(HUAWEI製ＰＣＳ接続枚数計算ツール!$M$109&gt;=枚数!$A24,O$2*$A24,0)</f>
        <v>0</v>
      </c>
      <c r="P24">
        <f>IF(HUAWEI製ＰＣＳ接続枚数計算ツール!$M$109&gt;=枚数!$A24,P$2*$A24,0)</f>
        <v>0</v>
      </c>
      <c r="Q24">
        <f>IF(HUAWEI製ＰＣＳ接続枚数計算ツール!$M$109&gt;=枚数!$A24,Q$2*$A24,0)</f>
        <v>0</v>
      </c>
      <c r="R24">
        <f>IF(HUAWEI製ＰＣＳ接続枚数計算ツール!$M$109&gt;=枚数!$A24,R$2*$A24,0)</f>
        <v>0</v>
      </c>
      <c r="S24">
        <f>IF(HUAWEI製ＰＣＳ接続枚数計算ツール!$M$109&gt;=枚数!$A24,S$2*$A24,0)</f>
        <v>0</v>
      </c>
      <c r="T24">
        <f>IF(HUAWEI製ＰＣＳ接続枚数計算ツール!$M$109&gt;=枚数!$A24,T$2*$A24,0)</f>
        <v>0</v>
      </c>
      <c r="U24">
        <f>IF(HUAWEI製ＰＣＳ接続枚数計算ツール!$M$109&gt;=枚数!$A24,U$2*$A24,0)</f>
        <v>0</v>
      </c>
      <c r="V24">
        <f>IF(HUAWEI製ＰＣＳ接続枚数計算ツール!$M$109&gt;=枚数!$A24,V$2*$A24,0)</f>
        <v>0</v>
      </c>
      <c r="W24">
        <f>IF(HUAWEI製ＰＣＳ接続枚数計算ツール!$M$109&gt;=枚数!$A24,W$2*$A24,0)</f>
        <v>0</v>
      </c>
      <c r="X24">
        <f>IF(HUAWEI製ＰＣＳ接続枚数計算ツール!$M$109&gt;=枚数!$A24,X$2*$A24,0)</f>
        <v>0</v>
      </c>
      <c r="Y24">
        <f>IF(HUAWEI製ＰＣＳ接続枚数計算ツール!$M$109&gt;=枚数!$A24,Y$2*$A24,0)</f>
        <v>0</v>
      </c>
      <c r="Z24">
        <f>IF(HUAWEI製ＰＣＳ接続枚数計算ツール!$M$109&gt;=枚数!$A24,Z$2*$A24,0)</f>
        <v>0</v>
      </c>
      <c r="AA24">
        <f>IF(HUAWEI製ＰＣＳ接続枚数計算ツール!$M$109&gt;=枚数!$A24,AA$2*$A24,0)</f>
        <v>0</v>
      </c>
      <c r="AB24">
        <f>IF(HUAWEI製ＰＣＳ接続枚数計算ツール!$M$109&gt;=枚数!$A24,AB$2*$A24,0)</f>
        <v>0</v>
      </c>
      <c r="AC24">
        <f>IF(HUAWEI製ＰＣＳ接続枚数計算ツール!$M$109&gt;=枚数!$A24,AC$2*$A24,0)</f>
        <v>0</v>
      </c>
      <c r="AD24">
        <f>IF(HUAWEI製ＰＣＳ接続枚数計算ツール!$M$109&gt;=枚数!$A24,AD$2*$A24,0)</f>
        <v>0</v>
      </c>
      <c r="AE24">
        <f>IF(HUAWEI製ＰＣＳ接続枚数計算ツール!$M$109&gt;=枚数!$A24,AE$2*$A24,0)</f>
        <v>0</v>
      </c>
      <c r="AF24">
        <f>IF(HUAWEI製ＰＣＳ接続枚数計算ツール!$M$109&gt;=枚数!$A24,AF$2*$A24,0)</f>
        <v>0</v>
      </c>
      <c r="AG24">
        <f>IF(HUAWEI製ＰＣＳ接続枚数計算ツール!$M$109&gt;=枚数!$A24,AG$2*$A24,0)</f>
        <v>0</v>
      </c>
      <c r="AH24">
        <f>IF(HUAWEI製ＰＣＳ接続枚数計算ツール!$M$109&gt;=枚数!$A24,AH$2*$A24,0)</f>
        <v>0</v>
      </c>
      <c r="AI24">
        <f>IF(HUAWEI製ＰＣＳ接続枚数計算ツール!$M$109&gt;=枚数!$A24,AI$2*$A24,0)</f>
        <v>0</v>
      </c>
      <c r="AJ24">
        <f>IF(HUAWEI製ＰＣＳ接続枚数計算ツール!$M$109&gt;=枚数!$A24,AJ$2*$A24,0)</f>
        <v>0</v>
      </c>
      <c r="AK24">
        <f>IF(HUAWEI製ＰＣＳ接続枚数計算ツール!$M$109&gt;=枚数!$A24,AK$2*$A24,0)</f>
        <v>0</v>
      </c>
      <c r="AL24">
        <f>IF(HUAWEI製ＰＣＳ接続枚数計算ツール!$M$109&gt;=枚数!$A24,AL$2*$A24,0)</f>
        <v>0</v>
      </c>
      <c r="AM24">
        <f>IF(HUAWEI製ＰＣＳ接続枚数計算ツール!$M$109&gt;=枚数!$A24,AM$2*$A24,0)</f>
        <v>0</v>
      </c>
      <c r="AN24">
        <f>IF(HUAWEI製ＰＣＳ接続枚数計算ツール!$M$109&gt;=枚数!$A24,AN$2*$A24,0)</f>
        <v>0</v>
      </c>
      <c r="AO24">
        <f>IF(HUAWEI製ＰＣＳ接続枚数計算ツール!$M$109&gt;=枚数!$A24,AO$2*$A24,0)</f>
        <v>0</v>
      </c>
    </row>
    <row r="25" spans="1:41">
      <c r="A25">
        <v>23</v>
      </c>
      <c r="B25">
        <f>IF(HUAWEI製ＰＣＳ接続枚数計算ツール!$M$109&gt;=枚数!$A25,B$2*$A25,0)</f>
        <v>0</v>
      </c>
      <c r="C25">
        <f>IF(HUAWEI製ＰＣＳ接続枚数計算ツール!$M$109&gt;=枚数!$A25,C$2*$A25,0)</f>
        <v>0</v>
      </c>
      <c r="D25">
        <f>IF(HUAWEI製ＰＣＳ接続枚数計算ツール!$M$109&gt;=枚数!$A25,D$2*$A25,0)</f>
        <v>0</v>
      </c>
      <c r="E25">
        <f>IF(HUAWEI製ＰＣＳ接続枚数計算ツール!$M$109&gt;=枚数!$A25,E$2*$A25,0)</f>
        <v>0</v>
      </c>
      <c r="F25">
        <f>IF(HUAWEI製ＰＣＳ接続枚数計算ツール!$M$109&gt;=枚数!$A25,F$2*$A25,0)</f>
        <v>0</v>
      </c>
      <c r="G25">
        <f>IF(HUAWEI製ＰＣＳ接続枚数計算ツール!$M$109&gt;=枚数!$A25,G$2*$A25,0)</f>
        <v>0</v>
      </c>
      <c r="H25">
        <f>IF(HUAWEI製ＰＣＳ接続枚数計算ツール!$M$109&gt;=枚数!$A25,H$2*$A25,0)</f>
        <v>0</v>
      </c>
      <c r="I25">
        <f>IF(HUAWEI製ＰＣＳ接続枚数計算ツール!$M$109&gt;=枚数!$A25,I$2*$A25,0)</f>
        <v>0</v>
      </c>
      <c r="J25">
        <f>IF(HUAWEI製ＰＣＳ接続枚数計算ツール!$M$109&gt;=枚数!$A25,J$2*$A25,0)</f>
        <v>0</v>
      </c>
      <c r="K25">
        <f>IF(HUAWEI製ＰＣＳ接続枚数計算ツール!$M$109&gt;=枚数!$A25,K$2*$A25,0)</f>
        <v>0</v>
      </c>
      <c r="L25">
        <f>IF(HUAWEI製ＰＣＳ接続枚数計算ツール!$M$109&gt;=枚数!$A25,L$2*$A25,0)</f>
        <v>0</v>
      </c>
      <c r="M25">
        <f>IF(HUAWEI製ＰＣＳ接続枚数計算ツール!$M$109&gt;=枚数!$A25,M$2*$A25,0)</f>
        <v>0</v>
      </c>
      <c r="N25">
        <f>IF(HUAWEI製ＰＣＳ接続枚数計算ツール!$M$109&gt;=枚数!$A25,N$2*$A25,0)</f>
        <v>0</v>
      </c>
      <c r="O25">
        <f>IF(HUAWEI製ＰＣＳ接続枚数計算ツール!$M$109&gt;=枚数!$A25,O$2*$A25,0)</f>
        <v>0</v>
      </c>
      <c r="P25">
        <f>IF(HUAWEI製ＰＣＳ接続枚数計算ツール!$M$109&gt;=枚数!$A25,P$2*$A25,0)</f>
        <v>0</v>
      </c>
      <c r="Q25">
        <f>IF(HUAWEI製ＰＣＳ接続枚数計算ツール!$M$109&gt;=枚数!$A25,Q$2*$A25,0)</f>
        <v>0</v>
      </c>
      <c r="R25">
        <f>IF(HUAWEI製ＰＣＳ接続枚数計算ツール!$M$109&gt;=枚数!$A25,R$2*$A25,0)</f>
        <v>0</v>
      </c>
      <c r="S25">
        <f>IF(HUAWEI製ＰＣＳ接続枚数計算ツール!$M$109&gt;=枚数!$A25,S$2*$A25,0)</f>
        <v>0</v>
      </c>
      <c r="T25">
        <f>IF(HUAWEI製ＰＣＳ接続枚数計算ツール!$M$109&gt;=枚数!$A25,T$2*$A25,0)</f>
        <v>0</v>
      </c>
      <c r="U25">
        <f>IF(HUAWEI製ＰＣＳ接続枚数計算ツール!$M$109&gt;=枚数!$A25,U$2*$A25,0)</f>
        <v>0</v>
      </c>
      <c r="V25">
        <f>IF(HUAWEI製ＰＣＳ接続枚数計算ツール!$M$109&gt;=枚数!$A25,V$2*$A25,0)</f>
        <v>0</v>
      </c>
      <c r="W25">
        <f>IF(HUAWEI製ＰＣＳ接続枚数計算ツール!$M$109&gt;=枚数!$A25,W$2*$A25,0)</f>
        <v>0</v>
      </c>
      <c r="X25">
        <f>IF(HUAWEI製ＰＣＳ接続枚数計算ツール!$M$109&gt;=枚数!$A25,X$2*$A25,0)</f>
        <v>0</v>
      </c>
      <c r="Y25">
        <f>IF(HUAWEI製ＰＣＳ接続枚数計算ツール!$M$109&gt;=枚数!$A25,Y$2*$A25,0)</f>
        <v>0</v>
      </c>
      <c r="Z25">
        <f>IF(HUAWEI製ＰＣＳ接続枚数計算ツール!$M$109&gt;=枚数!$A25,Z$2*$A25,0)</f>
        <v>0</v>
      </c>
      <c r="AA25">
        <f>IF(HUAWEI製ＰＣＳ接続枚数計算ツール!$M$109&gt;=枚数!$A25,AA$2*$A25,0)</f>
        <v>0</v>
      </c>
      <c r="AB25">
        <f>IF(HUAWEI製ＰＣＳ接続枚数計算ツール!$M$109&gt;=枚数!$A25,AB$2*$A25,0)</f>
        <v>0</v>
      </c>
      <c r="AC25">
        <f>IF(HUAWEI製ＰＣＳ接続枚数計算ツール!$M$109&gt;=枚数!$A25,AC$2*$A25,0)</f>
        <v>0</v>
      </c>
      <c r="AD25">
        <f>IF(HUAWEI製ＰＣＳ接続枚数計算ツール!$M$109&gt;=枚数!$A25,AD$2*$A25,0)</f>
        <v>0</v>
      </c>
      <c r="AE25">
        <f>IF(HUAWEI製ＰＣＳ接続枚数計算ツール!$M$109&gt;=枚数!$A25,AE$2*$A25,0)</f>
        <v>0</v>
      </c>
      <c r="AF25">
        <f>IF(HUAWEI製ＰＣＳ接続枚数計算ツール!$M$109&gt;=枚数!$A25,AF$2*$A25,0)</f>
        <v>0</v>
      </c>
      <c r="AG25">
        <f>IF(HUAWEI製ＰＣＳ接続枚数計算ツール!$M$109&gt;=枚数!$A25,AG$2*$A25,0)</f>
        <v>0</v>
      </c>
      <c r="AH25">
        <f>IF(HUAWEI製ＰＣＳ接続枚数計算ツール!$M$109&gt;=枚数!$A25,AH$2*$A25,0)</f>
        <v>0</v>
      </c>
      <c r="AI25">
        <f>IF(HUAWEI製ＰＣＳ接続枚数計算ツール!$M$109&gt;=枚数!$A25,AI$2*$A25,0)</f>
        <v>0</v>
      </c>
      <c r="AJ25">
        <f>IF(HUAWEI製ＰＣＳ接続枚数計算ツール!$M$109&gt;=枚数!$A25,AJ$2*$A25,0)</f>
        <v>0</v>
      </c>
      <c r="AK25">
        <f>IF(HUAWEI製ＰＣＳ接続枚数計算ツール!$M$109&gt;=枚数!$A25,AK$2*$A25,0)</f>
        <v>0</v>
      </c>
      <c r="AL25">
        <f>IF(HUAWEI製ＰＣＳ接続枚数計算ツール!$M$109&gt;=枚数!$A25,AL$2*$A25,0)</f>
        <v>0</v>
      </c>
      <c r="AM25">
        <f>IF(HUAWEI製ＰＣＳ接続枚数計算ツール!$M$109&gt;=枚数!$A25,AM$2*$A25,0)</f>
        <v>0</v>
      </c>
      <c r="AN25">
        <f>IF(HUAWEI製ＰＣＳ接続枚数計算ツール!$M$109&gt;=枚数!$A25,AN$2*$A25,0)</f>
        <v>0</v>
      </c>
      <c r="AO25">
        <f>IF(HUAWEI製ＰＣＳ接続枚数計算ツール!$M$109&gt;=枚数!$A25,AO$2*$A25,0)</f>
        <v>0</v>
      </c>
    </row>
    <row r="26" spans="1:41">
      <c r="A26">
        <v>24</v>
      </c>
      <c r="B26">
        <f>IF(HUAWEI製ＰＣＳ接続枚数計算ツール!$M$109&gt;=枚数!$A26,B$2*$A26,0)</f>
        <v>0</v>
      </c>
      <c r="C26">
        <f>IF(HUAWEI製ＰＣＳ接続枚数計算ツール!$M$109&gt;=枚数!$A26,C$2*$A26,0)</f>
        <v>0</v>
      </c>
      <c r="D26">
        <f>IF(HUAWEI製ＰＣＳ接続枚数計算ツール!$M$109&gt;=枚数!$A26,D$2*$A26,0)</f>
        <v>0</v>
      </c>
      <c r="E26">
        <f>IF(HUAWEI製ＰＣＳ接続枚数計算ツール!$M$109&gt;=枚数!$A26,E$2*$A26,0)</f>
        <v>0</v>
      </c>
      <c r="F26">
        <f>IF(HUAWEI製ＰＣＳ接続枚数計算ツール!$M$109&gt;=枚数!$A26,F$2*$A26,0)</f>
        <v>0</v>
      </c>
      <c r="G26">
        <f>IF(HUAWEI製ＰＣＳ接続枚数計算ツール!$M$109&gt;=枚数!$A26,G$2*$A26,0)</f>
        <v>0</v>
      </c>
      <c r="H26">
        <f>IF(HUAWEI製ＰＣＳ接続枚数計算ツール!$M$109&gt;=枚数!$A26,H$2*$A26,0)</f>
        <v>0</v>
      </c>
      <c r="I26">
        <f>IF(HUAWEI製ＰＣＳ接続枚数計算ツール!$M$109&gt;=枚数!$A26,I$2*$A26,0)</f>
        <v>0</v>
      </c>
      <c r="J26">
        <f>IF(HUAWEI製ＰＣＳ接続枚数計算ツール!$M$109&gt;=枚数!$A26,J$2*$A26,0)</f>
        <v>0</v>
      </c>
      <c r="K26">
        <f>IF(HUAWEI製ＰＣＳ接続枚数計算ツール!$M$109&gt;=枚数!$A26,K$2*$A26,0)</f>
        <v>0</v>
      </c>
      <c r="L26">
        <f>IF(HUAWEI製ＰＣＳ接続枚数計算ツール!$M$109&gt;=枚数!$A26,L$2*$A26,0)</f>
        <v>0</v>
      </c>
      <c r="M26">
        <f>IF(HUAWEI製ＰＣＳ接続枚数計算ツール!$M$109&gt;=枚数!$A26,M$2*$A26,0)</f>
        <v>0</v>
      </c>
      <c r="N26">
        <f>IF(HUAWEI製ＰＣＳ接続枚数計算ツール!$M$109&gt;=枚数!$A26,N$2*$A26,0)</f>
        <v>0</v>
      </c>
      <c r="O26">
        <f>IF(HUAWEI製ＰＣＳ接続枚数計算ツール!$M$109&gt;=枚数!$A26,O$2*$A26,0)</f>
        <v>0</v>
      </c>
      <c r="P26">
        <f>IF(HUAWEI製ＰＣＳ接続枚数計算ツール!$M$109&gt;=枚数!$A26,P$2*$A26,0)</f>
        <v>0</v>
      </c>
      <c r="Q26">
        <f>IF(HUAWEI製ＰＣＳ接続枚数計算ツール!$M$109&gt;=枚数!$A26,Q$2*$A26,0)</f>
        <v>0</v>
      </c>
      <c r="R26">
        <f>IF(HUAWEI製ＰＣＳ接続枚数計算ツール!$M$109&gt;=枚数!$A26,R$2*$A26,0)</f>
        <v>0</v>
      </c>
      <c r="S26">
        <f>IF(HUAWEI製ＰＣＳ接続枚数計算ツール!$M$109&gt;=枚数!$A26,S$2*$A26,0)</f>
        <v>0</v>
      </c>
      <c r="T26">
        <f>IF(HUAWEI製ＰＣＳ接続枚数計算ツール!$M$109&gt;=枚数!$A26,T$2*$A26,0)</f>
        <v>0</v>
      </c>
      <c r="U26">
        <f>IF(HUAWEI製ＰＣＳ接続枚数計算ツール!$M$109&gt;=枚数!$A26,U$2*$A26,0)</f>
        <v>0</v>
      </c>
      <c r="V26">
        <f>IF(HUAWEI製ＰＣＳ接続枚数計算ツール!$M$109&gt;=枚数!$A26,V$2*$A26,0)</f>
        <v>0</v>
      </c>
      <c r="W26">
        <f>IF(HUAWEI製ＰＣＳ接続枚数計算ツール!$M$109&gt;=枚数!$A26,W$2*$A26,0)</f>
        <v>0</v>
      </c>
      <c r="X26">
        <f>IF(HUAWEI製ＰＣＳ接続枚数計算ツール!$M$109&gt;=枚数!$A26,X$2*$A26,0)</f>
        <v>0</v>
      </c>
      <c r="Y26">
        <f>IF(HUAWEI製ＰＣＳ接続枚数計算ツール!$M$109&gt;=枚数!$A26,Y$2*$A26,0)</f>
        <v>0</v>
      </c>
      <c r="Z26">
        <f>IF(HUAWEI製ＰＣＳ接続枚数計算ツール!$M$109&gt;=枚数!$A26,Z$2*$A26,0)</f>
        <v>0</v>
      </c>
      <c r="AA26">
        <f>IF(HUAWEI製ＰＣＳ接続枚数計算ツール!$M$109&gt;=枚数!$A26,AA$2*$A26,0)</f>
        <v>0</v>
      </c>
      <c r="AB26">
        <f>IF(HUAWEI製ＰＣＳ接続枚数計算ツール!$M$109&gt;=枚数!$A26,AB$2*$A26,0)</f>
        <v>0</v>
      </c>
      <c r="AC26">
        <f>IF(HUAWEI製ＰＣＳ接続枚数計算ツール!$M$109&gt;=枚数!$A26,AC$2*$A26,0)</f>
        <v>0</v>
      </c>
      <c r="AD26">
        <f>IF(HUAWEI製ＰＣＳ接続枚数計算ツール!$M$109&gt;=枚数!$A26,AD$2*$A26,0)</f>
        <v>0</v>
      </c>
      <c r="AE26">
        <f>IF(HUAWEI製ＰＣＳ接続枚数計算ツール!$M$109&gt;=枚数!$A26,AE$2*$A26,0)</f>
        <v>0</v>
      </c>
      <c r="AF26">
        <f>IF(HUAWEI製ＰＣＳ接続枚数計算ツール!$M$109&gt;=枚数!$A26,AF$2*$A26,0)</f>
        <v>0</v>
      </c>
      <c r="AG26">
        <f>IF(HUAWEI製ＰＣＳ接続枚数計算ツール!$M$109&gt;=枚数!$A26,AG$2*$A26,0)</f>
        <v>0</v>
      </c>
      <c r="AH26">
        <f>IF(HUAWEI製ＰＣＳ接続枚数計算ツール!$M$109&gt;=枚数!$A26,AH$2*$A26,0)</f>
        <v>0</v>
      </c>
      <c r="AI26">
        <f>IF(HUAWEI製ＰＣＳ接続枚数計算ツール!$M$109&gt;=枚数!$A26,AI$2*$A26,0)</f>
        <v>0</v>
      </c>
      <c r="AJ26">
        <f>IF(HUAWEI製ＰＣＳ接続枚数計算ツール!$M$109&gt;=枚数!$A26,AJ$2*$A26,0)</f>
        <v>0</v>
      </c>
      <c r="AK26">
        <f>IF(HUAWEI製ＰＣＳ接続枚数計算ツール!$M$109&gt;=枚数!$A26,AK$2*$A26,0)</f>
        <v>0</v>
      </c>
      <c r="AL26">
        <f>IF(HUAWEI製ＰＣＳ接続枚数計算ツール!$M$109&gt;=枚数!$A26,AL$2*$A26,0)</f>
        <v>0</v>
      </c>
      <c r="AM26">
        <f>IF(HUAWEI製ＰＣＳ接続枚数計算ツール!$M$109&gt;=枚数!$A26,AM$2*$A26,0)</f>
        <v>0</v>
      </c>
      <c r="AN26">
        <f>IF(HUAWEI製ＰＣＳ接続枚数計算ツール!$M$109&gt;=枚数!$A26,AN$2*$A26,0)</f>
        <v>0</v>
      </c>
      <c r="AO26">
        <f>IF(HUAWEI製ＰＣＳ接続枚数計算ツール!$M$109&gt;=枚数!$A26,AO$2*$A26,0)</f>
        <v>0</v>
      </c>
    </row>
    <row r="27" spans="1:41">
      <c r="A27">
        <v>25</v>
      </c>
      <c r="B27">
        <f>IF(HUAWEI製ＰＣＳ接続枚数計算ツール!$M$109&gt;=枚数!$A27,B$2*$A27,0)</f>
        <v>0</v>
      </c>
      <c r="C27">
        <f>IF(HUAWEI製ＰＣＳ接続枚数計算ツール!$M$109&gt;=枚数!$A27,C$2*$A27,0)</f>
        <v>0</v>
      </c>
      <c r="D27">
        <f>IF(HUAWEI製ＰＣＳ接続枚数計算ツール!$M$109&gt;=枚数!$A27,D$2*$A27,0)</f>
        <v>0</v>
      </c>
      <c r="E27">
        <f>IF(HUAWEI製ＰＣＳ接続枚数計算ツール!$M$109&gt;=枚数!$A27,E$2*$A27,0)</f>
        <v>0</v>
      </c>
      <c r="F27">
        <f>IF(HUAWEI製ＰＣＳ接続枚数計算ツール!$M$109&gt;=枚数!$A27,F$2*$A27,0)</f>
        <v>0</v>
      </c>
      <c r="G27">
        <f>IF(HUAWEI製ＰＣＳ接続枚数計算ツール!$M$109&gt;=枚数!$A27,G$2*$A27,0)</f>
        <v>0</v>
      </c>
      <c r="H27">
        <f>IF(HUAWEI製ＰＣＳ接続枚数計算ツール!$M$109&gt;=枚数!$A27,H$2*$A27,0)</f>
        <v>0</v>
      </c>
      <c r="I27">
        <f>IF(HUAWEI製ＰＣＳ接続枚数計算ツール!$M$109&gt;=枚数!$A27,I$2*$A27,0)</f>
        <v>0</v>
      </c>
      <c r="J27">
        <f>IF(HUAWEI製ＰＣＳ接続枚数計算ツール!$M$109&gt;=枚数!$A27,J$2*$A27,0)</f>
        <v>0</v>
      </c>
      <c r="K27">
        <f>IF(HUAWEI製ＰＣＳ接続枚数計算ツール!$M$109&gt;=枚数!$A27,K$2*$A27,0)</f>
        <v>0</v>
      </c>
      <c r="L27">
        <f>IF(HUAWEI製ＰＣＳ接続枚数計算ツール!$M$109&gt;=枚数!$A27,L$2*$A27,0)</f>
        <v>0</v>
      </c>
      <c r="M27">
        <f>IF(HUAWEI製ＰＣＳ接続枚数計算ツール!$M$109&gt;=枚数!$A27,M$2*$A27,0)</f>
        <v>0</v>
      </c>
      <c r="N27">
        <f>IF(HUAWEI製ＰＣＳ接続枚数計算ツール!$M$109&gt;=枚数!$A27,N$2*$A27,0)</f>
        <v>0</v>
      </c>
      <c r="O27">
        <f>IF(HUAWEI製ＰＣＳ接続枚数計算ツール!$M$109&gt;=枚数!$A27,O$2*$A27,0)</f>
        <v>0</v>
      </c>
      <c r="P27">
        <f>IF(HUAWEI製ＰＣＳ接続枚数計算ツール!$M$109&gt;=枚数!$A27,P$2*$A27,0)</f>
        <v>0</v>
      </c>
      <c r="Q27">
        <f>IF(HUAWEI製ＰＣＳ接続枚数計算ツール!$M$109&gt;=枚数!$A27,Q$2*$A27,0)</f>
        <v>0</v>
      </c>
      <c r="R27">
        <f>IF(HUAWEI製ＰＣＳ接続枚数計算ツール!$M$109&gt;=枚数!$A27,R$2*$A27,0)</f>
        <v>0</v>
      </c>
      <c r="S27">
        <f>IF(HUAWEI製ＰＣＳ接続枚数計算ツール!$M$109&gt;=枚数!$A27,S$2*$A27,0)</f>
        <v>0</v>
      </c>
      <c r="T27">
        <f>IF(HUAWEI製ＰＣＳ接続枚数計算ツール!$M$109&gt;=枚数!$A27,T$2*$A27,0)</f>
        <v>0</v>
      </c>
      <c r="U27">
        <f>IF(HUAWEI製ＰＣＳ接続枚数計算ツール!$M$109&gt;=枚数!$A27,U$2*$A27,0)</f>
        <v>0</v>
      </c>
      <c r="V27">
        <f>IF(HUAWEI製ＰＣＳ接続枚数計算ツール!$M$109&gt;=枚数!$A27,V$2*$A27,0)</f>
        <v>0</v>
      </c>
      <c r="W27">
        <f>IF(HUAWEI製ＰＣＳ接続枚数計算ツール!$M$109&gt;=枚数!$A27,W$2*$A27,0)</f>
        <v>0</v>
      </c>
      <c r="X27">
        <f>IF(HUAWEI製ＰＣＳ接続枚数計算ツール!$M$109&gt;=枚数!$A27,X$2*$A27,0)</f>
        <v>0</v>
      </c>
      <c r="Y27">
        <f>IF(HUAWEI製ＰＣＳ接続枚数計算ツール!$M$109&gt;=枚数!$A27,Y$2*$A27,0)</f>
        <v>0</v>
      </c>
      <c r="Z27">
        <f>IF(HUAWEI製ＰＣＳ接続枚数計算ツール!$M$109&gt;=枚数!$A27,Z$2*$A27,0)</f>
        <v>0</v>
      </c>
      <c r="AA27">
        <f>IF(HUAWEI製ＰＣＳ接続枚数計算ツール!$M$109&gt;=枚数!$A27,AA$2*$A27,0)</f>
        <v>0</v>
      </c>
      <c r="AB27">
        <f>IF(HUAWEI製ＰＣＳ接続枚数計算ツール!$M$109&gt;=枚数!$A27,AB$2*$A27,0)</f>
        <v>0</v>
      </c>
      <c r="AC27">
        <f>IF(HUAWEI製ＰＣＳ接続枚数計算ツール!$M$109&gt;=枚数!$A27,AC$2*$A27,0)</f>
        <v>0</v>
      </c>
      <c r="AD27">
        <f>IF(HUAWEI製ＰＣＳ接続枚数計算ツール!$M$109&gt;=枚数!$A27,AD$2*$A27,0)</f>
        <v>0</v>
      </c>
      <c r="AE27">
        <f>IF(HUAWEI製ＰＣＳ接続枚数計算ツール!$M$109&gt;=枚数!$A27,AE$2*$A27,0)</f>
        <v>0</v>
      </c>
      <c r="AF27">
        <f>IF(HUAWEI製ＰＣＳ接続枚数計算ツール!$M$109&gt;=枚数!$A27,AF$2*$A27,0)</f>
        <v>0</v>
      </c>
      <c r="AG27">
        <f>IF(HUAWEI製ＰＣＳ接続枚数計算ツール!$M$109&gt;=枚数!$A27,AG$2*$A27,0)</f>
        <v>0</v>
      </c>
      <c r="AH27">
        <f>IF(HUAWEI製ＰＣＳ接続枚数計算ツール!$M$109&gt;=枚数!$A27,AH$2*$A27,0)</f>
        <v>0</v>
      </c>
      <c r="AI27">
        <f>IF(HUAWEI製ＰＣＳ接続枚数計算ツール!$M$109&gt;=枚数!$A27,AI$2*$A27,0)</f>
        <v>0</v>
      </c>
      <c r="AJ27">
        <f>IF(HUAWEI製ＰＣＳ接続枚数計算ツール!$M$109&gt;=枚数!$A27,AJ$2*$A27,0)</f>
        <v>0</v>
      </c>
      <c r="AK27">
        <f>IF(HUAWEI製ＰＣＳ接続枚数計算ツール!$M$109&gt;=枚数!$A27,AK$2*$A27,0)</f>
        <v>0</v>
      </c>
      <c r="AL27">
        <f>IF(HUAWEI製ＰＣＳ接続枚数計算ツール!$M$109&gt;=枚数!$A27,AL$2*$A27,0)</f>
        <v>0</v>
      </c>
      <c r="AM27">
        <f>IF(HUAWEI製ＰＣＳ接続枚数計算ツール!$M$109&gt;=枚数!$A27,AM$2*$A27,0)</f>
        <v>0</v>
      </c>
      <c r="AN27">
        <f>IF(HUAWEI製ＰＣＳ接続枚数計算ツール!$M$109&gt;=枚数!$A27,AN$2*$A27,0)</f>
        <v>0</v>
      </c>
      <c r="AO27">
        <f>IF(HUAWEI製ＰＣＳ接続枚数計算ツール!$M$109&gt;=枚数!$A27,AO$2*$A27,0)</f>
        <v>0</v>
      </c>
    </row>
    <row r="28" spans="1:41">
      <c r="A28">
        <v>26</v>
      </c>
      <c r="B28">
        <f>IF(HUAWEI製ＰＣＳ接続枚数計算ツール!$M$109&gt;=枚数!$A28,B$2*$A28,0)</f>
        <v>0</v>
      </c>
      <c r="C28">
        <f>IF(HUAWEI製ＰＣＳ接続枚数計算ツール!$M$109&gt;=枚数!$A28,C$2*$A28,0)</f>
        <v>0</v>
      </c>
      <c r="D28">
        <f>IF(HUAWEI製ＰＣＳ接続枚数計算ツール!$M$109&gt;=枚数!$A28,D$2*$A28,0)</f>
        <v>0</v>
      </c>
      <c r="E28">
        <f>IF(HUAWEI製ＰＣＳ接続枚数計算ツール!$M$109&gt;=枚数!$A28,E$2*$A28,0)</f>
        <v>0</v>
      </c>
      <c r="F28">
        <f>IF(HUAWEI製ＰＣＳ接続枚数計算ツール!$M$109&gt;=枚数!$A28,F$2*$A28,0)</f>
        <v>0</v>
      </c>
      <c r="G28">
        <f>IF(HUAWEI製ＰＣＳ接続枚数計算ツール!$M$109&gt;=枚数!$A28,G$2*$A28,0)</f>
        <v>0</v>
      </c>
      <c r="H28">
        <f>IF(HUAWEI製ＰＣＳ接続枚数計算ツール!$M$109&gt;=枚数!$A28,H$2*$A28,0)</f>
        <v>0</v>
      </c>
      <c r="I28">
        <f>IF(HUAWEI製ＰＣＳ接続枚数計算ツール!$M$109&gt;=枚数!$A28,I$2*$A28,0)</f>
        <v>0</v>
      </c>
      <c r="J28">
        <f>IF(HUAWEI製ＰＣＳ接続枚数計算ツール!$M$109&gt;=枚数!$A28,J$2*$A28,0)</f>
        <v>0</v>
      </c>
      <c r="K28">
        <f>IF(HUAWEI製ＰＣＳ接続枚数計算ツール!$M$109&gt;=枚数!$A28,K$2*$A28,0)</f>
        <v>0</v>
      </c>
      <c r="L28">
        <f>IF(HUAWEI製ＰＣＳ接続枚数計算ツール!$M$109&gt;=枚数!$A28,L$2*$A28,0)</f>
        <v>0</v>
      </c>
      <c r="M28">
        <f>IF(HUAWEI製ＰＣＳ接続枚数計算ツール!$M$109&gt;=枚数!$A28,M$2*$A28,0)</f>
        <v>0</v>
      </c>
      <c r="N28">
        <f>IF(HUAWEI製ＰＣＳ接続枚数計算ツール!$M$109&gt;=枚数!$A28,N$2*$A28,0)</f>
        <v>0</v>
      </c>
      <c r="O28">
        <f>IF(HUAWEI製ＰＣＳ接続枚数計算ツール!$M$109&gt;=枚数!$A28,O$2*$A28,0)</f>
        <v>0</v>
      </c>
      <c r="P28">
        <f>IF(HUAWEI製ＰＣＳ接続枚数計算ツール!$M$109&gt;=枚数!$A28,P$2*$A28,0)</f>
        <v>0</v>
      </c>
      <c r="Q28">
        <f>IF(HUAWEI製ＰＣＳ接続枚数計算ツール!$M$109&gt;=枚数!$A28,Q$2*$A28,0)</f>
        <v>0</v>
      </c>
      <c r="R28">
        <f>IF(HUAWEI製ＰＣＳ接続枚数計算ツール!$M$109&gt;=枚数!$A28,R$2*$A28,0)</f>
        <v>0</v>
      </c>
      <c r="S28">
        <f>IF(HUAWEI製ＰＣＳ接続枚数計算ツール!$M$109&gt;=枚数!$A28,S$2*$A28,0)</f>
        <v>0</v>
      </c>
      <c r="T28">
        <f>IF(HUAWEI製ＰＣＳ接続枚数計算ツール!$M$109&gt;=枚数!$A28,T$2*$A28,0)</f>
        <v>0</v>
      </c>
      <c r="U28">
        <f>IF(HUAWEI製ＰＣＳ接続枚数計算ツール!$M$109&gt;=枚数!$A28,U$2*$A28,0)</f>
        <v>0</v>
      </c>
      <c r="V28">
        <f>IF(HUAWEI製ＰＣＳ接続枚数計算ツール!$M$109&gt;=枚数!$A28,V$2*$A28,0)</f>
        <v>0</v>
      </c>
      <c r="W28">
        <f>IF(HUAWEI製ＰＣＳ接続枚数計算ツール!$M$109&gt;=枚数!$A28,W$2*$A28,0)</f>
        <v>0</v>
      </c>
      <c r="X28">
        <f>IF(HUAWEI製ＰＣＳ接続枚数計算ツール!$M$109&gt;=枚数!$A28,X$2*$A28,0)</f>
        <v>0</v>
      </c>
      <c r="Y28">
        <f>IF(HUAWEI製ＰＣＳ接続枚数計算ツール!$M$109&gt;=枚数!$A28,Y$2*$A28,0)</f>
        <v>0</v>
      </c>
      <c r="Z28">
        <f>IF(HUAWEI製ＰＣＳ接続枚数計算ツール!$M$109&gt;=枚数!$A28,Z$2*$A28,0)</f>
        <v>0</v>
      </c>
      <c r="AA28">
        <f>IF(HUAWEI製ＰＣＳ接続枚数計算ツール!$M$109&gt;=枚数!$A28,AA$2*$A28,0)</f>
        <v>0</v>
      </c>
      <c r="AB28">
        <f>IF(HUAWEI製ＰＣＳ接続枚数計算ツール!$M$109&gt;=枚数!$A28,AB$2*$A28,0)</f>
        <v>0</v>
      </c>
      <c r="AC28">
        <f>IF(HUAWEI製ＰＣＳ接続枚数計算ツール!$M$109&gt;=枚数!$A28,AC$2*$A28,0)</f>
        <v>0</v>
      </c>
      <c r="AD28">
        <f>IF(HUAWEI製ＰＣＳ接続枚数計算ツール!$M$109&gt;=枚数!$A28,AD$2*$A28,0)</f>
        <v>0</v>
      </c>
      <c r="AE28">
        <f>IF(HUAWEI製ＰＣＳ接続枚数計算ツール!$M$109&gt;=枚数!$A28,AE$2*$A28,0)</f>
        <v>0</v>
      </c>
      <c r="AF28">
        <f>IF(HUAWEI製ＰＣＳ接続枚数計算ツール!$M$109&gt;=枚数!$A28,AF$2*$A28,0)</f>
        <v>0</v>
      </c>
      <c r="AG28">
        <f>IF(HUAWEI製ＰＣＳ接続枚数計算ツール!$M$109&gt;=枚数!$A28,AG$2*$A28,0)</f>
        <v>0</v>
      </c>
      <c r="AH28">
        <f>IF(HUAWEI製ＰＣＳ接続枚数計算ツール!$M$109&gt;=枚数!$A28,AH$2*$A28,0)</f>
        <v>0</v>
      </c>
      <c r="AI28">
        <f>IF(HUAWEI製ＰＣＳ接続枚数計算ツール!$M$109&gt;=枚数!$A28,AI$2*$A28,0)</f>
        <v>0</v>
      </c>
      <c r="AJ28">
        <f>IF(HUAWEI製ＰＣＳ接続枚数計算ツール!$M$109&gt;=枚数!$A28,AJ$2*$A28,0)</f>
        <v>0</v>
      </c>
      <c r="AK28">
        <f>IF(HUAWEI製ＰＣＳ接続枚数計算ツール!$M$109&gt;=枚数!$A28,AK$2*$A28,0)</f>
        <v>0</v>
      </c>
      <c r="AL28">
        <f>IF(HUAWEI製ＰＣＳ接続枚数計算ツール!$M$109&gt;=枚数!$A28,AL$2*$A28,0)</f>
        <v>0</v>
      </c>
      <c r="AM28">
        <f>IF(HUAWEI製ＰＣＳ接続枚数計算ツール!$M$109&gt;=枚数!$A28,AM$2*$A28,0)</f>
        <v>0</v>
      </c>
      <c r="AN28">
        <f>IF(HUAWEI製ＰＣＳ接続枚数計算ツール!$M$109&gt;=枚数!$A28,AN$2*$A28,0)</f>
        <v>0</v>
      </c>
      <c r="AO28">
        <f>IF(HUAWEI製ＰＣＳ接続枚数計算ツール!$M$109&gt;=枚数!$A28,AO$2*$A28,0)</f>
        <v>0</v>
      </c>
    </row>
    <row r="29" spans="1:41">
      <c r="A29">
        <v>27</v>
      </c>
      <c r="B29">
        <f>IF(HUAWEI製ＰＣＳ接続枚数計算ツール!$M$109&gt;=枚数!$A29,B$2*$A29,0)</f>
        <v>0</v>
      </c>
      <c r="C29">
        <f>IF(HUAWEI製ＰＣＳ接続枚数計算ツール!$M$109&gt;=枚数!$A29,C$2*$A29,0)</f>
        <v>0</v>
      </c>
      <c r="D29">
        <f>IF(HUAWEI製ＰＣＳ接続枚数計算ツール!$M$109&gt;=枚数!$A29,D$2*$A29,0)</f>
        <v>0</v>
      </c>
      <c r="E29">
        <f>IF(HUAWEI製ＰＣＳ接続枚数計算ツール!$M$109&gt;=枚数!$A29,E$2*$A29,0)</f>
        <v>0</v>
      </c>
      <c r="F29">
        <f>IF(HUAWEI製ＰＣＳ接続枚数計算ツール!$M$109&gt;=枚数!$A29,F$2*$A29,0)</f>
        <v>0</v>
      </c>
      <c r="G29">
        <f>IF(HUAWEI製ＰＣＳ接続枚数計算ツール!$M$109&gt;=枚数!$A29,G$2*$A29,0)</f>
        <v>0</v>
      </c>
      <c r="H29">
        <f>IF(HUAWEI製ＰＣＳ接続枚数計算ツール!$M$109&gt;=枚数!$A29,H$2*$A29,0)</f>
        <v>0</v>
      </c>
      <c r="I29">
        <f>IF(HUAWEI製ＰＣＳ接続枚数計算ツール!$M$109&gt;=枚数!$A29,I$2*$A29,0)</f>
        <v>0</v>
      </c>
      <c r="J29">
        <f>IF(HUAWEI製ＰＣＳ接続枚数計算ツール!$M$109&gt;=枚数!$A29,J$2*$A29,0)</f>
        <v>0</v>
      </c>
      <c r="K29">
        <f>IF(HUAWEI製ＰＣＳ接続枚数計算ツール!$M$109&gt;=枚数!$A29,K$2*$A29,0)</f>
        <v>0</v>
      </c>
      <c r="L29">
        <f>IF(HUAWEI製ＰＣＳ接続枚数計算ツール!$M$109&gt;=枚数!$A29,L$2*$A29,0)</f>
        <v>0</v>
      </c>
      <c r="M29">
        <f>IF(HUAWEI製ＰＣＳ接続枚数計算ツール!$M$109&gt;=枚数!$A29,M$2*$A29,0)</f>
        <v>0</v>
      </c>
      <c r="N29">
        <f>IF(HUAWEI製ＰＣＳ接続枚数計算ツール!$M$109&gt;=枚数!$A29,N$2*$A29,0)</f>
        <v>0</v>
      </c>
      <c r="O29">
        <f>IF(HUAWEI製ＰＣＳ接続枚数計算ツール!$M$109&gt;=枚数!$A29,O$2*$A29,0)</f>
        <v>0</v>
      </c>
      <c r="P29">
        <f>IF(HUAWEI製ＰＣＳ接続枚数計算ツール!$M$109&gt;=枚数!$A29,P$2*$A29,0)</f>
        <v>0</v>
      </c>
      <c r="Q29">
        <f>IF(HUAWEI製ＰＣＳ接続枚数計算ツール!$M$109&gt;=枚数!$A29,Q$2*$A29,0)</f>
        <v>0</v>
      </c>
      <c r="R29">
        <f>IF(HUAWEI製ＰＣＳ接続枚数計算ツール!$M$109&gt;=枚数!$A29,R$2*$A29,0)</f>
        <v>0</v>
      </c>
      <c r="S29">
        <f>IF(HUAWEI製ＰＣＳ接続枚数計算ツール!$M$109&gt;=枚数!$A29,S$2*$A29,0)</f>
        <v>0</v>
      </c>
      <c r="T29">
        <f>IF(HUAWEI製ＰＣＳ接続枚数計算ツール!$M$109&gt;=枚数!$A29,T$2*$A29,0)</f>
        <v>0</v>
      </c>
      <c r="U29">
        <f>IF(HUAWEI製ＰＣＳ接続枚数計算ツール!$M$109&gt;=枚数!$A29,U$2*$A29,0)</f>
        <v>0</v>
      </c>
      <c r="V29">
        <f>IF(HUAWEI製ＰＣＳ接続枚数計算ツール!$M$109&gt;=枚数!$A29,V$2*$A29,0)</f>
        <v>0</v>
      </c>
      <c r="W29">
        <f>IF(HUAWEI製ＰＣＳ接続枚数計算ツール!$M$109&gt;=枚数!$A29,W$2*$A29,0)</f>
        <v>0</v>
      </c>
      <c r="X29">
        <f>IF(HUAWEI製ＰＣＳ接続枚数計算ツール!$M$109&gt;=枚数!$A29,X$2*$A29,0)</f>
        <v>0</v>
      </c>
      <c r="Y29">
        <f>IF(HUAWEI製ＰＣＳ接続枚数計算ツール!$M$109&gt;=枚数!$A29,Y$2*$A29,0)</f>
        <v>0</v>
      </c>
      <c r="Z29">
        <f>IF(HUAWEI製ＰＣＳ接続枚数計算ツール!$M$109&gt;=枚数!$A29,Z$2*$A29,0)</f>
        <v>0</v>
      </c>
      <c r="AA29">
        <f>IF(HUAWEI製ＰＣＳ接続枚数計算ツール!$M$109&gt;=枚数!$A29,AA$2*$A29,0)</f>
        <v>0</v>
      </c>
      <c r="AB29">
        <f>IF(HUAWEI製ＰＣＳ接続枚数計算ツール!$M$109&gt;=枚数!$A29,AB$2*$A29,0)</f>
        <v>0</v>
      </c>
      <c r="AC29">
        <f>IF(HUAWEI製ＰＣＳ接続枚数計算ツール!$M$109&gt;=枚数!$A29,AC$2*$A29,0)</f>
        <v>0</v>
      </c>
      <c r="AD29">
        <f>IF(HUAWEI製ＰＣＳ接続枚数計算ツール!$M$109&gt;=枚数!$A29,AD$2*$A29,0)</f>
        <v>0</v>
      </c>
      <c r="AE29">
        <f>IF(HUAWEI製ＰＣＳ接続枚数計算ツール!$M$109&gt;=枚数!$A29,AE$2*$A29,0)</f>
        <v>0</v>
      </c>
      <c r="AF29">
        <f>IF(HUAWEI製ＰＣＳ接続枚数計算ツール!$M$109&gt;=枚数!$A29,AF$2*$A29,0)</f>
        <v>0</v>
      </c>
      <c r="AG29">
        <f>IF(HUAWEI製ＰＣＳ接続枚数計算ツール!$M$109&gt;=枚数!$A29,AG$2*$A29,0)</f>
        <v>0</v>
      </c>
      <c r="AH29">
        <f>IF(HUAWEI製ＰＣＳ接続枚数計算ツール!$M$109&gt;=枚数!$A29,AH$2*$A29,0)</f>
        <v>0</v>
      </c>
      <c r="AI29">
        <f>IF(HUAWEI製ＰＣＳ接続枚数計算ツール!$M$109&gt;=枚数!$A29,AI$2*$A29,0)</f>
        <v>0</v>
      </c>
      <c r="AJ29">
        <f>IF(HUAWEI製ＰＣＳ接続枚数計算ツール!$M$109&gt;=枚数!$A29,AJ$2*$A29,0)</f>
        <v>0</v>
      </c>
      <c r="AK29">
        <f>IF(HUAWEI製ＰＣＳ接続枚数計算ツール!$M$109&gt;=枚数!$A29,AK$2*$A29,0)</f>
        <v>0</v>
      </c>
      <c r="AL29">
        <f>IF(HUAWEI製ＰＣＳ接続枚数計算ツール!$M$109&gt;=枚数!$A29,AL$2*$A29,0)</f>
        <v>0</v>
      </c>
      <c r="AM29">
        <f>IF(HUAWEI製ＰＣＳ接続枚数計算ツール!$M$109&gt;=枚数!$A29,AM$2*$A29,0)</f>
        <v>0</v>
      </c>
      <c r="AN29">
        <f>IF(HUAWEI製ＰＣＳ接続枚数計算ツール!$M$109&gt;=枚数!$A29,AN$2*$A29,0)</f>
        <v>0</v>
      </c>
      <c r="AO29">
        <f>IF(HUAWEI製ＰＣＳ接続枚数計算ツール!$M$109&gt;=枚数!$A29,AO$2*$A29,0)</f>
        <v>0</v>
      </c>
    </row>
    <row r="30" spans="1:41">
      <c r="A30">
        <v>28</v>
      </c>
      <c r="B30">
        <f>IF(HUAWEI製ＰＣＳ接続枚数計算ツール!$M$109&gt;=枚数!$A30,B$2*$A30,0)</f>
        <v>0</v>
      </c>
      <c r="C30">
        <f>IF(HUAWEI製ＰＣＳ接続枚数計算ツール!$M$109&gt;=枚数!$A30,C$2*$A30,0)</f>
        <v>0</v>
      </c>
      <c r="D30">
        <f>IF(HUAWEI製ＰＣＳ接続枚数計算ツール!$M$109&gt;=枚数!$A30,D$2*$A30,0)</f>
        <v>0</v>
      </c>
      <c r="E30">
        <f>IF(HUAWEI製ＰＣＳ接続枚数計算ツール!$M$109&gt;=枚数!$A30,E$2*$A30,0)</f>
        <v>0</v>
      </c>
      <c r="F30">
        <f>IF(HUAWEI製ＰＣＳ接続枚数計算ツール!$M$109&gt;=枚数!$A30,F$2*$A30,0)</f>
        <v>0</v>
      </c>
      <c r="G30">
        <f>IF(HUAWEI製ＰＣＳ接続枚数計算ツール!$M$109&gt;=枚数!$A30,G$2*$A30,0)</f>
        <v>0</v>
      </c>
      <c r="H30">
        <f>IF(HUAWEI製ＰＣＳ接続枚数計算ツール!$M$109&gt;=枚数!$A30,H$2*$A30,0)</f>
        <v>0</v>
      </c>
      <c r="I30">
        <f>IF(HUAWEI製ＰＣＳ接続枚数計算ツール!$M$109&gt;=枚数!$A30,I$2*$A30,0)</f>
        <v>0</v>
      </c>
      <c r="J30">
        <f>IF(HUAWEI製ＰＣＳ接続枚数計算ツール!$M$109&gt;=枚数!$A30,J$2*$A30,0)</f>
        <v>0</v>
      </c>
      <c r="K30">
        <f>IF(HUAWEI製ＰＣＳ接続枚数計算ツール!$M$109&gt;=枚数!$A30,K$2*$A30,0)</f>
        <v>0</v>
      </c>
      <c r="L30">
        <f>IF(HUAWEI製ＰＣＳ接続枚数計算ツール!$M$109&gt;=枚数!$A30,L$2*$A30,0)</f>
        <v>0</v>
      </c>
      <c r="M30">
        <f>IF(HUAWEI製ＰＣＳ接続枚数計算ツール!$M$109&gt;=枚数!$A30,M$2*$A30,0)</f>
        <v>0</v>
      </c>
      <c r="N30">
        <f>IF(HUAWEI製ＰＣＳ接続枚数計算ツール!$M$109&gt;=枚数!$A30,N$2*$A30,0)</f>
        <v>0</v>
      </c>
      <c r="O30">
        <f>IF(HUAWEI製ＰＣＳ接続枚数計算ツール!$M$109&gt;=枚数!$A30,O$2*$A30,0)</f>
        <v>0</v>
      </c>
      <c r="P30">
        <f>IF(HUAWEI製ＰＣＳ接続枚数計算ツール!$M$109&gt;=枚数!$A30,P$2*$A30,0)</f>
        <v>0</v>
      </c>
      <c r="Q30">
        <f>IF(HUAWEI製ＰＣＳ接続枚数計算ツール!$M$109&gt;=枚数!$A30,Q$2*$A30,0)</f>
        <v>0</v>
      </c>
      <c r="R30">
        <f>IF(HUAWEI製ＰＣＳ接続枚数計算ツール!$M$109&gt;=枚数!$A30,R$2*$A30,0)</f>
        <v>0</v>
      </c>
      <c r="S30">
        <f>IF(HUAWEI製ＰＣＳ接続枚数計算ツール!$M$109&gt;=枚数!$A30,S$2*$A30,0)</f>
        <v>0</v>
      </c>
      <c r="T30">
        <f>IF(HUAWEI製ＰＣＳ接続枚数計算ツール!$M$109&gt;=枚数!$A30,T$2*$A30,0)</f>
        <v>0</v>
      </c>
      <c r="U30">
        <f>IF(HUAWEI製ＰＣＳ接続枚数計算ツール!$M$109&gt;=枚数!$A30,U$2*$A30,0)</f>
        <v>0</v>
      </c>
      <c r="V30">
        <f>IF(HUAWEI製ＰＣＳ接続枚数計算ツール!$M$109&gt;=枚数!$A30,V$2*$A30,0)</f>
        <v>0</v>
      </c>
      <c r="W30">
        <f>IF(HUAWEI製ＰＣＳ接続枚数計算ツール!$M$109&gt;=枚数!$A30,W$2*$A30,0)</f>
        <v>0</v>
      </c>
      <c r="X30">
        <f>IF(HUAWEI製ＰＣＳ接続枚数計算ツール!$M$109&gt;=枚数!$A30,X$2*$A30,0)</f>
        <v>0</v>
      </c>
      <c r="Y30">
        <f>IF(HUAWEI製ＰＣＳ接続枚数計算ツール!$M$109&gt;=枚数!$A30,Y$2*$A30,0)</f>
        <v>0</v>
      </c>
      <c r="Z30">
        <f>IF(HUAWEI製ＰＣＳ接続枚数計算ツール!$M$109&gt;=枚数!$A30,Z$2*$A30,0)</f>
        <v>0</v>
      </c>
      <c r="AA30">
        <f>IF(HUAWEI製ＰＣＳ接続枚数計算ツール!$M$109&gt;=枚数!$A30,AA$2*$A30,0)</f>
        <v>0</v>
      </c>
      <c r="AB30">
        <f>IF(HUAWEI製ＰＣＳ接続枚数計算ツール!$M$109&gt;=枚数!$A30,AB$2*$A30,0)</f>
        <v>0</v>
      </c>
      <c r="AC30">
        <f>IF(HUAWEI製ＰＣＳ接続枚数計算ツール!$M$109&gt;=枚数!$A30,AC$2*$A30,0)</f>
        <v>0</v>
      </c>
      <c r="AD30">
        <f>IF(HUAWEI製ＰＣＳ接続枚数計算ツール!$M$109&gt;=枚数!$A30,AD$2*$A30,0)</f>
        <v>0</v>
      </c>
      <c r="AE30">
        <f>IF(HUAWEI製ＰＣＳ接続枚数計算ツール!$M$109&gt;=枚数!$A30,AE$2*$A30,0)</f>
        <v>0</v>
      </c>
      <c r="AF30">
        <f>IF(HUAWEI製ＰＣＳ接続枚数計算ツール!$M$109&gt;=枚数!$A30,AF$2*$A30,0)</f>
        <v>0</v>
      </c>
      <c r="AG30">
        <f>IF(HUAWEI製ＰＣＳ接続枚数計算ツール!$M$109&gt;=枚数!$A30,AG$2*$A30,0)</f>
        <v>0</v>
      </c>
      <c r="AH30">
        <f>IF(HUAWEI製ＰＣＳ接続枚数計算ツール!$M$109&gt;=枚数!$A30,AH$2*$A30,0)</f>
        <v>0</v>
      </c>
      <c r="AI30">
        <f>IF(HUAWEI製ＰＣＳ接続枚数計算ツール!$M$109&gt;=枚数!$A30,AI$2*$A30,0)</f>
        <v>0</v>
      </c>
      <c r="AJ30">
        <f>IF(HUAWEI製ＰＣＳ接続枚数計算ツール!$M$109&gt;=枚数!$A30,AJ$2*$A30,0)</f>
        <v>0</v>
      </c>
      <c r="AK30">
        <f>IF(HUAWEI製ＰＣＳ接続枚数計算ツール!$M$109&gt;=枚数!$A30,AK$2*$A30,0)</f>
        <v>0</v>
      </c>
      <c r="AL30">
        <f>IF(HUAWEI製ＰＣＳ接続枚数計算ツール!$M$109&gt;=枚数!$A30,AL$2*$A30,0)</f>
        <v>0</v>
      </c>
      <c r="AM30">
        <f>IF(HUAWEI製ＰＣＳ接続枚数計算ツール!$M$109&gt;=枚数!$A30,AM$2*$A30,0)</f>
        <v>0</v>
      </c>
      <c r="AN30">
        <f>IF(HUAWEI製ＰＣＳ接続枚数計算ツール!$M$109&gt;=枚数!$A30,AN$2*$A30,0)</f>
        <v>0</v>
      </c>
      <c r="AO30">
        <f>IF(HUAWEI製ＰＣＳ接続枚数計算ツール!$M$109&gt;=枚数!$A30,AO$2*$A30,0)</f>
        <v>0</v>
      </c>
    </row>
    <row r="31" spans="1:41">
      <c r="A31">
        <v>29</v>
      </c>
      <c r="B31">
        <f>IF(HUAWEI製ＰＣＳ接続枚数計算ツール!$M$109&gt;=枚数!$A31,B$2*$A31,0)</f>
        <v>0</v>
      </c>
      <c r="C31">
        <f>IF(HUAWEI製ＰＣＳ接続枚数計算ツール!$M$109&gt;=枚数!$A31,C$2*$A31,0)</f>
        <v>0</v>
      </c>
      <c r="D31">
        <f>IF(HUAWEI製ＰＣＳ接続枚数計算ツール!$M$109&gt;=枚数!$A31,D$2*$A31,0)</f>
        <v>0</v>
      </c>
      <c r="E31">
        <f>IF(HUAWEI製ＰＣＳ接続枚数計算ツール!$M$109&gt;=枚数!$A31,E$2*$A31,0)</f>
        <v>0</v>
      </c>
      <c r="F31">
        <f>IF(HUAWEI製ＰＣＳ接続枚数計算ツール!$M$109&gt;=枚数!$A31,F$2*$A31,0)</f>
        <v>0</v>
      </c>
      <c r="G31">
        <f>IF(HUAWEI製ＰＣＳ接続枚数計算ツール!$M$109&gt;=枚数!$A31,G$2*$A31,0)</f>
        <v>0</v>
      </c>
      <c r="H31">
        <f>IF(HUAWEI製ＰＣＳ接続枚数計算ツール!$M$109&gt;=枚数!$A31,H$2*$A31,0)</f>
        <v>0</v>
      </c>
      <c r="I31">
        <f>IF(HUAWEI製ＰＣＳ接続枚数計算ツール!$M$109&gt;=枚数!$A31,I$2*$A31,0)</f>
        <v>0</v>
      </c>
      <c r="J31">
        <f>IF(HUAWEI製ＰＣＳ接続枚数計算ツール!$M$109&gt;=枚数!$A31,J$2*$A31,0)</f>
        <v>0</v>
      </c>
      <c r="K31">
        <f>IF(HUAWEI製ＰＣＳ接続枚数計算ツール!$M$109&gt;=枚数!$A31,K$2*$A31,0)</f>
        <v>0</v>
      </c>
      <c r="L31">
        <f>IF(HUAWEI製ＰＣＳ接続枚数計算ツール!$M$109&gt;=枚数!$A31,L$2*$A31,0)</f>
        <v>0</v>
      </c>
      <c r="M31">
        <f>IF(HUAWEI製ＰＣＳ接続枚数計算ツール!$M$109&gt;=枚数!$A31,M$2*$A31,0)</f>
        <v>0</v>
      </c>
      <c r="N31">
        <f>IF(HUAWEI製ＰＣＳ接続枚数計算ツール!$M$109&gt;=枚数!$A31,N$2*$A31,0)</f>
        <v>0</v>
      </c>
      <c r="O31">
        <f>IF(HUAWEI製ＰＣＳ接続枚数計算ツール!$M$109&gt;=枚数!$A31,O$2*$A31,0)</f>
        <v>0</v>
      </c>
      <c r="P31">
        <f>IF(HUAWEI製ＰＣＳ接続枚数計算ツール!$M$109&gt;=枚数!$A31,P$2*$A31,0)</f>
        <v>0</v>
      </c>
      <c r="Q31">
        <f>IF(HUAWEI製ＰＣＳ接続枚数計算ツール!$M$109&gt;=枚数!$A31,Q$2*$A31,0)</f>
        <v>0</v>
      </c>
      <c r="R31">
        <f>IF(HUAWEI製ＰＣＳ接続枚数計算ツール!$M$109&gt;=枚数!$A31,R$2*$A31,0)</f>
        <v>0</v>
      </c>
      <c r="S31">
        <f>IF(HUAWEI製ＰＣＳ接続枚数計算ツール!$M$109&gt;=枚数!$A31,S$2*$A31,0)</f>
        <v>0</v>
      </c>
      <c r="T31">
        <f>IF(HUAWEI製ＰＣＳ接続枚数計算ツール!$M$109&gt;=枚数!$A31,T$2*$A31,0)</f>
        <v>0</v>
      </c>
      <c r="U31">
        <f>IF(HUAWEI製ＰＣＳ接続枚数計算ツール!$M$109&gt;=枚数!$A31,U$2*$A31,0)</f>
        <v>0</v>
      </c>
      <c r="V31">
        <f>IF(HUAWEI製ＰＣＳ接続枚数計算ツール!$M$109&gt;=枚数!$A31,V$2*$A31,0)</f>
        <v>0</v>
      </c>
      <c r="W31">
        <f>IF(HUAWEI製ＰＣＳ接続枚数計算ツール!$M$109&gt;=枚数!$A31,W$2*$A31,0)</f>
        <v>0</v>
      </c>
      <c r="X31">
        <f>IF(HUAWEI製ＰＣＳ接続枚数計算ツール!$M$109&gt;=枚数!$A31,X$2*$A31,0)</f>
        <v>0</v>
      </c>
      <c r="Y31">
        <f>IF(HUAWEI製ＰＣＳ接続枚数計算ツール!$M$109&gt;=枚数!$A31,Y$2*$A31,0)</f>
        <v>0</v>
      </c>
      <c r="Z31">
        <f>IF(HUAWEI製ＰＣＳ接続枚数計算ツール!$M$109&gt;=枚数!$A31,Z$2*$A31,0)</f>
        <v>0</v>
      </c>
      <c r="AA31">
        <f>IF(HUAWEI製ＰＣＳ接続枚数計算ツール!$M$109&gt;=枚数!$A31,AA$2*$A31,0)</f>
        <v>0</v>
      </c>
      <c r="AB31">
        <f>IF(HUAWEI製ＰＣＳ接続枚数計算ツール!$M$109&gt;=枚数!$A31,AB$2*$A31,0)</f>
        <v>0</v>
      </c>
      <c r="AC31">
        <f>IF(HUAWEI製ＰＣＳ接続枚数計算ツール!$M$109&gt;=枚数!$A31,AC$2*$A31,0)</f>
        <v>0</v>
      </c>
      <c r="AD31">
        <f>IF(HUAWEI製ＰＣＳ接続枚数計算ツール!$M$109&gt;=枚数!$A31,AD$2*$A31,0)</f>
        <v>0</v>
      </c>
      <c r="AE31">
        <f>IF(HUAWEI製ＰＣＳ接続枚数計算ツール!$M$109&gt;=枚数!$A31,AE$2*$A31,0)</f>
        <v>0</v>
      </c>
      <c r="AF31">
        <f>IF(HUAWEI製ＰＣＳ接続枚数計算ツール!$M$109&gt;=枚数!$A31,AF$2*$A31,0)</f>
        <v>0</v>
      </c>
      <c r="AG31">
        <f>IF(HUAWEI製ＰＣＳ接続枚数計算ツール!$M$109&gt;=枚数!$A31,AG$2*$A31,0)</f>
        <v>0</v>
      </c>
      <c r="AH31">
        <f>IF(HUAWEI製ＰＣＳ接続枚数計算ツール!$M$109&gt;=枚数!$A31,AH$2*$A31,0)</f>
        <v>0</v>
      </c>
      <c r="AI31">
        <f>IF(HUAWEI製ＰＣＳ接続枚数計算ツール!$M$109&gt;=枚数!$A31,AI$2*$A31,0)</f>
        <v>0</v>
      </c>
      <c r="AJ31">
        <f>IF(HUAWEI製ＰＣＳ接続枚数計算ツール!$M$109&gt;=枚数!$A31,AJ$2*$A31,0)</f>
        <v>0</v>
      </c>
      <c r="AK31">
        <f>IF(HUAWEI製ＰＣＳ接続枚数計算ツール!$M$109&gt;=枚数!$A31,AK$2*$A31,0)</f>
        <v>0</v>
      </c>
      <c r="AL31">
        <f>IF(HUAWEI製ＰＣＳ接続枚数計算ツール!$M$109&gt;=枚数!$A31,AL$2*$A31,0)</f>
        <v>0</v>
      </c>
      <c r="AM31">
        <f>IF(HUAWEI製ＰＣＳ接続枚数計算ツール!$M$109&gt;=枚数!$A31,AM$2*$A31,0)</f>
        <v>0</v>
      </c>
      <c r="AN31">
        <f>IF(HUAWEI製ＰＣＳ接続枚数計算ツール!$M$109&gt;=枚数!$A31,AN$2*$A31,0)</f>
        <v>0</v>
      </c>
      <c r="AO31">
        <f>IF(HUAWEI製ＰＣＳ接続枚数計算ツール!$M$109&gt;=枚数!$A31,AO$2*$A31,0)</f>
        <v>0</v>
      </c>
    </row>
    <row r="32" spans="1:41">
      <c r="A32">
        <v>30</v>
      </c>
      <c r="B32">
        <f>IF(HUAWEI製ＰＣＳ接続枚数計算ツール!$M$109&gt;=枚数!$A32,B$2*$A32,0)</f>
        <v>0</v>
      </c>
      <c r="C32">
        <f>IF(HUAWEI製ＰＣＳ接続枚数計算ツール!$M$109&gt;=枚数!$A32,C$2*$A32,0)</f>
        <v>0</v>
      </c>
      <c r="D32">
        <f>IF(HUAWEI製ＰＣＳ接続枚数計算ツール!$M$109&gt;=枚数!$A32,D$2*$A32,0)</f>
        <v>0</v>
      </c>
      <c r="E32">
        <f>IF(HUAWEI製ＰＣＳ接続枚数計算ツール!$M$109&gt;=枚数!$A32,E$2*$A32,0)</f>
        <v>0</v>
      </c>
      <c r="F32">
        <f>IF(HUAWEI製ＰＣＳ接続枚数計算ツール!$M$109&gt;=枚数!$A32,F$2*$A32,0)</f>
        <v>0</v>
      </c>
      <c r="G32">
        <f>IF(HUAWEI製ＰＣＳ接続枚数計算ツール!$M$109&gt;=枚数!$A32,G$2*$A32,0)</f>
        <v>0</v>
      </c>
      <c r="H32">
        <f>IF(HUAWEI製ＰＣＳ接続枚数計算ツール!$M$109&gt;=枚数!$A32,H$2*$A32,0)</f>
        <v>0</v>
      </c>
      <c r="I32">
        <f>IF(HUAWEI製ＰＣＳ接続枚数計算ツール!$M$109&gt;=枚数!$A32,I$2*$A32,0)</f>
        <v>0</v>
      </c>
      <c r="J32">
        <f>IF(HUAWEI製ＰＣＳ接続枚数計算ツール!$M$109&gt;=枚数!$A32,J$2*$A32,0)</f>
        <v>0</v>
      </c>
      <c r="K32">
        <f>IF(HUAWEI製ＰＣＳ接続枚数計算ツール!$M$109&gt;=枚数!$A32,K$2*$A32,0)</f>
        <v>0</v>
      </c>
      <c r="L32">
        <f>IF(HUAWEI製ＰＣＳ接続枚数計算ツール!$M$109&gt;=枚数!$A32,L$2*$A32,0)</f>
        <v>0</v>
      </c>
      <c r="M32">
        <f>IF(HUAWEI製ＰＣＳ接続枚数計算ツール!$M$109&gt;=枚数!$A32,M$2*$A32,0)</f>
        <v>0</v>
      </c>
      <c r="N32">
        <f>IF(HUAWEI製ＰＣＳ接続枚数計算ツール!$M$109&gt;=枚数!$A32,N$2*$A32,0)</f>
        <v>0</v>
      </c>
      <c r="O32">
        <f>IF(HUAWEI製ＰＣＳ接続枚数計算ツール!$M$109&gt;=枚数!$A32,O$2*$A32,0)</f>
        <v>0</v>
      </c>
      <c r="P32">
        <f>IF(HUAWEI製ＰＣＳ接続枚数計算ツール!$M$109&gt;=枚数!$A32,P$2*$A32,0)</f>
        <v>0</v>
      </c>
      <c r="Q32">
        <f>IF(HUAWEI製ＰＣＳ接続枚数計算ツール!$M$109&gt;=枚数!$A32,Q$2*$A32,0)</f>
        <v>0</v>
      </c>
      <c r="R32">
        <f>IF(HUAWEI製ＰＣＳ接続枚数計算ツール!$M$109&gt;=枚数!$A32,R$2*$A32,0)</f>
        <v>0</v>
      </c>
      <c r="S32">
        <f>IF(HUAWEI製ＰＣＳ接続枚数計算ツール!$M$109&gt;=枚数!$A32,S$2*$A32,0)</f>
        <v>0</v>
      </c>
      <c r="T32">
        <f>IF(HUAWEI製ＰＣＳ接続枚数計算ツール!$M$109&gt;=枚数!$A32,T$2*$A32,0)</f>
        <v>0</v>
      </c>
      <c r="U32">
        <f>IF(HUAWEI製ＰＣＳ接続枚数計算ツール!$M$109&gt;=枚数!$A32,U$2*$A32,0)</f>
        <v>0</v>
      </c>
      <c r="V32">
        <f>IF(HUAWEI製ＰＣＳ接続枚数計算ツール!$M$109&gt;=枚数!$A32,V$2*$A32,0)</f>
        <v>0</v>
      </c>
      <c r="W32">
        <f>IF(HUAWEI製ＰＣＳ接続枚数計算ツール!$M$109&gt;=枚数!$A32,W$2*$A32,0)</f>
        <v>0</v>
      </c>
      <c r="X32">
        <f>IF(HUAWEI製ＰＣＳ接続枚数計算ツール!$M$109&gt;=枚数!$A32,X$2*$A32,0)</f>
        <v>0</v>
      </c>
      <c r="Y32">
        <f>IF(HUAWEI製ＰＣＳ接続枚数計算ツール!$M$109&gt;=枚数!$A32,Y$2*$A32,0)</f>
        <v>0</v>
      </c>
      <c r="Z32">
        <f>IF(HUAWEI製ＰＣＳ接続枚数計算ツール!$M$109&gt;=枚数!$A32,Z$2*$A32,0)</f>
        <v>0</v>
      </c>
      <c r="AA32">
        <f>IF(HUAWEI製ＰＣＳ接続枚数計算ツール!$M$109&gt;=枚数!$A32,AA$2*$A32,0)</f>
        <v>0</v>
      </c>
      <c r="AB32">
        <f>IF(HUAWEI製ＰＣＳ接続枚数計算ツール!$M$109&gt;=枚数!$A32,AB$2*$A32,0)</f>
        <v>0</v>
      </c>
      <c r="AC32">
        <f>IF(HUAWEI製ＰＣＳ接続枚数計算ツール!$M$109&gt;=枚数!$A32,AC$2*$A32,0)</f>
        <v>0</v>
      </c>
      <c r="AD32">
        <f>IF(HUAWEI製ＰＣＳ接続枚数計算ツール!$M$109&gt;=枚数!$A32,AD$2*$A32,0)</f>
        <v>0</v>
      </c>
      <c r="AE32">
        <f>IF(HUAWEI製ＰＣＳ接続枚数計算ツール!$M$109&gt;=枚数!$A32,AE$2*$A32,0)</f>
        <v>0</v>
      </c>
      <c r="AF32">
        <f>IF(HUAWEI製ＰＣＳ接続枚数計算ツール!$M$109&gt;=枚数!$A32,AF$2*$A32,0)</f>
        <v>0</v>
      </c>
      <c r="AG32">
        <f>IF(HUAWEI製ＰＣＳ接続枚数計算ツール!$M$109&gt;=枚数!$A32,AG$2*$A32,0)</f>
        <v>0</v>
      </c>
      <c r="AH32">
        <f>IF(HUAWEI製ＰＣＳ接続枚数計算ツール!$M$109&gt;=枚数!$A32,AH$2*$A32,0)</f>
        <v>0</v>
      </c>
      <c r="AI32">
        <f>IF(HUAWEI製ＰＣＳ接続枚数計算ツール!$M$109&gt;=枚数!$A32,AI$2*$A32,0)</f>
        <v>0</v>
      </c>
      <c r="AJ32">
        <f>IF(HUAWEI製ＰＣＳ接続枚数計算ツール!$M$109&gt;=枚数!$A32,AJ$2*$A32,0)</f>
        <v>0</v>
      </c>
      <c r="AK32">
        <f>IF(HUAWEI製ＰＣＳ接続枚数計算ツール!$M$109&gt;=枚数!$A32,AK$2*$A32,0)</f>
        <v>0</v>
      </c>
      <c r="AL32">
        <f>IF(HUAWEI製ＰＣＳ接続枚数計算ツール!$M$109&gt;=枚数!$A32,AL$2*$A32,0)</f>
        <v>0</v>
      </c>
      <c r="AM32">
        <f>IF(HUAWEI製ＰＣＳ接続枚数計算ツール!$M$109&gt;=枚数!$A32,AM$2*$A32,0)</f>
        <v>0</v>
      </c>
      <c r="AN32">
        <f>IF(HUAWEI製ＰＣＳ接続枚数計算ツール!$M$109&gt;=枚数!$A32,AN$2*$A32,0)</f>
        <v>0</v>
      </c>
      <c r="AO32">
        <f>IF(HUAWEI製ＰＣＳ接続枚数計算ツール!$M$109&gt;=枚数!$A32,AO$2*$A32,0)</f>
        <v>0</v>
      </c>
    </row>
    <row r="33" spans="1:41">
      <c r="A33">
        <v>31</v>
      </c>
      <c r="B33">
        <f>IF(HUAWEI製ＰＣＳ接続枚数計算ツール!$M$109&gt;=枚数!$A33,B$2*$A33,0)</f>
        <v>0</v>
      </c>
      <c r="C33">
        <f>IF(HUAWEI製ＰＣＳ接続枚数計算ツール!$M$109&gt;=枚数!$A33,C$2*$A33,0)</f>
        <v>0</v>
      </c>
      <c r="D33">
        <f>IF(HUAWEI製ＰＣＳ接続枚数計算ツール!$M$109&gt;=枚数!$A33,D$2*$A33,0)</f>
        <v>0</v>
      </c>
      <c r="E33">
        <f>IF(HUAWEI製ＰＣＳ接続枚数計算ツール!$M$109&gt;=枚数!$A33,E$2*$A33,0)</f>
        <v>0</v>
      </c>
      <c r="F33">
        <f>IF(HUAWEI製ＰＣＳ接続枚数計算ツール!$M$109&gt;=枚数!$A33,F$2*$A33,0)</f>
        <v>0</v>
      </c>
      <c r="G33">
        <f>IF(HUAWEI製ＰＣＳ接続枚数計算ツール!$M$109&gt;=枚数!$A33,G$2*$A33,0)</f>
        <v>0</v>
      </c>
      <c r="H33">
        <f>IF(HUAWEI製ＰＣＳ接続枚数計算ツール!$M$109&gt;=枚数!$A33,H$2*$A33,0)</f>
        <v>0</v>
      </c>
      <c r="I33">
        <f>IF(HUAWEI製ＰＣＳ接続枚数計算ツール!$M$109&gt;=枚数!$A33,I$2*$A33,0)</f>
        <v>0</v>
      </c>
      <c r="J33">
        <f>IF(HUAWEI製ＰＣＳ接続枚数計算ツール!$M$109&gt;=枚数!$A33,J$2*$A33,0)</f>
        <v>0</v>
      </c>
      <c r="K33">
        <f>IF(HUAWEI製ＰＣＳ接続枚数計算ツール!$M$109&gt;=枚数!$A33,K$2*$A33,0)</f>
        <v>0</v>
      </c>
      <c r="L33">
        <f>IF(HUAWEI製ＰＣＳ接続枚数計算ツール!$M$109&gt;=枚数!$A33,L$2*$A33,0)</f>
        <v>0</v>
      </c>
      <c r="M33">
        <f>IF(HUAWEI製ＰＣＳ接続枚数計算ツール!$M$109&gt;=枚数!$A33,M$2*$A33,0)</f>
        <v>0</v>
      </c>
      <c r="N33">
        <f>IF(HUAWEI製ＰＣＳ接続枚数計算ツール!$M$109&gt;=枚数!$A33,N$2*$A33,0)</f>
        <v>0</v>
      </c>
      <c r="O33">
        <f>IF(HUAWEI製ＰＣＳ接続枚数計算ツール!$M$109&gt;=枚数!$A33,O$2*$A33,0)</f>
        <v>0</v>
      </c>
      <c r="P33">
        <f>IF(HUAWEI製ＰＣＳ接続枚数計算ツール!$M$109&gt;=枚数!$A33,P$2*$A33,0)</f>
        <v>0</v>
      </c>
      <c r="Q33">
        <f>IF(HUAWEI製ＰＣＳ接続枚数計算ツール!$M$109&gt;=枚数!$A33,Q$2*$A33,0)</f>
        <v>0</v>
      </c>
      <c r="R33">
        <f>IF(HUAWEI製ＰＣＳ接続枚数計算ツール!$M$109&gt;=枚数!$A33,R$2*$A33,0)</f>
        <v>0</v>
      </c>
      <c r="S33">
        <f>IF(HUAWEI製ＰＣＳ接続枚数計算ツール!$M$109&gt;=枚数!$A33,S$2*$A33,0)</f>
        <v>0</v>
      </c>
      <c r="T33">
        <f>IF(HUAWEI製ＰＣＳ接続枚数計算ツール!$M$109&gt;=枚数!$A33,T$2*$A33,0)</f>
        <v>0</v>
      </c>
      <c r="U33">
        <f>IF(HUAWEI製ＰＣＳ接続枚数計算ツール!$M$109&gt;=枚数!$A33,U$2*$A33,0)</f>
        <v>0</v>
      </c>
      <c r="V33">
        <f>IF(HUAWEI製ＰＣＳ接続枚数計算ツール!$M$109&gt;=枚数!$A33,V$2*$A33,0)</f>
        <v>0</v>
      </c>
      <c r="W33">
        <f>IF(HUAWEI製ＰＣＳ接続枚数計算ツール!$M$109&gt;=枚数!$A33,W$2*$A33,0)</f>
        <v>0</v>
      </c>
      <c r="X33">
        <f>IF(HUAWEI製ＰＣＳ接続枚数計算ツール!$M$109&gt;=枚数!$A33,X$2*$A33,0)</f>
        <v>0</v>
      </c>
      <c r="Y33">
        <f>IF(HUAWEI製ＰＣＳ接続枚数計算ツール!$M$109&gt;=枚数!$A33,Y$2*$A33,0)</f>
        <v>0</v>
      </c>
      <c r="Z33">
        <f>IF(HUAWEI製ＰＣＳ接続枚数計算ツール!$M$109&gt;=枚数!$A33,Z$2*$A33,0)</f>
        <v>0</v>
      </c>
      <c r="AA33">
        <f>IF(HUAWEI製ＰＣＳ接続枚数計算ツール!$M$109&gt;=枚数!$A33,AA$2*$A33,0)</f>
        <v>0</v>
      </c>
      <c r="AB33">
        <f>IF(HUAWEI製ＰＣＳ接続枚数計算ツール!$M$109&gt;=枚数!$A33,AB$2*$A33,0)</f>
        <v>0</v>
      </c>
      <c r="AC33">
        <f>IF(HUAWEI製ＰＣＳ接続枚数計算ツール!$M$109&gt;=枚数!$A33,AC$2*$A33,0)</f>
        <v>0</v>
      </c>
      <c r="AD33">
        <f>IF(HUAWEI製ＰＣＳ接続枚数計算ツール!$M$109&gt;=枚数!$A33,AD$2*$A33,0)</f>
        <v>0</v>
      </c>
      <c r="AE33">
        <f>IF(HUAWEI製ＰＣＳ接続枚数計算ツール!$M$109&gt;=枚数!$A33,AE$2*$A33,0)</f>
        <v>0</v>
      </c>
      <c r="AF33">
        <f>IF(HUAWEI製ＰＣＳ接続枚数計算ツール!$M$109&gt;=枚数!$A33,AF$2*$A33,0)</f>
        <v>0</v>
      </c>
      <c r="AG33">
        <f>IF(HUAWEI製ＰＣＳ接続枚数計算ツール!$M$109&gt;=枚数!$A33,AG$2*$A33,0)</f>
        <v>0</v>
      </c>
      <c r="AH33">
        <f>IF(HUAWEI製ＰＣＳ接続枚数計算ツール!$M$109&gt;=枚数!$A33,AH$2*$A33,0)</f>
        <v>0</v>
      </c>
      <c r="AI33">
        <f>IF(HUAWEI製ＰＣＳ接続枚数計算ツール!$M$109&gt;=枚数!$A33,AI$2*$A33,0)</f>
        <v>0</v>
      </c>
      <c r="AJ33">
        <f>IF(HUAWEI製ＰＣＳ接続枚数計算ツール!$M$109&gt;=枚数!$A33,AJ$2*$A33,0)</f>
        <v>0</v>
      </c>
      <c r="AK33">
        <f>IF(HUAWEI製ＰＣＳ接続枚数計算ツール!$M$109&gt;=枚数!$A33,AK$2*$A33,0)</f>
        <v>0</v>
      </c>
      <c r="AL33">
        <f>IF(HUAWEI製ＰＣＳ接続枚数計算ツール!$M$109&gt;=枚数!$A33,AL$2*$A33,0)</f>
        <v>0</v>
      </c>
      <c r="AM33">
        <f>IF(HUAWEI製ＰＣＳ接続枚数計算ツール!$M$109&gt;=枚数!$A33,AM$2*$A33,0)</f>
        <v>0</v>
      </c>
      <c r="AN33">
        <f>IF(HUAWEI製ＰＣＳ接続枚数計算ツール!$M$109&gt;=枚数!$A33,AN$2*$A33,0)</f>
        <v>0</v>
      </c>
      <c r="AO33">
        <f>IF(HUAWEI製ＰＣＳ接続枚数計算ツール!$M$109&gt;=枚数!$A33,AO$2*$A33,0)</f>
        <v>0</v>
      </c>
    </row>
    <row r="34" spans="1:41">
      <c r="A34">
        <v>32</v>
      </c>
      <c r="B34">
        <f>IF(HUAWEI製ＰＣＳ接続枚数計算ツール!$M$109&gt;=枚数!$A34,B$2*$A34,0)</f>
        <v>0</v>
      </c>
      <c r="C34">
        <f>IF(HUAWEI製ＰＣＳ接続枚数計算ツール!$M$109&gt;=枚数!$A34,C$2*$A34,0)</f>
        <v>0</v>
      </c>
      <c r="D34">
        <f>IF(HUAWEI製ＰＣＳ接続枚数計算ツール!$M$109&gt;=枚数!$A34,D$2*$A34,0)</f>
        <v>0</v>
      </c>
      <c r="E34">
        <f>IF(HUAWEI製ＰＣＳ接続枚数計算ツール!$M$109&gt;=枚数!$A34,E$2*$A34,0)</f>
        <v>0</v>
      </c>
      <c r="F34">
        <f>IF(HUAWEI製ＰＣＳ接続枚数計算ツール!$M$109&gt;=枚数!$A34,F$2*$A34,0)</f>
        <v>0</v>
      </c>
      <c r="G34">
        <f>IF(HUAWEI製ＰＣＳ接続枚数計算ツール!$M$109&gt;=枚数!$A34,G$2*$A34,0)</f>
        <v>0</v>
      </c>
      <c r="H34">
        <f>IF(HUAWEI製ＰＣＳ接続枚数計算ツール!$M$109&gt;=枚数!$A34,H$2*$A34,0)</f>
        <v>0</v>
      </c>
      <c r="I34">
        <f>IF(HUAWEI製ＰＣＳ接続枚数計算ツール!$M$109&gt;=枚数!$A34,I$2*$A34,0)</f>
        <v>0</v>
      </c>
      <c r="J34">
        <f>IF(HUAWEI製ＰＣＳ接続枚数計算ツール!$M$109&gt;=枚数!$A34,J$2*$A34,0)</f>
        <v>0</v>
      </c>
      <c r="K34">
        <f>IF(HUAWEI製ＰＣＳ接続枚数計算ツール!$M$109&gt;=枚数!$A34,K$2*$A34,0)</f>
        <v>0</v>
      </c>
      <c r="L34">
        <f>IF(HUAWEI製ＰＣＳ接続枚数計算ツール!$M$109&gt;=枚数!$A34,L$2*$A34,0)</f>
        <v>0</v>
      </c>
      <c r="M34">
        <f>IF(HUAWEI製ＰＣＳ接続枚数計算ツール!$M$109&gt;=枚数!$A34,M$2*$A34,0)</f>
        <v>0</v>
      </c>
      <c r="N34">
        <f>IF(HUAWEI製ＰＣＳ接続枚数計算ツール!$M$109&gt;=枚数!$A34,N$2*$A34,0)</f>
        <v>0</v>
      </c>
      <c r="O34">
        <f>IF(HUAWEI製ＰＣＳ接続枚数計算ツール!$M$109&gt;=枚数!$A34,O$2*$A34,0)</f>
        <v>0</v>
      </c>
      <c r="P34">
        <f>IF(HUAWEI製ＰＣＳ接続枚数計算ツール!$M$109&gt;=枚数!$A34,P$2*$A34,0)</f>
        <v>0</v>
      </c>
      <c r="Q34">
        <f>IF(HUAWEI製ＰＣＳ接続枚数計算ツール!$M$109&gt;=枚数!$A34,Q$2*$A34,0)</f>
        <v>0</v>
      </c>
      <c r="R34">
        <f>IF(HUAWEI製ＰＣＳ接続枚数計算ツール!$M$109&gt;=枚数!$A34,R$2*$A34,0)</f>
        <v>0</v>
      </c>
      <c r="S34">
        <f>IF(HUAWEI製ＰＣＳ接続枚数計算ツール!$M$109&gt;=枚数!$A34,S$2*$A34,0)</f>
        <v>0</v>
      </c>
      <c r="T34">
        <f>IF(HUAWEI製ＰＣＳ接続枚数計算ツール!$M$109&gt;=枚数!$A34,T$2*$A34,0)</f>
        <v>0</v>
      </c>
      <c r="U34">
        <f>IF(HUAWEI製ＰＣＳ接続枚数計算ツール!$M$109&gt;=枚数!$A34,U$2*$A34,0)</f>
        <v>0</v>
      </c>
      <c r="V34">
        <f>IF(HUAWEI製ＰＣＳ接続枚数計算ツール!$M$109&gt;=枚数!$A34,V$2*$A34,0)</f>
        <v>0</v>
      </c>
      <c r="W34">
        <f>IF(HUAWEI製ＰＣＳ接続枚数計算ツール!$M$109&gt;=枚数!$A34,W$2*$A34,0)</f>
        <v>0</v>
      </c>
      <c r="X34">
        <f>IF(HUAWEI製ＰＣＳ接続枚数計算ツール!$M$109&gt;=枚数!$A34,X$2*$A34,0)</f>
        <v>0</v>
      </c>
      <c r="Y34">
        <f>IF(HUAWEI製ＰＣＳ接続枚数計算ツール!$M$109&gt;=枚数!$A34,Y$2*$A34,0)</f>
        <v>0</v>
      </c>
      <c r="Z34">
        <f>IF(HUAWEI製ＰＣＳ接続枚数計算ツール!$M$109&gt;=枚数!$A34,Z$2*$A34,0)</f>
        <v>0</v>
      </c>
      <c r="AA34">
        <f>IF(HUAWEI製ＰＣＳ接続枚数計算ツール!$M$109&gt;=枚数!$A34,AA$2*$A34,0)</f>
        <v>0</v>
      </c>
      <c r="AB34">
        <f>IF(HUAWEI製ＰＣＳ接続枚数計算ツール!$M$109&gt;=枚数!$A34,AB$2*$A34,0)</f>
        <v>0</v>
      </c>
      <c r="AC34">
        <f>IF(HUAWEI製ＰＣＳ接続枚数計算ツール!$M$109&gt;=枚数!$A34,AC$2*$A34,0)</f>
        <v>0</v>
      </c>
      <c r="AD34">
        <f>IF(HUAWEI製ＰＣＳ接続枚数計算ツール!$M$109&gt;=枚数!$A34,AD$2*$A34,0)</f>
        <v>0</v>
      </c>
      <c r="AE34">
        <f>IF(HUAWEI製ＰＣＳ接続枚数計算ツール!$M$109&gt;=枚数!$A34,AE$2*$A34,0)</f>
        <v>0</v>
      </c>
      <c r="AF34">
        <f>IF(HUAWEI製ＰＣＳ接続枚数計算ツール!$M$109&gt;=枚数!$A34,AF$2*$A34,0)</f>
        <v>0</v>
      </c>
      <c r="AG34">
        <f>IF(HUAWEI製ＰＣＳ接続枚数計算ツール!$M$109&gt;=枚数!$A34,AG$2*$A34,0)</f>
        <v>0</v>
      </c>
      <c r="AH34">
        <f>IF(HUAWEI製ＰＣＳ接続枚数計算ツール!$M$109&gt;=枚数!$A34,AH$2*$A34,0)</f>
        <v>0</v>
      </c>
      <c r="AI34">
        <f>IF(HUAWEI製ＰＣＳ接続枚数計算ツール!$M$109&gt;=枚数!$A34,AI$2*$A34,0)</f>
        <v>0</v>
      </c>
      <c r="AJ34">
        <f>IF(HUAWEI製ＰＣＳ接続枚数計算ツール!$M$109&gt;=枚数!$A34,AJ$2*$A34,0)</f>
        <v>0</v>
      </c>
      <c r="AK34">
        <f>IF(HUAWEI製ＰＣＳ接続枚数計算ツール!$M$109&gt;=枚数!$A34,AK$2*$A34,0)</f>
        <v>0</v>
      </c>
      <c r="AL34">
        <f>IF(HUAWEI製ＰＣＳ接続枚数計算ツール!$M$109&gt;=枚数!$A34,AL$2*$A34,0)</f>
        <v>0</v>
      </c>
      <c r="AM34">
        <f>IF(HUAWEI製ＰＣＳ接続枚数計算ツール!$M$109&gt;=枚数!$A34,AM$2*$A34,0)</f>
        <v>0</v>
      </c>
      <c r="AN34">
        <f>IF(HUAWEI製ＰＣＳ接続枚数計算ツール!$M$109&gt;=枚数!$A34,AN$2*$A34,0)</f>
        <v>0</v>
      </c>
      <c r="AO34">
        <f>IF(HUAWEI製ＰＣＳ接続枚数計算ツール!$M$109&gt;=枚数!$A34,AO$2*$A34,0)</f>
        <v>0</v>
      </c>
    </row>
    <row r="35" spans="1:41">
      <c r="A35">
        <v>33</v>
      </c>
      <c r="B35">
        <f>IF(HUAWEI製ＰＣＳ接続枚数計算ツール!$M$109&gt;=枚数!$A35,B$2*$A35,0)</f>
        <v>0</v>
      </c>
      <c r="C35">
        <f>IF(HUAWEI製ＰＣＳ接続枚数計算ツール!$M$109&gt;=枚数!$A35,C$2*$A35,0)</f>
        <v>0</v>
      </c>
      <c r="D35">
        <f>IF(HUAWEI製ＰＣＳ接続枚数計算ツール!$M$109&gt;=枚数!$A35,D$2*$A35,0)</f>
        <v>0</v>
      </c>
      <c r="E35">
        <f>IF(HUAWEI製ＰＣＳ接続枚数計算ツール!$M$109&gt;=枚数!$A35,E$2*$A35,0)</f>
        <v>0</v>
      </c>
      <c r="F35">
        <f>IF(HUAWEI製ＰＣＳ接続枚数計算ツール!$M$109&gt;=枚数!$A35,F$2*$A35,0)</f>
        <v>0</v>
      </c>
      <c r="G35">
        <f>IF(HUAWEI製ＰＣＳ接続枚数計算ツール!$M$109&gt;=枚数!$A35,G$2*$A35,0)</f>
        <v>0</v>
      </c>
      <c r="H35">
        <f>IF(HUAWEI製ＰＣＳ接続枚数計算ツール!$M$109&gt;=枚数!$A35,H$2*$A35,0)</f>
        <v>0</v>
      </c>
      <c r="I35">
        <f>IF(HUAWEI製ＰＣＳ接続枚数計算ツール!$M$109&gt;=枚数!$A35,I$2*$A35,0)</f>
        <v>0</v>
      </c>
      <c r="J35">
        <f>IF(HUAWEI製ＰＣＳ接続枚数計算ツール!$M$109&gt;=枚数!$A35,J$2*$A35,0)</f>
        <v>0</v>
      </c>
      <c r="K35">
        <f>IF(HUAWEI製ＰＣＳ接続枚数計算ツール!$M$109&gt;=枚数!$A35,K$2*$A35,0)</f>
        <v>0</v>
      </c>
      <c r="L35">
        <f>IF(HUAWEI製ＰＣＳ接続枚数計算ツール!$M$109&gt;=枚数!$A35,L$2*$A35,0)</f>
        <v>0</v>
      </c>
      <c r="M35">
        <f>IF(HUAWEI製ＰＣＳ接続枚数計算ツール!$M$109&gt;=枚数!$A35,M$2*$A35,0)</f>
        <v>0</v>
      </c>
      <c r="N35">
        <f>IF(HUAWEI製ＰＣＳ接続枚数計算ツール!$M$109&gt;=枚数!$A35,N$2*$A35,0)</f>
        <v>0</v>
      </c>
      <c r="O35">
        <f>IF(HUAWEI製ＰＣＳ接続枚数計算ツール!$M$109&gt;=枚数!$A35,O$2*$A35,0)</f>
        <v>0</v>
      </c>
      <c r="P35">
        <f>IF(HUAWEI製ＰＣＳ接続枚数計算ツール!$M$109&gt;=枚数!$A35,P$2*$A35,0)</f>
        <v>0</v>
      </c>
      <c r="Q35">
        <f>IF(HUAWEI製ＰＣＳ接続枚数計算ツール!$M$109&gt;=枚数!$A35,Q$2*$A35,0)</f>
        <v>0</v>
      </c>
      <c r="R35">
        <f>IF(HUAWEI製ＰＣＳ接続枚数計算ツール!$M$109&gt;=枚数!$A35,R$2*$A35,0)</f>
        <v>0</v>
      </c>
      <c r="S35">
        <f>IF(HUAWEI製ＰＣＳ接続枚数計算ツール!$M$109&gt;=枚数!$A35,S$2*$A35,0)</f>
        <v>0</v>
      </c>
      <c r="T35">
        <f>IF(HUAWEI製ＰＣＳ接続枚数計算ツール!$M$109&gt;=枚数!$A35,T$2*$A35,0)</f>
        <v>0</v>
      </c>
      <c r="U35">
        <f>IF(HUAWEI製ＰＣＳ接続枚数計算ツール!$M$109&gt;=枚数!$A35,U$2*$A35,0)</f>
        <v>0</v>
      </c>
      <c r="V35">
        <f>IF(HUAWEI製ＰＣＳ接続枚数計算ツール!$M$109&gt;=枚数!$A35,V$2*$A35,0)</f>
        <v>0</v>
      </c>
      <c r="W35">
        <f>IF(HUAWEI製ＰＣＳ接続枚数計算ツール!$M$109&gt;=枚数!$A35,W$2*$A35,0)</f>
        <v>0</v>
      </c>
      <c r="X35">
        <f>IF(HUAWEI製ＰＣＳ接続枚数計算ツール!$M$109&gt;=枚数!$A35,X$2*$A35,0)</f>
        <v>0</v>
      </c>
      <c r="Y35">
        <f>IF(HUAWEI製ＰＣＳ接続枚数計算ツール!$M$109&gt;=枚数!$A35,Y$2*$A35,0)</f>
        <v>0</v>
      </c>
      <c r="Z35">
        <f>IF(HUAWEI製ＰＣＳ接続枚数計算ツール!$M$109&gt;=枚数!$A35,Z$2*$A35,0)</f>
        <v>0</v>
      </c>
      <c r="AA35">
        <f>IF(HUAWEI製ＰＣＳ接続枚数計算ツール!$M$109&gt;=枚数!$A35,AA$2*$A35,0)</f>
        <v>0</v>
      </c>
      <c r="AB35">
        <f>IF(HUAWEI製ＰＣＳ接続枚数計算ツール!$M$109&gt;=枚数!$A35,AB$2*$A35,0)</f>
        <v>0</v>
      </c>
      <c r="AC35">
        <f>IF(HUAWEI製ＰＣＳ接続枚数計算ツール!$M$109&gt;=枚数!$A35,AC$2*$A35,0)</f>
        <v>0</v>
      </c>
      <c r="AD35">
        <f>IF(HUAWEI製ＰＣＳ接続枚数計算ツール!$M$109&gt;=枚数!$A35,AD$2*$A35,0)</f>
        <v>0</v>
      </c>
      <c r="AE35">
        <f>IF(HUAWEI製ＰＣＳ接続枚数計算ツール!$M$109&gt;=枚数!$A35,AE$2*$A35,0)</f>
        <v>0</v>
      </c>
      <c r="AF35">
        <f>IF(HUAWEI製ＰＣＳ接続枚数計算ツール!$M$109&gt;=枚数!$A35,AF$2*$A35,0)</f>
        <v>0</v>
      </c>
      <c r="AG35">
        <f>IF(HUAWEI製ＰＣＳ接続枚数計算ツール!$M$109&gt;=枚数!$A35,AG$2*$A35,0)</f>
        <v>0</v>
      </c>
      <c r="AH35">
        <f>IF(HUAWEI製ＰＣＳ接続枚数計算ツール!$M$109&gt;=枚数!$A35,AH$2*$A35,0)</f>
        <v>0</v>
      </c>
      <c r="AI35">
        <f>IF(HUAWEI製ＰＣＳ接続枚数計算ツール!$M$109&gt;=枚数!$A35,AI$2*$A35,0)</f>
        <v>0</v>
      </c>
      <c r="AJ35">
        <f>IF(HUAWEI製ＰＣＳ接続枚数計算ツール!$M$109&gt;=枚数!$A35,AJ$2*$A35,0)</f>
        <v>0</v>
      </c>
      <c r="AK35">
        <f>IF(HUAWEI製ＰＣＳ接続枚数計算ツール!$M$109&gt;=枚数!$A35,AK$2*$A35,0)</f>
        <v>0</v>
      </c>
      <c r="AL35">
        <f>IF(HUAWEI製ＰＣＳ接続枚数計算ツール!$M$109&gt;=枚数!$A35,AL$2*$A35,0)</f>
        <v>0</v>
      </c>
      <c r="AM35">
        <f>IF(HUAWEI製ＰＣＳ接続枚数計算ツール!$M$109&gt;=枚数!$A35,AM$2*$A35,0)</f>
        <v>0</v>
      </c>
      <c r="AN35">
        <f>IF(HUAWEI製ＰＣＳ接続枚数計算ツール!$M$109&gt;=枚数!$A35,AN$2*$A35,0)</f>
        <v>0</v>
      </c>
      <c r="AO35">
        <f>IF(HUAWEI製ＰＣＳ接続枚数計算ツール!$M$109&gt;=枚数!$A35,AO$2*$A35,0)</f>
        <v>0</v>
      </c>
    </row>
    <row r="36" spans="1:41">
      <c r="A36">
        <v>34</v>
      </c>
      <c r="B36">
        <f>IF(HUAWEI製ＰＣＳ接続枚数計算ツール!$M$109&gt;=枚数!$A36,B$2*$A36,0)</f>
        <v>0</v>
      </c>
      <c r="C36">
        <f>IF(HUAWEI製ＰＣＳ接続枚数計算ツール!$M$109&gt;=枚数!$A36,C$2*$A36,0)</f>
        <v>0</v>
      </c>
      <c r="D36">
        <f>IF(HUAWEI製ＰＣＳ接続枚数計算ツール!$M$109&gt;=枚数!$A36,D$2*$A36,0)</f>
        <v>0</v>
      </c>
      <c r="E36">
        <f>IF(HUAWEI製ＰＣＳ接続枚数計算ツール!$M$109&gt;=枚数!$A36,E$2*$A36,0)</f>
        <v>0</v>
      </c>
      <c r="F36">
        <f>IF(HUAWEI製ＰＣＳ接続枚数計算ツール!$M$109&gt;=枚数!$A36,F$2*$A36,0)</f>
        <v>0</v>
      </c>
      <c r="G36">
        <f>IF(HUAWEI製ＰＣＳ接続枚数計算ツール!$M$109&gt;=枚数!$A36,G$2*$A36,0)</f>
        <v>0</v>
      </c>
      <c r="H36">
        <f>IF(HUAWEI製ＰＣＳ接続枚数計算ツール!$M$109&gt;=枚数!$A36,H$2*$A36,0)</f>
        <v>0</v>
      </c>
      <c r="I36">
        <f>IF(HUAWEI製ＰＣＳ接続枚数計算ツール!$M$109&gt;=枚数!$A36,I$2*$A36,0)</f>
        <v>0</v>
      </c>
      <c r="J36">
        <f>IF(HUAWEI製ＰＣＳ接続枚数計算ツール!$M$109&gt;=枚数!$A36,J$2*$A36,0)</f>
        <v>0</v>
      </c>
      <c r="K36">
        <f>IF(HUAWEI製ＰＣＳ接続枚数計算ツール!$M$109&gt;=枚数!$A36,K$2*$A36,0)</f>
        <v>0</v>
      </c>
      <c r="L36">
        <f>IF(HUAWEI製ＰＣＳ接続枚数計算ツール!$M$109&gt;=枚数!$A36,L$2*$A36,0)</f>
        <v>0</v>
      </c>
      <c r="M36">
        <f>IF(HUAWEI製ＰＣＳ接続枚数計算ツール!$M$109&gt;=枚数!$A36,M$2*$A36,0)</f>
        <v>0</v>
      </c>
      <c r="N36">
        <f>IF(HUAWEI製ＰＣＳ接続枚数計算ツール!$M$109&gt;=枚数!$A36,N$2*$A36,0)</f>
        <v>0</v>
      </c>
      <c r="O36">
        <f>IF(HUAWEI製ＰＣＳ接続枚数計算ツール!$M$109&gt;=枚数!$A36,O$2*$A36,0)</f>
        <v>0</v>
      </c>
      <c r="P36">
        <f>IF(HUAWEI製ＰＣＳ接続枚数計算ツール!$M$109&gt;=枚数!$A36,P$2*$A36,0)</f>
        <v>0</v>
      </c>
      <c r="Q36">
        <f>IF(HUAWEI製ＰＣＳ接続枚数計算ツール!$M$109&gt;=枚数!$A36,Q$2*$A36,0)</f>
        <v>0</v>
      </c>
      <c r="R36">
        <f>IF(HUAWEI製ＰＣＳ接続枚数計算ツール!$M$109&gt;=枚数!$A36,R$2*$A36,0)</f>
        <v>0</v>
      </c>
      <c r="S36">
        <f>IF(HUAWEI製ＰＣＳ接続枚数計算ツール!$M$109&gt;=枚数!$A36,S$2*$A36,0)</f>
        <v>0</v>
      </c>
      <c r="T36">
        <f>IF(HUAWEI製ＰＣＳ接続枚数計算ツール!$M$109&gt;=枚数!$A36,T$2*$A36,0)</f>
        <v>0</v>
      </c>
      <c r="U36">
        <f>IF(HUAWEI製ＰＣＳ接続枚数計算ツール!$M$109&gt;=枚数!$A36,U$2*$A36,0)</f>
        <v>0</v>
      </c>
      <c r="V36">
        <f>IF(HUAWEI製ＰＣＳ接続枚数計算ツール!$M$109&gt;=枚数!$A36,V$2*$A36,0)</f>
        <v>0</v>
      </c>
      <c r="W36">
        <f>IF(HUAWEI製ＰＣＳ接続枚数計算ツール!$M$109&gt;=枚数!$A36,W$2*$A36,0)</f>
        <v>0</v>
      </c>
      <c r="X36">
        <f>IF(HUAWEI製ＰＣＳ接続枚数計算ツール!$M$109&gt;=枚数!$A36,X$2*$A36,0)</f>
        <v>0</v>
      </c>
      <c r="Y36">
        <f>IF(HUAWEI製ＰＣＳ接続枚数計算ツール!$M$109&gt;=枚数!$A36,Y$2*$A36,0)</f>
        <v>0</v>
      </c>
      <c r="Z36">
        <f>IF(HUAWEI製ＰＣＳ接続枚数計算ツール!$M$109&gt;=枚数!$A36,Z$2*$A36,0)</f>
        <v>0</v>
      </c>
      <c r="AA36">
        <f>IF(HUAWEI製ＰＣＳ接続枚数計算ツール!$M$109&gt;=枚数!$A36,AA$2*$A36,0)</f>
        <v>0</v>
      </c>
      <c r="AB36">
        <f>IF(HUAWEI製ＰＣＳ接続枚数計算ツール!$M$109&gt;=枚数!$A36,AB$2*$A36,0)</f>
        <v>0</v>
      </c>
      <c r="AC36">
        <f>IF(HUAWEI製ＰＣＳ接続枚数計算ツール!$M$109&gt;=枚数!$A36,AC$2*$A36,0)</f>
        <v>0</v>
      </c>
      <c r="AD36">
        <f>IF(HUAWEI製ＰＣＳ接続枚数計算ツール!$M$109&gt;=枚数!$A36,AD$2*$A36,0)</f>
        <v>0</v>
      </c>
      <c r="AE36">
        <f>IF(HUAWEI製ＰＣＳ接続枚数計算ツール!$M$109&gt;=枚数!$A36,AE$2*$A36,0)</f>
        <v>0</v>
      </c>
      <c r="AF36">
        <f>IF(HUAWEI製ＰＣＳ接続枚数計算ツール!$M$109&gt;=枚数!$A36,AF$2*$A36,0)</f>
        <v>0</v>
      </c>
      <c r="AG36">
        <f>IF(HUAWEI製ＰＣＳ接続枚数計算ツール!$M$109&gt;=枚数!$A36,AG$2*$A36,0)</f>
        <v>0</v>
      </c>
      <c r="AH36">
        <f>IF(HUAWEI製ＰＣＳ接続枚数計算ツール!$M$109&gt;=枚数!$A36,AH$2*$A36,0)</f>
        <v>0</v>
      </c>
      <c r="AI36">
        <f>IF(HUAWEI製ＰＣＳ接続枚数計算ツール!$M$109&gt;=枚数!$A36,AI$2*$A36,0)</f>
        <v>0</v>
      </c>
      <c r="AJ36">
        <f>IF(HUAWEI製ＰＣＳ接続枚数計算ツール!$M$109&gt;=枚数!$A36,AJ$2*$A36,0)</f>
        <v>0</v>
      </c>
      <c r="AK36">
        <f>IF(HUAWEI製ＰＣＳ接続枚数計算ツール!$M$109&gt;=枚数!$A36,AK$2*$A36,0)</f>
        <v>0</v>
      </c>
      <c r="AL36">
        <f>IF(HUAWEI製ＰＣＳ接続枚数計算ツール!$M$109&gt;=枚数!$A36,AL$2*$A36,0)</f>
        <v>0</v>
      </c>
      <c r="AM36">
        <f>IF(HUAWEI製ＰＣＳ接続枚数計算ツール!$M$109&gt;=枚数!$A36,AM$2*$A36,0)</f>
        <v>0</v>
      </c>
      <c r="AN36">
        <f>IF(HUAWEI製ＰＣＳ接続枚数計算ツール!$M$109&gt;=枚数!$A36,AN$2*$A36,0)</f>
        <v>0</v>
      </c>
      <c r="AO36">
        <f>IF(HUAWEI製ＰＣＳ接続枚数計算ツール!$M$109&gt;=枚数!$A36,AO$2*$A36,0)</f>
        <v>0</v>
      </c>
    </row>
    <row r="37" spans="1:41">
      <c r="A37">
        <v>35</v>
      </c>
    </row>
    <row r="38" spans="1:41">
      <c r="A38">
        <v>36</v>
      </c>
    </row>
    <row r="39" spans="1:41">
      <c r="A39">
        <v>37</v>
      </c>
    </row>
    <row r="40" spans="1:41">
      <c r="A40">
        <v>38</v>
      </c>
    </row>
    <row r="41" spans="1:41">
      <c r="A41">
        <v>39</v>
      </c>
    </row>
    <row r="42" spans="1:41">
      <c r="A42">
        <v>40</v>
      </c>
    </row>
  </sheetData>
  <phoneticPr fontId="2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30"/>
  <sheetViews>
    <sheetView workbookViewId="0">
      <selection activeCell="M11" sqref="M11"/>
    </sheetView>
  </sheetViews>
  <sheetFormatPr defaultRowHeight="14.1"/>
  <sheetData>
    <row r="1" spans="1:41">
      <c r="A1" t="s">
        <v>2036</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s="86">
        <f>((1-1/MAX(100%,過積載率!B3))^0.5*(HUAWEI製ＰＣＳ接続枚数計算ツール!$I$6-HUAWEI製ＰＣＳ接続枚数計算ツール!$G$6)+HUAWEI製ＰＣＳ接続枚数計算ツール!$G$6)*VLOOKUP(HUAWEI製ＰＣＳ接続枚数計算ツール!$C$9,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3" s="86">
        <f>((1-1/MAX(100%,過積載率!C3))^0.5*(HUAWEI製ＰＣＳ接続枚数計算ツール!$I$6-HUAWEI製ＰＣＳ接続枚数計算ツール!$G$6)+HUAWEI製ＰＣＳ接続枚数計算ツール!$G$6)*VLOOKUP(HUAWEI製ＰＣＳ接続枚数計算ツール!$C$9,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3" s="86">
        <f>((1-1/MAX(100%,過積載率!D3))^0.5*(HUAWEI製ＰＣＳ接続枚数計算ツール!$I$6-HUAWEI製ＰＣＳ接続枚数計算ツール!$G$6)+HUAWEI製ＰＣＳ接続枚数計算ツール!$G$6)*VLOOKUP(HUAWEI製ＰＣＳ接続枚数計算ツール!$C$9,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3" s="86">
        <f>((1-1/MAX(100%,過積載率!E3))^0.5*(HUAWEI製ＰＣＳ接続枚数計算ツール!$I$6-HUAWEI製ＰＣＳ接続枚数計算ツール!$G$6)+HUAWEI製ＰＣＳ接続枚数計算ツール!$G$6)*VLOOKUP(HUAWEI製ＰＣＳ接続枚数計算ツール!$C$9,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3" s="86">
        <f>((1-1/MAX(100%,過積載率!F3))^0.5*(HUAWEI製ＰＣＳ接続枚数計算ツール!$I$6-HUAWEI製ＰＣＳ接続枚数計算ツール!$G$6)+HUAWEI製ＰＣＳ接続枚数計算ツール!$G$6)*VLOOKUP(HUAWEI製ＰＣＳ接続枚数計算ツール!$C$9,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3" s="86">
        <f>((1-1/MAX(100%,過積載率!G3))^0.5*(HUAWEI製ＰＣＳ接続枚数計算ツール!$I$6-HUAWEI製ＰＣＳ接続枚数計算ツール!$G$6)+HUAWEI製ＰＣＳ接続枚数計算ツール!$G$6)*VLOOKUP(HUAWEI製ＰＣＳ接続枚数計算ツール!$C$9,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3" s="86">
        <f>((1-1/MAX(100%,過積載率!H3))^0.5*(HUAWEI製ＰＣＳ接続枚数計算ツール!$I$6-HUAWEI製ＰＣＳ接続枚数計算ツール!$G$6)+HUAWEI製ＰＣＳ接続枚数計算ツール!$G$6)*VLOOKUP(HUAWEI製ＰＣＳ接続枚数計算ツール!$C$9,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3" s="86">
        <f>((1-1/MAX(100%,過積載率!I3))^0.5*(HUAWEI製ＰＣＳ接続枚数計算ツール!$I$6-HUAWEI製ＰＣＳ接続枚数計算ツール!$G$6)+HUAWEI製ＰＣＳ接続枚数計算ツール!$G$6)*VLOOKUP(HUAWEI製ＰＣＳ接続枚数計算ツール!$C$9,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3" s="86">
        <f>((1-1/MAX(100%,過積載率!J3))^0.5*(HUAWEI製ＰＣＳ接続枚数計算ツール!$I$6-HUAWEI製ＰＣＳ接続枚数計算ツール!$G$6)+HUAWEI製ＰＣＳ接続枚数計算ツール!$G$6)*VLOOKUP(HUAWEI製ＰＣＳ接続枚数計算ツール!$C$9,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3" s="86">
        <f>((1-1/MAX(100%,過積載率!K3))^0.5*(HUAWEI製ＰＣＳ接続枚数計算ツール!$I$6-HUAWEI製ＰＣＳ接続枚数計算ツール!$G$6)+HUAWEI製ＰＣＳ接続枚数計算ツール!$G$6)*VLOOKUP(HUAWEI製ＰＣＳ接続枚数計算ツール!$C$9,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3" s="86">
        <f>((1-1/MAX(100%,過積載率!L3))^0.5*(HUAWEI製ＰＣＳ接続枚数計算ツール!$I$6-HUAWEI製ＰＣＳ接続枚数計算ツール!$G$6)+HUAWEI製ＰＣＳ接続枚数計算ツール!$G$6)*VLOOKUP(HUAWEI製ＰＣＳ接続枚数計算ツール!$C$9,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3" s="86">
        <f>((1-1/MAX(100%,過積載率!M3))^0.5*(HUAWEI製ＰＣＳ接続枚数計算ツール!$I$6-HUAWEI製ＰＣＳ接続枚数計算ツール!$G$6)+HUAWEI製ＰＣＳ接続枚数計算ツール!$G$6)*VLOOKUP(HUAWEI製ＰＣＳ接続枚数計算ツール!$C$9,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3" s="86">
        <f>((1-1/MAX(100%,過積載率!N3))^0.5*(HUAWEI製ＰＣＳ接続枚数計算ツール!$I$6-HUAWEI製ＰＣＳ接続枚数計算ツール!$G$6)+HUAWEI製ＰＣＳ接続枚数計算ツール!$G$6)*VLOOKUP(HUAWEI製ＰＣＳ接続枚数計算ツール!$C$9,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3" s="86">
        <f>((1-1/MAX(100%,過積載率!O3))^0.5*(HUAWEI製ＰＣＳ接続枚数計算ツール!$I$6-HUAWEI製ＰＣＳ接続枚数計算ツール!$G$6)+HUAWEI製ＰＣＳ接続枚数計算ツール!$G$6)*VLOOKUP(HUAWEI製ＰＣＳ接続枚数計算ツール!$C$9,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3" s="86">
        <f>((1-1/MAX(100%,過積載率!P3))^0.5*(HUAWEI製ＰＣＳ接続枚数計算ツール!$I$6-HUAWEI製ＰＣＳ接続枚数計算ツール!$G$6)+HUAWEI製ＰＣＳ接続枚数計算ツール!$G$6)*VLOOKUP(HUAWEI製ＰＣＳ接続枚数計算ツール!$C$9,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3" s="86">
        <f>((1-1/MAX(100%,過積載率!Q3))^0.5*(HUAWEI製ＰＣＳ接続枚数計算ツール!$I$6-HUAWEI製ＰＣＳ接続枚数計算ツール!$G$6)+HUAWEI製ＰＣＳ接続枚数計算ツール!$G$6)*VLOOKUP(HUAWEI製ＰＣＳ接続枚数計算ツール!$C$9,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3" s="86">
        <f>((1-1/MAX(100%,過積載率!R3))^0.5*(HUAWEI製ＰＣＳ接続枚数計算ツール!$I$6-HUAWEI製ＰＣＳ接続枚数計算ツール!$G$6)+HUAWEI製ＰＣＳ接続枚数計算ツール!$G$6)*VLOOKUP(HUAWEI製ＰＣＳ接続枚数計算ツール!$C$9,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3" s="86">
        <f>((1-1/MAX(100%,過積載率!S3))^0.5*(HUAWEI製ＰＣＳ接続枚数計算ツール!$I$6-HUAWEI製ＰＣＳ接続枚数計算ツール!$G$6)+HUAWEI製ＰＣＳ接続枚数計算ツール!$G$6)*VLOOKUP(HUAWEI製ＰＣＳ接続枚数計算ツール!$C$9,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3" s="86">
        <f>((1-1/MAX(100%,過積載率!T3))^0.5*(HUAWEI製ＰＣＳ接続枚数計算ツール!$I$6-HUAWEI製ＰＣＳ接続枚数計算ツール!$G$6)+HUAWEI製ＰＣＳ接続枚数計算ツール!$G$6)*VLOOKUP(HUAWEI製ＰＣＳ接続枚数計算ツール!$C$9,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3" s="86">
        <f>((1-1/MAX(100%,過積載率!U3))^0.5*(HUAWEI製ＰＣＳ接続枚数計算ツール!$I$6-HUAWEI製ＰＣＳ接続枚数計算ツール!$G$6)+HUAWEI製ＰＣＳ接続枚数計算ツール!$G$6)*VLOOKUP(HUAWEI製ＰＣＳ接続枚数計算ツール!$C$9,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3" s="86">
        <f>((1-1/MAX(100%,過積載率!V3))^0.5*(HUAWEI製ＰＣＳ接続枚数計算ツール!$I$6-HUAWEI製ＰＣＳ接続枚数計算ツール!$G$6)+HUAWEI製ＰＣＳ接続枚数計算ツール!$G$6)*VLOOKUP(HUAWEI製ＰＣＳ接続枚数計算ツール!$C$9,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3" s="86">
        <f>((1-1/MAX(100%,過積載率!W3))^0.5*(HUAWEI製ＰＣＳ接続枚数計算ツール!$I$6-HUAWEI製ＰＣＳ接続枚数計算ツール!$G$6)+HUAWEI製ＰＣＳ接続枚数計算ツール!$G$6)*VLOOKUP(HUAWEI製ＰＣＳ接続枚数計算ツール!$C$9,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3" s="86">
        <f>((1-1/MAX(100%,過積載率!X3))^0.5*(HUAWEI製ＰＣＳ接続枚数計算ツール!$I$6-HUAWEI製ＰＣＳ接続枚数計算ツール!$G$6)+HUAWEI製ＰＣＳ接続枚数計算ツール!$G$6)*VLOOKUP(HUAWEI製ＰＣＳ接続枚数計算ツール!$C$9,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3" s="86">
        <f>((1-1/MAX(100%,過積載率!Y3))^0.5*(HUAWEI製ＰＣＳ接続枚数計算ツール!$I$6-HUAWEI製ＰＣＳ接続枚数計算ツール!$G$6)+HUAWEI製ＰＣＳ接続枚数計算ツール!$G$6)*VLOOKUP(HUAWEI製ＰＣＳ接続枚数計算ツール!$C$9,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3" s="86">
        <f>((1-1/MAX(100%,過積載率!Z3))^0.5*(HUAWEI製ＰＣＳ接続枚数計算ツール!$I$6-HUAWEI製ＰＣＳ接続枚数計算ツール!$G$6)+HUAWEI製ＰＣＳ接続枚数計算ツール!$G$6)*VLOOKUP(HUAWEI製ＰＣＳ接続枚数計算ツール!$C$9,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3" s="86">
        <f>((1-1/MAX(100%,過積載率!AA3))^0.5*(HUAWEI製ＰＣＳ接続枚数計算ツール!$I$6-HUAWEI製ＰＣＳ接続枚数計算ツール!$G$6)+HUAWEI製ＰＣＳ接続枚数計算ツール!$G$6)*VLOOKUP(HUAWEI製ＰＣＳ接続枚数計算ツール!$C$9,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3" s="86">
        <f>((1-1/MAX(100%,過積載率!AB3))^0.5*(HUAWEI製ＰＣＳ接続枚数計算ツール!$I$6-HUAWEI製ＰＣＳ接続枚数計算ツール!$G$6)+HUAWEI製ＰＣＳ接続枚数計算ツール!$G$6)*VLOOKUP(HUAWEI製ＰＣＳ接続枚数計算ツール!$C$9,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3" s="86">
        <f>((1-1/MAX(100%,過積載率!AC3))^0.5*(HUAWEI製ＰＣＳ接続枚数計算ツール!$I$6-HUAWEI製ＰＣＳ接続枚数計算ツール!$G$6)+HUAWEI製ＰＣＳ接続枚数計算ツール!$G$6)*VLOOKUP(HUAWEI製ＰＣＳ接続枚数計算ツール!$C$9,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3" s="86">
        <f>((1-1/MAX(100%,過積載率!AD3))^0.5*(HUAWEI製ＰＣＳ接続枚数計算ツール!$I$6-HUAWEI製ＰＣＳ接続枚数計算ツール!$G$6)+HUAWEI製ＰＣＳ接続枚数計算ツール!$G$6)*VLOOKUP(HUAWEI製ＰＣＳ接続枚数計算ツール!$C$9,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3" s="86">
        <f>((1-1/MAX(100%,過積載率!AE3))^0.5*(HUAWEI製ＰＣＳ接続枚数計算ツール!$I$6-HUAWEI製ＰＣＳ接続枚数計算ツール!$G$6)+HUAWEI製ＰＣＳ接続枚数計算ツール!$G$6)*VLOOKUP(HUAWEI製ＰＣＳ接続枚数計算ツール!$C$9,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3" s="86">
        <f>((1-1/MAX(100%,過積載率!AF3))^0.5*(HUAWEI製ＰＣＳ接続枚数計算ツール!$I$6-HUAWEI製ＰＣＳ接続枚数計算ツール!$G$6)+HUAWEI製ＰＣＳ接続枚数計算ツール!$G$6)*VLOOKUP(HUAWEI製ＰＣＳ接続枚数計算ツール!$C$9,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3" s="86">
        <f>((1-1/MAX(100%,過積載率!AG3))^0.5*(HUAWEI製ＰＣＳ接続枚数計算ツール!$I$6-HUAWEI製ＰＣＳ接続枚数計算ツール!$G$6)+HUAWEI製ＰＣＳ接続枚数計算ツール!$G$6)*VLOOKUP(HUAWEI製ＰＣＳ接続枚数計算ツール!$C$9,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3" s="86">
        <f>((1-1/MAX(100%,過積載率!AH3))^0.5*(HUAWEI製ＰＣＳ接続枚数計算ツール!$I$6-HUAWEI製ＰＣＳ接続枚数計算ツール!$G$6)+HUAWEI製ＰＣＳ接続枚数計算ツール!$G$6)*VLOOKUP(HUAWEI製ＰＣＳ接続枚数計算ツール!$C$9,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3" s="86">
        <f>((1-1/MAX(100%,過積載率!AI3))^0.5*(HUAWEI製ＰＣＳ接続枚数計算ツール!$I$6-HUAWEI製ＰＣＳ接続枚数計算ツール!$G$6)+HUAWEI製ＰＣＳ接続枚数計算ツール!$G$6)*VLOOKUP(HUAWEI製ＰＣＳ接続枚数計算ツール!$C$9,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3" s="86">
        <f>((1-1/MAX(100%,過積載率!AJ3))^0.5*(HUAWEI製ＰＣＳ接続枚数計算ツール!$I$6-HUAWEI製ＰＣＳ接続枚数計算ツール!$G$6)+HUAWEI製ＰＣＳ接続枚数計算ツール!$G$6)*VLOOKUP(HUAWEI製ＰＣＳ接続枚数計算ツール!$C$9,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3" s="86">
        <f>((1-1/MAX(100%,過積載率!AK3))^0.5*(HUAWEI製ＰＣＳ接続枚数計算ツール!$I$6-HUAWEI製ＰＣＳ接続枚数計算ツール!$G$6)+HUAWEI製ＰＣＳ接続枚数計算ツール!$G$6)*VLOOKUP(HUAWEI製ＰＣＳ接続枚数計算ツール!$C$9,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3" s="86">
        <f>((1-1/MAX(100%,過積載率!AL3))^0.5*(HUAWEI製ＰＣＳ接続枚数計算ツール!$I$6-HUAWEI製ＰＣＳ接続枚数計算ツール!$G$6)+HUAWEI製ＰＣＳ接続枚数計算ツール!$G$6)*VLOOKUP(HUAWEI製ＰＣＳ接続枚数計算ツール!$C$9,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3" s="86">
        <f>((1-1/MAX(100%,過積載率!AM3))^0.5*(HUAWEI製ＰＣＳ接続枚数計算ツール!$I$6-HUAWEI製ＰＣＳ接続枚数計算ツール!$G$6)+HUAWEI製ＰＣＳ接続枚数計算ツール!$G$6)*VLOOKUP(HUAWEI製ＰＣＳ接続枚数計算ツール!$C$9,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3" s="86">
        <f>((1-1/MAX(100%,過積載率!AN3))^0.5*(HUAWEI製ＰＣＳ接続枚数計算ツール!$I$6-HUAWEI製ＰＣＳ接続枚数計算ツール!$G$6)+HUAWEI製ＰＣＳ接続枚数計算ツール!$G$6)*VLOOKUP(HUAWEI製ＰＣＳ接続枚数計算ツール!$C$9,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3" s="86">
        <f>((1-1/MAX(100%,過積載率!AO3))^0.5*(HUAWEI製ＰＣＳ接続枚数計算ツール!$I$6-HUAWEI製ＰＣＳ接続枚数計算ツール!$G$6)+HUAWEI製ＰＣＳ接続枚数計算ツール!$G$6)*VLOOKUP(HUAWEI製ＰＣＳ接続枚数計算ツール!$C$9,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4" spans="1:41">
      <c r="A4">
        <v>2</v>
      </c>
      <c r="B4" s="86">
        <f>((1-1/MAX(100%,過積載率!B4))^0.5*(HUAWEI製ＰＣＳ接続枚数計算ツール!$I$6-HUAWEI製ＰＣＳ接続枚数計算ツール!$G$6)+HUAWEI製ＰＣＳ接続枚数計算ツール!$G$6)*VLOOKUP(HUAWEI製ＰＣＳ接続枚数計算ツール!$C$9,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4" s="86">
        <f>((1-1/MAX(100%,過積載率!C4))^0.5*(HUAWEI製ＰＣＳ接続枚数計算ツール!$I$6-HUAWEI製ＰＣＳ接続枚数計算ツール!$G$6)+HUAWEI製ＰＣＳ接続枚数計算ツール!$G$6)*VLOOKUP(HUAWEI製ＰＣＳ接続枚数計算ツール!$C$9,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4" s="86">
        <f>((1-1/MAX(100%,過積載率!D4))^0.5*(HUAWEI製ＰＣＳ接続枚数計算ツール!$I$6-HUAWEI製ＰＣＳ接続枚数計算ツール!$G$6)+HUAWEI製ＰＣＳ接続枚数計算ツール!$G$6)*VLOOKUP(HUAWEI製ＰＣＳ接続枚数計算ツール!$C$9,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4" s="86">
        <f>((1-1/MAX(100%,過積載率!E4))^0.5*(HUAWEI製ＰＣＳ接続枚数計算ツール!$I$6-HUAWEI製ＰＣＳ接続枚数計算ツール!$G$6)+HUAWEI製ＰＣＳ接続枚数計算ツール!$G$6)*VLOOKUP(HUAWEI製ＰＣＳ接続枚数計算ツール!$C$9,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4" s="86">
        <f>((1-1/MAX(100%,過積載率!F4))^0.5*(HUAWEI製ＰＣＳ接続枚数計算ツール!$I$6-HUAWEI製ＰＣＳ接続枚数計算ツール!$G$6)+HUAWEI製ＰＣＳ接続枚数計算ツール!$G$6)*VLOOKUP(HUAWEI製ＰＣＳ接続枚数計算ツール!$C$9,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4" s="86">
        <f>((1-1/MAX(100%,過積載率!G4))^0.5*(HUAWEI製ＰＣＳ接続枚数計算ツール!$I$6-HUAWEI製ＰＣＳ接続枚数計算ツール!$G$6)+HUAWEI製ＰＣＳ接続枚数計算ツール!$G$6)*VLOOKUP(HUAWEI製ＰＣＳ接続枚数計算ツール!$C$9,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4" s="86">
        <f>((1-1/MAX(100%,過積載率!H4))^0.5*(HUAWEI製ＰＣＳ接続枚数計算ツール!$I$6-HUAWEI製ＰＣＳ接続枚数計算ツール!$G$6)+HUAWEI製ＰＣＳ接続枚数計算ツール!$G$6)*VLOOKUP(HUAWEI製ＰＣＳ接続枚数計算ツール!$C$9,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4" s="86">
        <f>((1-1/MAX(100%,過積載率!I4))^0.5*(HUAWEI製ＰＣＳ接続枚数計算ツール!$I$6-HUAWEI製ＰＣＳ接続枚数計算ツール!$G$6)+HUAWEI製ＰＣＳ接続枚数計算ツール!$G$6)*VLOOKUP(HUAWEI製ＰＣＳ接続枚数計算ツール!$C$9,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4" s="86">
        <f>((1-1/MAX(100%,過積載率!J4))^0.5*(HUAWEI製ＰＣＳ接続枚数計算ツール!$I$6-HUAWEI製ＰＣＳ接続枚数計算ツール!$G$6)+HUAWEI製ＰＣＳ接続枚数計算ツール!$G$6)*VLOOKUP(HUAWEI製ＰＣＳ接続枚数計算ツール!$C$9,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4" s="86">
        <f>((1-1/MAX(100%,過積載率!K4))^0.5*(HUAWEI製ＰＣＳ接続枚数計算ツール!$I$6-HUAWEI製ＰＣＳ接続枚数計算ツール!$G$6)+HUAWEI製ＰＣＳ接続枚数計算ツール!$G$6)*VLOOKUP(HUAWEI製ＰＣＳ接続枚数計算ツール!$C$9,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4" s="86">
        <f>((1-1/MAX(100%,過積載率!L4))^0.5*(HUAWEI製ＰＣＳ接続枚数計算ツール!$I$6-HUAWEI製ＰＣＳ接続枚数計算ツール!$G$6)+HUAWEI製ＰＣＳ接続枚数計算ツール!$G$6)*VLOOKUP(HUAWEI製ＰＣＳ接続枚数計算ツール!$C$9,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4" s="86">
        <f>((1-1/MAX(100%,過積載率!M4))^0.5*(HUAWEI製ＰＣＳ接続枚数計算ツール!$I$6-HUAWEI製ＰＣＳ接続枚数計算ツール!$G$6)+HUAWEI製ＰＣＳ接続枚数計算ツール!$G$6)*VLOOKUP(HUAWEI製ＰＣＳ接続枚数計算ツール!$C$9,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4" s="86">
        <f>((1-1/MAX(100%,過積載率!N4))^0.5*(HUAWEI製ＰＣＳ接続枚数計算ツール!$I$6-HUAWEI製ＰＣＳ接続枚数計算ツール!$G$6)+HUAWEI製ＰＣＳ接続枚数計算ツール!$G$6)*VLOOKUP(HUAWEI製ＰＣＳ接続枚数計算ツール!$C$9,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4" s="86">
        <f>((1-1/MAX(100%,過積載率!O4))^0.5*(HUAWEI製ＰＣＳ接続枚数計算ツール!$I$6-HUAWEI製ＰＣＳ接続枚数計算ツール!$G$6)+HUAWEI製ＰＣＳ接続枚数計算ツール!$G$6)*VLOOKUP(HUAWEI製ＰＣＳ接続枚数計算ツール!$C$9,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4" s="86">
        <f>((1-1/MAX(100%,過積載率!P4))^0.5*(HUAWEI製ＰＣＳ接続枚数計算ツール!$I$6-HUAWEI製ＰＣＳ接続枚数計算ツール!$G$6)+HUAWEI製ＰＣＳ接続枚数計算ツール!$G$6)*VLOOKUP(HUAWEI製ＰＣＳ接続枚数計算ツール!$C$9,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4" s="86">
        <f>((1-1/MAX(100%,過積載率!Q4))^0.5*(HUAWEI製ＰＣＳ接続枚数計算ツール!$I$6-HUAWEI製ＰＣＳ接続枚数計算ツール!$G$6)+HUAWEI製ＰＣＳ接続枚数計算ツール!$G$6)*VLOOKUP(HUAWEI製ＰＣＳ接続枚数計算ツール!$C$9,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4" s="86">
        <f>((1-1/MAX(100%,過積載率!R4))^0.5*(HUAWEI製ＰＣＳ接続枚数計算ツール!$I$6-HUAWEI製ＰＣＳ接続枚数計算ツール!$G$6)+HUAWEI製ＰＣＳ接続枚数計算ツール!$G$6)*VLOOKUP(HUAWEI製ＰＣＳ接続枚数計算ツール!$C$9,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4" s="86">
        <f>((1-1/MAX(100%,過積載率!S4))^0.5*(HUAWEI製ＰＣＳ接続枚数計算ツール!$I$6-HUAWEI製ＰＣＳ接続枚数計算ツール!$G$6)+HUAWEI製ＰＣＳ接続枚数計算ツール!$G$6)*VLOOKUP(HUAWEI製ＰＣＳ接続枚数計算ツール!$C$9,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4" s="86">
        <f>((1-1/MAX(100%,過積載率!T4))^0.5*(HUAWEI製ＰＣＳ接続枚数計算ツール!$I$6-HUAWEI製ＰＣＳ接続枚数計算ツール!$G$6)+HUAWEI製ＰＣＳ接続枚数計算ツール!$G$6)*VLOOKUP(HUAWEI製ＰＣＳ接続枚数計算ツール!$C$9,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4" s="86">
        <f>((1-1/MAX(100%,過積載率!U4))^0.5*(HUAWEI製ＰＣＳ接続枚数計算ツール!$I$6-HUAWEI製ＰＣＳ接続枚数計算ツール!$G$6)+HUAWEI製ＰＣＳ接続枚数計算ツール!$G$6)*VLOOKUP(HUAWEI製ＰＣＳ接続枚数計算ツール!$C$9,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4" s="86">
        <f>((1-1/MAX(100%,過積載率!V4))^0.5*(HUAWEI製ＰＣＳ接続枚数計算ツール!$I$6-HUAWEI製ＰＣＳ接続枚数計算ツール!$G$6)+HUAWEI製ＰＣＳ接続枚数計算ツール!$G$6)*VLOOKUP(HUAWEI製ＰＣＳ接続枚数計算ツール!$C$9,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4" s="86">
        <f>((1-1/MAX(100%,過積載率!W4))^0.5*(HUAWEI製ＰＣＳ接続枚数計算ツール!$I$6-HUAWEI製ＰＣＳ接続枚数計算ツール!$G$6)+HUAWEI製ＰＣＳ接続枚数計算ツール!$G$6)*VLOOKUP(HUAWEI製ＰＣＳ接続枚数計算ツール!$C$9,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4" s="86">
        <f>((1-1/MAX(100%,過積載率!X4))^0.5*(HUAWEI製ＰＣＳ接続枚数計算ツール!$I$6-HUAWEI製ＰＣＳ接続枚数計算ツール!$G$6)+HUAWEI製ＰＣＳ接続枚数計算ツール!$G$6)*VLOOKUP(HUAWEI製ＰＣＳ接続枚数計算ツール!$C$9,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4" s="86">
        <f>((1-1/MAX(100%,過積載率!Y4))^0.5*(HUAWEI製ＰＣＳ接続枚数計算ツール!$I$6-HUAWEI製ＰＣＳ接続枚数計算ツール!$G$6)+HUAWEI製ＰＣＳ接続枚数計算ツール!$G$6)*VLOOKUP(HUAWEI製ＰＣＳ接続枚数計算ツール!$C$9,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4" s="86">
        <f>((1-1/MAX(100%,過積載率!Z4))^0.5*(HUAWEI製ＰＣＳ接続枚数計算ツール!$I$6-HUAWEI製ＰＣＳ接続枚数計算ツール!$G$6)+HUAWEI製ＰＣＳ接続枚数計算ツール!$G$6)*VLOOKUP(HUAWEI製ＰＣＳ接続枚数計算ツール!$C$9,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4" s="86">
        <f>((1-1/MAX(100%,過積載率!AA4))^0.5*(HUAWEI製ＰＣＳ接続枚数計算ツール!$I$6-HUAWEI製ＰＣＳ接続枚数計算ツール!$G$6)+HUAWEI製ＰＣＳ接続枚数計算ツール!$G$6)*VLOOKUP(HUAWEI製ＰＣＳ接続枚数計算ツール!$C$9,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4" s="86">
        <f>((1-1/MAX(100%,過積載率!AB4))^0.5*(HUAWEI製ＰＣＳ接続枚数計算ツール!$I$6-HUAWEI製ＰＣＳ接続枚数計算ツール!$G$6)+HUAWEI製ＰＣＳ接続枚数計算ツール!$G$6)*VLOOKUP(HUAWEI製ＰＣＳ接続枚数計算ツール!$C$9,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4" s="86">
        <f>((1-1/MAX(100%,過積載率!AC4))^0.5*(HUAWEI製ＰＣＳ接続枚数計算ツール!$I$6-HUAWEI製ＰＣＳ接続枚数計算ツール!$G$6)+HUAWEI製ＰＣＳ接続枚数計算ツール!$G$6)*VLOOKUP(HUAWEI製ＰＣＳ接続枚数計算ツール!$C$9,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4" s="86">
        <f>((1-1/MAX(100%,過積載率!AD4))^0.5*(HUAWEI製ＰＣＳ接続枚数計算ツール!$I$6-HUAWEI製ＰＣＳ接続枚数計算ツール!$G$6)+HUAWEI製ＰＣＳ接続枚数計算ツール!$G$6)*VLOOKUP(HUAWEI製ＰＣＳ接続枚数計算ツール!$C$9,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4" s="86">
        <f>((1-1/MAX(100%,過積載率!AE4))^0.5*(HUAWEI製ＰＣＳ接続枚数計算ツール!$I$6-HUAWEI製ＰＣＳ接続枚数計算ツール!$G$6)+HUAWEI製ＰＣＳ接続枚数計算ツール!$G$6)*VLOOKUP(HUAWEI製ＰＣＳ接続枚数計算ツール!$C$9,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4" s="86">
        <f>((1-1/MAX(100%,過積載率!AF4))^0.5*(HUAWEI製ＰＣＳ接続枚数計算ツール!$I$6-HUAWEI製ＰＣＳ接続枚数計算ツール!$G$6)+HUAWEI製ＰＣＳ接続枚数計算ツール!$G$6)*VLOOKUP(HUAWEI製ＰＣＳ接続枚数計算ツール!$C$9,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4" s="86">
        <f>((1-1/MAX(100%,過積載率!AG4))^0.5*(HUAWEI製ＰＣＳ接続枚数計算ツール!$I$6-HUAWEI製ＰＣＳ接続枚数計算ツール!$G$6)+HUAWEI製ＰＣＳ接続枚数計算ツール!$G$6)*VLOOKUP(HUAWEI製ＰＣＳ接続枚数計算ツール!$C$9,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4" s="86">
        <f>((1-1/MAX(100%,過積載率!AH4))^0.5*(HUAWEI製ＰＣＳ接続枚数計算ツール!$I$6-HUAWEI製ＰＣＳ接続枚数計算ツール!$G$6)+HUAWEI製ＰＣＳ接続枚数計算ツール!$G$6)*VLOOKUP(HUAWEI製ＰＣＳ接続枚数計算ツール!$C$9,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4" s="86">
        <f>((1-1/MAX(100%,過積載率!AI4))^0.5*(HUAWEI製ＰＣＳ接続枚数計算ツール!$I$6-HUAWEI製ＰＣＳ接続枚数計算ツール!$G$6)+HUAWEI製ＰＣＳ接続枚数計算ツール!$G$6)*VLOOKUP(HUAWEI製ＰＣＳ接続枚数計算ツール!$C$9,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4" s="86">
        <f>((1-1/MAX(100%,過積載率!AJ4))^0.5*(HUAWEI製ＰＣＳ接続枚数計算ツール!$I$6-HUAWEI製ＰＣＳ接続枚数計算ツール!$G$6)+HUAWEI製ＰＣＳ接続枚数計算ツール!$G$6)*VLOOKUP(HUAWEI製ＰＣＳ接続枚数計算ツール!$C$9,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4" s="86">
        <f>((1-1/MAX(100%,過積載率!AK4))^0.5*(HUAWEI製ＰＣＳ接続枚数計算ツール!$I$6-HUAWEI製ＰＣＳ接続枚数計算ツール!$G$6)+HUAWEI製ＰＣＳ接続枚数計算ツール!$G$6)*VLOOKUP(HUAWEI製ＰＣＳ接続枚数計算ツール!$C$9,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4" s="86">
        <f>((1-1/MAX(100%,過積載率!AL4))^0.5*(HUAWEI製ＰＣＳ接続枚数計算ツール!$I$6-HUAWEI製ＰＣＳ接続枚数計算ツール!$G$6)+HUAWEI製ＰＣＳ接続枚数計算ツール!$G$6)*VLOOKUP(HUAWEI製ＰＣＳ接続枚数計算ツール!$C$9,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4" s="86">
        <f>((1-1/MAX(100%,過積載率!AM4))^0.5*(HUAWEI製ＰＣＳ接続枚数計算ツール!$I$6-HUAWEI製ＰＣＳ接続枚数計算ツール!$G$6)+HUAWEI製ＰＣＳ接続枚数計算ツール!$G$6)*VLOOKUP(HUAWEI製ＰＣＳ接続枚数計算ツール!$C$9,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4" s="86">
        <f>((1-1/MAX(100%,過積載率!AN4))^0.5*(HUAWEI製ＰＣＳ接続枚数計算ツール!$I$6-HUAWEI製ＰＣＳ接続枚数計算ツール!$G$6)+HUAWEI製ＰＣＳ接続枚数計算ツール!$G$6)*VLOOKUP(HUAWEI製ＰＣＳ接続枚数計算ツール!$C$9,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4" s="86">
        <f>((1-1/MAX(100%,過積載率!AO4))^0.5*(HUAWEI製ＰＣＳ接続枚数計算ツール!$I$6-HUAWEI製ＰＣＳ接続枚数計算ツール!$G$6)+HUAWEI製ＰＣＳ接続枚数計算ツール!$G$6)*VLOOKUP(HUAWEI製ＰＣＳ接続枚数計算ツール!$C$9,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5" spans="1:41">
      <c r="A5">
        <v>3</v>
      </c>
      <c r="B5" s="86">
        <f>((1-1/MAX(100%,過積載率!B5))^0.5*(HUAWEI製ＰＣＳ接続枚数計算ツール!$I$6-HUAWEI製ＰＣＳ接続枚数計算ツール!$G$6)+HUAWEI製ＰＣＳ接続枚数計算ツール!$G$6)*VLOOKUP(HUAWEI製ＰＣＳ接続枚数計算ツール!$C$9,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5" s="86">
        <f>((1-1/MAX(100%,過積載率!C5))^0.5*(HUAWEI製ＰＣＳ接続枚数計算ツール!$I$6-HUAWEI製ＰＣＳ接続枚数計算ツール!$G$6)+HUAWEI製ＰＣＳ接続枚数計算ツール!$G$6)*VLOOKUP(HUAWEI製ＰＣＳ接続枚数計算ツール!$C$9,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5" s="86">
        <f>((1-1/MAX(100%,過積載率!D5))^0.5*(HUAWEI製ＰＣＳ接続枚数計算ツール!$I$6-HUAWEI製ＰＣＳ接続枚数計算ツール!$G$6)+HUAWEI製ＰＣＳ接続枚数計算ツール!$G$6)*VLOOKUP(HUAWEI製ＰＣＳ接続枚数計算ツール!$C$9,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5" s="86">
        <f>((1-1/MAX(100%,過積載率!E5))^0.5*(HUAWEI製ＰＣＳ接続枚数計算ツール!$I$6-HUAWEI製ＰＣＳ接続枚数計算ツール!$G$6)+HUAWEI製ＰＣＳ接続枚数計算ツール!$G$6)*VLOOKUP(HUAWEI製ＰＣＳ接続枚数計算ツール!$C$9,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5" s="86">
        <f>((1-1/MAX(100%,過積載率!F5))^0.5*(HUAWEI製ＰＣＳ接続枚数計算ツール!$I$6-HUAWEI製ＰＣＳ接続枚数計算ツール!$G$6)+HUAWEI製ＰＣＳ接続枚数計算ツール!$G$6)*VLOOKUP(HUAWEI製ＰＣＳ接続枚数計算ツール!$C$9,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5" s="86">
        <f>((1-1/MAX(100%,過積載率!G5))^0.5*(HUAWEI製ＰＣＳ接続枚数計算ツール!$I$6-HUAWEI製ＰＣＳ接続枚数計算ツール!$G$6)+HUAWEI製ＰＣＳ接続枚数計算ツール!$G$6)*VLOOKUP(HUAWEI製ＰＣＳ接続枚数計算ツール!$C$9,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5" s="86">
        <f>((1-1/MAX(100%,過積載率!H5))^0.5*(HUAWEI製ＰＣＳ接続枚数計算ツール!$I$6-HUAWEI製ＰＣＳ接続枚数計算ツール!$G$6)+HUAWEI製ＰＣＳ接続枚数計算ツール!$G$6)*VLOOKUP(HUAWEI製ＰＣＳ接続枚数計算ツール!$C$9,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5" s="86">
        <f>((1-1/MAX(100%,過積載率!I5))^0.5*(HUAWEI製ＰＣＳ接続枚数計算ツール!$I$6-HUAWEI製ＰＣＳ接続枚数計算ツール!$G$6)+HUAWEI製ＰＣＳ接続枚数計算ツール!$G$6)*VLOOKUP(HUAWEI製ＰＣＳ接続枚数計算ツール!$C$9,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5" s="86">
        <f>((1-1/MAX(100%,過積載率!J5))^0.5*(HUAWEI製ＰＣＳ接続枚数計算ツール!$I$6-HUAWEI製ＰＣＳ接続枚数計算ツール!$G$6)+HUAWEI製ＰＣＳ接続枚数計算ツール!$G$6)*VLOOKUP(HUAWEI製ＰＣＳ接続枚数計算ツール!$C$9,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5" s="86">
        <f>((1-1/MAX(100%,過積載率!K5))^0.5*(HUAWEI製ＰＣＳ接続枚数計算ツール!$I$6-HUAWEI製ＰＣＳ接続枚数計算ツール!$G$6)+HUAWEI製ＰＣＳ接続枚数計算ツール!$G$6)*VLOOKUP(HUAWEI製ＰＣＳ接続枚数計算ツール!$C$9,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5" s="86">
        <f>((1-1/MAX(100%,過積載率!L5))^0.5*(HUAWEI製ＰＣＳ接続枚数計算ツール!$I$6-HUAWEI製ＰＣＳ接続枚数計算ツール!$G$6)+HUAWEI製ＰＣＳ接続枚数計算ツール!$G$6)*VLOOKUP(HUAWEI製ＰＣＳ接続枚数計算ツール!$C$9,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5" s="86">
        <f>((1-1/MAX(100%,過積載率!M5))^0.5*(HUAWEI製ＰＣＳ接続枚数計算ツール!$I$6-HUAWEI製ＰＣＳ接続枚数計算ツール!$G$6)+HUAWEI製ＰＣＳ接続枚数計算ツール!$G$6)*VLOOKUP(HUAWEI製ＰＣＳ接続枚数計算ツール!$C$9,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5" s="86">
        <f>((1-1/MAX(100%,過積載率!N5))^0.5*(HUAWEI製ＰＣＳ接続枚数計算ツール!$I$6-HUAWEI製ＰＣＳ接続枚数計算ツール!$G$6)+HUAWEI製ＰＣＳ接続枚数計算ツール!$G$6)*VLOOKUP(HUAWEI製ＰＣＳ接続枚数計算ツール!$C$9,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5" s="86">
        <f>((1-1/MAX(100%,過積載率!O5))^0.5*(HUAWEI製ＰＣＳ接続枚数計算ツール!$I$6-HUAWEI製ＰＣＳ接続枚数計算ツール!$G$6)+HUAWEI製ＰＣＳ接続枚数計算ツール!$G$6)*VLOOKUP(HUAWEI製ＰＣＳ接続枚数計算ツール!$C$9,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5" s="86">
        <f>((1-1/MAX(100%,過積載率!P5))^0.5*(HUAWEI製ＰＣＳ接続枚数計算ツール!$I$6-HUAWEI製ＰＣＳ接続枚数計算ツール!$G$6)+HUAWEI製ＰＣＳ接続枚数計算ツール!$G$6)*VLOOKUP(HUAWEI製ＰＣＳ接続枚数計算ツール!$C$9,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5" s="86">
        <f>((1-1/MAX(100%,過積載率!Q5))^0.5*(HUAWEI製ＰＣＳ接続枚数計算ツール!$I$6-HUAWEI製ＰＣＳ接続枚数計算ツール!$G$6)+HUAWEI製ＰＣＳ接続枚数計算ツール!$G$6)*VLOOKUP(HUAWEI製ＰＣＳ接続枚数計算ツール!$C$9,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5" s="86">
        <f>((1-1/MAX(100%,過積載率!R5))^0.5*(HUAWEI製ＰＣＳ接続枚数計算ツール!$I$6-HUAWEI製ＰＣＳ接続枚数計算ツール!$G$6)+HUAWEI製ＰＣＳ接続枚数計算ツール!$G$6)*VLOOKUP(HUAWEI製ＰＣＳ接続枚数計算ツール!$C$9,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5" s="86">
        <f>((1-1/MAX(100%,過積載率!S5))^0.5*(HUAWEI製ＰＣＳ接続枚数計算ツール!$I$6-HUAWEI製ＰＣＳ接続枚数計算ツール!$G$6)+HUAWEI製ＰＣＳ接続枚数計算ツール!$G$6)*VLOOKUP(HUAWEI製ＰＣＳ接続枚数計算ツール!$C$9,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5" s="86">
        <f>((1-1/MAX(100%,過積載率!T5))^0.5*(HUAWEI製ＰＣＳ接続枚数計算ツール!$I$6-HUAWEI製ＰＣＳ接続枚数計算ツール!$G$6)+HUAWEI製ＰＣＳ接続枚数計算ツール!$G$6)*VLOOKUP(HUAWEI製ＰＣＳ接続枚数計算ツール!$C$9,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5" s="86">
        <f>((1-1/MAX(100%,過積載率!U5))^0.5*(HUAWEI製ＰＣＳ接続枚数計算ツール!$I$6-HUAWEI製ＰＣＳ接続枚数計算ツール!$G$6)+HUAWEI製ＰＣＳ接続枚数計算ツール!$G$6)*VLOOKUP(HUAWEI製ＰＣＳ接続枚数計算ツール!$C$9,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5" s="86">
        <f>((1-1/MAX(100%,過積載率!V5))^0.5*(HUAWEI製ＰＣＳ接続枚数計算ツール!$I$6-HUAWEI製ＰＣＳ接続枚数計算ツール!$G$6)+HUAWEI製ＰＣＳ接続枚数計算ツール!$G$6)*VLOOKUP(HUAWEI製ＰＣＳ接続枚数計算ツール!$C$9,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5" s="86">
        <f>((1-1/MAX(100%,過積載率!W5))^0.5*(HUAWEI製ＰＣＳ接続枚数計算ツール!$I$6-HUAWEI製ＰＣＳ接続枚数計算ツール!$G$6)+HUAWEI製ＰＣＳ接続枚数計算ツール!$G$6)*VLOOKUP(HUAWEI製ＰＣＳ接続枚数計算ツール!$C$9,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5" s="86">
        <f>((1-1/MAX(100%,過積載率!X5))^0.5*(HUAWEI製ＰＣＳ接続枚数計算ツール!$I$6-HUAWEI製ＰＣＳ接続枚数計算ツール!$G$6)+HUAWEI製ＰＣＳ接続枚数計算ツール!$G$6)*VLOOKUP(HUAWEI製ＰＣＳ接続枚数計算ツール!$C$9,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5" s="86">
        <f>((1-1/MAX(100%,過積載率!Y5))^0.5*(HUAWEI製ＰＣＳ接続枚数計算ツール!$I$6-HUAWEI製ＰＣＳ接続枚数計算ツール!$G$6)+HUAWEI製ＰＣＳ接続枚数計算ツール!$G$6)*VLOOKUP(HUAWEI製ＰＣＳ接続枚数計算ツール!$C$9,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5" s="86">
        <f>((1-1/MAX(100%,過積載率!Z5))^0.5*(HUAWEI製ＰＣＳ接続枚数計算ツール!$I$6-HUAWEI製ＰＣＳ接続枚数計算ツール!$G$6)+HUAWEI製ＰＣＳ接続枚数計算ツール!$G$6)*VLOOKUP(HUAWEI製ＰＣＳ接続枚数計算ツール!$C$9,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5" s="86">
        <f>((1-1/MAX(100%,過積載率!AA5))^0.5*(HUAWEI製ＰＣＳ接続枚数計算ツール!$I$6-HUAWEI製ＰＣＳ接続枚数計算ツール!$G$6)+HUAWEI製ＰＣＳ接続枚数計算ツール!$G$6)*VLOOKUP(HUAWEI製ＰＣＳ接続枚数計算ツール!$C$9,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5" s="86">
        <f>((1-1/MAX(100%,過積載率!AB5))^0.5*(HUAWEI製ＰＣＳ接続枚数計算ツール!$I$6-HUAWEI製ＰＣＳ接続枚数計算ツール!$G$6)+HUAWEI製ＰＣＳ接続枚数計算ツール!$G$6)*VLOOKUP(HUAWEI製ＰＣＳ接続枚数計算ツール!$C$9,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5" s="86">
        <f>((1-1/MAX(100%,過積載率!AC5))^0.5*(HUAWEI製ＰＣＳ接続枚数計算ツール!$I$6-HUAWEI製ＰＣＳ接続枚数計算ツール!$G$6)+HUAWEI製ＰＣＳ接続枚数計算ツール!$G$6)*VLOOKUP(HUAWEI製ＰＣＳ接続枚数計算ツール!$C$9,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5" s="86">
        <f>((1-1/MAX(100%,過積載率!AD5))^0.5*(HUAWEI製ＰＣＳ接続枚数計算ツール!$I$6-HUAWEI製ＰＣＳ接続枚数計算ツール!$G$6)+HUAWEI製ＰＣＳ接続枚数計算ツール!$G$6)*VLOOKUP(HUAWEI製ＰＣＳ接続枚数計算ツール!$C$9,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5" s="86">
        <f>((1-1/MAX(100%,過積載率!AE5))^0.5*(HUAWEI製ＰＣＳ接続枚数計算ツール!$I$6-HUAWEI製ＰＣＳ接続枚数計算ツール!$G$6)+HUAWEI製ＰＣＳ接続枚数計算ツール!$G$6)*VLOOKUP(HUAWEI製ＰＣＳ接続枚数計算ツール!$C$9,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5" s="86">
        <f>((1-1/MAX(100%,過積載率!AF5))^0.5*(HUAWEI製ＰＣＳ接続枚数計算ツール!$I$6-HUAWEI製ＰＣＳ接続枚数計算ツール!$G$6)+HUAWEI製ＰＣＳ接続枚数計算ツール!$G$6)*VLOOKUP(HUAWEI製ＰＣＳ接続枚数計算ツール!$C$9,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5" s="86">
        <f>((1-1/MAX(100%,過積載率!AG5))^0.5*(HUAWEI製ＰＣＳ接続枚数計算ツール!$I$6-HUAWEI製ＰＣＳ接続枚数計算ツール!$G$6)+HUAWEI製ＰＣＳ接続枚数計算ツール!$G$6)*VLOOKUP(HUAWEI製ＰＣＳ接続枚数計算ツール!$C$9,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5" s="86">
        <f>((1-1/MAX(100%,過積載率!AH5))^0.5*(HUAWEI製ＰＣＳ接続枚数計算ツール!$I$6-HUAWEI製ＰＣＳ接続枚数計算ツール!$G$6)+HUAWEI製ＰＣＳ接続枚数計算ツール!$G$6)*VLOOKUP(HUAWEI製ＰＣＳ接続枚数計算ツール!$C$9,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5" s="86">
        <f>((1-1/MAX(100%,過積載率!AI5))^0.5*(HUAWEI製ＰＣＳ接続枚数計算ツール!$I$6-HUAWEI製ＰＣＳ接続枚数計算ツール!$G$6)+HUAWEI製ＰＣＳ接続枚数計算ツール!$G$6)*VLOOKUP(HUAWEI製ＰＣＳ接続枚数計算ツール!$C$9,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5" s="86">
        <f>((1-1/MAX(100%,過積載率!AJ5))^0.5*(HUAWEI製ＰＣＳ接続枚数計算ツール!$I$6-HUAWEI製ＰＣＳ接続枚数計算ツール!$G$6)+HUAWEI製ＰＣＳ接続枚数計算ツール!$G$6)*VLOOKUP(HUAWEI製ＰＣＳ接続枚数計算ツール!$C$9,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5" s="86">
        <f>((1-1/MAX(100%,過積載率!AK5))^0.5*(HUAWEI製ＰＣＳ接続枚数計算ツール!$I$6-HUAWEI製ＰＣＳ接続枚数計算ツール!$G$6)+HUAWEI製ＰＣＳ接続枚数計算ツール!$G$6)*VLOOKUP(HUAWEI製ＰＣＳ接続枚数計算ツール!$C$9,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5" s="86">
        <f>((1-1/MAX(100%,過積載率!AL5))^0.5*(HUAWEI製ＰＣＳ接続枚数計算ツール!$I$6-HUAWEI製ＰＣＳ接続枚数計算ツール!$G$6)+HUAWEI製ＰＣＳ接続枚数計算ツール!$G$6)*VLOOKUP(HUAWEI製ＰＣＳ接続枚数計算ツール!$C$9,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5" s="86">
        <f>((1-1/MAX(100%,過積載率!AM5))^0.5*(HUAWEI製ＰＣＳ接続枚数計算ツール!$I$6-HUAWEI製ＰＣＳ接続枚数計算ツール!$G$6)+HUAWEI製ＰＣＳ接続枚数計算ツール!$G$6)*VLOOKUP(HUAWEI製ＰＣＳ接続枚数計算ツール!$C$9,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5" s="86">
        <f>((1-1/MAX(100%,過積載率!AN5))^0.5*(HUAWEI製ＰＣＳ接続枚数計算ツール!$I$6-HUAWEI製ＰＣＳ接続枚数計算ツール!$G$6)+HUAWEI製ＰＣＳ接続枚数計算ツール!$G$6)*VLOOKUP(HUAWEI製ＰＣＳ接続枚数計算ツール!$C$9,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5" s="86">
        <f>((1-1/MAX(100%,過積載率!AO5))^0.5*(HUAWEI製ＰＣＳ接続枚数計算ツール!$I$6-HUAWEI製ＰＣＳ接続枚数計算ツール!$G$6)+HUAWEI製ＰＣＳ接続枚数計算ツール!$G$6)*VLOOKUP(HUAWEI製ＰＣＳ接続枚数計算ツール!$C$9,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6" spans="1:41">
      <c r="A6">
        <v>4</v>
      </c>
      <c r="B6" s="86">
        <f>((1-1/MAX(100%,過積載率!B6))^0.5*(HUAWEI製ＰＣＳ接続枚数計算ツール!$I$6-HUAWEI製ＰＣＳ接続枚数計算ツール!$G$6)+HUAWEI製ＰＣＳ接続枚数計算ツール!$G$6)*VLOOKUP(HUAWEI製ＰＣＳ接続枚数計算ツール!$C$9,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6" s="86">
        <f>((1-1/MAX(100%,過積載率!C6))^0.5*(HUAWEI製ＰＣＳ接続枚数計算ツール!$I$6-HUAWEI製ＰＣＳ接続枚数計算ツール!$G$6)+HUAWEI製ＰＣＳ接続枚数計算ツール!$G$6)*VLOOKUP(HUAWEI製ＰＣＳ接続枚数計算ツール!$C$9,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6" s="86">
        <f>((1-1/MAX(100%,過積載率!D6))^0.5*(HUAWEI製ＰＣＳ接続枚数計算ツール!$I$6-HUAWEI製ＰＣＳ接続枚数計算ツール!$G$6)+HUAWEI製ＰＣＳ接続枚数計算ツール!$G$6)*VLOOKUP(HUAWEI製ＰＣＳ接続枚数計算ツール!$C$9,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6" s="86">
        <f>((1-1/MAX(100%,過積載率!E6))^0.5*(HUAWEI製ＰＣＳ接続枚数計算ツール!$I$6-HUAWEI製ＰＣＳ接続枚数計算ツール!$G$6)+HUAWEI製ＰＣＳ接続枚数計算ツール!$G$6)*VLOOKUP(HUAWEI製ＰＣＳ接続枚数計算ツール!$C$9,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6" s="86">
        <f>((1-1/MAX(100%,過積載率!F6))^0.5*(HUAWEI製ＰＣＳ接続枚数計算ツール!$I$6-HUAWEI製ＰＣＳ接続枚数計算ツール!$G$6)+HUAWEI製ＰＣＳ接続枚数計算ツール!$G$6)*VLOOKUP(HUAWEI製ＰＣＳ接続枚数計算ツール!$C$9,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6" s="86">
        <f>((1-1/MAX(100%,過積載率!G6))^0.5*(HUAWEI製ＰＣＳ接続枚数計算ツール!$I$6-HUAWEI製ＰＣＳ接続枚数計算ツール!$G$6)+HUAWEI製ＰＣＳ接続枚数計算ツール!$G$6)*VLOOKUP(HUAWEI製ＰＣＳ接続枚数計算ツール!$C$9,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6" s="86">
        <f>((1-1/MAX(100%,過積載率!H6))^0.5*(HUAWEI製ＰＣＳ接続枚数計算ツール!$I$6-HUAWEI製ＰＣＳ接続枚数計算ツール!$G$6)+HUAWEI製ＰＣＳ接続枚数計算ツール!$G$6)*VLOOKUP(HUAWEI製ＰＣＳ接続枚数計算ツール!$C$9,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6" s="86">
        <f>((1-1/MAX(100%,過積載率!I6))^0.5*(HUAWEI製ＰＣＳ接続枚数計算ツール!$I$6-HUAWEI製ＰＣＳ接続枚数計算ツール!$G$6)+HUAWEI製ＰＣＳ接続枚数計算ツール!$G$6)*VLOOKUP(HUAWEI製ＰＣＳ接続枚数計算ツール!$C$9,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6" s="86">
        <f>((1-1/MAX(100%,過積載率!J6))^0.5*(HUAWEI製ＰＣＳ接続枚数計算ツール!$I$6-HUAWEI製ＰＣＳ接続枚数計算ツール!$G$6)+HUAWEI製ＰＣＳ接続枚数計算ツール!$G$6)*VLOOKUP(HUAWEI製ＰＣＳ接続枚数計算ツール!$C$9,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6" s="86">
        <f>((1-1/MAX(100%,過積載率!K6))^0.5*(HUAWEI製ＰＣＳ接続枚数計算ツール!$I$6-HUAWEI製ＰＣＳ接続枚数計算ツール!$G$6)+HUAWEI製ＰＣＳ接続枚数計算ツール!$G$6)*VLOOKUP(HUAWEI製ＰＣＳ接続枚数計算ツール!$C$9,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6" s="86">
        <f>((1-1/MAX(100%,過積載率!L6))^0.5*(HUAWEI製ＰＣＳ接続枚数計算ツール!$I$6-HUAWEI製ＰＣＳ接続枚数計算ツール!$G$6)+HUAWEI製ＰＣＳ接続枚数計算ツール!$G$6)*VLOOKUP(HUAWEI製ＰＣＳ接続枚数計算ツール!$C$9,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6" s="86">
        <f>((1-1/MAX(100%,過積載率!M6))^0.5*(HUAWEI製ＰＣＳ接続枚数計算ツール!$I$6-HUAWEI製ＰＣＳ接続枚数計算ツール!$G$6)+HUAWEI製ＰＣＳ接続枚数計算ツール!$G$6)*VLOOKUP(HUAWEI製ＰＣＳ接続枚数計算ツール!$C$9,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6" s="86">
        <f>((1-1/MAX(100%,過積載率!N6))^0.5*(HUAWEI製ＰＣＳ接続枚数計算ツール!$I$6-HUAWEI製ＰＣＳ接続枚数計算ツール!$G$6)+HUAWEI製ＰＣＳ接続枚数計算ツール!$G$6)*VLOOKUP(HUAWEI製ＰＣＳ接続枚数計算ツール!$C$9,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6" s="86">
        <f>((1-1/MAX(100%,過積載率!O6))^0.5*(HUAWEI製ＰＣＳ接続枚数計算ツール!$I$6-HUAWEI製ＰＣＳ接続枚数計算ツール!$G$6)+HUAWEI製ＰＣＳ接続枚数計算ツール!$G$6)*VLOOKUP(HUAWEI製ＰＣＳ接続枚数計算ツール!$C$9,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6" s="86">
        <f>((1-1/MAX(100%,過積載率!P6))^0.5*(HUAWEI製ＰＣＳ接続枚数計算ツール!$I$6-HUAWEI製ＰＣＳ接続枚数計算ツール!$G$6)+HUAWEI製ＰＣＳ接続枚数計算ツール!$G$6)*VLOOKUP(HUAWEI製ＰＣＳ接続枚数計算ツール!$C$9,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6" s="86">
        <f>((1-1/MAX(100%,過積載率!Q6))^0.5*(HUAWEI製ＰＣＳ接続枚数計算ツール!$I$6-HUAWEI製ＰＣＳ接続枚数計算ツール!$G$6)+HUAWEI製ＰＣＳ接続枚数計算ツール!$G$6)*VLOOKUP(HUAWEI製ＰＣＳ接続枚数計算ツール!$C$9,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6" s="86">
        <f>((1-1/MAX(100%,過積載率!R6))^0.5*(HUAWEI製ＰＣＳ接続枚数計算ツール!$I$6-HUAWEI製ＰＣＳ接続枚数計算ツール!$G$6)+HUAWEI製ＰＣＳ接続枚数計算ツール!$G$6)*VLOOKUP(HUAWEI製ＰＣＳ接続枚数計算ツール!$C$9,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6" s="86">
        <f>((1-1/MAX(100%,過積載率!S6))^0.5*(HUAWEI製ＰＣＳ接続枚数計算ツール!$I$6-HUAWEI製ＰＣＳ接続枚数計算ツール!$G$6)+HUAWEI製ＰＣＳ接続枚数計算ツール!$G$6)*VLOOKUP(HUAWEI製ＰＣＳ接続枚数計算ツール!$C$9,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6" s="86">
        <f>((1-1/MAX(100%,過積載率!T6))^0.5*(HUAWEI製ＰＣＳ接続枚数計算ツール!$I$6-HUAWEI製ＰＣＳ接続枚数計算ツール!$G$6)+HUAWEI製ＰＣＳ接続枚数計算ツール!$G$6)*VLOOKUP(HUAWEI製ＰＣＳ接続枚数計算ツール!$C$9,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6" s="86">
        <f>((1-1/MAX(100%,過積載率!U6))^0.5*(HUAWEI製ＰＣＳ接続枚数計算ツール!$I$6-HUAWEI製ＰＣＳ接続枚数計算ツール!$G$6)+HUAWEI製ＰＣＳ接続枚数計算ツール!$G$6)*VLOOKUP(HUAWEI製ＰＣＳ接続枚数計算ツール!$C$9,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6" s="86">
        <f>((1-1/MAX(100%,過積載率!V6))^0.5*(HUAWEI製ＰＣＳ接続枚数計算ツール!$I$6-HUAWEI製ＰＣＳ接続枚数計算ツール!$G$6)+HUAWEI製ＰＣＳ接続枚数計算ツール!$G$6)*VLOOKUP(HUAWEI製ＰＣＳ接続枚数計算ツール!$C$9,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6" s="86">
        <f>((1-1/MAX(100%,過積載率!W6))^0.5*(HUAWEI製ＰＣＳ接続枚数計算ツール!$I$6-HUAWEI製ＰＣＳ接続枚数計算ツール!$G$6)+HUAWEI製ＰＣＳ接続枚数計算ツール!$G$6)*VLOOKUP(HUAWEI製ＰＣＳ接続枚数計算ツール!$C$9,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6" s="86">
        <f>((1-1/MAX(100%,過積載率!X6))^0.5*(HUAWEI製ＰＣＳ接続枚数計算ツール!$I$6-HUAWEI製ＰＣＳ接続枚数計算ツール!$G$6)+HUAWEI製ＰＣＳ接続枚数計算ツール!$G$6)*VLOOKUP(HUAWEI製ＰＣＳ接続枚数計算ツール!$C$9,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6" s="86">
        <f>((1-1/MAX(100%,過積載率!Y6))^0.5*(HUAWEI製ＰＣＳ接続枚数計算ツール!$I$6-HUAWEI製ＰＣＳ接続枚数計算ツール!$G$6)+HUAWEI製ＰＣＳ接続枚数計算ツール!$G$6)*VLOOKUP(HUAWEI製ＰＣＳ接続枚数計算ツール!$C$9,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6" s="86">
        <f>((1-1/MAX(100%,過積載率!Z6))^0.5*(HUAWEI製ＰＣＳ接続枚数計算ツール!$I$6-HUAWEI製ＰＣＳ接続枚数計算ツール!$G$6)+HUAWEI製ＰＣＳ接続枚数計算ツール!$G$6)*VLOOKUP(HUAWEI製ＰＣＳ接続枚数計算ツール!$C$9,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6" s="86">
        <f>((1-1/MAX(100%,過積載率!AA6))^0.5*(HUAWEI製ＰＣＳ接続枚数計算ツール!$I$6-HUAWEI製ＰＣＳ接続枚数計算ツール!$G$6)+HUAWEI製ＰＣＳ接続枚数計算ツール!$G$6)*VLOOKUP(HUAWEI製ＰＣＳ接続枚数計算ツール!$C$9,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6" s="86">
        <f>((1-1/MAX(100%,過積載率!AB6))^0.5*(HUAWEI製ＰＣＳ接続枚数計算ツール!$I$6-HUAWEI製ＰＣＳ接続枚数計算ツール!$G$6)+HUAWEI製ＰＣＳ接続枚数計算ツール!$G$6)*VLOOKUP(HUAWEI製ＰＣＳ接続枚数計算ツール!$C$9,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6" s="86">
        <f>((1-1/MAX(100%,過積載率!AC6))^0.5*(HUAWEI製ＰＣＳ接続枚数計算ツール!$I$6-HUAWEI製ＰＣＳ接続枚数計算ツール!$G$6)+HUAWEI製ＰＣＳ接続枚数計算ツール!$G$6)*VLOOKUP(HUAWEI製ＰＣＳ接続枚数計算ツール!$C$9,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6" s="86">
        <f>((1-1/MAX(100%,過積載率!AD6))^0.5*(HUAWEI製ＰＣＳ接続枚数計算ツール!$I$6-HUAWEI製ＰＣＳ接続枚数計算ツール!$G$6)+HUAWEI製ＰＣＳ接続枚数計算ツール!$G$6)*VLOOKUP(HUAWEI製ＰＣＳ接続枚数計算ツール!$C$9,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6" s="86">
        <f>((1-1/MAX(100%,過積載率!AE6))^0.5*(HUAWEI製ＰＣＳ接続枚数計算ツール!$I$6-HUAWEI製ＰＣＳ接続枚数計算ツール!$G$6)+HUAWEI製ＰＣＳ接続枚数計算ツール!$G$6)*VLOOKUP(HUAWEI製ＰＣＳ接続枚数計算ツール!$C$9,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6" s="86">
        <f>((1-1/MAX(100%,過積載率!AF6))^0.5*(HUAWEI製ＰＣＳ接続枚数計算ツール!$I$6-HUAWEI製ＰＣＳ接続枚数計算ツール!$G$6)+HUAWEI製ＰＣＳ接続枚数計算ツール!$G$6)*VLOOKUP(HUAWEI製ＰＣＳ接続枚数計算ツール!$C$9,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6" s="86">
        <f>((1-1/MAX(100%,過積載率!AG6))^0.5*(HUAWEI製ＰＣＳ接続枚数計算ツール!$I$6-HUAWEI製ＰＣＳ接続枚数計算ツール!$G$6)+HUAWEI製ＰＣＳ接続枚数計算ツール!$G$6)*VLOOKUP(HUAWEI製ＰＣＳ接続枚数計算ツール!$C$9,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6" s="86">
        <f>((1-1/MAX(100%,過積載率!AH6))^0.5*(HUAWEI製ＰＣＳ接続枚数計算ツール!$I$6-HUAWEI製ＰＣＳ接続枚数計算ツール!$G$6)+HUAWEI製ＰＣＳ接続枚数計算ツール!$G$6)*VLOOKUP(HUAWEI製ＰＣＳ接続枚数計算ツール!$C$9,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6" s="86">
        <f>((1-1/MAX(100%,過積載率!AI6))^0.5*(HUAWEI製ＰＣＳ接続枚数計算ツール!$I$6-HUAWEI製ＰＣＳ接続枚数計算ツール!$G$6)+HUAWEI製ＰＣＳ接続枚数計算ツール!$G$6)*VLOOKUP(HUAWEI製ＰＣＳ接続枚数計算ツール!$C$9,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6" s="86">
        <f>((1-1/MAX(100%,過積載率!AJ6))^0.5*(HUAWEI製ＰＣＳ接続枚数計算ツール!$I$6-HUAWEI製ＰＣＳ接続枚数計算ツール!$G$6)+HUAWEI製ＰＣＳ接続枚数計算ツール!$G$6)*VLOOKUP(HUAWEI製ＰＣＳ接続枚数計算ツール!$C$9,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6" s="86">
        <f>((1-1/MAX(100%,過積載率!AK6))^0.5*(HUAWEI製ＰＣＳ接続枚数計算ツール!$I$6-HUAWEI製ＰＣＳ接続枚数計算ツール!$G$6)+HUAWEI製ＰＣＳ接続枚数計算ツール!$G$6)*VLOOKUP(HUAWEI製ＰＣＳ接続枚数計算ツール!$C$9,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6" s="86">
        <f>((1-1/MAX(100%,過積載率!AL6))^0.5*(HUAWEI製ＰＣＳ接続枚数計算ツール!$I$6-HUAWEI製ＰＣＳ接続枚数計算ツール!$G$6)+HUAWEI製ＰＣＳ接続枚数計算ツール!$G$6)*VLOOKUP(HUAWEI製ＰＣＳ接続枚数計算ツール!$C$9,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6" s="86">
        <f>((1-1/MAX(100%,過積載率!AM6))^0.5*(HUAWEI製ＰＣＳ接続枚数計算ツール!$I$6-HUAWEI製ＰＣＳ接続枚数計算ツール!$G$6)+HUAWEI製ＰＣＳ接続枚数計算ツール!$G$6)*VLOOKUP(HUAWEI製ＰＣＳ接続枚数計算ツール!$C$9,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6" s="86">
        <f>((1-1/MAX(100%,過積載率!AN6))^0.5*(HUAWEI製ＰＣＳ接続枚数計算ツール!$I$6-HUAWEI製ＰＣＳ接続枚数計算ツール!$G$6)+HUAWEI製ＰＣＳ接続枚数計算ツール!$G$6)*VLOOKUP(HUAWEI製ＰＣＳ接続枚数計算ツール!$C$9,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6" s="86">
        <f>((1-1/MAX(100%,過積載率!AO6))^0.5*(HUAWEI製ＰＣＳ接続枚数計算ツール!$I$6-HUAWEI製ＰＣＳ接続枚数計算ツール!$G$6)+HUAWEI製ＰＣＳ接続枚数計算ツール!$G$6)*VLOOKUP(HUAWEI製ＰＣＳ接続枚数計算ツール!$C$9,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7" spans="1:41">
      <c r="A7">
        <v>5</v>
      </c>
      <c r="B7" s="86">
        <f>((1-1/MAX(100%,過積載率!B7))^0.5*(HUAWEI製ＰＣＳ接続枚数計算ツール!$I$6-HUAWEI製ＰＣＳ接続枚数計算ツール!$G$6)+HUAWEI製ＰＣＳ接続枚数計算ツール!$G$6)*VLOOKUP(HUAWEI製ＰＣＳ接続枚数計算ツール!$C$9,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7" s="86">
        <f>((1-1/MAX(100%,過積載率!C7))^0.5*(HUAWEI製ＰＣＳ接続枚数計算ツール!$I$6-HUAWEI製ＰＣＳ接続枚数計算ツール!$G$6)+HUAWEI製ＰＣＳ接続枚数計算ツール!$G$6)*VLOOKUP(HUAWEI製ＰＣＳ接続枚数計算ツール!$C$9,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7" s="86">
        <f>((1-1/MAX(100%,過積載率!D7))^0.5*(HUAWEI製ＰＣＳ接続枚数計算ツール!$I$6-HUAWEI製ＰＣＳ接続枚数計算ツール!$G$6)+HUAWEI製ＰＣＳ接続枚数計算ツール!$G$6)*VLOOKUP(HUAWEI製ＰＣＳ接続枚数計算ツール!$C$9,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7" s="86">
        <f>((1-1/MAX(100%,過積載率!E7))^0.5*(HUAWEI製ＰＣＳ接続枚数計算ツール!$I$6-HUAWEI製ＰＣＳ接続枚数計算ツール!$G$6)+HUAWEI製ＰＣＳ接続枚数計算ツール!$G$6)*VLOOKUP(HUAWEI製ＰＣＳ接続枚数計算ツール!$C$9,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7" s="86">
        <f>((1-1/MAX(100%,過積載率!F7))^0.5*(HUAWEI製ＰＣＳ接続枚数計算ツール!$I$6-HUAWEI製ＰＣＳ接続枚数計算ツール!$G$6)+HUAWEI製ＰＣＳ接続枚数計算ツール!$G$6)*VLOOKUP(HUAWEI製ＰＣＳ接続枚数計算ツール!$C$9,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7" s="86">
        <f>((1-1/MAX(100%,過積載率!G7))^0.5*(HUAWEI製ＰＣＳ接続枚数計算ツール!$I$6-HUAWEI製ＰＣＳ接続枚数計算ツール!$G$6)+HUAWEI製ＰＣＳ接続枚数計算ツール!$G$6)*VLOOKUP(HUAWEI製ＰＣＳ接続枚数計算ツール!$C$9,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7" s="86">
        <f>((1-1/MAX(100%,過積載率!H7))^0.5*(HUAWEI製ＰＣＳ接続枚数計算ツール!$I$6-HUAWEI製ＰＣＳ接続枚数計算ツール!$G$6)+HUAWEI製ＰＣＳ接続枚数計算ツール!$G$6)*VLOOKUP(HUAWEI製ＰＣＳ接続枚数計算ツール!$C$9,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7" s="86">
        <f>((1-1/MAX(100%,過積載率!I7))^0.5*(HUAWEI製ＰＣＳ接続枚数計算ツール!$I$6-HUAWEI製ＰＣＳ接続枚数計算ツール!$G$6)+HUAWEI製ＰＣＳ接続枚数計算ツール!$G$6)*VLOOKUP(HUAWEI製ＰＣＳ接続枚数計算ツール!$C$9,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7" s="86">
        <f>((1-1/MAX(100%,過積載率!J7))^0.5*(HUAWEI製ＰＣＳ接続枚数計算ツール!$I$6-HUAWEI製ＰＣＳ接続枚数計算ツール!$G$6)+HUAWEI製ＰＣＳ接続枚数計算ツール!$G$6)*VLOOKUP(HUAWEI製ＰＣＳ接続枚数計算ツール!$C$9,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7" s="86">
        <f>((1-1/MAX(100%,過積載率!K7))^0.5*(HUAWEI製ＰＣＳ接続枚数計算ツール!$I$6-HUAWEI製ＰＣＳ接続枚数計算ツール!$G$6)+HUAWEI製ＰＣＳ接続枚数計算ツール!$G$6)*VLOOKUP(HUAWEI製ＰＣＳ接続枚数計算ツール!$C$9,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7" s="86">
        <f>((1-1/MAX(100%,過積載率!L7))^0.5*(HUAWEI製ＰＣＳ接続枚数計算ツール!$I$6-HUAWEI製ＰＣＳ接続枚数計算ツール!$G$6)+HUAWEI製ＰＣＳ接続枚数計算ツール!$G$6)*VLOOKUP(HUAWEI製ＰＣＳ接続枚数計算ツール!$C$9,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7" s="86">
        <f>((1-1/MAX(100%,過積載率!M7))^0.5*(HUAWEI製ＰＣＳ接続枚数計算ツール!$I$6-HUAWEI製ＰＣＳ接続枚数計算ツール!$G$6)+HUAWEI製ＰＣＳ接続枚数計算ツール!$G$6)*VLOOKUP(HUAWEI製ＰＣＳ接続枚数計算ツール!$C$9,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7" s="86">
        <f>((1-1/MAX(100%,過積載率!N7))^0.5*(HUAWEI製ＰＣＳ接続枚数計算ツール!$I$6-HUAWEI製ＰＣＳ接続枚数計算ツール!$G$6)+HUAWEI製ＰＣＳ接続枚数計算ツール!$G$6)*VLOOKUP(HUAWEI製ＰＣＳ接続枚数計算ツール!$C$9,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7" s="86">
        <f>((1-1/MAX(100%,過積載率!O7))^0.5*(HUAWEI製ＰＣＳ接続枚数計算ツール!$I$6-HUAWEI製ＰＣＳ接続枚数計算ツール!$G$6)+HUAWEI製ＰＣＳ接続枚数計算ツール!$G$6)*VLOOKUP(HUAWEI製ＰＣＳ接続枚数計算ツール!$C$9,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7" s="86">
        <f>((1-1/MAX(100%,過積載率!P7))^0.5*(HUAWEI製ＰＣＳ接続枚数計算ツール!$I$6-HUAWEI製ＰＣＳ接続枚数計算ツール!$G$6)+HUAWEI製ＰＣＳ接続枚数計算ツール!$G$6)*VLOOKUP(HUAWEI製ＰＣＳ接続枚数計算ツール!$C$9,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7" s="86">
        <f>((1-1/MAX(100%,過積載率!Q7))^0.5*(HUAWEI製ＰＣＳ接続枚数計算ツール!$I$6-HUAWEI製ＰＣＳ接続枚数計算ツール!$G$6)+HUAWEI製ＰＣＳ接続枚数計算ツール!$G$6)*VLOOKUP(HUAWEI製ＰＣＳ接続枚数計算ツール!$C$9,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7" s="86">
        <f>((1-1/MAX(100%,過積載率!R7))^0.5*(HUAWEI製ＰＣＳ接続枚数計算ツール!$I$6-HUAWEI製ＰＣＳ接続枚数計算ツール!$G$6)+HUAWEI製ＰＣＳ接続枚数計算ツール!$G$6)*VLOOKUP(HUAWEI製ＰＣＳ接続枚数計算ツール!$C$9,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7" s="86">
        <f>((1-1/MAX(100%,過積載率!S7))^0.5*(HUAWEI製ＰＣＳ接続枚数計算ツール!$I$6-HUAWEI製ＰＣＳ接続枚数計算ツール!$G$6)+HUAWEI製ＰＣＳ接続枚数計算ツール!$G$6)*VLOOKUP(HUAWEI製ＰＣＳ接続枚数計算ツール!$C$9,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7" s="86">
        <f>((1-1/MAX(100%,過積載率!T7))^0.5*(HUAWEI製ＰＣＳ接続枚数計算ツール!$I$6-HUAWEI製ＰＣＳ接続枚数計算ツール!$G$6)+HUAWEI製ＰＣＳ接続枚数計算ツール!$G$6)*VLOOKUP(HUAWEI製ＰＣＳ接続枚数計算ツール!$C$9,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7" s="86">
        <f>((1-1/MAX(100%,過積載率!U7))^0.5*(HUAWEI製ＰＣＳ接続枚数計算ツール!$I$6-HUAWEI製ＰＣＳ接続枚数計算ツール!$G$6)+HUAWEI製ＰＣＳ接続枚数計算ツール!$G$6)*VLOOKUP(HUAWEI製ＰＣＳ接続枚数計算ツール!$C$9,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7" s="86">
        <f>((1-1/MAX(100%,過積載率!V7))^0.5*(HUAWEI製ＰＣＳ接続枚数計算ツール!$I$6-HUAWEI製ＰＣＳ接続枚数計算ツール!$G$6)+HUAWEI製ＰＣＳ接続枚数計算ツール!$G$6)*VLOOKUP(HUAWEI製ＰＣＳ接続枚数計算ツール!$C$9,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7" s="86">
        <f>((1-1/MAX(100%,過積載率!W7))^0.5*(HUAWEI製ＰＣＳ接続枚数計算ツール!$I$6-HUAWEI製ＰＣＳ接続枚数計算ツール!$G$6)+HUAWEI製ＰＣＳ接続枚数計算ツール!$G$6)*VLOOKUP(HUAWEI製ＰＣＳ接続枚数計算ツール!$C$9,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7" s="86">
        <f>((1-1/MAX(100%,過積載率!X7))^0.5*(HUAWEI製ＰＣＳ接続枚数計算ツール!$I$6-HUAWEI製ＰＣＳ接続枚数計算ツール!$G$6)+HUAWEI製ＰＣＳ接続枚数計算ツール!$G$6)*VLOOKUP(HUAWEI製ＰＣＳ接続枚数計算ツール!$C$9,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7" s="86">
        <f>((1-1/MAX(100%,過積載率!Y7))^0.5*(HUAWEI製ＰＣＳ接続枚数計算ツール!$I$6-HUAWEI製ＰＣＳ接続枚数計算ツール!$G$6)+HUAWEI製ＰＣＳ接続枚数計算ツール!$G$6)*VLOOKUP(HUAWEI製ＰＣＳ接続枚数計算ツール!$C$9,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7" s="86">
        <f>((1-1/MAX(100%,過積載率!Z7))^0.5*(HUAWEI製ＰＣＳ接続枚数計算ツール!$I$6-HUAWEI製ＰＣＳ接続枚数計算ツール!$G$6)+HUAWEI製ＰＣＳ接続枚数計算ツール!$G$6)*VLOOKUP(HUAWEI製ＰＣＳ接続枚数計算ツール!$C$9,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7" s="86">
        <f>((1-1/MAX(100%,過積載率!AA7))^0.5*(HUAWEI製ＰＣＳ接続枚数計算ツール!$I$6-HUAWEI製ＰＣＳ接続枚数計算ツール!$G$6)+HUAWEI製ＰＣＳ接続枚数計算ツール!$G$6)*VLOOKUP(HUAWEI製ＰＣＳ接続枚数計算ツール!$C$9,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7" s="86">
        <f>((1-1/MAX(100%,過積載率!AB7))^0.5*(HUAWEI製ＰＣＳ接続枚数計算ツール!$I$6-HUAWEI製ＰＣＳ接続枚数計算ツール!$G$6)+HUAWEI製ＰＣＳ接続枚数計算ツール!$G$6)*VLOOKUP(HUAWEI製ＰＣＳ接続枚数計算ツール!$C$9,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7" s="86">
        <f>((1-1/MAX(100%,過積載率!AC7))^0.5*(HUAWEI製ＰＣＳ接続枚数計算ツール!$I$6-HUAWEI製ＰＣＳ接続枚数計算ツール!$G$6)+HUAWEI製ＰＣＳ接続枚数計算ツール!$G$6)*VLOOKUP(HUAWEI製ＰＣＳ接続枚数計算ツール!$C$9,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7" s="86">
        <f>((1-1/MAX(100%,過積載率!AD7))^0.5*(HUAWEI製ＰＣＳ接続枚数計算ツール!$I$6-HUAWEI製ＰＣＳ接続枚数計算ツール!$G$6)+HUAWEI製ＰＣＳ接続枚数計算ツール!$G$6)*VLOOKUP(HUAWEI製ＰＣＳ接続枚数計算ツール!$C$9,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7" s="86">
        <f>((1-1/MAX(100%,過積載率!AE7))^0.5*(HUAWEI製ＰＣＳ接続枚数計算ツール!$I$6-HUAWEI製ＰＣＳ接続枚数計算ツール!$G$6)+HUAWEI製ＰＣＳ接続枚数計算ツール!$G$6)*VLOOKUP(HUAWEI製ＰＣＳ接続枚数計算ツール!$C$9,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7" s="86">
        <f>((1-1/MAX(100%,過積載率!AF7))^0.5*(HUAWEI製ＰＣＳ接続枚数計算ツール!$I$6-HUAWEI製ＰＣＳ接続枚数計算ツール!$G$6)+HUAWEI製ＰＣＳ接続枚数計算ツール!$G$6)*VLOOKUP(HUAWEI製ＰＣＳ接続枚数計算ツール!$C$9,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7" s="86">
        <f>((1-1/MAX(100%,過積載率!AG7))^0.5*(HUAWEI製ＰＣＳ接続枚数計算ツール!$I$6-HUAWEI製ＰＣＳ接続枚数計算ツール!$G$6)+HUAWEI製ＰＣＳ接続枚数計算ツール!$G$6)*VLOOKUP(HUAWEI製ＰＣＳ接続枚数計算ツール!$C$9,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7" s="86">
        <f>((1-1/MAX(100%,過積載率!AH7))^0.5*(HUAWEI製ＰＣＳ接続枚数計算ツール!$I$6-HUAWEI製ＰＣＳ接続枚数計算ツール!$G$6)+HUAWEI製ＰＣＳ接続枚数計算ツール!$G$6)*VLOOKUP(HUAWEI製ＰＣＳ接続枚数計算ツール!$C$9,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7" s="86">
        <f>((1-1/MAX(100%,過積載率!AI7))^0.5*(HUAWEI製ＰＣＳ接続枚数計算ツール!$I$6-HUAWEI製ＰＣＳ接続枚数計算ツール!$G$6)+HUAWEI製ＰＣＳ接続枚数計算ツール!$G$6)*VLOOKUP(HUAWEI製ＰＣＳ接続枚数計算ツール!$C$9,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7" s="86">
        <f>((1-1/MAX(100%,過積載率!AJ7))^0.5*(HUAWEI製ＰＣＳ接続枚数計算ツール!$I$6-HUAWEI製ＰＣＳ接続枚数計算ツール!$G$6)+HUAWEI製ＰＣＳ接続枚数計算ツール!$G$6)*VLOOKUP(HUAWEI製ＰＣＳ接続枚数計算ツール!$C$9,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7" s="86">
        <f>((1-1/MAX(100%,過積載率!AK7))^0.5*(HUAWEI製ＰＣＳ接続枚数計算ツール!$I$6-HUAWEI製ＰＣＳ接続枚数計算ツール!$G$6)+HUAWEI製ＰＣＳ接続枚数計算ツール!$G$6)*VLOOKUP(HUAWEI製ＰＣＳ接続枚数計算ツール!$C$9,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7" s="86">
        <f>((1-1/MAX(100%,過積載率!AL7))^0.5*(HUAWEI製ＰＣＳ接続枚数計算ツール!$I$6-HUAWEI製ＰＣＳ接続枚数計算ツール!$G$6)+HUAWEI製ＰＣＳ接続枚数計算ツール!$G$6)*VLOOKUP(HUAWEI製ＰＣＳ接続枚数計算ツール!$C$9,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7" s="86">
        <f>((1-1/MAX(100%,過積載率!AM7))^0.5*(HUAWEI製ＰＣＳ接続枚数計算ツール!$I$6-HUAWEI製ＰＣＳ接続枚数計算ツール!$G$6)+HUAWEI製ＰＣＳ接続枚数計算ツール!$G$6)*VLOOKUP(HUAWEI製ＰＣＳ接続枚数計算ツール!$C$9,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7" s="86">
        <f>((1-1/MAX(100%,過積載率!AN7))^0.5*(HUAWEI製ＰＣＳ接続枚数計算ツール!$I$6-HUAWEI製ＰＣＳ接続枚数計算ツール!$G$6)+HUAWEI製ＰＣＳ接続枚数計算ツール!$G$6)*VLOOKUP(HUAWEI製ＰＣＳ接続枚数計算ツール!$C$9,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7" s="86">
        <f>((1-1/MAX(100%,過積載率!AO7))^0.5*(HUAWEI製ＰＣＳ接続枚数計算ツール!$I$6-HUAWEI製ＰＣＳ接続枚数計算ツール!$G$6)+HUAWEI製ＰＣＳ接続枚数計算ツール!$G$6)*VLOOKUP(HUAWEI製ＰＣＳ接続枚数計算ツール!$C$9,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8" spans="1:41">
      <c r="A8">
        <v>6</v>
      </c>
      <c r="B8" s="86">
        <f>((1-1/MAX(100%,過積載率!B8))^0.5*(HUAWEI製ＰＣＳ接続枚数計算ツール!$I$6-HUAWEI製ＰＣＳ接続枚数計算ツール!$G$6)+HUAWEI製ＰＣＳ接続枚数計算ツール!$G$6)*VLOOKUP(HUAWEI製ＰＣＳ接続枚数計算ツール!$C$9,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8" s="86">
        <f>((1-1/MAX(100%,過積載率!C8))^0.5*(HUAWEI製ＰＣＳ接続枚数計算ツール!$I$6-HUAWEI製ＰＣＳ接続枚数計算ツール!$G$6)+HUAWEI製ＰＣＳ接続枚数計算ツール!$G$6)*VLOOKUP(HUAWEI製ＰＣＳ接続枚数計算ツール!$C$9,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8" s="86">
        <f>((1-1/MAX(100%,過積載率!D8))^0.5*(HUAWEI製ＰＣＳ接続枚数計算ツール!$I$6-HUAWEI製ＰＣＳ接続枚数計算ツール!$G$6)+HUAWEI製ＰＣＳ接続枚数計算ツール!$G$6)*VLOOKUP(HUAWEI製ＰＣＳ接続枚数計算ツール!$C$9,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8" s="86">
        <f>((1-1/MAX(100%,過積載率!E8))^0.5*(HUAWEI製ＰＣＳ接続枚数計算ツール!$I$6-HUAWEI製ＰＣＳ接続枚数計算ツール!$G$6)+HUAWEI製ＰＣＳ接続枚数計算ツール!$G$6)*VLOOKUP(HUAWEI製ＰＣＳ接続枚数計算ツール!$C$9,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8" s="86">
        <f>((1-1/MAX(100%,過積載率!F8))^0.5*(HUAWEI製ＰＣＳ接続枚数計算ツール!$I$6-HUAWEI製ＰＣＳ接続枚数計算ツール!$G$6)+HUAWEI製ＰＣＳ接続枚数計算ツール!$G$6)*VLOOKUP(HUAWEI製ＰＣＳ接続枚数計算ツール!$C$9,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8" s="86">
        <f>((1-1/MAX(100%,過積載率!G8))^0.5*(HUAWEI製ＰＣＳ接続枚数計算ツール!$I$6-HUAWEI製ＰＣＳ接続枚数計算ツール!$G$6)+HUAWEI製ＰＣＳ接続枚数計算ツール!$G$6)*VLOOKUP(HUAWEI製ＰＣＳ接続枚数計算ツール!$C$9,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8" s="86">
        <f>((1-1/MAX(100%,過積載率!H8))^0.5*(HUAWEI製ＰＣＳ接続枚数計算ツール!$I$6-HUAWEI製ＰＣＳ接続枚数計算ツール!$G$6)+HUAWEI製ＰＣＳ接続枚数計算ツール!$G$6)*VLOOKUP(HUAWEI製ＰＣＳ接続枚数計算ツール!$C$9,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8" s="86">
        <f>((1-1/MAX(100%,過積載率!I8))^0.5*(HUAWEI製ＰＣＳ接続枚数計算ツール!$I$6-HUAWEI製ＰＣＳ接続枚数計算ツール!$G$6)+HUAWEI製ＰＣＳ接続枚数計算ツール!$G$6)*VLOOKUP(HUAWEI製ＰＣＳ接続枚数計算ツール!$C$9,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8" s="86">
        <f>((1-1/MAX(100%,過積載率!J8))^0.5*(HUAWEI製ＰＣＳ接続枚数計算ツール!$I$6-HUAWEI製ＰＣＳ接続枚数計算ツール!$G$6)+HUAWEI製ＰＣＳ接続枚数計算ツール!$G$6)*VLOOKUP(HUAWEI製ＰＣＳ接続枚数計算ツール!$C$9,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8" s="86">
        <f>((1-1/MAX(100%,過積載率!K8))^0.5*(HUAWEI製ＰＣＳ接続枚数計算ツール!$I$6-HUAWEI製ＰＣＳ接続枚数計算ツール!$G$6)+HUAWEI製ＰＣＳ接続枚数計算ツール!$G$6)*VLOOKUP(HUAWEI製ＰＣＳ接続枚数計算ツール!$C$9,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8" s="86">
        <f>((1-1/MAX(100%,過積載率!L8))^0.5*(HUAWEI製ＰＣＳ接続枚数計算ツール!$I$6-HUAWEI製ＰＣＳ接続枚数計算ツール!$G$6)+HUAWEI製ＰＣＳ接続枚数計算ツール!$G$6)*VLOOKUP(HUAWEI製ＰＣＳ接続枚数計算ツール!$C$9,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8" s="86">
        <f>((1-1/MAX(100%,過積載率!M8))^0.5*(HUAWEI製ＰＣＳ接続枚数計算ツール!$I$6-HUAWEI製ＰＣＳ接続枚数計算ツール!$G$6)+HUAWEI製ＰＣＳ接続枚数計算ツール!$G$6)*VLOOKUP(HUAWEI製ＰＣＳ接続枚数計算ツール!$C$9,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8" s="86">
        <f>((1-1/MAX(100%,過積載率!N8))^0.5*(HUAWEI製ＰＣＳ接続枚数計算ツール!$I$6-HUAWEI製ＰＣＳ接続枚数計算ツール!$G$6)+HUAWEI製ＰＣＳ接続枚数計算ツール!$G$6)*VLOOKUP(HUAWEI製ＰＣＳ接続枚数計算ツール!$C$9,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8" s="86">
        <f>((1-1/MAX(100%,過積載率!O8))^0.5*(HUAWEI製ＰＣＳ接続枚数計算ツール!$I$6-HUAWEI製ＰＣＳ接続枚数計算ツール!$G$6)+HUAWEI製ＰＣＳ接続枚数計算ツール!$G$6)*VLOOKUP(HUAWEI製ＰＣＳ接続枚数計算ツール!$C$9,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8" s="86">
        <f>((1-1/MAX(100%,過積載率!P8))^0.5*(HUAWEI製ＰＣＳ接続枚数計算ツール!$I$6-HUAWEI製ＰＣＳ接続枚数計算ツール!$G$6)+HUAWEI製ＰＣＳ接続枚数計算ツール!$G$6)*VLOOKUP(HUAWEI製ＰＣＳ接続枚数計算ツール!$C$9,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8" s="86">
        <f>((1-1/MAX(100%,過積載率!Q8))^0.5*(HUAWEI製ＰＣＳ接続枚数計算ツール!$I$6-HUAWEI製ＰＣＳ接続枚数計算ツール!$G$6)+HUAWEI製ＰＣＳ接続枚数計算ツール!$G$6)*VLOOKUP(HUAWEI製ＰＣＳ接続枚数計算ツール!$C$9,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8" s="86">
        <f>((1-1/MAX(100%,過積載率!R8))^0.5*(HUAWEI製ＰＣＳ接続枚数計算ツール!$I$6-HUAWEI製ＰＣＳ接続枚数計算ツール!$G$6)+HUAWEI製ＰＣＳ接続枚数計算ツール!$G$6)*VLOOKUP(HUAWEI製ＰＣＳ接続枚数計算ツール!$C$9,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8" s="86">
        <f>((1-1/MAX(100%,過積載率!S8))^0.5*(HUAWEI製ＰＣＳ接続枚数計算ツール!$I$6-HUAWEI製ＰＣＳ接続枚数計算ツール!$G$6)+HUAWEI製ＰＣＳ接続枚数計算ツール!$G$6)*VLOOKUP(HUAWEI製ＰＣＳ接続枚数計算ツール!$C$9,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8" s="86">
        <f>((1-1/MAX(100%,過積載率!T8))^0.5*(HUAWEI製ＰＣＳ接続枚数計算ツール!$I$6-HUAWEI製ＰＣＳ接続枚数計算ツール!$G$6)+HUAWEI製ＰＣＳ接続枚数計算ツール!$G$6)*VLOOKUP(HUAWEI製ＰＣＳ接続枚数計算ツール!$C$9,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8" s="86">
        <f>((1-1/MAX(100%,過積載率!U8))^0.5*(HUAWEI製ＰＣＳ接続枚数計算ツール!$I$6-HUAWEI製ＰＣＳ接続枚数計算ツール!$G$6)+HUAWEI製ＰＣＳ接続枚数計算ツール!$G$6)*VLOOKUP(HUAWEI製ＰＣＳ接続枚数計算ツール!$C$9,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8" s="86">
        <f>((1-1/MAX(100%,過積載率!V8))^0.5*(HUAWEI製ＰＣＳ接続枚数計算ツール!$I$6-HUAWEI製ＰＣＳ接続枚数計算ツール!$G$6)+HUAWEI製ＰＣＳ接続枚数計算ツール!$G$6)*VLOOKUP(HUAWEI製ＰＣＳ接続枚数計算ツール!$C$9,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8" s="86">
        <f>((1-1/MAX(100%,過積載率!W8))^0.5*(HUAWEI製ＰＣＳ接続枚数計算ツール!$I$6-HUAWEI製ＰＣＳ接続枚数計算ツール!$G$6)+HUAWEI製ＰＣＳ接続枚数計算ツール!$G$6)*VLOOKUP(HUAWEI製ＰＣＳ接続枚数計算ツール!$C$9,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8" s="86">
        <f>((1-1/MAX(100%,過積載率!X8))^0.5*(HUAWEI製ＰＣＳ接続枚数計算ツール!$I$6-HUAWEI製ＰＣＳ接続枚数計算ツール!$G$6)+HUAWEI製ＰＣＳ接続枚数計算ツール!$G$6)*VLOOKUP(HUAWEI製ＰＣＳ接続枚数計算ツール!$C$9,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8" s="86">
        <f>((1-1/MAX(100%,過積載率!Y8))^0.5*(HUAWEI製ＰＣＳ接続枚数計算ツール!$I$6-HUAWEI製ＰＣＳ接続枚数計算ツール!$G$6)+HUAWEI製ＰＣＳ接続枚数計算ツール!$G$6)*VLOOKUP(HUAWEI製ＰＣＳ接続枚数計算ツール!$C$9,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8" s="86">
        <f>((1-1/MAX(100%,過積載率!Z8))^0.5*(HUAWEI製ＰＣＳ接続枚数計算ツール!$I$6-HUAWEI製ＰＣＳ接続枚数計算ツール!$G$6)+HUAWEI製ＰＣＳ接続枚数計算ツール!$G$6)*VLOOKUP(HUAWEI製ＰＣＳ接続枚数計算ツール!$C$9,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8" s="86">
        <f>((1-1/MAX(100%,過積載率!AA8))^0.5*(HUAWEI製ＰＣＳ接続枚数計算ツール!$I$6-HUAWEI製ＰＣＳ接続枚数計算ツール!$G$6)+HUAWEI製ＰＣＳ接続枚数計算ツール!$G$6)*VLOOKUP(HUAWEI製ＰＣＳ接続枚数計算ツール!$C$9,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8" s="86">
        <f>((1-1/MAX(100%,過積載率!AB8))^0.5*(HUAWEI製ＰＣＳ接続枚数計算ツール!$I$6-HUAWEI製ＰＣＳ接続枚数計算ツール!$G$6)+HUAWEI製ＰＣＳ接続枚数計算ツール!$G$6)*VLOOKUP(HUAWEI製ＰＣＳ接続枚数計算ツール!$C$9,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8" s="86">
        <f>((1-1/MAX(100%,過積載率!AC8))^0.5*(HUAWEI製ＰＣＳ接続枚数計算ツール!$I$6-HUAWEI製ＰＣＳ接続枚数計算ツール!$G$6)+HUAWEI製ＰＣＳ接続枚数計算ツール!$G$6)*VLOOKUP(HUAWEI製ＰＣＳ接続枚数計算ツール!$C$9,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8" s="86">
        <f>((1-1/MAX(100%,過積載率!AD8))^0.5*(HUAWEI製ＰＣＳ接続枚数計算ツール!$I$6-HUAWEI製ＰＣＳ接続枚数計算ツール!$G$6)+HUAWEI製ＰＣＳ接続枚数計算ツール!$G$6)*VLOOKUP(HUAWEI製ＰＣＳ接続枚数計算ツール!$C$9,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8" s="86">
        <f>((1-1/MAX(100%,過積載率!AE8))^0.5*(HUAWEI製ＰＣＳ接続枚数計算ツール!$I$6-HUAWEI製ＰＣＳ接続枚数計算ツール!$G$6)+HUAWEI製ＰＣＳ接続枚数計算ツール!$G$6)*VLOOKUP(HUAWEI製ＰＣＳ接続枚数計算ツール!$C$9,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8" s="86">
        <f>((1-1/MAX(100%,過積載率!AF8))^0.5*(HUAWEI製ＰＣＳ接続枚数計算ツール!$I$6-HUAWEI製ＰＣＳ接続枚数計算ツール!$G$6)+HUAWEI製ＰＣＳ接続枚数計算ツール!$G$6)*VLOOKUP(HUAWEI製ＰＣＳ接続枚数計算ツール!$C$9,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8" s="86">
        <f>((1-1/MAX(100%,過積載率!AG8))^0.5*(HUAWEI製ＰＣＳ接続枚数計算ツール!$I$6-HUAWEI製ＰＣＳ接続枚数計算ツール!$G$6)+HUAWEI製ＰＣＳ接続枚数計算ツール!$G$6)*VLOOKUP(HUAWEI製ＰＣＳ接続枚数計算ツール!$C$9,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8" s="86">
        <f>((1-1/MAX(100%,過積載率!AH8))^0.5*(HUAWEI製ＰＣＳ接続枚数計算ツール!$I$6-HUAWEI製ＰＣＳ接続枚数計算ツール!$G$6)+HUAWEI製ＰＣＳ接続枚数計算ツール!$G$6)*VLOOKUP(HUAWEI製ＰＣＳ接続枚数計算ツール!$C$9,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8" s="86">
        <f>((1-1/MAX(100%,過積載率!AI8))^0.5*(HUAWEI製ＰＣＳ接続枚数計算ツール!$I$6-HUAWEI製ＰＣＳ接続枚数計算ツール!$G$6)+HUAWEI製ＰＣＳ接続枚数計算ツール!$G$6)*VLOOKUP(HUAWEI製ＰＣＳ接続枚数計算ツール!$C$9,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8" s="86">
        <f>((1-1/MAX(100%,過積載率!AJ8))^0.5*(HUAWEI製ＰＣＳ接続枚数計算ツール!$I$6-HUAWEI製ＰＣＳ接続枚数計算ツール!$G$6)+HUAWEI製ＰＣＳ接続枚数計算ツール!$G$6)*VLOOKUP(HUAWEI製ＰＣＳ接続枚数計算ツール!$C$9, HUAWEI製ＰＣＳ接続枚数計算ツール!$B$119:$P$149,10,FALSE)</f>
        <v>43.995426726771406</v>
      </c>
      <c r="AK8" s="86">
        <f>((1-1/MAX(100%,過積載率!AK8))^0.5*(HUAWEI製ＰＣＳ接続枚数計算ツール!$I$6-HUAWEI製ＰＣＳ接続枚数計算ツール!$G$6)+HUAWEI製ＰＣＳ接続枚数計算ツール!$G$6)*VLOOKUP(HUAWEI製ＰＣＳ接続枚数計算ツール!$C$9, HUAWEI製ＰＣＳ接続枚数計算ツール!$B$119:$P$149,10,FALSE)</f>
        <v>44.856655469635044</v>
      </c>
      <c r="AL8" s="86">
        <f>((1-1/MAX(100%,過積載率!AL8))^0.5*(HUAWEI製ＰＣＳ接続枚数計算ツール!$I$6-HUAWEI製ＰＣＳ接続枚数計算ツール!$G$6)+HUAWEI製ＰＣＳ接続枚数計算ツール!$G$6)*VLOOKUP(HUAWEI製ＰＣＳ接続枚数計算ツール!$C$9, HUAWEI製ＰＣＳ接続枚数計算ツール!$B$119:$P$149,10,FALSE)</f>
        <v>45.374532088194094</v>
      </c>
      <c r="AM8" s="86">
        <f>((1-1/MAX(100%,過積載率!AM8))^0.5*(HUAWEI製ＰＣＳ接続枚数計算ツール!$I$6-HUAWEI製ＰＣＳ接続枚数計算ツール!$G$6)+HUAWEI製ＰＣＳ接続枚数計算ツール!$G$6)*VLOOKUP(HUAWEI製ＰＣＳ接続枚数計算ツール!$C$9, HUAWEI製ＰＣＳ接続枚数計算ツール!$B$119:$P$149,10,FALSE)</f>
        <v>45.76980300992593</v>
      </c>
      <c r="AN8" s="86">
        <f>((1-1/MAX(100%,過積載率!AN8))^0.5*(HUAWEI製ＰＣＳ接続枚数計算ツール!$I$6-HUAWEI製ＰＣＳ接続枚数計算ツール!$G$6)+HUAWEI製ＰＣＳ接続枚数計算ツール!$G$6)*VLOOKUP(HUAWEI製ＰＣＳ接続枚数計算ツール!$C$9, HUAWEI製ＰＣＳ接続枚数計算ツール!$B$119:$P$149,10,FALSE)</f>
        <v>46.094950225184441</v>
      </c>
      <c r="AO8" s="86">
        <f>((1-1/MAX(100%,過積載率!AO8))^0.5*(HUAWEI製ＰＣＳ接続枚数計算ツール!$I$6-HUAWEI製ＰＣＳ接続枚数計算ツール!$G$6)+HUAWEI製ＰＣＳ接続枚数計算ツール!$G$6)*VLOOKUP(HUAWEI製ＰＣＳ接続枚数計算ツール!$C$9, HUAWEI製ＰＣＳ接続枚数計算ツール!$B$119:$P$149,10,FALSE)</f>
        <v>46.372905499528542</v>
      </c>
    </row>
    <row r="9" spans="1:41">
      <c r="A9">
        <v>7</v>
      </c>
      <c r="B9" s="86">
        <f>((1-1/MAX(100%,過積載率!B9))^0.5*(HUAWEI製ＰＣＳ接続枚数計算ツール!$I$6-HUAWEI製ＰＣＳ接続枚数計算ツール!$G$6)+HUAWEI製ＰＣＳ接続枚数計算ツール!$G$6)*VLOOKUP(HUAWEI製ＰＣＳ接続枚数計算ツール!$C$9,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9" s="86">
        <f>((1-1/MAX(100%,過積載率!C9))^0.5*(HUAWEI製ＰＣＳ接続枚数計算ツール!$I$6-HUAWEI製ＰＣＳ接続枚数計算ツール!$G$6)+HUAWEI製ＰＣＳ接続枚数計算ツール!$G$6)*VLOOKUP(HUAWEI製ＰＣＳ接続枚数計算ツール!$C$9,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9" s="86">
        <f>((1-1/MAX(100%,過積載率!D9))^0.5*(HUAWEI製ＰＣＳ接続枚数計算ツール!$I$6-HUAWEI製ＰＣＳ接続枚数計算ツール!$G$6)+HUAWEI製ＰＣＳ接続枚数計算ツール!$G$6)*VLOOKUP(HUAWEI製ＰＣＳ接続枚数計算ツール!$C$9,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9" s="86">
        <f>((1-1/MAX(100%,過積載率!E9))^0.5*(HUAWEI製ＰＣＳ接続枚数計算ツール!$I$6-HUAWEI製ＰＣＳ接続枚数計算ツール!$G$6)+HUAWEI製ＰＣＳ接続枚数計算ツール!$G$6)*VLOOKUP(HUAWEI製ＰＣＳ接続枚数計算ツール!$C$9,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9" s="86">
        <f>((1-1/MAX(100%,過積載率!F9))^0.5*(HUAWEI製ＰＣＳ接続枚数計算ツール!$I$6-HUAWEI製ＰＣＳ接続枚数計算ツール!$G$6)+HUAWEI製ＰＣＳ接続枚数計算ツール!$G$6)*VLOOKUP(HUAWEI製ＰＣＳ接続枚数計算ツール!$C$9,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9" s="86">
        <f>((1-1/MAX(100%,過積載率!G9))^0.5*(HUAWEI製ＰＣＳ接続枚数計算ツール!$I$6-HUAWEI製ＰＣＳ接続枚数計算ツール!$G$6)+HUAWEI製ＰＣＳ接続枚数計算ツール!$G$6)*VLOOKUP(HUAWEI製ＰＣＳ接続枚数計算ツール!$C$9,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9" s="86">
        <f>((1-1/MAX(100%,過積載率!H9))^0.5*(HUAWEI製ＰＣＳ接続枚数計算ツール!$I$6-HUAWEI製ＰＣＳ接続枚数計算ツール!$G$6)+HUAWEI製ＰＣＳ接続枚数計算ツール!$G$6)*VLOOKUP(HUAWEI製ＰＣＳ接続枚数計算ツール!$C$9,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9" s="86">
        <f>((1-1/MAX(100%,過積載率!I9))^0.5*(HUAWEI製ＰＣＳ接続枚数計算ツール!$I$6-HUAWEI製ＰＣＳ接続枚数計算ツール!$G$6)+HUAWEI製ＰＣＳ接続枚数計算ツール!$G$6)*VLOOKUP(HUAWEI製ＰＣＳ接続枚数計算ツール!$C$9,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9" s="86">
        <f>((1-1/MAX(100%,過積載率!J9))^0.5*(HUAWEI製ＰＣＳ接続枚数計算ツール!$I$6-HUAWEI製ＰＣＳ接続枚数計算ツール!$G$6)+HUAWEI製ＰＣＳ接続枚数計算ツール!$G$6)*VLOOKUP(HUAWEI製ＰＣＳ接続枚数計算ツール!$C$9,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9" s="86">
        <f>((1-1/MAX(100%,過積載率!K9))^0.5*(HUAWEI製ＰＣＳ接続枚数計算ツール!$I$6-HUAWEI製ＰＣＳ接続枚数計算ツール!$G$6)+HUAWEI製ＰＣＳ接続枚数計算ツール!$G$6)*VLOOKUP(HUAWEI製ＰＣＳ接続枚数計算ツール!$C$9,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9" s="86">
        <f>((1-1/MAX(100%,過積載率!L9))^0.5*(HUAWEI製ＰＣＳ接続枚数計算ツール!$I$6-HUAWEI製ＰＣＳ接続枚数計算ツール!$G$6)+HUAWEI製ＰＣＳ接続枚数計算ツール!$G$6)*VLOOKUP(HUAWEI製ＰＣＳ接続枚数計算ツール!$C$9,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9" s="86">
        <f>((1-1/MAX(100%,過積載率!M9))^0.5*(HUAWEI製ＰＣＳ接続枚数計算ツール!$I$6-HUAWEI製ＰＣＳ接続枚数計算ツール!$G$6)+HUAWEI製ＰＣＳ接続枚数計算ツール!$G$6)*VLOOKUP(HUAWEI製ＰＣＳ接続枚数計算ツール!$C$9,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9" s="86">
        <f>((1-1/MAX(100%,過積載率!N9))^0.5*(HUAWEI製ＰＣＳ接続枚数計算ツール!$I$6-HUAWEI製ＰＣＳ接続枚数計算ツール!$G$6)+HUAWEI製ＰＣＳ接続枚数計算ツール!$G$6)*VLOOKUP(HUAWEI製ＰＣＳ接続枚数計算ツール!$C$9,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9" s="86">
        <f>((1-1/MAX(100%,過積載率!O9))^0.5*(HUAWEI製ＰＣＳ接続枚数計算ツール!$I$6-HUAWEI製ＰＣＳ接続枚数計算ツール!$G$6)+HUAWEI製ＰＣＳ接続枚数計算ツール!$G$6)*VLOOKUP(HUAWEI製ＰＣＳ接続枚数計算ツール!$C$9,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9" s="86">
        <f>((1-1/MAX(100%,過積載率!P9))^0.5*(HUAWEI製ＰＣＳ接続枚数計算ツール!$I$6-HUAWEI製ＰＣＳ接続枚数計算ツール!$G$6)+HUAWEI製ＰＣＳ接続枚数計算ツール!$G$6)*VLOOKUP(HUAWEI製ＰＣＳ接続枚数計算ツール!$C$9,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9" s="86">
        <f>((1-1/MAX(100%,過積載率!Q9))^0.5*(HUAWEI製ＰＣＳ接続枚数計算ツール!$I$6-HUAWEI製ＰＣＳ接続枚数計算ツール!$G$6)+HUAWEI製ＰＣＳ接続枚数計算ツール!$G$6)*VLOOKUP(HUAWEI製ＰＣＳ接続枚数計算ツール!$C$9,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9" s="86">
        <f>((1-1/MAX(100%,過積載率!R9))^0.5*(HUAWEI製ＰＣＳ接続枚数計算ツール!$I$6-HUAWEI製ＰＣＳ接続枚数計算ツール!$G$6)+HUAWEI製ＰＣＳ接続枚数計算ツール!$G$6)*VLOOKUP(HUAWEI製ＰＣＳ接続枚数計算ツール!$C$9,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9" s="86">
        <f>((1-1/MAX(100%,過積載率!S9))^0.5*(HUAWEI製ＰＣＳ接続枚数計算ツール!$I$6-HUAWEI製ＰＣＳ接続枚数計算ツール!$G$6)+HUAWEI製ＰＣＳ接続枚数計算ツール!$G$6)*VLOOKUP(HUAWEI製ＰＣＳ接続枚数計算ツール!$C$9,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9" s="86">
        <f>((1-1/MAX(100%,過積載率!T9))^0.5*(HUAWEI製ＰＣＳ接続枚数計算ツール!$I$6-HUAWEI製ＰＣＳ接続枚数計算ツール!$G$6)+HUAWEI製ＰＣＳ接続枚数計算ツール!$G$6)*VLOOKUP(HUAWEI製ＰＣＳ接続枚数計算ツール!$C$9,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9" s="86">
        <f>((1-1/MAX(100%,過積載率!U9))^0.5*(HUAWEI製ＰＣＳ接続枚数計算ツール!$I$6-HUAWEI製ＰＣＳ接続枚数計算ツール!$G$6)+HUAWEI製ＰＣＳ接続枚数計算ツール!$G$6)*VLOOKUP(HUAWEI製ＰＣＳ接続枚数計算ツール!$C$9,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9" s="86">
        <f>((1-1/MAX(100%,過積載率!V9))^0.5*(HUAWEI製ＰＣＳ接続枚数計算ツール!$I$6-HUAWEI製ＰＣＳ接続枚数計算ツール!$G$6)+HUAWEI製ＰＣＳ接続枚数計算ツール!$G$6)*VLOOKUP(HUAWEI製ＰＣＳ接続枚数計算ツール!$C$9,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9" s="86">
        <f>((1-1/MAX(100%,過積載率!W9))^0.5*(HUAWEI製ＰＣＳ接続枚数計算ツール!$I$6-HUAWEI製ＰＣＳ接続枚数計算ツール!$G$6)+HUAWEI製ＰＣＳ接続枚数計算ツール!$G$6)*VLOOKUP(HUAWEI製ＰＣＳ接続枚数計算ツール!$C$9,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9" s="86">
        <f>((1-1/MAX(100%,過積載率!X9))^0.5*(HUAWEI製ＰＣＳ接続枚数計算ツール!$I$6-HUAWEI製ＰＣＳ接続枚数計算ツール!$G$6)+HUAWEI製ＰＣＳ接続枚数計算ツール!$G$6)*VLOOKUP(HUAWEI製ＰＣＳ接続枚数計算ツール!$C$9,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9" s="86">
        <f>((1-1/MAX(100%,過積載率!Y9))^0.5*(HUAWEI製ＰＣＳ接続枚数計算ツール!$I$6-HUAWEI製ＰＣＳ接続枚数計算ツール!$G$6)+HUAWEI製ＰＣＳ接続枚数計算ツール!$G$6)*VLOOKUP(HUAWEI製ＰＣＳ接続枚数計算ツール!$C$9,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9" s="86">
        <f>((1-1/MAX(100%,過積載率!Z9))^0.5*(HUAWEI製ＰＣＳ接続枚数計算ツール!$I$6-HUAWEI製ＰＣＳ接続枚数計算ツール!$G$6)+HUAWEI製ＰＣＳ接続枚数計算ツール!$G$6)*VLOOKUP(HUAWEI製ＰＣＳ接続枚数計算ツール!$C$9,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9" s="86">
        <f>((1-1/MAX(100%,過積載率!AA9))^0.5*(HUAWEI製ＰＣＳ接続枚数計算ツール!$I$6-HUAWEI製ＰＣＳ接続枚数計算ツール!$G$6)+HUAWEI製ＰＣＳ接続枚数計算ツール!$G$6)*VLOOKUP(HUAWEI製ＰＣＳ接続枚数計算ツール!$C$9,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9" s="86">
        <f>((1-1/MAX(100%,過積載率!AB9))^0.5*(HUAWEI製ＰＣＳ接続枚数計算ツール!$I$6-HUAWEI製ＰＣＳ接続枚数計算ツール!$G$6)+HUAWEI製ＰＣＳ接続枚数計算ツール!$G$6)*VLOOKUP(HUAWEI製ＰＣＳ接続枚数計算ツール!$C$9,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9" s="86">
        <f>((1-1/MAX(100%,過積載率!AC9))^0.5*(HUAWEI製ＰＣＳ接続枚数計算ツール!$I$6-HUAWEI製ＰＣＳ接続枚数計算ツール!$G$6)+HUAWEI製ＰＣＳ接続枚数計算ツール!$G$6)*VLOOKUP(HUAWEI製ＰＣＳ接続枚数計算ツール!$C$9,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9" s="86">
        <f>((1-1/MAX(100%,過積載率!AD9))^0.5*(HUAWEI製ＰＣＳ接続枚数計算ツール!$I$6-HUAWEI製ＰＣＳ接続枚数計算ツール!$G$6)+HUAWEI製ＰＣＳ接続枚数計算ツール!$G$6)*VLOOKUP(HUAWEI製ＰＣＳ接続枚数計算ツール!$C$9,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9" s="86">
        <f>((1-1/MAX(100%,過積載率!AE9))^0.5*(HUAWEI製ＰＣＳ接続枚数計算ツール!$I$6-HUAWEI製ＰＣＳ接続枚数計算ツール!$G$6)+HUAWEI製ＰＣＳ接続枚数計算ツール!$G$6)*VLOOKUP(HUAWEI製ＰＣＳ接続枚数計算ツール!$C$9, HUAWEI製ＰＣＳ接続枚数計算ツール!$B$119:$P$149,10,FALSE)</f>
        <v>43.995426726771406</v>
      </c>
      <c r="AF9" s="86">
        <f>((1-1/MAX(100%,過積載率!AF9))^0.5*(HUAWEI製ＰＣＳ接続枚数計算ツール!$I$6-HUAWEI製ＰＣＳ接続枚数計算ツール!$G$6)+HUAWEI製ＰＣＳ接続枚数計算ツール!$G$6)*VLOOKUP(HUAWEI製ＰＣＳ接続枚数計算ツール!$C$9, HUAWEI製ＰＣＳ接続枚数計算ツール!$B$119:$P$149,10,FALSE)</f>
        <v>44.955935377444433</v>
      </c>
      <c r="AG9" s="86">
        <f>((1-1/MAX(100%,過積載率!AG9))^0.5*(HUAWEI製ＰＣＳ接続枚数計算ツール!$I$6-HUAWEI製ＰＣＳ接続枚数計算ツール!$G$6)+HUAWEI製ＰＣＳ接続枚数計算ツール!$G$6)*VLOOKUP(HUAWEI製ＰＣＳ接続枚数計算ツール!$C$9, HUAWEI製ＰＣＳ接続枚数計算ツール!$B$119:$P$149,10,FALSE)</f>
        <v>45.51629039968671</v>
      </c>
      <c r="AH9" s="86">
        <f>((1-1/MAX(100%,過積載率!AH9))^0.5*(HUAWEI製ＰＣＳ接続枚数計算ツール!$I$6-HUAWEI製ＰＣＳ接続枚数計算ツール!$G$6)+HUAWEI製ＰＣＳ接続枚数計算ツール!$G$6)*VLOOKUP(HUAWEI製ＰＣＳ接続枚数計算ツール!$C$9, HUAWEI製ＰＣＳ接続枚数計算ツール!$B$119:$P$149,10,FALSE)</f>
        <v>45.939356259970033</v>
      </c>
      <c r="AI9" s="86">
        <f>((1-1/MAX(100%,過積載率!AI9))^0.5*(HUAWEI製ＰＣＳ接続枚数計算ツール!$I$6-HUAWEI製ＰＣＳ接続枚数計算ツール!$G$6)+HUAWEI製ＰＣＳ接続枚数計算ツール!$G$6)*VLOOKUP(HUAWEI製ＰＣＳ接続枚数計算ツール!$C$9, HUAWEI製ＰＣＳ接続枚数計算ツール!$B$119:$P$149,10,FALSE)</f>
        <v>46.284591975560801</v>
      </c>
      <c r="AJ9" s="86">
        <f>((1-1/MAX(100%,過積載率!AJ9))^0.5*(HUAWEI製ＰＣＳ接続枚数計算ツール!$I$6-HUAWEI製ＰＣＳ接続枚数計算ツール!$G$6)+HUAWEI製ＰＣＳ接続枚数計算ツール!$G$6)*VLOOKUP(HUAWEI製ＰＣＳ接続枚数計算ツール!$C$9, HUAWEI製ＰＣＳ接続枚数計算ツール!$B$119:$P$149,10,FALSE)</f>
        <v>46.57771647650187</v>
      </c>
      <c r="AK9" s="86">
        <f>((1-1/MAX(100%,過積載率!AK9))^0.5*(HUAWEI製ＰＣＳ接続枚数計算ツール!$I$6-HUAWEI製ＰＣＳ接続枚数計算ツール!$G$6)+HUAWEI製ＰＣＳ接続枚数計算ツール!$G$6)*VLOOKUP(HUAWEI製ＰＣＳ接続枚数計算ツール!$C$9, HUAWEI製ＰＣＳ接続枚数計算ツール!$B$119:$P$149,10,FALSE)</f>
        <v>46.832767074015699</v>
      </c>
      <c r="AL9" s="86">
        <f>((1-1/MAX(100%,過積載率!AL9))^0.5*(HUAWEI製ＰＣＳ接続枚数計算ツール!$I$6-HUAWEI製ＰＣＳ接続枚数計算ツール!$G$6)+HUAWEI製ＰＣＳ接続枚数計算ツール!$G$6)*VLOOKUP(HUAWEI製ＰＣＳ接続枚数計算ツール!$C$9, HUAWEI製ＰＣＳ接続枚数計算ツール!$B$119:$P$149,10,FALSE)</f>
        <v>47.058453349745456</v>
      </c>
      <c r="AM9" s="86">
        <f>((1-1/MAX(100%,過積載率!AM9))^0.5*(HUAWEI製ＰＣＳ接続枚数計算ツール!$I$6-HUAWEI製ＰＣＳ接続枚数計算ツール!$G$6)+HUAWEI製ＰＣＳ接続枚数計算ツール!$G$6)*VLOOKUP(HUAWEI製ＰＣＳ接続枚数計算ツール!$C$9, HUAWEI製ＰＣＳ接続枚数計算ツール!$B$119:$P$149,10,FALSE)</f>
        <v>47.26064209870686</v>
      </c>
      <c r="AN9" s="86">
        <f>((1-1/MAX(100%,過積載率!AN9))^0.5*(HUAWEI製ＰＣＳ接続枚数計算ツール!$I$6-HUAWEI製ＰＣＳ接続枚数計算ツール!$G$6)+HUAWEI製ＰＣＳ接続枚数計算ツール!$G$6)*VLOOKUP(HUAWEI製ＰＣＳ接続枚数計算ツール!$C$9, HUAWEI製ＰＣＳ接続枚数計算ツール!$B$119:$P$149,10,FALSE)</f>
        <v>47.443518231183518</v>
      </c>
      <c r="AO9" s="86">
        <f>((1-1/MAX(100%,過積載率!AO9))^0.5*(HUAWEI製ＰＣＳ接続枚数計算ツール!$I$6-HUAWEI製ＰＣＳ接続枚数計算ツール!$G$6)+HUAWEI製ＰＣＳ接続枚数計算ツール!$G$6)*VLOOKUP(HUAWEI製ＰＣＳ接続枚数計算ツール!$C$9, HUAWEI製ＰＣＳ接続枚数計算ツール!$B$119:$P$149,10,FALSE)</f>
        <v>47.610195632349743</v>
      </c>
    </row>
    <row r="10" spans="1:41">
      <c r="A10">
        <v>8</v>
      </c>
      <c r="B10" s="86">
        <f>((1-1/MAX(100%,過積載率!B10))^0.5*(HUAWEI製ＰＣＳ接続枚数計算ツール!$I$6-HUAWEI製ＰＣＳ接続枚数計算ツール!$G$6)+HUAWEI製ＰＣＳ接続枚数計算ツール!$G$6)*VLOOKUP(HUAWEI製ＰＣＳ接続枚数計算ツール!$C$9,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0" s="86">
        <f>((1-1/MAX(100%,過積載率!C10))^0.5*(HUAWEI製ＰＣＳ接続枚数計算ツール!$I$6-HUAWEI製ＰＣＳ接続枚数計算ツール!$G$6)+HUAWEI製ＰＣＳ接続枚数計算ツール!$G$6)*VLOOKUP(HUAWEI製ＰＣＳ接続枚数計算ツール!$C$9,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0" s="86">
        <f>((1-1/MAX(100%,過積載率!D10))^0.5*(HUAWEI製ＰＣＳ接続枚数計算ツール!$I$6-HUAWEI製ＰＣＳ接続枚数計算ツール!$G$6)+HUAWEI製ＰＣＳ接続枚数計算ツール!$G$6)*VLOOKUP(HUAWEI製ＰＣＳ接続枚数計算ツール!$C$9,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0" s="86">
        <f>((1-1/MAX(100%,過積載率!E10))^0.5*(HUAWEI製ＰＣＳ接続枚数計算ツール!$I$6-HUAWEI製ＰＣＳ接続枚数計算ツール!$G$6)+HUAWEI製ＰＣＳ接続枚数計算ツール!$G$6)*VLOOKUP(HUAWEI製ＰＣＳ接続枚数計算ツール!$C$9,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0" s="86">
        <f>((1-1/MAX(100%,過積載率!F10))^0.5*(HUAWEI製ＰＣＳ接続枚数計算ツール!$I$6-HUAWEI製ＰＣＳ接続枚数計算ツール!$G$6)+HUAWEI製ＰＣＳ接続枚数計算ツール!$G$6)*VLOOKUP(HUAWEI製ＰＣＳ接続枚数計算ツール!$C$9,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0" s="86">
        <f>((1-1/MAX(100%,過積載率!G10))^0.5*(HUAWEI製ＰＣＳ接続枚数計算ツール!$I$6-HUAWEI製ＰＣＳ接続枚数計算ツール!$G$6)+HUAWEI製ＰＣＳ接続枚数計算ツール!$G$6)*VLOOKUP(HUAWEI製ＰＣＳ接続枚数計算ツール!$C$9,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0" s="86">
        <f>((1-1/MAX(100%,過積載率!H10))^0.5*(HUAWEI製ＰＣＳ接続枚数計算ツール!$I$6-HUAWEI製ＰＣＳ接続枚数計算ツール!$G$6)+HUAWEI製ＰＣＳ接続枚数計算ツール!$G$6)*VLOOKUP(HUAWEI製ＰＣＳ接続枚数計算ツール!$C$9,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0" s="86">
        <f>((1-1/MAX(100%,過積載率!I10))^0.5*(HUAWEI製ＰＣＳ接続枚数計算ツール!$I$6-HUAWEI製ＰＣＳ接続枚数計算ツール!$G$6)+HUAWEI製ＰＣＳ接続枚数計算ツール!$G$6)*VLOOKUP(HUAWEI製ＰＣＳ接続枚数計算ツール!$C$9,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0" s="86">
        <f>((1-1/MAX(100%,過積載率!J10))^0.5*(HUAWEI製ＰＣＳ接続枚数計算ツール!$I$6-HUAWEI製ＰＣＳ接続枚数計算ツール!$G$6)+HUAWEI製ＰＣＳ接続枚数計算ツール!$G$6)*VLOOKUP(HUAWEI製ＰＣＳ接続枚数計算ツール!$C$9,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0" s="86">
        <f>((1-1/MAX(100%,過積載率!K10))^0.5*(HUAWEI製ＰＣＳ接続枚数計算ツール!$I$6-HUAWEI製ＰＣＳ接続枚数計算ツール!$G$6)+HUAWEI製ＰＣＳ接続枚数計算ツール!$G$6)*VLOOKUP(HUAWEI製ＰＣＳ接続枚数計算ツール!$C$9,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0" s="86">
        <f>((1-1/MAX(100%,過積載率!L10))^0.5*(HUAWEI製ＰＣＳ接続枚数計算ツール!$I$6-HUAWEI製ＰＣＳ接続枚数計算ツール!$G$6)+HUAWEI製ＰＣＳ接続枚数計算ツール!$G$6)*VLOOKUP(HUAWEI製ＰＣＳ接続枚数計算ツール!$C$9,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0" s="86">
        <f>((1-1/MAX(100%,過積載率!M10))^0.5*(HUAWEI製ＰＣＳ接続枚数計算ツール!$I$6-HUAWEI製ＰＣＳ接続枚数計算ツール!$G$6)+HUAWEI製ＰＣＳ接続枚数計算ツール!$G$6)*VLOOKUP(HUAWEI製ＰＣＳ接続枚数計算ツール!$C$9,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0" s="86">
        <f>((1-1/MAX(100%,過積載率!N10))^0.5*(HUAWEI製ＰＣＳ接続枚数計算ツール!$I$6-HUAWEI製ＰＣＳ接続枚数計算ツール!$G$6)+HUAWEI製ＰＣＳ接続枚数計算ツール!$G$6)*VLOOKUP(HUAWEI製ＰＣＳ接続枚数計算ツール!$C$9,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10" s="86">
        <f>((1-1/MAX(100%,過積載率!O10))^0.5*(HUAWEI製ＰＣＳ接続枚数計算ツール!$I$6-HUAWEI製ＰＣＳ接続枚数計算ツール!$G$6)+HUAWEI製ＰＣＳ接続枚数計算ツール!$G$6)*VLOOKUP(HUAWEI製ＰＣＳ接続枚数計算ツール!$C$9,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10" s="86">
        <f>((1-1/MAX(100%,過積載率!P10))^0.5*(HUAWEI製ＰＣＳ接続枚数計算ツール!$I$6-HUAWEI製ＰＣＳ接続枚数計算ツール!$G$6)+HUAWEI製ＰＣＳ接続枚数計算ツール!$G$6)*VLOOKUP(HUAWEI製ＰＣＳ接続枚数計算ツール!$C$9,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10" s="86">
        <f>((1-1/MAX(100%,過積載率!Q10))^0.5*(HUAWEI製ＰＣＳ接続枚数計算ツール!$I$6-HUAWEI製ＰＣＳ接続枚数計算ツール!$G$6)+HUAWEI製ＰＣＳ接続枚数計算ツール!$G$6)*VLOOKUP(HUAWEI製ＰＣＳ接続枚数計算ツール!$C$9,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10" s="86">
        <f>((1-1/MAX(100%,過積載率!R10))^0.5*(HUAWEI製ＰＣＳ接続枚数計算ツール!$I$6-HUAWEI製ＰＣＳ接続枚数計算ツール!$G$6)+HUAWEI製ＰＣＳ接続枚数計算ツール!$G$6)*VLOOKUP(HUAWEI製ＰＣＳ接続枚数計算ツール!$C$9,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10" s="86">
        <f>((1-1/MAX(100%,過積載率!S10))^0.5*(HUAWEI製ＰＣＳ接続枚数計算ツール!$I$6-HUAWEI製ＰＣＳ接続枚数計算ツール!$G$6)+HUAWEI製ＰＣＳ接続枚数計算ツール!$G$6)*VLOOKUP(HUAWEI製ＰＣＳ接続枚数計算ツール!$C$9,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10" s="86">
        <f>((1-1/MAX(100%,過積載率!T10))^0.5*(HUAWEI製ＰＣＳ接続枚数計算ツール!$I$6-HUAWEI製ＰＣＳ接続枚数計算ツール!$G$6)+HUAWEI製ＰＣＳ接続枚数計算ツール!$G$6)*VLOOKUP(HUAWEI製ＰＣＳ接続枚数計算ツール!$C$9,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10" s="86">
        <f>((1-1/MAX(100%,過積載率!U10))^0.5*(HUAWEI製ＰＣＳ接続枚数計算ツール!$I$6-HUAWEI製ＰＣＳ接続枚数計算ツール!$G$6)+HUAWEI製ＰＣＳ接続枚数計算ツール!$G$6)*VLOOKUP(HUAWEI製ＰＣＳ接続枚数計算ツール!$C$9,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10" s="86">
        <f>((1-1/MAX(100%,過積載率!V10))^0.5*(HUAWEI製ＰＣＳ接続枚数計算ツール!$I$6-HUAWEI製ＰＣＳ接続枚数計算ツール!$G$6)+HUAWEI製ＰＣＳ接続枚数計算ツール!$G$6)*VLOOKUP(HUAWEI製ＰＣＳ接続枚数計算ツール!$C$9,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10" s="86">
        <f>((1-1/MAX(100%,過積載率!W10))^0.5*(HUAWEI製ＰＣＳ接続枚数計算ツール!$I$6-HUAWEI製ＰＣＳ接続枚数計算ツール!$G$6)+HUAWEI製ＰＣＳ接続枚数計算ツール!$G$6)*VLOOKUP(HUAWEI製ＰＣＳ接続枚数計算ツール!$C$9,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10" s="86">
        <f>((1-1/MAX(100%,過積載率!X10))^0.5*(HUAWEI製ＰＣＳ接続枚数計算ツール!$I$6-HUAWEI製ＰＣＳ接続枚数計算ツール!$G$6)+HUAWEI製ＰＣＳ接続枚数計算ツール!$G$6)*VLOOKUP(HUAWEI製ＰＣＳ接続枚数計算ツール!$C$9,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10" s="86">
        <f>((1-1/MAX(100%,過積載率!Y10))^0.5*(HUAWEI製ＰＣＳ接続枚数計算ツール!$I$6-HUAWEI製ＰＣＳ接続枚数計算ツール!$G$6)+HUAWEI製ＰＣＳ接続枚数計算ツール!$G$6)*VLOOKUP(HUAWEI製ＰＣＳ接続枚数計算ツール!$C$9,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10" s="86">
        <f>((1-1/MAX(100%,過積載率!Z10))^0.5*(HUAWEI製ＰＣＳ接続枚数計算ツール!$I$6-HUAWEI製ＰＣＳ接続枚数計算ツール!$G$6)+HUAWEI製ＰＣＳ接続枚数計算ツール!$G$6)*VLOOKUP(HUAWEI製ＰＣＳ接続枚数計算ツール!$C$9,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10" s="86">
        <f>((1-1/MAX(100%,過積載率!AA10))^0.5*(HUAWEI製ＰＣＳ接続枚数計算ツール!$I$6-HUAWEI製ＰＣＳ接続枚数計算ツール!$G$6)+HUAWEI製ＰＣＳ接続枚数計算ツール!$G$6)*VLOOKUP(HUAWEI製ＰＣＳ接続枚数計算ツール!$C$9,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10" s="86">
        <f>((1-1/MAX(100%,過積載率!AB10))^0.5*(HUAWEI製ＰＣＳ接続枚数計算ツール!$I$6-HUAWEI製ＰＣＳ接続枚数計算ツール!$G$6)+HUAWEI製ＰＣＳ接続枚数計算ツール!$G$6)*VLOOKUP(HUAWEI製ＰＣＳ接続枚数計算ツール!$C$9, HUAWEI製ＰＣＳ接続枚数計算ツール!$B$119:$P$149,10,FALSE)</f>
        <v>44.856655469635044</v>
      </c>
      <c r="AC10" s="86">
        <f>((1-1/MAX(100%,過積載率!AC10))^0.5*(HUAWEI製ＰＣＳ接続枚数計算ツール!$I$6-HUAWEI製ＰＣＳ接続枚数計算ツール!$G$6)+HUAWEI製ＰＣＳ接続枚数計算ツール!$G$6)*VLOOKUP(HUAWEI製ＰＣＳ接続枚数計算ツール!$C$9, HUAWEI製ＰＣＳ接続枚数計算ツール!$B$119:$P$149,10,FALSE)</f>
        <v>45.51629039968671</v>
      </c>
      <c r="AD10" s="86">
        <f>((1-1/MAX(100%,過積載率!AD10))^0.5*(HUAWEI製ＰＣＳ接続枚数計算ツール!$I$6-HUAWEI製ＰＣＳ接続枚数計算ツール!$G$6)+HUAWEI製ＰＣＳ接続枚数計算ツール!$G$6)*VLOOKUP(HUAWEI製ＰＣＳ接続枚数計算ツール!$C$9, HUAWEI製ＰＣＳ接続枚数計算ツール!$B$119:$P$149,10,FALSE)</f>
        <v>45.992643520181495</v>
      </c>
      <c r="AE10" s="86">
        <f>((1-1/MAX(100%,過積載率!AE10))^0.5*(HUAWEI製ＰＣＳ接続枚数計算ツール!$I$6-HUAWEI製ＰＣＳ接続枚数計算ツール!$G$6)+HUAWEI製ＰＣＳ接続枚数計算ツール!$G$6)*VLOOKUP(HUAWEI製ＰＣＳ接続枚数計算ツール!$C$9, HUAWEI製ＰＣＳ接続枚数計算ツール!$B$119:$P$149,10,FALSE)</f>
        <v>46.372905499528542</v>
      </c>
      <c r="AF10" s="86">
        <f>((1-1/MAX(100%,過積載率!AF10))^0.5*(HUAWEI製ＰＣＳ接続枚数計算ツール!$I$6-HUAWEI製ＰＣＳ接続枚数計算ツール!$G$6)+HUAWEI製ＰＣＳ接続枚数計算ツール!$G$6)*VLOOKUP(HUAWEI製ＰＣＳ接続枚数計算ツール!$C$9, HUAWEI製ＰＣＳ接続枚数計算ツール!$B$119:$P$149,10,FALSE)</f>
        <v>46.691093152646474</v>
      </c>
      <c r="AG10" s="86">
        <f>((1-1/MAX(100%,過積載率!AG10))^0.5*(HUAWEI製ＰＣＳ接続枚数計算ツール!$I$6-HUAWEI製ＰＣＳ接続枚数計算ツール!$G$6)+HUAWEI製ＰＣＳ接続枚数計算ツール!$G$6)*VLOOKUP(HUAWEI製ＰＣＳ接続枚数計算ツール!$C$9, HUAWEI製ＰＣＳ接続枚数計算ツール!$B$119:$P$149,10,FALSE)</f>
        <v>46.964902202278218</v>
      </c>
      <c r="AH10" s="86">
        <f>((1-1/MAX(100%,過積載率!AH10))^0.5*(HUAWEI製ＰＣＳ接続枚数計算ツール!$I$6-HUAWEI製ＰＣＳ接続枚数計算ツール!$G$6)+HUAWEI製ＰＣＳ接続枚数計算ツール!$G$6)*VLOOKUP(HUAWEI製ＰＣＳ接続枚数計算ツール!$C$9, HUAWEI製ＰＣＳ接続枚数計算ツール!$B$119:$P$149,10,FALSE)</f>
        <v>47.205003601042947</v>
      </c>
      <c r="AI10" s="86">
        <f>((1-1/MAX(100%,過積載率!AI10))^0.5*(HUAWEI製ＰＣＳ接続枚数計算ツール!$I$6-HUAWEI製ＰＣＳ接続枚数計算ツール!$G$6)+HUAWEI製ＰＣＳ接続枚数計算ツール!$G$6)*VLOOKUP(HUAWEI製ＰＣＳ接続枚数計算ツール!$C$9, HUAWEI製ＰＣＳ接続枚数計算ツール!$B$119:$P$149,10,FALSE)</f>
        <v>47.418448406183337</v>
      </c>
      <c r="AJ10" s="86">
        <f>((1-1/MAX(100%,過積載率!AJ10))^0.5*(HUAWEI製ＰＣＳ接続枚数計算ツール!$I$6-HUAWEI製ＰＣＳ接続枚数計算ツール!$G$6)+HUAWEI製ＰＣＳ接続枚数計算ツール!$G$6)*VLOOKUP(HUAWEI製ＰＣＳ接続枚数計算ツール!$C$9, HUAWEI製ＰＣＳ接続枚数計算ツール!$B$119:$P$149,10,FALSE)</f>
        <v>47.610195632349743</v>
      </c>
      <c r="AK10" s="86">
        <f>((1-1/MAX(100%,過積載率!AK10))^0.5*(HUAWEI製ＰＣＳ接続枚数計算ツール!$I$6-HUAWEI製ＰＣＳ接続枚数計算ツール!$G$6)+HUAWEI製ＰＣＳ接続枚数計算ツール!$G$6)*VLOOKUP(HUAWEI製ＰＣＳ接続枚数計算ツール!$C$9, HUAWEI製ＰＣＳ接続枚数計算ツール!$B$119:$P$149,10,FALSE)</f>
        <v>47.783894440546355</v>
      </c>
      <c r="AL10" s="86">
        <f>((1-1/MAX(100%,過積載率!AL10))^0.5*(HUAWEI製ＰＣＳ接続枚数計算ツール!$I$6-HUAWEI製ＰＣＳ接続枚数計算ツール!$G$6)+HUAWEI製ＰＣＳ接続枚数計算ツール!$G$6)*VLOOKUP(HUAWEI製ＰＣＳ接続枚数計算ツール!$C$9, HUAWEI製ＰＣＳ接続枚数計算ツール!$B$119:$P$149,10,FALSE)</f>
        <v>47.942323848970041</v>
      </c>
      <c r="AM10" s="86">
        <f>((1-1/MAX(100%,過積載率!AM10))^0.5*(HUAWEI製ＰＣＳ接続枚数計算ツール!$I$6-HUAWEI製ＰＣＳ接続枚数計算ツール!$G$6)+HUAWEI製ＰＣＳ接続枚数計算ツール!$G$6)*VLOOKUP(HUAWEI製ＰＣＳ接続枚数計算ツール!$C$9, HUAWEI製ＰＣＳ接続枚数計算ツール!$B$119:$P$149,10,FALSE)</f>
        <v>48.087657885036734</v>
      </c>
      <c r="AN10" s="86">
        <f>((1-1/MAX(100%,過積載率!AN10))^0.5*(HUAWEI製ＰＣＳ接続枚数計算ツール!$I$6-HUAWEI製ＰＣＳ接続枚数計算ツール!$G$6)+HUAWEI製ＰＣＳ接続枚数計算ツール!$G$6)*VLOOKUP(HUAWEI製ＰＣＳ接続枚数計算ツール!$C$9, HUAWEI製ＰＣＳ接続枚数計算ツール!$B$119:$P$149,10,FALSE)</f>
        <v>48.221634463466017</v>
      </c>
      <c r="AO10" s="86">
        <f>((1-1/MAX(100%,過積載率!AO10))^0.5*(HUAWEI製ＰＣＳ接続枚数計算ツール!$I$6-HUAWEI製ＰＣＳ接続枚数計算ツール!$G$6)+HUAWEI製ＰＣＳ接続枚数計算ツール!$G$6)*VLOOKUP(HUAWEI製ＰＣＳ接続枚数計算ツール!$C$9, HUAWEI製ＰＣＳ接続枚数計算ツール!$B$119:$P$149,10,FALSE)</f>
        <v>48.345667767935957</v>
      </c>
    </row>
    <row r="11" spans="1:41">
      <c r="A11">
        <v>9</v>
      </c>
      <c r="B11" s="86">
        <f>((1-1/MAX(100%,過積載率!B11))^0.5*(HUAWEI製ＰＣＳ接続枚数計算ツール!$I$6-HUAWEI製ＰＣＳ接続枚数計算ツール!$G$6)+HUAWEI製ＰＣＳ接続枚数計算ツール!$G$6)*VLOOKUP(HUAWEI製ＰＣＳ接続枚数計算ツール!$C$9,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1" s="86">
        <f>((1-1/MAX(100%,過積載率!C11))^0.5*(HUAWEI製ＰＣＳ接続枚数計算ツール!$I$6-HUAWEI製ＰＣＳ接続枚数計算ツール!$G$6)+HUAWEI製ＰＣＳ接続枚数計算ツール!$G$6)*VLOOKUP(HUAWEI製ＰＣＳ接続枚数計算ツール!$C$9,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1" s="86">
        <f>((1-1/MAX(100%,過積載率!D11))^0.5*(HUAWEI製ＰＣＳ接続枚数計算ツール!$I$6-HUAWEI製ＰＣＳ接続枚数計算ツール!$G$6)+HUAWEI製ＰＣＳ接続枚数計算ツール!$G$6)*VLOOKUP(HUAWEI製ＰＣＳ接続枚数計算ツール!$C$9,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1" s="86">
        <f>((1-1/MAX(100%,過積載率!E11))^0.5*(HUAWEI製ＰＣＳ接続枚数計算ツール!$I$6-HUAWEI製ＰＣＳ接続枚数計算ツール!$G$6)+HUAWEI製ＰＣＳ接続枚数計算ツール!$G$6)*VLOOKUP(HUAWEI製ＰＣＳ接続枚数計算ツール!$C$9,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1" s="86">
        <f>((1-1/MAX(100%,過積載率!F11))^0.5*(HUAWEI製ＰＣＳ接続枚数計算ツール!$I$6-HUAWEI製ＰＣＳ接続枚数計算ツール!$G$6)+HUAWEI製ＰＣＳ接続枚数計算ツール!$G$6)*VLOOKUP(HUAWEI製ＰＣＳ接続枚数計算ツール!$C$9,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1" s="86">
        <f>((1-1/MAX(100%,過積載率!G11))^0.5*(HUAWEI製ＰＣＳ接続枚数計算ツール!$I$6-HUAWEI製ＰＣＳ接続枚数計算ツール!$G$6)+HUAWEI製ＰＣＳ接続枚数計算ツール!$G$6)*VLOOKUP(HUAWEI製ＰＣＳ接続枚数計算ツール!$C$9,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1" s="86">
        <f>((1-1/MAX(100%,過積載率!H11))^0.5*(HUAWEI製ＰＣＳ接続枚数計算ツール!$I$6-HUAWEI製ＰＣＳ接続枚数計算ツール!$G$6)+HUAWEI製ＰＣＳ接続枚数計算ツール!$G$6)*VLOOKUP(HUAWEI製ＰＣＳ接続枚数計算ツール!$C$9,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1" s="86">
        <f>((1-1/MAX(100%,過積載率!I11))^0.5*(HUAWEI製ＰＣＳ接続枚数計算ツール!$I$6-HUAWEI製ＰＣＳ接続枚数計算ツール!$G$6)+HUAWEI製ＰＣＳ接続枚数計算ツール!$G$6)*VLOOKUP(HUAWEI製ＰＣＳ接続枚数計算ツール!$C$9,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1" s="86">
        <f>((1-1/MAX(100%,過積載率!J11))^0.5*(HUAWEI製ＰＣＳ接続枚数計算ツール!$I$6-HUAWEI製ＰＣＳ接続枚数計算ツール!$G$6)+HUAWEI製ＰＣＳ接続枚数計算ツール!$G$6)*VLOOKUP(HUAWEI製ＰＣＳ接続枚数計算ツール!$C$9,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1" s="86">
        <f>((1-1/MAX(100%,過積載率!K11))^0.5*(HUAWEI製ＰＣＳ接続枚数計算ツール!$I$6-HUAWEI製ＰＣＳ接続枚数計算ツール!$G$6)+HUAWEI製ＰＣＳ接続枚数計算ツール!$G$6)*VLOOKUP(HUAWEI製ＰＣＳ接続枚数計算ツール!$C$9,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1" s="86">
        <f>((1-1/MAX(100%,過積載率!L11))^0.5*(HUAWEI製ＰＣＳ接続枚数計算ツール!$I$6-HUAWEI製ＰＣＳ接続枚数計算ツール!$G$6)+HUAWEI製ＰＣＳ接続枚数計算ツール!$G$6)*VLOOKUP(HUAWEI製ＰＣＳ接続枚数計算ツール!$C$9,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1" s="86">
        <f>((1-1/MAX(100%,過積載率!M11))^0.5*(HUAWEI製ＰＣＳ接続枚数計算ツール!$I$6-HUAWEI製ＰＣＳ接続枚数計算ツール!$G$6)+HUAWEI製ＰＣＳ接続枚数計算ツール!$G$6)*VLOOKUP(HUAWEI製ＰＣＳ接続枚数計算ツール!$C$9,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1" s="86">
        <f>((1-1/MAX(100%,過積載率!N11))^0.5*(HUAWEI製ＰＣＳ接続枚数計算ツール!$I$6-HUAWEI製ＰＣＳ接続枚数計算ツール!$G$6)+HUAWEI製ＰＣＳ接続枚数計算ツール!$G$6)*VLOOKUP(HUAWEI製ＰＣＳ接続枚数計算ツール!$C$9,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11" s="86">
        <f>((1-1/MAX(100%,過積載率!O11))^0.5*(HUAWEI製ＰＣＳ接続枚数計算ツール!$I$6-HUAWEI製ＰＣＳ接続枚数計算ツール!$G$6)+HUAWEI製ＰＣＳ接続枚数計算ツール!$G$6)*VLOOKUP(HUAWEI製ＰＣＳ接続枚数計算ツール!$C$9,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11" s="86">
        <f>((1-1/MAX(100%,過積載率!P11))^0.5*(HUAWEI製ＰＣＳ接続枚数計算ツール!$I$6-HUAWEI製ＰＣＳ接続枚数計算ツール!$G$6)+HUAWEI製ＰＣＳ接続枚数計算ツール!$G$6)*VLOOKUP(HUAWEI製ＰＣＳ接続枚数計算ツール!$C$9,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11" s="86">
        <f>((1-1/MAX(100%,過積載率!Q11))^0.5*(HUAWEI製ＰＣＳ接続枚数計算ツール!$I$6-HUAWEI製ＰＣＳ接続枚数計算ツール!$G$6)+HUAWEI製ＰＣＳ接続枚数計算ツール!$G$6)*VLOOKUP(HUAWEI製ＰＣＳ接続枚数計算ツール!$C$9,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11" s="86">
        <f>((1-1/MAX(100%,過積載率!R11))^0.5*(HUAWEI製ＰＣＳ接続枚数計算ツール!$I$6-HUAWEI製ＰＣＳ接続枚数計算ツール!$G$6)+HUAWEI製ＰＣＳ接続枚数計算ツール!$G$6)*VLOOKUP(HUAWEI製ＰＣＳ接続枚数計算ツール!$C$9,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11" s="86">
        <f>((1-1/MAX(100%,過積載率!S11))^0.5*(HUAWEI製ＰＣＳ接続枚数計算ツール!$I$6-HUAWEI製ＰＣＳ接続枚数計算ツール!$G$6)+HUAWEI製ＰＣＳ接続枚数計算ツール!$G$6)*VLOOKUP(HUAWEI製ＰＣＳ接続枚数計算ツール!$C$9,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11" s="86">
        <f>((1-1/MAX(100%,過積載率!T11))^0.5*(HUAWEI製ＰＣＳ接続枚数計算ツール!$I$6-HUAWEI製ＰＣＳ接続枚数計算ツール!$G$6)+HUAWEI製ＰＣＳ接続枚数計算ツール!$G$6)*VLOOKUP(HUAWEI製ＰＣＳ接続枚数計算ツール!$C$9,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11" s="86">
        <f>((1-1/MAX(100%,過積載率!U11))^0.5*(HUAWEI製ＰＣＳ接続枚数計算ツール!$I$6-HUAWEI製ＰＣＳ接続枚数計算ツール!$G$6)+HUAWEI製ＰＣＳ接続枚数計算ツール!$G$6)*VLOOKUP(HUAWEI製ＰＣＳ接続枚数計算ツール!$C$9,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11" s="86">
        <f>((1-1/MAX(100%,過積載率!V11))^0.5*(HUAWEI製ＰＣＳ接続枚数計算ツール!$I$6-HUAWEI製ＰＣＳ接続枚数計算ツール!$G$6)+HUAWEI製ＰＣＳ接続枚数計算ツール!$G$6)*VLOOKUP(HUAWEI製ＰＣＳ接続枚数計算ツール!$C$9,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11" s="86">
        <f>((1-1/MAX(100%,過積載率!W11))^0.5*(HUAWEI製ＰＣＳ接続枚数計算ツール!$I$6-HUAWEI製ＰＣＳ接続枚数計算ツール!$G$6)+HUAWEI製ＰＣＳ接続枚数計算ツール!$G$6)*VLOOKUP(HUAWEI製ＰＣＳ接続枚数計算ツール!$C$9,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11" s="86">
        <f>((1-1/MAX(100%,過積載率!X11))^0.5*(HUAWEI製ＰＣＳ接続枚数計算ツール!$I$6-HUAWEI製ＰＣＳ接続枚数計算ツール!$G$6)+HUAWEI製ＰＣＳ接続枚数計算ツール!$G$6)*VLOOKUP(HUAWEI製ＰＣＳ接続枚数計算ツール!$C$9,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11" s="86">
        <f>((1-1/MAX(100%,過積載率!Y11))^0.5*(HUAWEI製ＰＣＳ接続枚数計算ツール!$I$6-HUAWEI製ＰＣＳ接続枚数計算ツール!$G$6)+HUAWEI製ＰＣＳ接続枚数計算ツール!$G$6)*VLOOKUP(HUAWEI製ＰＣＳ接続枚数計算ツール!$C$9, HUAWEI製ＰＣＳ接続枚数計算ツール!$B$119:$P$149,10,FALSE)</f>
        <v>44.856655469635044</v>
      </c>
      <c r="Z11" s="86">
        <f>((1-1/MAX(100%,過積載率!Z11))^0.5*(HUAWEI製ＰＣＳ接続枚数計算ツール!$I$6-HUAWEI製ＰＣＳ接続枚数計算ツール!$G$6)+HUAWEI製ＰＣＳ接続枚数計算ツール!$G$6)*VLOOKUP(HUAWEI製ＰＣＳ接続枚数計算ツール!$C$9, HUAWEI製ＰＣＳ接続枚数計算ツール!$B$119:$P$149,10,FALSE)</f>
        <v>45.583090336556161</v>
      </c>
      <c r="AA11" s="86">
        <f>((1-1/MAX(100%,過積載率!AA11))^0.5*(HUAWEI製ＰＣＳ接続枚数計算ツール!$I$6-HUAWEI製ＰＣＳ接続枚数計算ツール!$G$6)+HUAWEI製ＰＣＳ接続枚数計算ツール!$G$6)*VLOOKUP(HUAWEI製ＰＣＳ接続枚数計算ツール!$C$9, HUAWEI製ＰＣＳ接続枚数計算ツール!$B$119:$P$149,10,FALSE)</f>
        <v>46.094950225184441</v>
      </c>
      <c r="AB11" s="86">
        <f>((1-1/MAX(100%,過積載率!AB11))^0.5*(HUAWEI製ＰＣＳ接続枚数計算ツール!$I$6-HUAWEI製ＰＣＳ接続枚数計算ツール!$G$6)+HUAWEI製ＰＣＳ接続枚数計算ツール!$G$6)*VLOOKUP(HUAWEI製ＰＣＳ接続枚数計算ツール!$C$9, HUAWEI製ＰＣＳ接続枚数計算ツール!$B$119:$P$149,10,FALSE)</f>
        <v>46.498334161678308</v>
      </c>
      <c r="AC11" s="86">
        <f>((1-1/MAX(100%,過積載率!AC11))^0.5*(HUAWEI製ＰＣＳ接続枚数計算ツール!$I$6-HUAWEI製ＰＣＳ接続枚数計算ツール!$G$6)+HUAWEI製ＰＣＳ接続枚数計算ツール!$G$6)*VLOOKUP(HUAWEI製ＰＣＳ接続枚数計算ツール!$C$9, HUAWEI製ＰＣＳ接続枚数計算ツール!$B$119:$P$149,10,FALSE)</f>
        <v>46.832767074015699</v>
      </c>
      <c r="AD11" s="86">
        <f>((1-1/MAX(100%,過積載率!AD11))^0.5*(HUAWEI製ＰＣＳ接続枚数計算ツール!$I$6-HUAWEI製ＰＣＳ接続枚数計算ツール!$G$6)+HUAWEI製ＰＣＳ接続枚数計算ツール!$G$6)*VLOOKUP(HUAWEI製ＰＣＳ接続枚数計算ツール!$C$9, HUAWEI製ＰＣＳ接続枚数計算ツール!$B$119:$P$149,10,FALSE)</f>
        <v>47.118411362358401</v>
      </c>
      <c r="AE11" s="86">
        <f>((1-1/MAX(100%,過積載率!AE11))^0.5*(HUAWEI製ＰＣＳ接続枚数計算ツール!$I$6-HUAWEI製ＰＣＳ接続枚数計算ツール!$G$6)+HUAWEI製ＰＣＳ接続枚数計算ツール!$G$6)*VLOOKUP(HUAWEI製ＰＣＳ接続枚数計算ツール!$C$9, HUAWEI製ＰＣＳ接続枚数計算ツール!$B$119:$P$149,10,FALSE)</f>
        <v>47.367288267155793</v>
      </c>
      <c r="AF11" s="86">
        <f>((1-1/MAX(100%,過積載率!AF11))^0.5*(HUAWEI製ＰＣＳ接続枚数計算ツール!$I$6-HUAWEI製ＰＣＳ接続枚数計算ツール!$G$6)+HUAWEI製ＰＣＳ接続枚数計算ツール!$G$6)*VLOOKUP(HUAWEI製ＰＣＳ接続枚数計算ツール!$C$9, HUAWEI製ＰＣＳ接続枚数計算ツール!$B$119:$P$149,10,FALSE)</f>
        <v>47.58727936281371</v>
      </c>
      <c r="AG11" s="86">
        <f>((1-1/MAX(100%,過積載率!AG11))^0.5*(HUAWEI製ＰＣＳ接続枚数計算ツール!$I$6-HUAWEI製ＰＣＳ接続枚数計算ツール!$G$6)+HUAWEI製ＰＣＳ接続枚数計算ツール!$G$6)*VLOOKUP(HUAWEI製ＰＣＳ接続枚数計算ツール!$C$9, HUAWEI製ＰＣＳ接続枚数計算ツール!$B$119:$P$149,10,FALSE)</f>
        <v>47.783894440546355</v>
      </c>
      <c r="AH11" s="86">
        <f>((1-1/MAX(100%,過積載率!AH11))^0.5*(HUAWEI製ＰＣＳ接続枚数計算ツール!$I$6-HUAWEI製ＰＣＳ接続枚数計算ツール!$G$6)+HUAWEI製ＰＣＳ接続枚数計算ツール!$G$6)*VLOOKUP(HUAWEI製ＰＣＳ接続枚数計算ツール!$C$9, HUAWEI製ＰＣＳ接続枚数計算ツール!$B$119:$P$149,10,FALSE)</f>
        <v>47.961167468990475</v>
      </c>
      <c r="AI11" s="86">
        <f>((1-1/MAX(100%,過積載率!AI11))^0.5*(HUAWEI製ＰＣＳ接続枚数計算ツール!$I$6-HUAWEI製ＰＣＳ接続枚数計算ツール!$G$6)+HUAWEI製ＰＣＳ接続枚数計算ツール!$G$6)*VLOOKUP(HUAWEI製ＰＣＳ接続枚数計算ツール!$C$9, HUAWEI製ＰＣＳ接続枚数計算ツール!$B$119:$P$149,10,FALSE)</f>
        <v>48.122156710916784</v>
      </c>
      <c r="AJ11" s="86">
        <f>((1-1/MAX(100%,過積載率!AJ11))^0.5*(HUAWEI製ＰＣＳ接続枚数計算ツール!$I$6-HUAWEI製ＰＣＳ接続枚数計算ツール!$G$6)+HUAWEI製ＰＣＳ接続枚数計算ツール!$G$6)*VLOOKUP(HUAWEI製ＰＣＳ接続枚数計算ツール!$C$9, HUAWEI製ＰＣＳ接続枚数計算ツール!$B$119:$P$149,10,FALSE)</f>
        <v>48.269244727579022</v>
      </c>
      <c r="AK11" s="86">
        <f>((1-1/MAX(100%,過積載率!AK11))^0.5*(HUAWEI製ＰＣＳ接続枚数計算ツール!$I$6-HUAWEI製ＰＣＳ接続枚数計算ツール!$G$6)+HUAWEI製ＰＣＳ接続枚数計算ツール!$G$6)*VLOOKUP(HUAWEI製ＰＣＳ接続枚数計算ツール!$C$9, HUAWEI製ＰＣＳ接続枚数計算ツール!$B$119:$P$149,10,FALSE)</f>
        <v>48.40432867965702</v>
      </c>
      <c r="AL11" s="86">
        <f>((1-1/MAX(100%,過積載率!AL11))^0.5*(HUAWEI製ＰＣＳ接続枚数計算ツール!$I$6-HUAWEI製ＰＣＳ接続枚数計算ツール!$G$6)+HUAWEI製ＰＣＳ接続枚数計算ツール!$G$6)*VLOOKUP(HUAWEI製ＰＣＳ接続枚数計算ツール!$C$9, HUAWEI製ＰＣＳ接続枚数計算ツール!$B$119:$P$149,10,FALSE)</f>
        <v>48.528946546342382</v>
      </c>
      <c r="AM11" s="86">
        <f>((1-1/MAX(100%,過積載率!AM11))^0.5*(HUAWEI製ＰＣＳ接続枚数計算ツール!$I$6-HUAWEI製ＰＣＳ接続枚数計算ツール!$G$6)+HUAWEI製ＰＣＳ接続枚数計算ツール!$G$6)*VLOOKUP(HUAWEI製ＰＣＳ接続枚数計算ツール!$C$9, HUAWEI製ＰＣＳ接続枚数計算ツール!$B$119:$P$149,10,FALSE)</f>
        <v>48.644363947344651</v>
      </c>
      <c r="AN11" s="86">
        <f>((1-1/MAX(100%,過積載率!AN11))^0.5*(HUAWEI製ＰＣＳ接続枚数計算ツール!$I$6-HUAWEI製ＰＣＳ接続枚数計算ツール!$G$6)+HUAWEI製ＰＣＳ接続枚数計算ツール!$G$6)*VLOOKUP(HUAWEI製ＰＣＳ接続枚数計算ツール!$C$9, HUAWEI製ＰＣＳ接続枚数計算ツール!$B$119:$P$149,10,FALSE)</f>
        <v>48.751635701871074</v>
      </c>
      <c r="AO11" s="86">
        <f>((1-1/MAX(100%,過積載率!AO11))^0.5*(HUAWEI製ＰＣＳ接続枚数計算ツール!$I$6-HUAWEI製ＰＣＳ接続枚数計算ツール!$G$6)+HUAWEI製ＰＣＳ接続枚数計算ツール!$G$6)*VLOOKUP(HUAWEI製ＰＣＳ接続枚数計算ツール!$C$9, HUAWEI製ＰＣＳ接続枚数計算ツール!$B$119:$P$149,10,FALSE)</f>
        <v>48.851650606036074</v>
      </c>
    </row>
    <row r="12" spans="1:41">
      <c r="A12">
        <v>10</v>
      </c>
      <c r="B12" s="86">
        <f>((1-1/MAX(100%,過積載率!B12))^0.5*(HUAWEI製ＰＣＳ接続枚数計算ツール!$I$6-HUAWEI製ＰＣＳ接続枚数計算ツール!$G$6)+HUAWEI製ＰＣＳ接続枚数計算ツール!$G$6)*VLOOKUP(HUAWEI製ＰＣＳ接続枚数計算ツール!$C$9,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2" s="86">
        <f>((1-1/MAX(100%,過積載率!C12))^0.5*(HUAWEI製ＰＣＳ接続枚数計算ツール!$I$6-HUAWEI製ＰＣＳ接続枚数計算ツール!$G$6)+HUAWEI製ＰＣＳ接続枚数計算ツール!$G$6)*VLOOKUP(HUAWEI製ＰＣＳ接続枚数計算ツール!$C$9,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2" s="86">
        <f>((1-1/MAX(100%,過積載率!D12))^0.5*(HUAWEI製ＰＣＳ接続枚数計算ツール!$I$6-HUAWEI製ＰＣＳ接続枚数計算ツール!$G$6)+HUAWEI製ＰＣＳ接続枚数計算ツール!$G$6)*VLOOKUP(HUAWEI製ＰＣＳ接続枚数計算ツール!$C$9,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2" s="86">
        <f>((1-1/MAX(100%,過積載率!E12))^0.5*(HUAWEI製ＰＣＳ接続枚数計算ツール!$I$6-HUAWEI製ＰＣＳ接続枚数計算ツール!$G$6)+HUAWEI製ＰＣＳ接続枚数計算ツール!$G$6)*VLOOKUP(HUAWEI製ＰＣＳ接続枚数計算ツール!$C$9,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2" s="86">
        <f>((1-1/MAX(100%,過積載率!F12))^0.5*(HUAWEI製ＰＣＳ接続枚数計算ツール!$I$6-HUAWEI製ＰＣＳ接続枚数計算ツール!$G$6)+HUAWEI製ＰＣＳ接続枚数計算ツール!$G$6)*VLOOKUP(HUAWEI製ＰＣＳ接続枚数計算ツール!$C$9,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2" s="86">
        <f>((1-1/MAX(100%,過積載率!G12))^0.5*(HUAWEI製ＰＣＳ接続枚数計算ツール!$I$6-HUAWEI製ＰＣＳ接続枚数計算ツール!$G$6)+HUAWEI製ＰＣＳ接続枚数計算ツール!$G$6)*VLOOKUP(HUAWEI製ＰＣＳ接続枚数計算ツール!$C$9,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2" s="86">
        <f>((1-1/MAX(100%,過積載率!H12))^0.5*(HUAWEI製ＰＣＳ接続枚数計算ツール!$I$6-HUAWEI製ＰＣＳ接続枚数計算ツール!$G$6)+HUAWEI製ＰＣＳ接続枚数計算ツール!$G$6)*VLOOKUP(HUAWEI製ＰＣＳ接続枚数計算ツール!$C$9,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2" s="86">
        <f>((1-1/MAX(100%,過積載率!I12))^0.5*(HUAWEI製ＰＣＳ接続枚数計算ツール!$I$6-HUAWEI製ＰＣＳ接続枚数計算ツール!$G$6)+HUAWEI製ＰＣＳ接続枚数計算ツール!$G$6)*VLOOKUP(HUAWEI製ＰＣＳ接続枚数計算ツール!$C$9,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2" s="86">
        <f>((1-1/MAX(100%,過積載率!J12))^0.5*(HUAWEI製ＰＣＳ接続枚数計算ツール!$I$6-HUAWEI製ＰＣＳ接続枚数計算ツール!$G$6)+HUAWEI製ＰＣＳ接続枚数計算ツール!$G$6)*VLOOKUP(HUAWEI製ＰＣＳ接続枚数計算ツール!$C$9,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2" s="86">
        <f>((1-1/MAX(100%,過積載率!K12))^0.5*(HUAWEI製ＰＣＳ接続枚数計算ツール!$I$6-HUAWEI製ＰＣＳ接続枚数計算ツール!$G$6)+HUAWEI製ＰＣＳ接続枚数計算ツール!$G$6)*VLOOKUP(HUAWEI製ＰＣＳ接続枚数計算ツール!$C$9,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2" s="86">
        <f>((1-1/MAX(100%,過積載率!L12))^0.5*(HUAWEI製ＰＣＳ接続枚数計算ツール!$I$6-HUAWEI製ＰＣＳ接続枚数計算ツール!$G$6)+HUAWEI製ＰＣＳ接続枚数計算ツール!$G$6)*VLOOKUP(HUAWEI製ＰＣＳ接続枚数計算ツール!$C$9,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2" s="86">
        <f>((1-1/MAX(100%,過積載率!M12))^0.5*(HUAWEI製ＰＣＳ接続枚数計算ツール!$I$6-HUAWEI製ＰＣＳ接続枚数計算ツール!$G$6)+HUAWEI製ＰＣＳ接続枚数計算ツール!$G$6)*VLOOKUP(HUAWEI製ＰＣＳ接続枚数計算ツール!$C$9,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2" s="86">
        <f>((1-1/MAX(100%,過積載率!N12))^0.5*(HUAWEI製ＰＣＳ接続枚数計算ツール!$I$6-HUAWEI製ＰＣＳ接続枚数計算ツール!$G$6)+HUAWEI製ＰＣＳ接続枚数計算ツール!$G$6)*VLOOKUP(HUAWEI製ＰＣＳ接続枚数計算ツール!$C$9,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12" s="86">
        <f>((1-1/MAX(100%,過積載率!O12))^0.5*(HUAWEI製ＰＣＳ接続枚数計算ツール!$I$6-HUAWEI製ＰＣＳ接続枚数計算ツール!$G$6)+HUAWEI製ＰＣＳ接続枚数計算ツール!$G$6)*VLOOKUP(HUAWEI製ＰＣＳ接続枚数計算ツール!$C$9,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12" s="86">
        <f>((1-1/MAX(100%,過積載率!P12))^0.5*(HUAWEI製ＰＣＳ接続枚数計算ツール!$I$6-HUAWEI製ＰＣＳ接続枚数計算ツール!$G$6)+HUAWEI製ＰＣＳ接続枚数計算ツール!$G$6)*VLOOKUP(HUAWEI製ＰＣＳ接続枚数計算ツール!$C$9,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12" s="86">
        <f>((1-1/MAX(100%,過積載率!Q12))^0.5*(HUAWEI製ＰＣＳ接続枚数計算ツール!$I$6-HUAWEI製ＰＣＳ接続枚数計算ツール!$G$6)+HUAWEI製ＰＣＳ接続枚数計算ツール!$G$6)*VLOOKUP(HUAWEI製ＰＣＳ接続枚数計算ツール!$C$9,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12" s="86">
        <f>((1-1/MAX(100%,過積載率!R12))^0.5*(HUAWEI製ＰＣＳ接続枚数計算ツール!$I$6-HUAWEI製ＰＣＳ接続枚数計算ツール!$G$6)+HUAWEI製ＰＣＳ接続枚数計算ツール!$G$6)*VLOOKUP(HUAWEI製ＰＣＳ接続枚数計算ツール!$C$9,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12" s="86">
        <f>((1-1/MAX(100%,過積載率!S12))^0.5*(HUAWEI製ＰＣＳ接続枚数計算ツール!$I$6-HUAWEI製ＰＣＳ接続枚数計算ツール!$G$6)+HUAWEI製ＰＣＳ接続枚数計算ツール!$G$6)*VLOOKUP(HUAWEI製ＰＣＳ接続枚数計算ツール!$C$9,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12" s="86">
        <f>((1-1/MAX(100%,過積載率!T12))^0.5*(HUAWEI製ＰＣＳ接続枚数計算ツール!$I$6-HUAWEI製ＰＣＳ接続枚数計算ツール!$G$6)+HUAWEI製ＰＣＳ接続枚数計算ツール!$G$6)*VLOOKUP(HUAWEI製ＰＣＳ接続枚数計算ツール!$C$9,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12" s="86">
        <f>((1-1/MAX(100%,過積載率!U12))^0.5*(HUAWEI製ＰＣＳ接続枚数計算ツール!$I$6-HUAWEI製ＰＣＳ接続枚数計算ツール!$G$6)+HUAWEI製ＰＣＳ接続枚数計算ツール!$G$6)*VLOOKUP(HUAWEI製ＰＣＳ接続枚数計算ツール!$C$9,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12" s="86">
        <f>((1-1/MAX(100%,過積載率!V12))^0.5*(HUAWEI製ＰＣＳ接続枚数計算ツール!$I$6-HUAWEI製ＰＣＳ接続枚数計算ツール!$G$6)+HUAWEI製ＰＣＳ接続枚数計算ツール!$G$6)*VLOOKUP(HUAWEI製ＰＣＳ接続枚数計算ツール!$C$9, HUAWEI製ＰＣＳ接続枚数計算ツール!$B$119:$P$149,10,FALSE)</f>
        <v>43.995426726771406</v>
      </c>
      <c r="W12" s="86">
        <f>((1-1/MAX(100%,過積載率!W12))^0.5*(HUAWEI製ＰＣＳ接続枚数計算ツール!$I$6-HUAWEI製ＰＣＳ接続枚数計算ツール!$G$6)+HUAWEI製ＰＣＳ接続枚数計算ツール!$G$6)*VLOOKUP(HUAWEI製ＰＣＳ接続枚数計算ツール!$C$9, HUAWEI製ＰＣＳ接続枚数計算ツール!$B$119:$P$149,10,FALSE)</f>
        <v>45.219884195865625</v>
      </c>
      <c r="X12" s="86">
        <f>((1-1/MAX(100%,過積載率!X12))^0.5*(HUAWEI製ＰＣＳ接続枚数計算ツール!$I$6-HUAWEI製ＰＣＳ接続枚数計算ツール!$G$6)+HUAWEI製ＰＣＳ接続枚数計算ツール!$G$6)*VLOOKUP(HUAWEI製ＰＣＳ接続枚数計算ツール!$C$9, HUAWEI製ＰＣＳ接続枚数計算ツール!$B$119:$P$149,10,FALSE)</f>
        <v>45.884525070694757</v>
      </c>
      <c r="Y12" s="86">
        <f>((1-1/MAX(100%,過積載率!Y12))^0.5*(HUAWEI製ＰＣＳ接続枚数計算ツール!$I$6-HUAWEI製ＰＣＳ接続枚数計算ツール!$G$6)+HUAWEI製ＰＣＳ接続枚数計算ツール!$G$6)*VLOOKUP(HUAWEI製ＰＣＳ接続枚数計算ツール!$C$9, HUAWEI製ＰＣＳ接続枚数計算ツール!$B$119:$P$149,10,FALSE)</f>
        <v>46.372905499528542</v>
      </c>
      <c r="Z12" s="86">
        <f>((1-1/MAX(100%,過積載率!Z12))^0.5*(HUAWEI製ＰＣＳ接続枚数計算ツール!$I$6-HUAWEI製ＰＣＳ接続枚数計算ツール!$G$6)+HUAWEI製ＰＣＳ接続枚数計算ツール!$G$6)*VLOOKUP(HUAWEI製ＰＣＳ接続枚数計算ツール!$C$9, HUAWEI製ＰＣＳ接続枚数計算ツール!$B$119:$P$149,10,FALSE)</f>
        <v>46.763205504834239</v>
      </c>
      <c r="AA12" s="86">
        <f>((1-1/MAX(100%,過積載率!AA12))^0.5*(HUAWEI製ＰＣＳ接続枚数計算ツール!$I$6-HUAWEI製ＰＣＳ接続枚数計算ツール!$G$6)+HUAWEI製ＰＣＳ接続枚数計算ツール!$G$6)*VLOOKUP(HUAWEI製ＰＣＳ接続枚数計算ツール!$C$9, HUAWEI製ＰＣＳ接続枚数計算ツール!$B$119:$P$149,10,FALSE)</f>
        <v>47.088663902372701</v>
      </c>
      <c r="AB12" s="86">
        <f>((1-1/MAX(100%,過積載率!AB12))^0.5*(HUAWEI製ＰＣＳ接続枚数計算ツール!$I$6-HUAWEI製ＰＣＳ接続枚数計算ツール!$G$6)+HUAWEI製ＰＣＳ接続枚数計算ツール!$G$6)*VLOOKUP(HUAWEI製ＰＣＳ接続枚数計算ツール!$C$9, HUAWEI製ＰＣＳ接続枚数計算ツール!$B$119:$P$149,10,FALSE)</f>
        <v>47.367288267155793</v>
      </c>
      <c r="AC12" s="86">
        <f>((1-1/MAX(100%,過積載率!AC12))^0.5*(HUAWEI製ＰＣＳ接続枚数計算ツール!$I$6-HUAWEI製ＰＣＳ接続枚数計算ツール!$G$6)+HUAWEI製ＰＣＳ接続枚数計算ツール!$G$6)*VLOOKUP(HUAWEI製ＰＣＳ接続枚数計算ツール!$C$9, HUAWEI製ＰＣＳ接続枚数計算ツール!$B$119:$P$149,10,FALSE)</f>
        <v>47.610195632349743</v>
      </c>
      <c r="AD12" s="86">
        <f>((1-1/MAX(100%,過積載率!AD12))^0.5*(HUAWEI製ＰＣＳ接続枚数計算ツール!$I$6-HUAWEI製ＰＣＳ接続枚数計算ツール!$G$6)+HUAWEI製ＰＣＳ接続枚数計算ツール!$G$6)*VLOOKUP(HUAWEI製ＰＣＳ接続枚数計算ツール!$C$9, HUAWEI製ＰＣＳ接続枚数計算ツール!$B$119:$P$149,10,FALSE)</f>
        <v>47.824839590486597</v>
      </c>
      <c r="AE12" s="86">
        <f>((1-1/MAX(100%,過積載率!AE12))^0.5*(HUAWEI製ＰＣＳ接続枚数計算ツール!$I$6-HUAWEI製ＰＣＳ接続枚数計算ツール!$G$6)+HUAWEI製ＰＣＳ接続枚数計算ツール!$G$6)*VLOOKUP(HUAWEI製ＰＣＳ接続枚数計算ツール!$C$9, HUAWEI製ＰＣＳ接続枚数計算ツール!$B$119:$P$149,10,FALSE)</f>
        <v>48.016510474492271</v>
      </c>
      <c r="AF12" s="86">
        <f>((1-1/MAX(100%,過積載率!AF12))^0.5*(HUAWEI製ＰＣＳ接続枚数計算ツール!$I$6-HUAWEI製ＰＣＳ接続枚数計算ツール!$G$6)+HUAWEI製ＰＣＳ接続枚数計算ツール!$G$6)*VLOOKUP(HUAWEI製ＰＣＳ接続枚数計算ツール!$C$9, HUAWEI製ＰＣＳ接続枚数計算ツール!$B$119:$P$149,10,FALSE)</f>
        <v>48.189123033027236</v>
      </c>
      <c r="AG12" s="86">
        <f>((1-1/MAX(100%,過積載率!AG12))^0.5*(HUAWEI製ＰＣＳ接続枚数計算ツール!$I$6-HUAWEI製ＰＣＳ接続枚数計算ツール!$G$6)+HUAWEI製ＰＣＳ接続枚数計算ツール!$G$6)*VLOOKUP(HUAWEI製ＰＣＳ接続枚数計算ツール!$C$9, HUAWEI製ＰＣＳ接続枚数計算ツール!$B$119:$P$149,10,FALSE)</f>
        <v>48.345667767935957</v>
      </c>
      <c r="AH12" s="86">
        <f>((1-1/MAX(100%,過積載率!AH12))^0.5*(HUAWEI製ＰＣＳ接続枚数計算ツール!$I$6-HUAWEI製ＰＣＳ接続枚数計算ツール!$G$6)+HUAWEI製ＰＣＳ接続枚数計算ツール!$G$6)*VLOOKUP(HUAWEI製ＰＣＳ接続枚数計算ツール!$C$9, HUAWEI製ＰＣＳ接続枚数計算ツール!$B$119:$P$149,10,FALSE)</f>
        <v>48.488487187693963</v>
      </c>
      <c r="AI12" s="86">
        <f>((1-1/MAX(100%,過積載率!AI12))^0.5*(HUAWEI製ＰＣＳ接続枚数計算ツール!$I$6-HUAWEI製ＰＣＳ接続枚数計算ツール!$G$6)+HUAWEI製ＰＣＳ接続枚数計算ツール!$G$6)*VLOOKUP(HUAWEI製ＰＣＳ接続枚数計算ツール!$C$9, HUAWEI製ＰＣＳ接続枚数計算ツール!$B$119:$P$149,10,FALSE)</f>
        <v>48.619453852755647</v>
      </c>
      <c r="AJ12" s="86">
        <f>((1-1/MAX(100%,過積載率!AJ12))^0.5*(HUAWEI製ＰＣＳ接続枚数計算ツール!$I$6-HUAWEI製ＰＣＳ接続枚数計算ツール!$G$6)+HUAWEI製ＰＣＳ接続枚数計算ツール!$G$6)*VLOOKUP(HUAWEI製ＰＣＳ接続枚数計算ツール!$C$9, HUAWEI製ＰＣＳ接続枚数計算ツール!$B$119:$P$149,10,FALSE)</f>
        <v>48.740089985511624</v>
      </c>
      <c r="AK12" s="86">
        <f>((1-1/MAX(100%,過積載率!AK12))^0.5*(HUAWEI製ＰＣＳ接続枚数計算ツール!$I$6-HUAWEI製ＰＣＳ接続枚数計算ツール!$G$6)+HUAWEI製ＰＣＳ接続枚数計算ツール!$G$6)*VLOOKUP(HUAWEI製ＰＣＳ接続枚数計算ツール!$C$9, HUAWEI製ＰＣＳ接続枚数計算ツール!$B$119:$P$149,10,FALSE)</f>
        <v>48.851650606036074</v>
      </c>
      <c r="AL12" s="86">
        <f>((1-1/MAX(100%,過積載率!AL12))^0.5*(HUAWEI製ＰＣＳ接続枚数計算ツール!$I$6-HUAWEI製ＰＣＳ接続枚数計算ツール!$G$6)+HUAWEI製ＰＣＳ接続枚数計算ツール!$G$6)*VLOOKUP(HUAWEI製ＰＣＳ接続枚数計算ツール!$C$9, HUAWEI製ＰＣＳ接続枚数計算ツール!$B$119:$P$149,10,FALSE)</f>
        <v>48.955182981977558</v>
      </c>
      <c r="AM12" s="86">
        <f>((1-1/MAX(100%,過積載率!AM12))^0.5*(HUAWEI製ＰＣＳ接続枚数計算ツール!$I$6-HUAWEI製ＰＣＳ接続枚数計算ツール!$G$6)+HUAWEI製ＰＣＳ接続枚数計算ツール!$G$6)*VLOOKUP(HUAWEI製ＰＣＳ接続枚数計算ツール!$C$9, HUAWEI製ＰＣＳ接続枚数計算ツール!$B$119:$P$149,10,FALSE)</f>
        <v>49.051570176542171</v>
      </c>
      <c r="AN12" s="86">
        <f>((1-1/MAX(100%,過積載率!AN12))^0.5*(HUAWEI製ＰＣＳ接続枚数計算ツール!$I$6-HUAWEI製ＰＣＳ接続枚数計算ツール!$G$6)+HUAWEI製ＰＣＳ接続枚数計算ツール!$G$6)*VLOOKUP(HUAWEI製ＰＣＳ接続枚数計算ツール!$C$9, HUAWEI製ＰＣＳ接続枚数計算ツール!$B$119:$P$149,10,FALSE)</f>
        <v>49.141563613258562</v>
      </c>
      <c r="AO12" s="86">
        <f>((1-1/MAX(100%,過積載率!AO12))^0.5*(HUAWEI製ＰＣＳ接続枚数計算ツール!$I$6-HUAWEI製ＰＣＳ接続枚数計算ツール!$G$6)+HUAWEI製ＰＣＳ接続枚数計算ツール!$G$6)*VLOOKUP(HUAWEI製ＰＣＳ接続枚数計算ツール!$C$9, HUAWEI製ＰＣＳ接続枚数計算ツール!$B$119:$P$149,10,FALSE)</f>
        <v>49.225807867015007</v>
      </c>
    </row>
    <row r="13" spans="1:41">
      <c r="A13">
        <v>11</v>
      </c>
      <c r="B13" s="86">
        <f>((1-1/MAX(100%,過積載率!B13))^0.5*(HUAWEI製ＰＣＳ接続枚数計算ツール!$I$6-HUAWEI製ＰＣＳ接続枚数計算ツール!$G$6)+HUAWEI製ＰＣＳ接続枚数計算ツール!$G$6)*VLOOKUP(HUAWEI製ＰＣＳ接続枚数計算ツール!$C$9,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3" s="86">
        <f>((1-1/MAX(100%,過積載率!C13))^0.5*(HUAWEI製ＰＣＳ接続枚数計算ツール!$I$6-HUAWEI製ＰＣＳ接続枚数計算ツール!$G$6)+HUAWEI製ＰＣＳ接続枚数計算ツール!$G$6)*VLOOKUP(HUAWEI製ＰＣＳ接続枚数計算ツール!$C$9,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3" s="86">
        <f>((1-1/MAX(100%,過積載率!D13))^0.5*(HUAWEI製ＰＣＳ接続枚数計算ツール!$I$6-HUAWEI製ＰＣＳ接続枚数計算ツール!$G$6)+HUAWEI製ＰＣＳ接続枚数計算ツール!$G$6)*VLOOKUP(HUAWEI製ＰＣＳ接続枚数計算ツール!$C$9,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3" s="86">
        <f>((1-1/MAX(100%,過積載率!E13))^0.5*(HUAWEI製ＰＣＳ接続枚数計算ツール!$I$6-HUAWEI製ＰＣＳ接続枚数計算ツール!$G$6)+HUAWEI製ＰＣＳ接続枚数計算ツール!$G$6)*VLOOKUP(HUAWEI製ＰＣＳ接続枚数計算ツール!$C$9,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3" s="86">
        <f>((1-1/MAX(100%,過積載率!F13))^0.5*(HUAWEI製ＰＣＳ接続枚数計算ツール!$I$6-HUAWEI製ＰＣＳ接続枚数計算ツール!$G$6)+HUAWEI製ＰＣＳ接続枚数計算ツール!$G$6)*VLOOKUP(HUAWEI製ＰＣＳ接続枚数計算ツール!$C$9,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3" s="86">
        <f>((1-1/MAX(100%,過積載率!G13))^0.5*(HUAWEI製ＰＣＳ接続枚数計算ツール!$I$6-HUAWEI製ＰＣＳ接続枚数計算ツール!$G$6)+HUAWEI製ＰＣＳ接続枚数計算ツール!$G$6)*VLOOKUP(HUAWEI製ＰＣＳ接続枚数計算ツール!$C$9,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3" s="86">
        <f>((1-1/MAX(100%,過積載率!H13))^0.5*(HUAWEI製ＰＣＳ接続枚数計算ツール!$I$6-HUAWEI製ＰＣＳ接続枚数計算ツール!$G$6)+HUAWEI製ＰＣＳ接続枚数計算ツール!$G$6)*VLOOKUP(HUAWEI製ＰＣＳ接続枚数計算ツール!$C$9,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3" s="86">
        <f>((1-1/MAX(100%,過積載率!I13))^0.5*(HUAWEI製ＰＣＳ接続枚数計算ツール!$I$6-HUAWEI製ＰＣＳ接続枚数計算ツール!$G$6)+HUAWEI製ＰＣＳ接続枚数計算ツール!$G$6)*VLOOKUP(HUAWEI製ＰＣＳ接続枚数計算ツール!$C$9,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3" s="86">
        <f>((1-1/MAX(100%,過積載率!J13))^0.5*(HUAWEI製ＰＣＳ接続枚数計算ツール!$I$6-HUAWEI製ＰＣＳ接続枚数計算ツール!$G$6)+HUAWEI製ＰＣＳ接続枚数計算ツール!$G$6)*VLOOKUP(HUAWEI製ＰＣＳ接続枚数計算ツール!$C$9,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3" s="86">
        <f>((1-1/MAX(100%,過積載率!K13))^0.5*(HUAWEI製ＰＣＳ接続枚数計算ツール!$I$6-HUAWEI製ＰＣＳ接続枚数計算ツール!$G$6)+HUAWEI製ＰＣＳ接続枚数計算ツール!$G$6)*VLOOKUP(HUAWEI製ＰＣＳ接続枚数計算ツール!$C$9,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3" s="86">
        <f>((1-1/MAX(100%,過積載率!L13))^0.5*(HUAWEI製ＰＣＳ接続枚数計算ツール!$I$6-HUAWEI製ＰＣＳ接続枚数計算ツール!$G$6)+HUAWEI製ＰＣＳ接続枚数計算ツール!$G$6)*VLOOKUP(HUAWEI製ＰＣＳ接続枚数計算ツール!$C$9,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3" s="86">
        <f>((1-1/MAX(100%,過積載率!M13))^0.5*(HUAWEI製ＰＣＳ接続枚数計算ツール!$I$6-HUAWEI製ＰＣＳ接続枚数計算ツール!$G$6)+HUAWEI製ＰＣＳ接続枚数計算ツール!$G$6)*VLOOKUP(HUAWEI製ＰＣＳ接続枚数計算ツール!$C$9,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3" s="86">
        <f>((1-1/MAX(100%,過積載率!N13))^0.5*(HUAWEI製ＰＣＳ接続枚数計算ツール!$I$6-HUAWEI製ＰＣＳ接続枚数計算ツール!$G$6)+HUAWEI製ＰＣＳ接続枚数計算ツール!$G$6)*VLOOKUP(HUAWEI製ＰＣＳ接続枚数計算ツール!$C$9,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13" s="86">
        <f>((1-1/MAX(100%,過積載率!O13))^0.5*(HUAWEI製ＰＣＳ接続枚数計算ツール!$I$6-HUAWEI製ＰＣＳ接続枚数計算ツール!$G$6)+HUAWEI製ＰＣＳ接続枚数計算ツール!$G$6)*VLOOKUP(HUAWEI製ＰＣＳ接続枚数計算ツール!$C$9,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13" s="86">
        <f>((1-1/MAX(100%,過積載率!P13))^0.5*(HUAWEI製ＰＣＳ接続枚数計算ツール!$I$6-HUAWEI製ＰＣＳ接続枚数計算ツール!$G$6)+HUAWEI製ＰＣＳ接続枚数計算ツール!$G$6)*VLOOKUP(HUAWEI製ＰＣＳ接続枚数計算ツール!$C$9,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13" s="86">
        <f>((1-1/MAX(100%,過積載率!Q13))^0.5*(HUAWEI製ＰＣＳ接続枚数計算ツール!$I$6-HUAWEI製ＰＣＳ接続枚数計算ツール!$G$6)+HUAWEI製ＰＣＳ接続枚数計算ツール!$G$6)*VLOOKUP(HUAWEI製ＰＣＳ接続枚数計算ツール!$C$9,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13" s="86">
        <f>((1-1/MAX(100%,過積載率!R13))^0.5*(HUAWEI製ＰＣＳ接続枚数計算ツール!$I$6-HUAWEI製ＰＣＳ接続枚数計算ツール!$G$6)+HUAWEI製ＰＣＳ接続枚数計算ツール!$G$6)*VLOOKUP(HUAWEI製ＰＣＳ接続枚数計算ツール!$C$9,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13" s="86">
        <f>((1-1/MAX(100%,過積載率!S13))^0.5*(HUAWEI製ＰＣＳ接続枚数計算ツール!$I$6-HUAWEI製ＰＣＳ接続枚数計算ツール!$G$6)+HUAWEI製ＰＣＳ接続枚数計算ツール!$G$6)*VLOOKUP(HUAWEI製ＰＣＳ接続枚数計算ツール!$C$9,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13" s="86">
        <f>((1-1/MAX(100%,過積載率!T13))^0.5*(HUAWEI製ＰＣＳ接続枚数計算ツール!$I$6-HUAWEI製ＰＣＳ接続枚数計算ツール!$G$6)+HUAWEI製ＰＣＳ接続枚数計算ツール!$G$6)*VLOOKUP(HUAWEI製ＰＣＳ接続枚数計算ツール!$C$9, HUAWEI製ＰＣＳ接続枚数計算ツール!$B$119:$P$149,10,FALSE)</f>
        <v>43.712641638555425</v>
      </c>
      <c r="U13" s="86">
        <f>((1-1/MAX(100%,過積載率!U13))^0.5*(HUAWEI製ＰＣＳ接続枚数計算ツール!$I$6-HUAWEI製ＰＣＳ接続枚数計算ツール!$G$6)+HUAWEI製ＰＣＳ接続枚数計算ツール!$G$6)*VLOOKUP(HUAWEI製ＰＣＳ接続枚数計算ツール!$C$9, HUAWEI製ＰＣＳ接続枚数計算ツール!$B$119:$P$149,10,FALSE)</f>
        <v>45.219884195865625</v>
      </c>
      <c r="V13" s="86">
        <f>((1-1/MAX(100%,過積載率!V13))^0.5*(HUAWEI製ＰＣＳ接続枚数計算ツール!$I$6-HUAWEI製ＰＣＳ接続枚数計算ツール!$G$6)+HUAWEI製ＰＣＳ接続枚数計算ツール!$G$6)*VLOOKUP(HUAWEI製ＰＣＳ接続枚数計算ツール!$C$9, HUAWEI製ＰＣＳ接続枚数計算ツール!$B$119:$P$149,10,FALSE)</f>
        <v>45.939356259970033</v>
      </c>
      <c r="W13" s="86">
        <f>((1-1/MAX(100%,過積載率!W13))^0.5*(HUAWEI製ＰＣＳ接続枚数計算ツール!$I$6-HUAWEI製ＰＣＳ接続枚数計算ツール!$G$6)+HUAWEI製ＰＣＳ接続枚数計算ツール!$G$6)*VLOOKUP(HUAWEI製ＰＣＳ接続枚数計算ツール!$C$9, HUAWEI製ＰＣＳ接続枚数計算ツール!$B$119:$P$149,10,FALSE)</f>
        <v>46.457408361761686</v>
      </c>
      <c r="X13" s="86">
        <f>((1-1/MAX(100%,過積載率!X13))^0.5*(HUAWEI製ＰＣＳ接続枚数計算ツール!$I$6-HUAWEI製ＰＣＳ接続枚数計算ツール!$G$6)+HUAWEI製ＰＣＳ接続枚数計算ツール!$G$6)*VLOOKUP(HUAWEI製ＰＣＳ接続枚数計算ツール!$C$9, HUAWEI製ＰＣＳ接続枚数計算ツール!$B$119:$P$149,10,FALSE)</f>
        <v>46.866645335049817</v>
      </c>
      <c r="Y13" s="86">
        <f>((1-1/MAX(100%,過積載率!Y13))^0.5*(HUAWEI製ＰＣＳ接続枚数計算ツール!$I$6-HUAWEI製ＰＣＳ接続枚数計算ツール!$G$6)+HUAWEI製ＰＣＳ接続枚数計算ツール!$G$6)*VLOOKUP(HUAWEI製ＰＣＳ接続枚数計算ツール!$C$9, HUAWEI製ＰＣＳ接続枚数計算ツール!$B$119:$P$149,10,FALSE)</f>
        <v>47.205003601042947</v>
      </c>
      <c r="Z13" s="86">
        <f>((1-1/MAX(100%,過積載率!Z13))^0.5*(HUAWEI製ＰＣＳ接続枚数計算ツール!$I$6-HUAWEI製ＰＣＳ接続枚数計算ツール!$G$6)+HUAWEI製ＰＣＳ接続枚数計算ツール!$G$6)*VLOOKUP(HUAWEI製ＰＣＳ接続枚数計算ツール!$C$9, HUAWEI製ＰＣＳ接続枚数計算ツール!$B$119:$P$149,10,FALSE)</f>
        <v>47.492677333729652</v>
      </c>
      <c r="AA13" s="86">
        <f>((1-1/MAX(100%,過積載率!AA13))^0.5*(HUAWEI製ＰＣＳ接続枚数計算ツール!$I$6-HUAWEI製ＰＣＳ接続枚数計算ツール!$G$6)+HUAWEI製ＰＣＳ接続枚数計算ツール!$G$6)*VLOOKUP(HUAWEI製ＰＣＳ接続枚数計算ツール!$C$9, HUAWEI製ＰＣＳ接続枚数計算ツール!$B$119:$P$149,10,FALSE)</f>
        <v>47.741997848966733</v>
      </c>
      <c r="AB13" s="86">
        <f>((1-1/MAX(100%,過積載率!AB13))^0.5*(HUAWEI製ＰＣＳ接続枚数計算ツール!$I$6-HUAWEI製ＰＣＳ接続枚数計算ツール!$G$6)+HUAWEI製ＰＣＳ接続枚数計算ツール!$G$6)*VLOOKUP(HUAWEI製ＰＣＳ接続枚数計算ツール!$C$9, HUAWEI製ＰＣＳ接続枚数計算ツール!$B$119:$P$149,10,FALSE)</f>
        <v>47.961167468990475</v>
      </c>
      <c r="AC13" s="86">
        <f>((1-1/MAX(100%,過積載率!AC13))^0.5*(HUAWEI製ＰＣＳ接続枚数計算ツール!$I$6-HUAWEI製ＰＣＳ接続枚数計算ツール!$G$6)+HUAWEI製ＰＣＳ接続枚数計算ツール!$G$6)*VLOOKUP(HUAWEI製ＰＣＳ接続枚数計算ツール!$C$9, HUAWEI製ＰＣＳ接続枚数計算ツール!$B$119:$P$149,10,FALSE)</f>
        <v>48.155970923973165</v>
      </c>
      <c r="AD13" s="86">
        <f>((1-1/MAX(100%,過積載率!AD13))^0.5*(HUAWEI製ＰＣＳ接続枚数計算ツール!$I$6-HUAWEI製ＰＣＳ接続枚数計算ツール!$G$6)+HUAWEI製ＰＣＳ接続枚数計算ツール!$G$6)*VLOOKUP(HUAWEI製ＰＣＳ接続枚数計算ツール!$C$9, HUAWEI製ＰＣＳ接続枚数計算ツール!$B$119:$P$149,10,FALSE)</f>
        <v>48.330665428718888</v>
      </c>
      <c r="AE13" s="86">
        <f>((1-1/MAX(100%,過積載率!AE13))^0.5*(HUAWEI製ＰＣＳ接続枚数計算ツール!$I$6-HUAWEI製ＰＣＳ接続枚数計算ツール!$G$6)+HUAWEI製ＰＣＳ接続枚数計算ツール!$G$6)*VLOOKUP(HUAWEI製ＰＣＳ接続枚数計算ツール!$C$9, HUAWEI製ＰＣＳ接続枚数計算ツール!$B$119:$P$149,10,FALSE)</f>
        <v>48.488487187693963</v>
      </c>
      <c r="AF13" s="86">
        <f>((1-1/MAX(100%,過積載率!AF13))^0.5*(HUAWEI製ＰＣＳ接続枚数計算ツール!$I$6-HUAWEI製ＰＣＳ接続枚数計算ツール!$G$6)+HUAWEI製ＰＣＳ接続枚数計算ツール!$G$6)*VLOOKUP(HUAWEI製ＰＣＳ接続枚数計算ツール!$C$9, HUAWEI製ＰＣＳ接続枚数計算ツール!$B$119:$P$149,10,FALSE)</f>
        <v>48.631959764569544</v>
      </c>
      <c r="AG13" s="86">
        <f>((1-1/MAX(100%,過積載率!AG13))^0.5*(HUAWEI製ＰＣＳ接続枚数計算ツール!$I$6-HUAWEI製ＰＣＳ接続枚数計算ツール!$G$6)+HUAWEI製ＰＣＳ接続枚数計算ツール!$G$6)*VLOOKUP(HUAWEI製ＰＣＳ接続枚数計算ツール!$C$9, HUAWEI製ＰＣＳ接続枚数計算ツール!$B$119:$P$149,10,FALSE)</f>
        <v>48.763091961289661</v>
      </c>
      <c r="AH13" s="86">
        <f>((1-1/MAX(100%,過積載率!AH13))^0.5*(HUAWEI製ＰＣＳ接続枚数計算ツール!$I$6-HUAWEI製ＰＣＳ接続枚数計算ツール!$G$6)+HUAWEI製ＰＣＳ接続枚数計算ツール!$G$6)*VLOOKUP(HUAWEI製ＰＣＳ接続枚数計算ツール!$C$9, HUAWEI製ＰＣＳ接続枚数計算ツール!$B$119:$P$149,10,FALSE)</f>
        <v>48.883510256250027</v>
      </c>
      <c r="AI13" s="86">
        <f>((1-1/MAX(100%,過積載率!AI13))^0.5*(HUAWEI製ＰＣＳ接続枚数計算ツール!$I$6-HUAWEI製ＰＣＳ接続枚数計算ツール!$G$6)+HUAWEI製ＰＣＳ接続枚数計算ツール!$G$6)*VLOOKUP(HUAWEI製ＰＣＳ接続枚数計算ツール!$C$9, HUAWEI製ＰＣＳ接続枚数計算ツール!$B$119:$P$149,10,FALSE)</f>
        <v>48.994550550181508</v>
      </c>
      <c r="AJ13" s="86">
        <f>((1-1/MAX(100%,過積載率!AJ13))^0.5*(HUAWEI製ＰＣＳ接続枚数計算ツール!$I$6-HUAWEI製ＰＣＳ接続枚数計算ツール!$G$6)+HUAWEI製ＰＣＳ接続枚数計算ツール!$G$6)*VLOOKUP(HUAWEI製ＰＣＳ接続枚数計算ツール!$C$9, HUAWEI製ＰＣＳ接続枚数計算ツール!$B$119:$P$149,10,FALSE)</f>
        <v>49.097323572352686</v>
      </c>
      <c r="AK13" s="86">
        <f>((1-1/MAX(100%,過積載率!AK13))^0.5*(HUAWEI製ＰＣＳ接続枚数計算ツール!$I$6-HUAWEI製ＰＣＳ接続枚数計算ツール!$G$6)+HUAWEI製ＰＣＳ接続枚数計算ツール!$G$6)*VLOOKUP(HUAWEI製ＰＣＳ接続枚数計算ツール!$C$9, HUAWEI製ＰＣＳ接続枚数計算ツール!$B$119:$P$149,10,FALSE)</f>
        <v>49.192762653596468</v>
      </c>
      <c r="AL13" s="86">
        <f>((1-1/MAX(100%,過積載率!AL13))^0.5*(HUAWEI製ＰＣＳ接続枚数計算ツール!$I$6-HUAWEI製ＰＣＳ接続枚数計算ツール!$G$6)+HUAWEI製ＰＣＳ接続枚数計算ツール!$G$6)*VLOOKUP(HUAWEI製ＰＣＳ接続枚数計算ツール!$C$9, HUAWEI製ＰＣＳ接続枚数計算ツール!$B$119:$P$149,10,FALSE)</f>
        <v>49.281659351946956</v>
      </c>
      <c r="AM13" s="86">
        <f>((1-1/MAX(100%,過積載率!AM13))^0.5*(HUAWEI製ＰＣＳ接続枚数計算ツール!$I$6-HUAWEI製ＰＣＳ接続枚数計算ツール!$G$6)+HUAWEI製ＰＣＳ接続枚数計算ツール!$G$6)*VLOOKUP(HUAWEI製ＰＣＳ接続枚数計算ツール!$C$9, HUAWEI製ＰＣＳ接続枚数計算ツール!$B$119:$P$149,10,FALSE)</f>
        <v>49.364690501367889</v>
      </c>
      <c r="AN13" s="86">
        <f>((1-1/MAX(100%,過積載率!AN13))^0.5*(HUAWEI製ＰＣＳ接続枚数計算ツール!$I$6-HUAWEI製ＰＣＳ接続枚数計算ツール!$G$6)+HUAWEI製ＰＣＳ接続枚数計算ツール!$G$6)*VLOOKUP(HUAWEI製ＰＣＳ接続枚数計算ツール!$C$9, HUAWEI製ＰＣＳ接続枚数計算ツール!$B$119:$P$149,10,FALSE)</f>
        <v>49.442439073579585</v>
      </c>
      <c r="AO13" s="86">
        <f>((1-1/MAX(100%,過積載率!AO13))^0.5*(HUAWEI製ＰＣＳ接続枚数計算ツール!$I$6-HUAWEI製ＰＣＳ接続枚数計算ツール!$G$6)+HUAWEI製ＰＣＳ接続枚数計算ツール!$G$6)*VLOOKUP(HUAWEI製ＰＣＳ接続枚数計算ツール!$C$9, HUAWEI製ＰＣＳ接続枚数計算ツール!$B$119:$P$149,10,FALSE)</f>
        <v>49.515410492466181</v>
      </c>
    </row>
    <row r="14" spans="1:41">
      <c r="A14">
        <v>12</v>
      </c>
      <c r="B14" s="86">
        <f>((1-1/MAX(100%,過積載率!B14))^0.5*(HUAWEI製ＰＣＳ接続枚数計算ツール!$I$6-HUAWEI製ＰＣＳ接続枚数計算ツール!$G$6)+HUAWEI製ＰＣＳ接続枚数計算ツール!$G$6)*VLOOKUP(HUAWEI製ＰＣＳ接続枚数計算ツール!$C$9,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4" s="86">
        <f>((1-1/MAX(100%,過積載率!C14))^0.5*(HUAWEI製ＰＣＳ接続枚数計算ツール!$I$6-HUAWEI製ＰＣＳ接続枚数計算ツール!$G$6)+HUAWEI製ＰＣＳ接続枚数計算ツール!$G$6)*VLOOKUP(HUAWEI製ＰＣＳ接続枚数計算ツール!$C$9,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4" s="86">
        <f>((1-1/MAX(100%,過積載率!D14))^0.5*(HUAWEI製ＰＣＳ接続枚数計算ツール!$I$6-HUAWEI製ＰＣＳ接続枚数計算ツール!$G$6)+HUAWEI製ＰＣＳ接続枚数計算ツール!$G$6)*VLOOKUP(HUAWEI製ＰＣＳ接続枚数計算ツール!$C$9,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4" s="86">
        <f>((1-1/MAX(100%,過積載率!E14))^0.5*(HUAWEI製ＰＣＳ接続枚数計算ツール!$I$6-HUAWEI製ＰＣＳ接続枚数計算ツール!$G$6)+HUAWEI製ＰＣＳ接続枚数計算ツール!$G$6)*VLOOKUP(HUAWEI製ＰＣＳ接続枚数計算ツール!$C$9,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4" s="86">
        <f>((1-1/MAX(100%,過積載率!F14))^0.5*(HUAWEI製ＰＣＳ接続枚数計算ツール!$I$6-HUAWEI製ＰＣＳ接続枚数計算ツール!$G$6)+HUAWEI製ＰＣＳ接続枚数計算ツール!$G$6)*VLOOKUP(HUAWEI製ＰＣＳ接続枚数計算ツール!$C$9,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4" s="86">
        <f>((1-1/MAX(100%,過積載率!G14))^0.5*(HUAWEI製ＰＣＳ接続枚数計算ツール!$I$6-HUAWEI製ＰＣＳ接続枚数計算ツール!$G$6)+HUAWEI製ＰＣＳ接続枚数計算ツール!$G$6)*VLOOKUP(HUAWEI製ＰＣＳ接続枚数計算ツール!$C$9,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4" s="86">
        <f>((1-1/MAX(100%,過積載率!H14))^0.5*(HUAWEI製ＰＣＳ接続枚数計算ツール!$I$6-HUAWEI製ＰＣＳ接続枚数計算ツール!$G$6)+HUAWEI製ＰＣＳ接続枚数計算ツール!$G$6)*VLOOKUP(HUAWEI製ＰＣＳ接続枚数計算ツール!$C$9,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4" s="86">
        <f>((1-1/MAX(100%,過積載率!I14))^0.5*(HUAWEI製ＰＣＳ接続枚数計算ツール!$I$6-HUAWEI製ＰＣＳ接続枚数計算ツール!$G$6)+HUAWEI製ＰＣＳ接続枚数計算ツール!$G$6)*VLOOKUP(HUAWEI製ＰＣＳ接続枚数計算ツール!$C$9,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4" s="86">
        <f>((1-1/MAX(100%,過積載率!J14))^0.5*(HUAWEI製ＰＣＳ接続枚数計算ツール!$I$6-HUAWEI製ＰＣＳ接続枚数計算ツール!$G$6)+HUAWEI製ＰＣＳ接続枚数計算ツール!$G$6)*VLOOKUP(HUAWEI製ＰＣＳ接続枚数計算ツール!$C$9,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4" s="86">
        <f>((1-1/MAX(100%,過積載率!K14))^0.5*(HUAWEI製ＰＣＳ接続枚数計算ツール!$I$6-HUAWEI製ＰＣＳ接続枚数計算ツール!$G$6)+HUAWEI製ＰＣＳ接続枚数計算ツール!$G$6)*VLOOKUP(HUAWEI製ＰＣＳ接続枚数計算ツール!$C$9,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4" s="86">
        <f>((1-1/MAX(100%,過積載率!L14))^0.5*(HUAWEI製ＰＣＳ接続枚数計算ツール!$I$6-HUAWEI製ＰＣＳ接続枚数計算ツール!$G$6)+HUAWEI製ＰＣＳ接続枚数計算ツール!$G$6)*VLOOKUP(HUAWEI製ＰＣＳ接続枚数計算ツール!$C$9,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4" s="86">
        <f>((1-1/MAX(100%,過積載率!M14))^0.5*(HUAWEI製ＰＣＳ接続枚数計算ツール!$I$6-HUAWEI製ＰＣＳ接続枚数計算ツール!$G$6)+HUAWEI製ＰＣＳ接続枚数計算ツール!$G$6)*VLOOKUP(HUAWEI製ＰＣＳ接続枚数計算ツール!$C$9,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4" s="86">
        <f>((1-1/MAX(100%,過積載率!N14))^0.5*(HUAWEI製ＰＣＳ接続枚数計算ツール!$I$6-HUAWEI製ＰＣＳ接続枚数計算ツール!$G$6)+HUAWEI製ＰＣＳ接続枚数計算ツール!$G$6)*VLOOKUP(HUAWEI製ＰＣＳ接続枚数計算ツール!$C$9,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14" s="86">
        <f>((1-1/MAX(100%,過積載率!O14))^0.5*(HUAWEI製ＰＣＳ接続枚数計算ツール!$I$6-HUAWEI製ＰＣＳ接続枚数計算ツール!$G$6)+HUAWEI製ＰＣＳ接続枚数計算ツール!$G$6)*VLOOKUP(HUAWEI製ＰＣＳ接続枚数計算ツール!$C$9,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14" s="86">
        <f>((1-1/MAX(100%,過積載率!P14))^0.5*(HUAWEI製ＰＣＳ接続枚数計算ツール!$I$6-HUAWEI製ＰＣＳ接続枚数計算ツール!$G$6)+HUAWEI製ＰＣＳ接続枚数計算ツール!$G$6)*VLOOKUP(HUAWEI製ＰＣＳ接続枚数計算ツール!$C$9,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14" s="86">
        <f>((1-1/MAX(100%,過積載率!Q14))^0.5*(HUAWEI製ＰＣＳ接続枚数計算ツール!$I$6-HUAWEI製ＰＣＳ接続枚数計算ツール!$G$6)+HUAWEI製ＰＣＳ接続枚数計算ツール!$G$6)*VLOOKUP(HUAWEI製ＰＣＳ接続枚数計算ツール!$C$9,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14" s="86">
        <f>((1-1/MAX(100%,過積載率!R14))^0.5*(HUAWEI製ＰＣＳ接続枚数計算ツール!$I$6-HUAWEI製ＰＣＳ接続枚数計算ツール!$G$6)+HUAWEI製ＰＣＳ接続枚数計算ツール!$G$6)*VLOOKUP(HUAWEI製ＰＣＳ接続枚数計算ツール!$C$9,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14" s="86">
        <f>((1-1/MAX(100%,過積載率!S14))^0.5*(HUAWEI製ＰＣＳ接続枚数計算ツール!$I$6-HUAWEI製ＰＣＳ接続枚数計算ツール!$G$6)+HUAWEI製ＰＣＳ接続枚数計算ツール!$G$6)*VLOOKUP(HUAWEI製ＰＣＳ接続枚数計算ツール!$C$9, HUAWEI製ＰＣＳ接続枚数計算ツール!$B$119:$P$149,10,FALSE)</f>
        <v>44.856655469635044</v>
      </c>
      <c r="T14" s="86">
        <f>((1-1/MAX(100%,過積載率!T14))^0.5*(HUAWEI製ＰＣＳ接続枚数計算ツール!$I$6-HUAWEI製ＰＣＳ接続枚数計算ツール!$G$6)+HUAWEI製ＰＣＳ接続枚数計算ツール!$G$6)*VLOOKUP(HUAWEI製ＰＣＳ接続枚数計算ツール!$C$9, HUAWEI製ＰＣＳ接続枚数計算ツール!$B$119:$P$149,10,FALSE)</f>
        <v>45.76980300992593</v>
      </c>
      <c r="U14" s="86">
        <f>((1-1/MAX(100%,過積載率!U14))^0.5*(HUAWEI製ＰＣＳ接続枚数計算ツール!$I$6-HUAWEI製ＰＣＳ接続枚数計算ツール!$G$6)+HUAWEI製ＰＣＳ接続枚数計算ツール!$G$6)*VLOOKUP(HUAWEI製ＰＣＳ接続枚数計算ツール!$C$9, HUAWEI製ＰＣＳ接続枚数計算ツール!$B$119:$P$149,10,FALSE)</f>
        <v>46.372905499528542</v>
      </c>
      <c r="V14" s="86">
        <f>((1-1/MAX(100%,過積載率!V14))^0.5*(HUAWEI製ＰＣＳ接続枚数計算ツール!$I$6-HUAWEI製ＰＣＳ接続枚数計算ツール!$G$6)+HUAWEI製ＰＣＳ接続枚数計算ツール!$G$6)*VLOOKUP(HUAWEI製ＰＣＳ接続枚数計算ツール!$C$9, HUAWEI製ＰＣＳ接続枚数計算ツール!$B$119:$P$149,10,FALSE)</f>
        <v>46.832767074015699</v>
      </c>
      <c r="W14" s="86">
        <f>((1-1/MAX(100%,過積載率!W14))^0.5*(HUAWEI製ＰＣＳ接続枚数計算ツール!$I$6-HUAWEI製ＰＣＳ接続枚数計算ツール!$G$6)+HUAWEI製ＰＣＳ接続枚数計算ツール!$G$6)*VLOOKUP(HUAWEI製ＰＣＳ接続枚数計算ツール!$C$9, HUAWEI製ＰＣＳ接続枚数計算ツール!$B$119:$P$149,10,FALSE)</f>
        <v>47.205003601042947</v>
      </c>
      <c r="X14" s="86">
        <f>((1-1/MAX(100%,過積載率!X14))^0.5*(HUAWEI製ＰＣＳ接続枚数計算ツール!$I$6-HUAWEI製ＰＣＳ接続枚数計算ツール!$G$6)+HUAWEI製ＰＣＳ接続枚数計算ツール!$G$6)*VLOOKUP(HUAWEI製ＰＣＳ接続枚数計算ツール!$C$9, HUAWEI製ＰＣＳ接続枚数計算ツール!$B$119:$P$149,10,FALSE)</f>
        <v>47.516781721542024</v>
      </c>
      <c r="Y14" s="86">
        <f>((1-1/MAX(100%,過積載率!Y14))^0.5*(HUAWEI製ＰＣＳ接続枚数計算ツール!$I$6-HUAWEI製ＰＣＳ接続枚数計算ツール!$G$6)+HUAWEI製ＰＣＳ接続枚数計算ツール!$G$6)*VLOOKUP(HUAWEI製ＰＣＳ接続枚数計算ツール!$C$9, HUAWEI製ＰＣＳ接続枚数計算ツール!$B$119:$P$149,10,FALSE)</f>
        <v>47.783894440546355</v>
      </c>
      <c r="Z14" s="86">
        <f>((1-1/MAX(100%,過積載率!Z14))^0.5*(HUAWEI製ＰＣＳ接続枚数計算ツール!$I$6-HUAWEI製ＰＣＳ接続枚数計算ツール!$G$6)+HUAWEI製ＰＣＳ接続枚数計算ツール!$G$6)*VLOOKUP(HUAWEI製ＰＣＳ接続枚数計算ツール!$C$9, HUAWEI製ＰＣＳ接続枚数計算ツール!$B$119:$P$149,10,FALSE)</f>
        <v>48.016510474492271</v>
      </c>
      <c r="AA14" s="86">
        <f>((1-1/MAX(100%,過積載率!AA14))^0.5*(HUAWEI製ＰＣＳ接続枚数計算ツール!$I$6-HUAWEI製ＰＣＳ接続枚数計算ツール!$G$6)+HUAWEI製ＰＣＳ接続枚数計算ツール!$G$6)*VLOOKUP(HUAWEI製ＰＣＳ接続枚数計算ツール!$C$9, HUAWEI製ＰＣＳ接続枚数計算ツール!$B$119:$P$149,10,FALSE)</f>
        <v>48.221634463466017</v>
      </c>
      <c r="AB14" s="86">
        <f>((1-1/MAX(100%,過積載率!AB14))^0.5*(HUAWEI製ＰＣＳ接続枚数計算ツール!$I$6-HUAWEI製ＰＣＳ接続枚数計算ツール!$G$6)+HUAWEI製ＰＣＳ接続枚数計算ツール!$G$6)*VLOOKUP(HUAWEI製ＰＣＳ接続枚数計算ツール!$C$9, HUAWEI製ＰＣＳ接続枚数計算ツール!$B$119:$P$149,10,FALSE)</f>
        <v>48.40432867965702</v>
      </c>
      <c r="AC14" s="86">
        <f>((1-1/MAX(100%,過積載率!AC14))^0.5*(HUAWEI製ＰＣＳ接続枚数計算ツール!$I$6-HUAWEI製ＰＣＳ接続枚数計算ツール!$G$6)+HUAWEI製ＰＣＳ接続枚数計算ツール!$G$6)*VLOOKUP(HUAWEI製ＰＣＳ接続枚数計算ツール!$C$9, HUAWEI製ＰＣＳ接続枚数計算ツール!$B$119:$P$149,10,FALSE)</f>
        <v>48.568385348613688</v>
      </c>
      <c r="AD14" s="86">
        <f>((1-1/MAX(100%,過積載率!AD14))^0.5*(HUAWEI製ＰＣＳ接続枚数計算ツール!$I$6-HUAWEI製ＰＣＳ接続枚数計算ツール!$G$6)+HUAWEI製ＰＣＳ接続枚数計算ツール!$G$6)*VLOOKUP(HUAWEI製ＰＣＳ接続枚数計算ツール!$C$9, HUAWEI製ＰＣＳ接続枚数計算ツール!$B$119:$P$149,10,FALSE)</f>
        <v>48.716725647518089</v>
      </c>
      <c r="AE14" s="86">
        <f>((1-1/MAX(100%,過積載率!AE14))^0.5*(HUAWEI製ＰＣＳ接続枚数計算ツール!$I$6-HUAWEI製ＰＣＳ接続枚数計算ツール!$G$6)+HUAWEI製ＰＣＳ接続枚数計算ツール!$G$6)*VLOOKUP(HUAWEI製ＰＣＳ接続枚数計算ツール!$C$9, HUAWEI製ＰＣＳ接続枚数計算ツール!$B$119:$P$149,10,FALSE)</f>
        <v>48.851650606036074</v>
      </c>
      <c r="AF14" s="86">
        <f>((1-1/MAX(100%,過積載率!AF14))^0.5*(HUAWEI製ＰＣＳ接続枚数計算ツール!$I$6-HUAWEI製ＰＣＳ接続枚数計算ツール!$G$6)+HUAWEI製ＰＣＳ接続枚数計算ツール!$G$6)*VLOOKUP(HUAWEI製ＰＣＳ接続枚数計算ツール!$C$9, HUAWEI製ＰＣＳ接続枚数計算ツール!$B$119:$P$149,10,FALSE)</f>
        <v>48.975006270852077</v>
      </c>
      <c r="AG14" s="86">
        <f>((1-1/MAX(100%,過積載率!AG14))^0.5*(HUAWEI製ＰＣＳ接続枚数計算ツール!$I$6-HUAWEI製ＰＣＳ接続枚数計算ツール!$G$6)+HUAWEI製ＰＣＳ接続枚数計算ツール!$G$6)*VLOOKUP(HUAWEI製ＰＣＳ接続枚数計算ツール!$C$9, HUAWEI製ＰＣＳ接続枚数計算ツール!$B$119:$P$149,10,FALSE)</f>
        <v>49.08829654098205</v>
      </c>
      <c r="AH14" s="86">
        <f>((1-1/MAX(100%,過積載率!AH14))^0.5*(HUAWEI製ＰＣＳ接続枚数計算ツール!$I$6-HUAWEI製ＰＣＳ接続枚数計算ツール!$G$6)+HUAWEI製ＰＣＳ接続枚数計算ツール!$G$6)*VLOOKUP(HUAWEI製ＰＣＳ接続枚数計算ツール!$C$9, HUAWEI製ＰＣＳ接続枚数計算ツール!$B$119:$P$149,10,FALSE)</f>
        <v>49.192762653596468</v>
      </c>
      <c r="AI14" s="86">
        <f>((1-1/MAX(100%,過積載率!AI14))^0.5*(HUAWEI製ＰＣＳ接続枚数計算ツール!$I$6-HUAWEI製ＰＣＳ接続枚数計算ツール!$G$6)+HUAWEI製ＰＣＳ接続枚数計算ツール!$G$6)*VLOOKUP(HUAWEI製ＰＣＳ接続枚数計算ツール!$C$9, HUAWEI製ＰＣＳ接続枚数計算ツール!$B$119:$P$149,10,FALSE)</f>
        <v>49.289440637937652</v>
      </c>
      <c r="AJ14" s="86">
        <f>((1-1/MAX(100%,過積載率!AJ14))^0.5*(HUAWEI製ＰＣＳ接続枚数計算ツール!$I$6-HUAWEI製ＰＣＳ接続枚数計算ツール!$G$6)+HUAWEI製ＰＣＳ接続枚数計算ツール!$G$6)*VLOOKUP(HUAWEI製ＰＣＳ接続枚数計算ツール!$C$9, HUAWEI製ＰＣＳ接続枚数計算ツール!$B$119:$P$149,10,FALSE)</f>
        <v>49.379203765130171</v>
      </c>
      <c r="AK14" s="86">
        <f>((1-1/MAX(100%,過積載率!AK14))^0.5*(HUAWEI製ＰＣＳ接続枚数計算ツール!$I$6-HUAWEI製ＰＣＳ接続枚数計算ツール!$G$6)+HUAWEI製ＰＣＳ接続枚数計算ツール!$G$6)*VLOOKUP(HUAWEI製ＰＣＳ接続枚数計算ツール!$C$9, HUAWEI製ＰＣＳ接続枚数計算ツール!$B$119:$P$149,10,FALSE)</f>
        <v>49.462794510802176</v>
      </c>
      <c r="AL14" s="86">
        <f>((1-1/MAX(100%,過積載率!AL14))^0.5*(HUAWEI製ＰＣＳ接続枚数計算ツール!$I$6-HUAWEI製ＰＣＳ接続枚数計算ツール!$G$6)+HUAWEI製ＰＣＳ接続枚数計算ツール!$G$6)*VLOOKUP(HUAWEI製ＰＣＳ接続枚数計算ツール!$C$9, HUAWEI製ＰＣＳ接続枚数計算ツール!$B$119:$P$149,10,FALSE)</f>
        <v>49.540849020911388</v>
      </c>
      <c r="AM14" s="86">
        <f>((1-1/MAX(100%,過積載率!AM14))^0.5*(HUAWEI製ＰＣＳ接続枚数計算ツール!$I$6-HUAWEI製ＰＣＳ接続枚数計算ツール!$G$6)+HUAWEI製ＰＣＳ接続枚数計算ツール!$G$6)*VLOOKUP(HUAWEI製ＰＣＳ接続枚数計算ツール!$C$9, HUAWEI製ＰＣＳ接続枚数計算ツール!$B$119:$P$149,10,FALSE)</f>
        <v>49.613916112154335</v>
      </c>
      <c r="AN14" s="86">
        <f>((1-1/MAX(100%,過積載率!AN14))^0.5*(HUAWEI製ＰＣＳ接続枚数計算ツール!$I$6-HUAWEI製ＰＣＳ接続枚数計算ツール!$G$6)+HUAWEI製ＰＣＳ接続枚数計算ツール!$G$6)*VLOOKUP(HUAWEI製ＰＣＳ接続枚数計算ツール!$C$9, HUAWEI製ＰＣＳ接続枚数計算ツール!$B$119:$P$149,10,FALSE)</f>
        <v>49.682472218361099</v>
      </c>
      <c r="AO14" s="86">
        <f>((1-1/MAX(100%,過積載率!AO14))^0.5*(HUAWEI製ＰＣＳ接続枚数計算ツール!$I$6-HUAWEI製ＰＣＳ接続枚数計算ツール!$G$6)+HUAWEI製ＰＣＳ接続枚数計算ツール!$G$6)*VLOOKUP(HUAWEI製ＰＣＳ接続枚数計算ツール!$C$9, HUAWEI製ＰＣＳ接続枚数計算ツール!$B$119:$P$149,10,FALSE)</f>
        <v>49.74693328326024</v>
      </c>
    </row>
    <row r="15" spans="1:41">
      <c r="A15">
        <v>13</v>
      </c>
      <c r="B15" s="86">
        <f>((1-1/MAX(100%,過積載率!B15))^0.5*(HUAWEI製ＰＣＳ接続枚数計算ツール!$I$6-HUAWEI製ＰＣＳ接続枚数計算ツール!$G$6)+HUAWEI製ＰＣＳ接続枚数計算ツール!$G$6)*VLOOKUP(HUAWEI製ＰＣＳ接続枚数計算ツール!$C$9,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5" s="86">
        <f>((1-1/MAX(100%,過積載率!C15))^0.5*(HUAWEI製ＰＣＳ接続枚数計算ツール!$I$6-HUAWEI製ＰＣＳ接続枚数計算ツール!$G$6)+HUAWEI製ＰＣＳ接続枚数計算ツール!$G$6)*VLOOKUP(HUAWEI製ＰＣＳ接続枚数計算ツール!$C$9,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5" s="86">
        <f>((1-1/MAX(100%,過積載率!D15))^0.5*(HUAWEI製ＰＣＳ接続枚数計算ツール!$I$6-HUAWEI製ＰＣＳ接続枚数計算ツール!$G$6)+HUAWEI製ＰＣＳ接続枚数計算ツール!$G$6)*VLOOKUP(HUAWEI製ＰＣＳ接続枚数計算ツール!$C$9,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5" s="86">
        <f>((1-1/MAX(100%,過積載率!E15))^0.5*(HUAWEI製ＰＣＳ接続枚数計算ツール!$I$6-HUAWEI製ＰＣＳ接続枚数計算ツール!$G$6)+HUAWEI製ＰＣＳ接続枚数計算ツール!$G$6)*VLOOKUP(HUAWEI製ＰＣＳ接続枚数計算ツール!$C$9,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5" s="86">
        <f>((1-1/MAX(100%,過積載率!F15))^0.5*(HUAWEI製ＰＣＳ接続枚数計算ツール!$I$6-HUAWEI製ＰＣＳ接続枚数計算ツール!$G$6)+HUAWEI製ＰＣＳ接続枚数計算ツール!$G$6)*VLOOKUP(HUAWEI製ＰＣＳ接続枚数計算ツール!$C$9,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5" s="86">
        <f>((1-1/MAX(100%,過積載率!G15))^0.5*(HUAWEI製ＰＣＳ接続枚数計算ツール!$I$6-HUAWEI製ＰＣＳ接続枚数計算ツール!$G$6)+HUAWEI製ＰＣＳ接続枚数計算ツール!$G$6)*VLOOKUP(HUAWEI製ＰＣＳ接続枚数計算ツール!$C$9,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5" s="86">
        <f>((1-1/MAX(100%,過積載率!H15))^0.5*(HUAWEI製ＰＣＳ接続枚数計算ツール!$I$6-HUAWEI製ＰＣＳ接続枚数計算ツール!$G$6)+HUAWEI製ＰＣＳ接続枚数計算ツール!$G$6)*VLOOKUP(HUAWEI製ＰＣＳ接続枚数計算ツール!$C$9,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5" s="86">
        <f>((1-1/MAX(100%,過積載率!I15))^0.5*(HUAWEI製ＰＣＳ接続枚数計算ツール!$I$6-HUAWEI製ＰＣＳ接続枚数計算ツール!$G$6)+HUAWEI製ＰＣＳ接続枚数計算ツール!$G$6)*VLOOKUP(HUAWEI製ＰＣＳ接続枚数計算ツール!$C$9,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5" s="86">
        <f>((1-1/MAX(100%,過積載率!J15))^0.5*(HUAWEI製ＰＣＳ接続枚数計算ツール!$I$6-HUAWEI製ＰＣＳ接続枚数計算ツール!$G$6)+HUAWEI製ＰＣＳ接続枚数計算ツール!$G$6)*VLOOKUP(HUAWEI製ＰＣＳ接続枚数計算ツール!$C$9,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5" s="86">
        <f>((1-1/MAX(100%,過積載率!K15))^0.5*(HUAWEI製ＰＣＳ接続枚数計算ツール!$I$6-HUAWEI製ＰＣＳ接続枚数計算ツール!$G$6)+HUAWEI製ＰＣＳ接続枚数計算ツール!$G$6)*VLOOKUP(HUAWEI製ＰＣＳ接続枚数計算ツール!$C$9,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5" s="86">
        <f>((1-1/MAX(100%,過積載率!L15))^0.5*(HUAWEI製ＰＣＳ接続枚数計算ツール!$I$6-HUAWEI製ＰＣＳ接続枚数計算ツール!$G$6)+HUAWEI製ＰＣＳ接続枚数計算ツール!$G$6)*VLOOKUP(HUAWEI製ＰＣＳ接続枚数計算ツール!$C$9,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5" s="86">
        <f>((1-1/MAX(100%,過積載率!M15))^0.5*(HUAWEI製ＰＣＳ接続枚数計算ツール!$I$6-HUAWEI製ＰＣＳ接続枚数計算ツール!$G$6)+HUAWEI製ＰＣＳ接続枚数計算ツール!$G$6)*VLOOKUP(HUAWEI製ＰＣＳ接続枚数計算ツール!$C$9,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5" s="86">
        <f>((1-1/MAX(100%,過積載率!N15))^0.5*(HUAWEI製ＰＣＳ接続枚数計算ツール!$I$6-HUAWEI製ＰＣＳ接続枚数計算ツール!$G$6)+HUAWEI製ＰＣＳ接続枚数計算ツール!$G$6)*VLOOKUP(HUAWEI製ＰＣＳ接続枚数計算ツール!$C$9,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15" s="86">
        <f>((1-1/MAX(100%,過積載率!O15))^0.5*(HUAWEI製ＰＣＳ接続枚数計算ツール!$I$6-HUAWEI製ＰＣＳ接続枚数計算ツール!$G$6)+HUAWEI製ＰＣＳ接続枚数計算ツール!$G$6)*VLOOKUP(HUAWEI製ＰＣＳ接続枚数計算ツール!$C$9,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15" s="86">
        <f>((1-1/MAX(100%,過積載率!P15))^0.5*(HUAWEI製ＰＣＳ接続枚数計算ツール!$I$6-HUAWEI製ＰＣＳ接続枚数計算ツール!$G$6)+HUAWEI製ＰＣＳ接続枚数計算ツール!$G$6)*VLOOKUP(HUAWEI製ＰＣＳ接続枚数計算ツール!$C$9,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15" s="86">
        <f>((1-1/MAX(100%,過積載率!Q15))^0.5*(HUAWEI製ＰＣＳ接続枚数計算ツール!$I$6-HUAWEI製ＰＣＳ接続枚数計算ツール!$G$6)+HUAWEI製ＰＣＳ接続枚数計算ツール!$G$6)*VLOOKUP(HUAWEI製ＰＣＳ接続枚数計算ツール!$C$9,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15" s="86">
        <f>((1-1/MAX(100%,過積載率!R15))^0.5*(HUAWEI製ＰＣＳ接続枚数計算ツール!$I$6-HUAWEI製ＰＣＳ接続枚数計算ツール!$G$6)+HUAWEI製ＰＣＳ接続枚数計算ツール!$G$6)*VLOOKUP(HUAWEI製ＰＣＳ接続枚数計算ツール!$C$9, HUAWEI製ＰＣＳ接続枚数計算ツール!$B$119:$P$149,10,FALSE)</f>
        <v>45.298998425442775</v>
      </c>
      <c r="S15" s="86">
        <f>((1-1/MAX(100%,過積載率!S15))^0.5*(HUAWEI製ＰＣＳ接続枚数計算ツール!$I$6-HUAWEI製ＰＣＳ接続枚数計算ツール!$G$6)+HUAWEI製ＰＣＳ接続枚数計算ツール!$G$6)*VLOOKUP(HUAWEI製ＰＣＳ接続枚数計算ツール!$C$9, HUAWEI製ＰＣＳ接続枚数計算ツール!$B$119:$P$149,10,FALSE)</f>
        <v>46.094950225184441</v>
      </c>
      <c r="T15" s="86">
        <f>((1-1/MAX(100%,過積載率!T15))^0.5*(HUAWEI製ＰＣＳ接続枚数計算ツール!$I$6-HUAWEI製ＰＣＳ接続枚数計算ツール!$G$6)+HUAWEI製ＰＣＳ接続枚数計算ツール!$G$6)*VLOOKUP(HUAWEI製ＰＣＳ接続枚数計算ツール!$C$9, HUAWEI製ＰＣＳ接続枚数計算ツール!$B$119:$P$149,10,FALSE)</f>
        <v>46.654021522455473</v>
      </c>
      <c r="U15" s="86">
        <f>((1-1/MAX(100%,過積載率!U15))^0.5*(HUAWEI製ＰＣＳ接続枚数計算ツール!$I$6-HUAWEI製ＰＣＳ接続枚数計算ツール!$G$6)+HUAWEI製ＰＣＳ接続枚数計算ツール!$G$6)*VLOOKUP(HUAWEI製ＰＣＳ接続枚数計算ツール!$C$9, HUAWEI製ＰＣＳ接続枚数計算ツール!$B$119:$P$149,10,FALSE)</f>
        <v>47.088663902372701</v>
      </c>
      <c r="V15" s="86">
        <f>((1-1/MAX(100%,過積載率!V15))^0.5*(HUAWEI製ＰＣＳ接続枚数計算ツール!$I$6-HUAWEI製ＰＣＳ接続枚数計算ツール!$G$6)+HUAWEI製ＰＣＳ接続枚数計算ツール!$G$6)*VLOOKUP(HUAWEI製ＰＣＳ接続枚数計算ツール!$C$9, HUAWEI製ＰＣＳ接続枚数計算ツール!$B$119:$P$149,10,FALSE)</f>
        <v>47.443518231183518</v>
      </c>
      <c r="W15" s="86">
        <f>((1-1/MAX(100%,過積載率!W15))^0.5*(HUAWEI製ＰＣＳ接続枚数計算ツール!$I$6-HUAWEI製ＰＣＳ接続枚数計算ツール!$G$6)+HUAWEI製ＰＣＳ接続枚数計算ツール!$G$6)*VLOOKUP(HUAWEI製ＰＣＳ接続枚数計算ツール!$C$9, HUAWEI製ＰＣＳ接続枚数計算ツール!$B$119:$P$149,10,FALSE)</f>
        <v>47.741997848966733</v>
      </c>
      <c r="X15" s="86">
        <f>((1-1/MAX(100%,過積載率!X15))^0.5*(HUAWEI製ＰＣＳ接続枚数計算ツール!$I$6-HUAWEI製ＰＣＳ接続枚数計算ツール!$G$6)+HUAWEI製ＰＣＳ接続枚数計算ツール!$G$6)*VLOOKUP(HUAWEI製ＰＣＳ接続枚数計算ツール!$C$9, HUAWEI製ＰＣＳ接続枚数計算ツール!$B$119:$P$149,10,FALSE)</f>
        <v>47.998257226895731</v>
      </c>
      <c r="Y15" s="86">
        <f>((1-1/MAX(100%,過積載率!Y15))^0.5*(HUAWEI製ＰＣＳ接続枚数計算ツール!$I$6-HUAWEI製ＰＣＳ接続枚数計算ツール!$G$6)+HUAWEI製ＰＣＳ接続枚数計算ツール!$G$6)*VLOOKUP(HUAWEI製ＰＣＳ接続枚数計算ツール!$C$9, HUAWEI製ＰＣＳ接続枚数計算ツール!$B$119:$P$149,10,FALSE)</f>
        <v>48.221634463466017</v>
      </c>
      <c r="Z15" s="86">
        <f>((1-1/MAX(100%,過積載率!Z15))^0.5*(HUAWEI製ＰＣＳ接続枚数計算ツール!$I$6-HUAWEI製ＰＣＳ接続枚数計算ツール!$G$6)+HUAWEI製ＰＣＳ接続枚数計算ツール!$G$6)*VLOOKUP(HUAWEI製ＰＣＳ接続枚数計算ツール!$C$9, HUAWEI製ＰＣＳ接続枚数計算ツール!$B$119:$P$149,10,FALSE)</f>
        <v>48.418666713264074</v>
      </c>
      <c r="AA15" s="86">
        <f>((1-1/MAX(100%,過積載率!AA15))^0.5*(HUAWEI製ＰＣＳ接続枚数計算ツール!$I$6-HUAWEI製ＰＣＳ接続枚数計算ツール!$G$6)+HUAWEI製ＰＣＳ接続枚数計算ツール!$G$6)*VLOOKUP(HUAWEI製ＰＣＳ接続枚数計算ツール!$C$9, HUAWEI製ＰＣＳ接続枚数計算ツール!$B$119:$P$149,10,FALSE)</f>
        <v>48.594131382233449</v>
      </c>
      <c r="AB15" s="86">
        <f>((1-1/MAX(100%,過積載率!AB15))^0.5*(HUAWEI製ＰＣＳ接続枚数計算ツール!$I$6-HUAWEI製ＰＣＳ接続枚数計算ツール!$G$6)+HUAWEI製ＰＣＳ接続枚数計算ツール!$G$6)*VLOOKUP(HUAWEI製ＰＣＳ接続枚数計算ツール!$C$9, HUAWEI製ＰＣＳ接続枚数計算ツール!$B$119:$P$149,10,FALSE)</f>
        <v>48.751635701871074</v>
      </c>
      <c r="AC15" s="86">
        <f>((1-1/MAX(100%,過積載率!AC15))^0.5*(HUAWEI製ＰＣＳ接続枚数計算ツール!$I$6-HUAWEI製ＰＣＳ接続枚数計算ツール!$G$6)+HUAWEI製ＰＣＳ接続枚数計算ツール!$G$6)*VLOOKUP(HUAWEI製ＰＣＳ接続枚数計算ツール!$C$9, HUAWEI製ＰＣＳ接続枚数計算ツール!$B$119:$P$149,10,FALSE)</f>
        <v>48.893974208755004</v>
      </c>
      <c r="AD15" s="86">
        <f>((1-1/MAX(100%,過積載率!AD15))^0.5*(HUAWEI製ＰＣＳ接続枚数計算ツール!$I$6-HUAWEI製ＰＣＳ接続枚数計算ツール!$G$6)+HUAWEI製ＰＣＳ接続枚数計算ツール!$G$6)*VLOOKUP(HUAWEI製ＰＣＳ接続枚数計算ツール!$C$9, HUAWEI製ＰＣＳ接続枚数計算ツール!$B$119:$P$149,10,FALSE)</f>
        <v>49.023357291660908</v>
      </c>
      <c r="AE15" s="86">
        <f>((1-1/MAX(100%,過積載率!AE15))^0.5*(HUAWEI製ＰＣＳ接続枚数計算ツール!$I$6-HUAWEI製ＰＣＳ接続枚数計算ツール!$G$6)+HUAWEI製ＰＣＳ接続枚数計算ツール!$G$6)*VLOOKUP(HUAWEI製ＰＣＳ接続枚数計算ツール!$C$9, HUAWEI製ＰＣＳ接続枚数計算ツール!$B$119:$P$149,10,FALSE)</f>
        <v>49.141563613258562</v>
      </c>
      <c r="AF15" s="86">
        <f>((1-1/MAX(100%,過積載率!AF15))^0.5*(HUAWEI製ＰＣＳ接続枚数計算ツール!$I$6-HUAWEI製ＰＣＳ接続枚数計算ツール!$G$6)+HUAWEI製ＰＣＳ接続枚数計算ツール!$G$6)*VLOOKUP(HUAWEI製ＰＣＳ接続枚数計算ツール!$C$9, HUAWEI製ＰＣＳ接続枚数計算ツール!$B$119:$P$149,10,FALSE)</f>
        <v>49.250045326099439</v>
      </c>
      <c r="AG15" s="86">
        <f>((1-1/MAX(100%,過積載率!AG15))^0.5*(HUAWEI製ＰＣＳ接続枚数計算ツール!$I$6-HUAWEI製ＰＣＳ接続枚数計算ツール!$G$6)+HUAWEI製ＰＣＳ接続枚数計算ツール!$G$6)*VLOOKUP(HUAWEI製ＰＣＳ接続枚数計算ツール!$C$9, HUAWEI製ＰＣＳ接続枚数計算ツール!$B$119:$P$149,10,FALSE)</f>
        <v>49.350002812343284</v>
      </c>
      <c r="AH15" s="86">
        <f>((1-1/MAX(100%,過積載率!AH15))^0.5*(HUAWEI製ＰＣＳ接続枚数計算ツール!$I$6-HUAWEI製ＰＣＳ接続枚数計算ツール!$G$6)+HUAWEI製ＰＣＳ接続枚数計算ツール!$G$6)*VLOOKUP(HUAWEI製ＰＣＳ接続枚数計算ツール!$C$9, HUAWEI製ＰＣＳ接続枚数計算ツール!$B$119:$P$149,10,FALSE)</f>
        <v>49.442439073579585</v>
      </c>
      <c r="AI15" s="86">
        <f>((1-1/MAX(100%,過積載率!AI15))^0.5*(HUAWEI製ＰＣＳ接続枚数計算ツール!$I$6-HUAWEI製ＰＣＳ接続枚数計算ツール!$G$6)+HUAWEI製ＰＣＳ接続枚数計算ツール!$G$6)*VLOOKUP(HUAWEI製ＰＣＳ接続枚数計算ツール!$C$9, HUAWEI製ＰＣＳ接続枚数計算ツール!$B$119:$P$149,10,FALSE)</f>
        <v>49.528200138454068</v>
      </c>
      <c r="AJ15" s="86">
        <f>((1-1/MAX(100%,過積載率!AJ15))^0.5*(HUAWEI製ＰＣＳ接続枚数計算ツール!$I$6-HUAWEI製ＰＣＳ接続枚数計算ツール!$G$6)+HUAWEI製ＰＣＳ接続枚数計算ツール!$G$6)*VLOOKUP(HUAWEI製ＰＣＳ接続枚数計算ツール!$C$9, HUAWEI製ＰＣＳ接続枚数計算ツール!$B$119:$P$149,10,FALSE)</f>
        <v>49.608005624597318</v>
      </c>
      <c r="AK15" s="86">
        <f>((1-1/MAX(100%,過積載率!AK15))^0.5*(HUAWEI製ＰＣＳ接続枚数計算ツール!$I$6-HUAWEI製ＰＣＳ接続枚数計算ツール!$G$6)+HUAWEI製ＰＣＳ接続枚数計算ツール!$G$6)*VLOOKUP(HUAWEI製ＰＣＳ接続枚数計算ツール!$C$9, HUAWEI製ＰＣＳ接続枚数計算ツール!$B$119:$P$149,10,FALSE)</f>
        <v>49.682472218361099</v>
      </c>
      <c r="AL15" s="86">
        <f>((1-1/MAX(100%,過積載率!AL15))^0.5*(HUAWEI製ＰＣＳ接続枚数計算ツール!$I$6-HUAWEI製ＰＣＳ接続枚数計算ツール!$G$6)+HUAWEI製ＰＣＳ接続枚数計算ツール!$G$6)*VLOOKUP(HUAWEI製ＰＣＳ接続枚数計算ツール!$C$9, HUAWEI製ＰＣＳ接続枚数計算ツール!$B$119:$P$149,10,FALSE)</f>
        <v>49.752131964256165</v>
      </c>
      <c r="AM15" s="86">
        <f>((1-1/MAX(100%,過積載率!AM15))^0.5*(HUAWEI製ＰＣＳ接続枚数計算ツール!$I$6-HUAWEI製ＰＣＳ接続枚数計算ツール!$G$6)+HUAWEI製ＰＣＳ接続枚数計算ツール!$G$6)*VLOOKUP(HUAWEI製ＰＣＳ接続枚数計算ツール!$C$9, HUAWEI製ＰＣＳ接続枚数計算ツール!$B$119:$P$149,10,FALSE)</f>
        <v>49.817446687381512</v>
      </c>
      <c r="AN15" s="86">
        <f>((1-1/MAX(100%,過積載率!AN15))^0.5*(HUAWEI製ＰＣＳ接続枚数計算ツール!$I$6-HUAWEI製ＰＣＳ接続枚数計算ツール!$G$6)+HUAWEI製ＰＣＳ接続枚数計算ツール!$G$6)*VLOOKUP(HUAWEI製ＰＣＳ接続枚数計算ツール!$C$9, HUAWEI製ＰＣＳ接続枚数計算ツール!$B$119:$P$149,10,FALSE)</f>
        <v>49.878819492184427</v>
      </c>
      <c r="AO15" s="86">
        <f>((1-1/MAX(100%,過積載率!AO15))^0.5*(HUAWEI製ＰＣＳ接続枚数計算ツール!$I$6-HUAWEI製ＰＣＳ接続枚数計算ツール!$G$6)+HUAWEI製ＰＣＳ接続枚数計算ツール!$G$6)*VLOOKUP(HUAWEI製ＰＣＳ接続枚数計算ツール!$C$9, HUAWEI製ＰＣＳ接続枚数計算ツール!$B$119:$P$149,10,FALSE)</f>
        <v>49.936604021527778</v>
      </c>
    </row>
    <row r="16" spans="1:41">
      <c r="A16">
        <v>14</v>
      </c>
      <c r="B16" s="86">
        <f>((1-1/MAX(100%,過積載率!B16))^0.5*(HUAWEI製ＰＣＳ接続枚数計算ツール!$I$6-HUAWEI製ＰＣＳ接続枚数計算ツール!$G$6)+HUAWEI製ＰＣＳ接続枚数計算ツール!$G$6)*VLOOKUP(HUAWEI製ＰＣＳ接続枚数計算ツール!$C$9,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6" s="86">
        <f>((1-1/MAX(100%,過積載率!C16))^0.5*(HUAWEI製ＰＣＳ接続枚数計算ツール!$I$6-HUAWEI製ＰＣＳ接続枚数計算ツール!$G$6)+HUAWEI製ＰＣＳ接続枚数計算ツール!$G$6)*VLOOKUP(HUAWEI製ＰＣＳ接続枚数計算ツール!$C$9,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6" s="86">
        <f>((1-1/MAX(100%,過積載率!D16))^0.5*(HUAWEI製ＰＣＳ接続枚数計算ツール!$I$6-HUAWEI製ＰＣＳ接続枚数計算ツール!$G$6)+HUAWEI製ＰＣＳ接続枚数計算ツール!$G$6)*VLOOKUP(HUAWEI製ＰＣＳ接続枚数計算ツール!$C$9,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6" s="86">
        <f>((1-1/MAX(100%,過積載率!E16))^0.5*(HUAWEI製ＰＣＳ接続枚数計算ツール!$I$6-HUAWEI製ＰＣＳ接続枚数計算ツール!$G$6)+HUAWEI製ＰＣＳ接続枚数計算ツール!$G$6)*VLOOKUP(HUAWEI製ＰＣＳ接続枚数計算ツール!$C$9,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6" s="86">
        <f>((1-1/MAX(100%,過積載率!F16))^0.5*(HUAWEI製ＰＣＳ接続枚数計算ツール!$I$6-HUAWEI製ＰＣＳ接続枚数計算ツール!$G$6)+HUAWEI製ＰＣＳ接続枚数計算ツール!$G$6)*VLOOKUP(HUAWEI製ＰＣＳ接続枚数計算ツール!$C$9,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6" s="86">
        <f>((1-1/MAX(100%,過積載率!G16))^0.5*(HUAWEI製ＰＣＳ接続枚数計算ツール!$I$6-HUAWEI製ＰＣＳ接続枚数計算ツール!$G$6)+HUAWEI製ＰＣＳ接続枚数計算ツール!$G$6)*VLOOKUP(HUAWEI製ＰＣＳ接続枚数計算ツール!$C$9,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6" s="86">
        <f>((1-1/MAX(100%,過積載率!H16))^0.5*(HUAWEI製ＰＣＳ接続枚数計算ツール!$I$6-HUAWEI製ＰＣＳ接続枚数計算ツール!$G$6)+HUAWEI製ＰＣＳ接続枚数計算ツール!$G$6)*VLOOKUP(HUAWEI製ＰＣＳ接続枚数計算ツール!$C$9,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6" s="86">
        <f>((1-1/MAX(100%,過積載率!I16))^0.5*(HUAWEI製ＰＣＳ接続枚数計算ツール!$I$6-HUAWEI製ＰＣＳ接続枚数計算ツール!$G$6)+HUAWEI製ＰＣＳ接続枚数計算ツール!$G$6)*VLOOKUP(HUAWEI製ＰＣＳ接続枚数計算ツール!$C$9,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6" s="86">
        <f>((1-1/MAX(100%,過積載率!J16))^0.5*(HUAWEI製ＰＣＳ接続枚数計算ツール!$I$6-HUAWEI製ＰＣＳ接続枚数計算ツール!$G$6)+HUAWEI製ＰＣＳ接続枚数計算ツール!$G$6)*VLOOKUP(HUAWEI製ＰＣＳ接続枚数計算ツール!$C$9,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6" s="86">
        <f>((1-1/MAX(100%,過積載率!K16))^0.5*(HUAWEI製ＰＣＳ接続枚数計算ツール!$I$6-HUAWEI製ＰＣＳ接続枚数計算ツール!$G$6)+HUAWEI製ＰＣＳ接続枚数計算ツール!$G$6)*VLOOKUP(HUAWEI製ＰＣＳ接続枚数計算ツール!$C$9,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6" s="86">
        <f>((1-1/MAX(100%,過積載率!L16))^0.5*(HUAWEI製ＰＣＳ接続枚数計算ツール!$I$6-HUAWEI製ＰＣＳ接続枚数計算ツール!$G$6)+HUAWEI製ＰＣＳ接続枚数計算ツール!$G$6)*VLOOKUP(HUAWEI製ＰＣＳ接続枚数計算ツール!$C$9,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6" s="86">
        <f>((1-1/MAX(100%,過積載率!M16))^0.5*(HUAWEI製ＰＣＳ接続枚数計算ツール!$I$6-HUAWEI製ＰＣＳ接続枚数計算ツール!$G$6)+HUAWEI製ＰＣＳ接続枚数計算ツール!$G$6)*VLOOKUP(HUAWEI製ＰＣＳ接続枚数計算ツール!$C$9,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6" s="86">
        <f>((1-1/MAX(100%,過積載率!N16))^0.5*(HUAWEI製ＰＣＳ接続枚数計算ツール!$I$6-HUAWEI製ＰＣＳ接続枚数計算ツール!$G$6)+HUAWEI製ＰＣＳ接続枚数計算ツール!$G$6)*VLOOKUP(HUAWEI製ＰＣＳ接続枚数計算ツール!$C$9,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16" s="86">
        <f>((1-1/MAX(100%,過積載率!O16))^0.5*(HUAWEI製ＰＣＳ接続枚数計算ツール!$I$6-HUAWEI製ＰＣＳ接続枚数計算ツール!$G$6)+HUAWEI製ＰＣＳ接続枚数計算ツール!$G$6)*VLOOKUP(HUAWEI製ＰＣＳ接続枚数計算ツール!$C$9,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16" s="86">
        <f>((1-1/MAX(100%,過積載率!P16))^0.5*(HUAWEI製ＰＣＳ接続枚数計算ツール!$I$6-HUAWEI製ＰＣＳ接続枚数計算ツール!$G$6)+HUAWEI製ＰＣＳ接続枚数計算ツール!$G$6)*VLOOKUP(HUAWEI製ＰＣＳ接続枚数計算ツール!$C$9, HUAWEI製ＰＣＳ接続枚数計算ツール!$B$119:$P$149,10,FALSE)</f>
        <v>43.995426726771406</v>
      </c>
      <c r="Q16" s="86">
        <f>((1-1/MAX(100%,過積載率!Q16))^0.5*(HUAWEI製ＰＣＳ接続枚数計算ツール!$I$6-HUAWEI製ＰＣＳ接続枚数計算ツール!$G$6)+HUAWEI製ＰＣＳ接続枚数計算ツール!$G$6)*VLOOKUP(HUAWEI製ＰＣＳ接続枚数計算ツール!$C$9, HUAWEI製ＰＣＳ接続枚数計算ツール!$B$119:$P$149,10,FALSE)</f>
        <v>45.51629039968671</v>
      </c>
      <c r="R16" s="86">
        <f>((1-1/MAX(100%,過積載率!R16))^0.5*(HUAWEI製ＰＣＳ接続枚数計算ツール!$I$6-HUAWEI製ＰＣＳ接続枚数計算ツール!$G$6)+HUAWEI製ＰＣＳ接続枚数計算ツール!$G$6)*VLOOKUP(HUAWEI製ＰＣＳ接続枚数計算ツール!$C$9, HUAWEI製ＰＣＳ接続枚数計算ツール!$B$119:$P$149,10,FALSE)</f>
        <v>46.284591975560801</v>
      </c>
      <c r="S16" s="86">
        <f>((1-1/MAX(100%,過積載率!S16))^0.5*(HUAWEI製ＰＣＳ接続枚数計算ツール!$I$6-HUAWEI製ＰＣＳ接続枚数計算ツール!$G$6)+HUAWEI製ＰＣＳ接続枚数計算ツール!$G$6)*VLOOKUP(HUAWEI製ＰＣＳ接続枚数計算ツール!$C$9, HUAWEI製ＰＣＳ接続枚数計算ツール!$B$119:$P$149,10,FALSE)</f>
        <v>46.832767074015699</v>
      </c>
      <c r="T16" s="86">
        <f>((1-1/MAX(100%,過積載率!T16))^0.5*(HUAWEI製ＰＣＳ接続枚数計算ツール!$I$6-HUAWEI製ＰＣＳ接続枚数計算ツール!$G$6)+HUAWEI製ＰＣＳ接続枚数計算ツール!$G$6)*VLOOKUP(HUAWEI製ＰＣＳ接続枚数計算ツール!$C$9, HUAWEI製ＰＣＳ接続枚数計算ツール!$B$119:$P$149,10,FALSE)</f>
        <v>47.26064209870686</v>
      </c>
      <c r="U16" s="86">
        <f>((1-1/MAX(100%,過積載率!U16))^0.5*(HUAWEI製ＰＣＳ接続枚数計算ツール!$I$6-HUAWEI製ＰＣＳ接続枚数計算ツール!$G$6)+HUAWEI製ＰＣＳ接続枚数計算ツール!$G$6)*VLOOKUP(HUAWEI製ＰＣＳ接続枚数計算ツール!$C$9, HUAWEI製ＰＣＳ接続枚数計算ツール!$B$119:$P$149,10,FALSE)</f>
        <v>47.610195632349743</v>
      </c>
      <c r="V16" s="86">
        <f>((1-1/MAX(100%,過積載率!V16))^0.5*(HUAWEI製ＰＣＳ接続枚数計算ツール!$I$6-HUAWEI製ＰＣＳ接続枚数計算ツール!$G$6)+HUAWEI製ＰＣＳ接続枚数計算ツール!$G$6)*VLOOKUP(HUAWEI製ＰＣＳ接続枚数計算ツール!$C$9, HUAWEI製ＰＣＳ接続枚数計算ツール!$B$119:$P$149,10,FALSE)</f>
        <v>47.904020604864861</v>
      </c>
      <c r="W16" s="86">
        <f>((1-1/MAX(100%,過積載率!W16))^0.5*(HUAWEI製ＰＣＳ接続枚数計算ツール!$I$6-HUAWEI製ＰＣＳ接続枚数計算ツール!$G$6)+HUAWEI製ＰＣＳ接続枚数計算ツール!$G$6)*VLOOKUP(HUAWEI製ＰＣＳ接続枚数計算ツール!$C$9, HUAWEI製ＰＣＳ接続枚数計算ツール!$B$119:$P$149,10,FALSE)</f>
        <v>48.155970923973165</v>
      </c>
      <c r="X16" s="86">
        <f>((1-1/MAX(100%,過積載率!X16))^0.5*(HUAWEI製ＰＣＳ接続枚数計算ツール!$I$6-HUAWEI製ＰＣＳ接続枚数計算ツール!$G$6)+HUAWEI製ＰＣＳ接続枚数計算ツール!$G$6)*VLOOKUP(HUAWEI製ＰＣＳ接続枚数計算ツール!$C$9, HUAWEI製ＰＣＳ接続枚数計算ツール!$B$119:$P$149,10,FALSE)</f>
        <v>48.37526388093589</v>
      </c>
      <c r="Y16" s="86">
        <f>((1-1/MAX(100%,過積載率!Y16))^0.5*(HUAWEI製ＰＣＳ接続枚数計算ツール!$I$6-HUAWEI製ＰＣＳ接続枚数計算ツール!$G$6)+HUAWEI製ＰＣＳ接続枚数計算ツール!$G$6)*VLOOKUP(HUAWEI製ＰＣＳ接続枚数計算ツール!$C$9, HUAWEI製ＰＣＳ接続枚数計算ツール!$B$119:$P$149,10,FALSE)</f>
        <v>48.568385348613688</v>
      </c>
      <c r="Z16" s="86">
        <f>((1-1/MAX(100%,過積載率!Z16))^0.5*(HUAWEI製ＰＣＳ接続枚数計算ツール!$I$6-HUAWEI製ＰＣＳ接続枚数計算ツール!$G$6)+HUAWEI製ＰＣＳ接続枚数計算ツール!$G$6)*VLOOKUP(HUAWEI製ＰＣＳ接続枚数計算ツール!$C$9, HUAWEI製ＰＣＳ接続枚数計算ツール!$B$119:$P$149,10,FALSE)</f>
        <v>48.740089985511624</v>
      </c>
      <c r="AA16" s="86">
        <f>((1-1/MAX(100%,過積載率!AA16))^0.5*(HUAWEI製ＰＣＳ接続枚数計算ツール!$I$6-HUAWEI製ＰＣＳ接続枚数計算ツール!$G$6)+HUAWEI製ＰＣＳ接続枚数計算ツール!$G$6)*VLOOKUP(HUAWEI製ＰＣＳ接続枚数計算ツール!$C$9, HUAWEI製ＰＣＳ接続枚数計算ツール!$B$119:$P$149,10,FALSE)</f>
        <v>48.893974208755004</v>
      </c>
      <c r="AB16" s="86">
        <f>((1-1/MAX(100%,過積載率!AB16))^0.5*(HUAWEI製ＰＣＳ接続枚数計算ツール!$I$6-HUAWEI製ＰＣＳ接続枚数計算ツール!$G$6)+HUAWEI製ＰＣＳ接続枚数計算ツール!$G$6)*VLOOKUP(HUAWEI製ＰＣＳ接続枚数計算ツール!$C$9, HUAWEI製ＰＣＳ接続枚数計算ツール!$B$119:$P$149,10,FALSE)</f>
        <v>49.03282660712312</v>
      </c>
      <c r="AC16" s="86">
        <f>((1-1/MAX(100%,過積載率!AC16))^0.5*(HUAWEI製ＰＣＳ接続枚数計算ツール!$I$6-HUAWEI製ＰＣＳ接続枚数計算ツール!$G$6)+HUAWEI製ＰＣＳ接続枚数計算ツール!$G$6)*VLOOKUP(HUAWEI製ＰＣＳ接続枚数計算ツール!$C$9, HUAWEI製ＰＣＳ接続枚数計算ツール!$B$119:$P$149,10,FALSE)</f>
        <v>49.158853421223114</v>
      </c>
      <c r="AD16" s="86">
        <f>((1-1/MAX(100%,過積載率!AD16))^0.5*(HUAWEI製ＰＣＳ接続枚数計算ツール!$I$6-HUAWEI製ＰＣＳ接続枚数計算ツール!$G$6)+HUAWEI製ＰＣＳ接続枚数計算ツール!$G$6)*VLOOKUP(HUAWEI製ＰＣＳ接続枚数計算ツール!$C$9, HUAWEI製ＰＣＳ接続枚数計算ツール!$B$119:$P$149,10,FALSE)</f>
        <v>49.273829654048086</v>
      </c>
      <c r="AE16" s="86">
        <f>((1-1/MAX(100%,過積載率!AE16))^0.5*(HUAWEI製ＰＣＳ接続枚数計算ツール!$I$6-HUAWEI製ＰＣＳ接続枚数計算ツール!$G$6)+HUAWEI製ＰＣＳ接続枚数計算ツール!$G$6)*VLOOKUP(HUAWEI製ＰＣＳ接続枚数計算ツール!$C$9, HUAWEI製ＰＣＳ接続枚数計算ツール!$B$119:$P$149,10,FALSE)</f>
        <v>49.379203765130171</v>
      </c>
      <c r="AF16" s="86">
        <f>((1-1/MAX(100%,過積載率!AF16))^0.5*(HUAWEI製ＰＣＳ接続枚数計算ツール!$I$6-HUAWEI製ＰＣＳ接続枚数計算ツール!$G$6)+HUAWEI製ＰＣＳ接続枚数計算ツール!$G$6)*VLOOKUP(HUAWEI製ＰＣＳ接続枚数計算ツール!$C$9, HUAWEI製ＰＣＳ接続枚数計算ツール!$B$119:$P$149,10,FALSE)</f>
        <v>49.476172243343683</v>
      </c>
      <c r="AG16" s="86">
        <f>((1-1/MAX(100%,過積載率!AG16))^0.5*(HUAWEI製ＰＣＳ接続枚数計算ツール!$I$6-HUAWEI製ＰＣＳ接続枚数計算ツール!$G$6)+HUAWEI製ＰＣＳ接続枚数計算ツール!$G$6)*VLOOKUP(HUAWEI製ＰＣＳ接続枚数計算ツール!$C$9, HUAWEI製ＰＣＳ接続枚数計算ツール!$B$119:$P$149,10,FALSE)</f>
        <v>49.565733984236452</v>
      </c>
      <c r="AH16" s="86">
        <f>((1-1/MAX(100%,過積載率!AH16))^0.5*(HUAWEI製ＰＣＳ接続枚数計算ツール!$I$6-HUAWEI製ＰＣＳ接続枚数計算ツール!$G$6)+HUAWEI製ＰＣＳ接続枚数計算ツール!$G$6)*VLOOKUP(HUAWEI製ＰＣＳ接続枚数計算ツール!$C$9, HUAWEI製ＰＣＳ接続枚数計算ツール!$B$119:$P$149,10,FALSE)</f>
        <v>49.648730746133602</v>
      </c>
      <c r="AI16" s="86">
        <f>((1-1/MAX(100%,過積載率!AI16))^0.5*(HUAWEI製ＰＣＳ接続枚数計算ツール!$I$6-HUAWEI製ＰＣＳ接続枚数計算ツール!$G$6)+HUAWEI製ＰＣＳ接続枚数計算ツール!$G$6)*VLOOKUP(HUAWEI製ＰＣＳ接続枚数計算ツール!$C$9, HUAWEI製ＰＣＳ接続枚数計算ツール!$B$119:$P$149,10,FALSE)</f>
        <v>49.725877778376876</v>
      </c>
      <c r="AJ16" s="86">
        <f>((1-1/MAX(100%,過積載率!AJ16))^0.5*(HUAWEI製ＰＣＳ接続枚数計算ツール!$I$6-HUAWEI製ＰＣＳ接続枚数計算ツール!$G$6)+HUAWEI製ＰＣＳ接続枚数計算ツール!$G$6)*VLOOKUP(HUAWEI製ＰＣＳ接続枚数計算ツール!$C$9, HUAWEI製ＰＣＳ接続枚数計算ツール!$B$119:$P$149,10,FALSE)</f>
        <v>49.797787366120723</v>
      </c>
      <c r="AK16" s="86">
        <f>((1-1/MAX(100%,過積載率!AK16))^0.5*(HUAWEI製ＰＣＳ接続枚数計算ツール!$I$6-HUAWEI製ＰＣＳ接続枚数計算ツール!$G$6)+HUAWEI製ＰＣＳ接続枚数計算ツール!$G$6)*VLOOKUP(HUAWEI製ＰＣＳ接続枚数計算ツール!$C$9, HUAWEI製ＰＣＳ接続枚数計算ツール!$B$119:$P$149,10,FALSE)</f>
        <v>49.864987176011788</v>
      </c>
      <c r="AL16" s="86">
        <f>((1-1/MAX(100%,過積載率!AL16))^0.5*(HUAWEI製ＰＣＳ接続枚数計算ツール!$I$6-HUAWEI製ＰＣＳ接続枚数計算ツール!$G$6)+HUAWEI製ＰＣＳ接続枚数計算ツール!$G$6)*VLOOKUP(HUAWEI製ＰＣＳ接続枚数計算ツール!$C$9, HUAWEI製ＰＣＳ接続枚数計算ツール!$B$119:$P$149,10,FALSE)</f>
        <v>49.927934723901721</v>
      </c>
      <c r="AM16" s="86">
        <f>((1-1/MAX(100%,過積載率!AM16))^0.5*(HUAWEI製ＰＣＳ接続枚数計算ツール!$I$6-HUAWEI製ＰＣＳ接続枚数計算ツール!$G$6)+HUAWEI製ＰＣＳ接続枚数計算ツール!$G$6)*VLOOKUP(HUAWEI製ＰＣＳ接続枚数計算ツール!$C$9, HUAWEI製ＰＣＳ接続枚数計算ツール!$B$119:$P$149,10,FALSE)</f>
        <v>49.987028908233938</v>
      </c>
      <c r="AN16" s="86">
        <f>((1-1/MAX(100%,過積載率!AN16))^0.5*(HUAWEI製ＰＣＳ接続枚数計算ツール!$I$6-HUAWEI製ＰＣＳ接続枚数計算ツール!$G$6)+HUAWEI製ＰＣＳ接続枚数計算ツール!$G$6)*VLOOKUP(HUAWEI製ＰＣＳ接続枚数計算ツール!$C$9, HUAWEI製ＰＣＳ接続枚数計算ツール!$B$119:$P$149,10,FALSE)</f>
        <v>50.042619294361394</v>
      </c>
      <c r="AO16" s="86">
        <f>((1-1/MAX(100%,過積載率!AO16))^0.5*(HUAWEI製ＰＣＳ接続枚数計算ツール!$I$6-HUAWEI製ＰＣＳ接続枚数計算ツール!$G$6)+HUAWEI製ＰＣＳ接続枚数計算ツール!$G$6)*VLOOKUP(HUAWEI製ＰＣＳ接続枚数計算ツール!$C$9, HUAWEI製ＰＣＳ接続枚数計算ツール!$B$119:$P$149,10,FALSE)</f>
        <v>50.095013654877256</v>
      </c>
    </row>
    <row r="17" spans="1:41">
      <c r="A17">
        <v>15</v>
      </c>
      <c r="B17" s="86">
        <f>((1-1/MAX(100%,過積載率!B17))^0.5*(HUAWEI製ＰＣＳ接続枚数計算ツール!$I$6-HUAWEI製ＰＣＳ接続枚数計算ツール!$G$6)+HUAWEI製ＰＣＳ接続枚数計算ツール!$G$6)*VLOOKUP(HUAWEI製ＰＣＳ接続枚数計算ツール!$C$9,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7" s="86">
        <f>((1-1/MAX(100%,過積載率!C17))^0.5*(HUAWEI製ＰＣＳ接続枚数計算ツール!$I$6-HUAWEI製ＰＣＳ接続枚数計算ツール!$G$6)+HUAWEI製ＰＣＳ接続枚数計算ツール!$G$6)*VLOOKUP(HUAWEI製ＰＣＳ接続枚数計算ツール!$C$9,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7" s="86">
        <f>((1-1/MAX(100%,過積載率!D17))^0.5*(HUAWEI製ＰＣＳ接続枚数計算ツール!$I$6-HUAWEI製ＰＣＳ接続枚数計算ツール!$G$6)+HUAWEI製ＰＣＳ接続枚数計算ツール!$G$6)*VLOOKUP(HUAWEI製ＰＣＳ接続枚数計算ツール!$C$9,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7" s="86">
        <f>((1-1/MAX(100%,過積載率!E17))^0.5*(HUAWEI製ＰＣＳ接続枚数計算ツール!$I$6-HUAWEI製ＰＣＳ接続枚数計算ツール!$G$6)+HUAWEI製ＰＣＳ接続枚数計算ツール!$G$6)*VLOOKUP(HUAWEI製ＰＣＳ接続枚数計算ツール!$C$9,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7" s="86">
        <f>((1-1/MAX(100%,過積載率!F17))^0.5*(HUAWEI製ＰＣＳ接続枚数計算ツール!$I$6-HUAWEI製ＰＣＳ接続枚数計算ツール!$G$6)+HUAWEI製ＰＣＳ接続枚数計算ツール!$G$6)*VLOOKUP(HUAWEI製ＰＣＳ接続枚数計算ツール!$C$9,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7" s="86">
        <f>((1-1/MAX(100%,過積載率!G17))^0.5*(HUAWEI製ＰＣＳ接続枚数計算ツール!$I$6-HUAWEI製ＰＣＳ接続枚数計算ツール!$G$6)+HUAWEI製ＰＣＳ接続枚数計算ツール!$G$6)*VLOOKUP(HUAWEI製ＰＣＳ接続枚数計算ツール!$C$9,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7" s="86">
        <f>((1-1/MAX(100%,過積載率!H17))^0.5*(HUAWEI製ＰＣＳ接続枚数計算ツール!$I$6-HUAWEI製ＰＣＳ接続枚数計算ツール!$G$6)+HUAWEI製ＰＣＳ接続枚数計算ツール!$G$6)*VLOOKUP(HUAWEI製ＰＣＳ接続枚数計算ツール!$C$9,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7" s="86">
        <f>((1-1/MAX(100%,過積載率!I17))^0.5*(HUAWEI製ＰＣＳ接続枚数計算ツール!$I$6-HUAWEI製ＰＣＳ接続枚数計算ツール!$G$6)+HUAWEI製ＰＣＳ接続枚数計算ツール!$G$6)*VLOOKUP(HUAWEI製ＰＣＳ接続枚数計算ツール!$C$9,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7" s="86">
        <f>((1-1/MAX(100%,過積載率!J17))^0.5*(HUAWEI製ＰＣＳ接続枚数計算ツール!$I$6-HUAWEI製ＰＣＳ接続枚数計算ツール!$G$6)+HUAWEI製ＰＣＳ接続枚数計算ツール!$G$6)*VLOOKUP(HUAWEI製ＰＣＳ接続枚数計算ツール!$C$9,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7" s="86">
        <f>((1-1/MAX(100%,過積載率!K17))^0.5*(HUAWEI製ＰＣＳ接続枚数計算ツール!$I$6-HUAWEI製ＰＣＳ接続枚数計算ツール!$G$6)+HUAWEI製ＰＣＳ接続枚数計算ツール!$G$6)*VLOOKUP(HUAWEI製ＰＣＳ接続枚数計算ツール!$C$9,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7" s="86">
        <f>((1-1/MAX(100%,過積載率!L17))^0.5*(HUAWEI製ＰＣＳ接続枚数計算ツール!$I$6-HUAWEI製ＰＣＳ接続枚数計算ツール!$G$6)+HUAWEI製ＰＣＳ接続枚数計算ツール!$G$6)*VLOOKUP(HUAWEI製ＰＣＳ接続枚数計算ツール!$C$9,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7" s="86">
        <f>((1-1/MAX(100%,過積載率!M17))^0.5*(HUAWEI製ＰＣＳ接続枚数計算ツール!$I$6-HUAWEI製ＰＣＳ接続枚数計算ツール!$G$6)+HUAWEI製ＰＣＳ接続枚数計算ツール!$G$6)*VLOOKUP(HUAWEI製ＰＣＳ接続枚数計算ツール!$C$9,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7" s="86">
        <f>((1-1/MAX(100%,過積載率!N17))^0.5*(HUAWEI製ＰＣＳ接続枚数計算ツール!$I$6-HUAWEI製ＰＣＳ接続枚数計算ツール!$G$6)+HUAWEI製ＰＣＳ接続枚数計算ツール!$G$6)*VLOOKUP(HUAWEI製ＰＣＳ接続枚数計算ツール!$C$9,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17" s="86">
        <f>((1-1/MAX(100%,過積載率!O17))^0.5*(HUAWEI製ＰＣＳ接続枚数計算ツール!$I$6-HUAWEI製ＰＣＳ接続枚数計算ツール!$G$6)+HUAWEI製ＰＣＳ接続枚数計算ツール!$G$6)*VLOOKUP(HUAWEI製ＰＣＳ接続枚数計算ツール!$C$9, HUAWEI製ＰＣＳ接続枚数計算ツール!$B$119:$P$149,10,FALSE)</f>
        <v>43.995426726771406</v>
      </c>
      <c r="P17" s="86">
        <f>((1-1/MAX(100%,過積載率!P17))^0.5*(HUAWEI製ＰＣＳ接続枚数計算ツール!$I$6-HUAWEI製ＰＣＳ接続枚数計算ツール!$G$6)+HUAWEI製ＰＣＳ接続枚数計算ツール!$G$6)*VLOOKUP(HUAWEI製ＰＣＳ接続枚数計算ツール!$C$9, HUAWEI製ＰＣＳ接続枚数計算ツール!$B$119:$P$149,10,FALSE)</f>
        <v>45.583090336556161</v>
      </c>
      <c r="Q17" s="86">
        <f>((1-1/MAX(100%,過積載率!Q17))^0.5*(HUAWEI製ＰＣＳ接続枚数計算ツール!$I$6-HUAWEI製ＰＣＳ接続枚数計算ツール!$G$6)+HUAWEI製ＰＣＳ接続枚数計算ツール!$G$6)*VLOOKUP(HUAWEI製ＰＣＳ接続枚数計算ツール!$C$9, HUAWEI製ＰＣＳ接続枚数計算ツール!$B$119:$P$149,10,FALSE)</f>
        <v>46.372905499528542</v>
      </c>
      <c r="R17" s="86">
        <f>((1-1/MAX(100%,過積載率!R17))^0.5*(HUAWEI製ＰＣＳ接続枚数計算ツール!$I$6-HUAWEI製ＰＣＳ接続枚数計算ツール!$G$6)+HUAWEI製ＰＣＳ接続枚数計算ツール!$G$6)*VLOOKUP(HUAWEI製ＰＣＳ接続枚数計算ツール!$C$9, HUAWEI製ＰＣＳ接続枚数計算ツール!$B$119:$P$149,10,FALSE)</f>
        <v>46.932694815945311</v>
      </c>
      <c r="S17" s="86">
        <f>((1-1/MAX(100%,過積載率!S17))^0.5*(HUAWEI製ＰＣＳ接続枚数計算ツール!$I$6-HUAWEI製ＰＣＳ接続枚数計算ツール!$G$6)+HUAWEI製ＰＣＳ接続枚数計算ツール!$G$6)*VLOOKUP(HUAWEI製ＰＣＳ接続枚数計算ツール!$C$9, HUAWEI製ＰＣＳ接続枚数計算ツール!$B$119:$P$149,10,FALSE)</f>
        <v>47.367288267155793</v>
      </c>
      <c r="T17" s="86">
        <f>((1-1/MAX(100%,過積載率!T17))^0.5*(HUAWEI製ＰＣＳ接続枚数計算ツール!$I$6-HUAWEI製ＰＣＳ接続枚数計算ツール!$G$6)+HUAWEI製ＰＣＳ接続枚数計算ツール!$G$6)*VLOOKUP(HUAWEI製ＰＣＳ接続枚数計算ツール!$C$9, HUAWEI製ＰＣＳ接続枚数計算ツール!$B$119:$P$149,10,FALSE)</f>
        <v>47.720680639928673</v>
      </c>
      <c r="U17" s="86">
        <f>((1-1/MAX(100%,過積載率!U17))^0.5*(HUAWEI製ＰＣＳ接続枚数計算ツール!$I$6-HUAWEI製ＰＣＳ接続枚数計算ツール!$G$6)+HUAWEI製ＰＣＳ接続枚数計算ツール!$G$6)*VLOOKUP(HUAWEI製ＰＣＳ接続枚数計算ツール!$C$9, HUAWEI製ＰＣＳ接続枚数計算ツール!$B$119:$P$149,10,FALSE)</f>
        <v>48.016510474492271</v>
      </c>
      <c r="V17" s="86">
        <f>((1-1/MAX(100%,過積載率!V17))^0.5*(HUAWEI製ＰＣＳ接続枚数計算ツール!$I$6-HUAWEI製ＰＣＳ接続枚数計算ツール!$G$6)+HUAWEI製ＰＣＳ接続枚数計算ツール!$G$6)*VLOOKUP(HUAWEI製ＰＣＳ接続枚数計算ツール!$C$9, HUAWEI製ＰＣＳ接続枚数計算ツール!$B$119:$P$149,10,FALSE)</f>
        <v>48.269244727579022</v>
      </c>
      <c r="W17" s="86">
        <f>((1-1/MAX(100%,過積載率!W17))^0.5*(HUAWEI製ＰＣＳ接続枚数計算ツール!$I$6-HUAWEI製ＰＣＳ接続枚数計算ツール!$G$6)+HUAWEI製ＰＣＳ接続枚数計算ツール!$G$6)*VLOOKUP(HUAWEI製ＰＣＳ接続枚数計算ツール!$C$9, HUAWEI製ＰＣＳ接続枚数計算ツール!$B$119:$P$149,10,FALSE)</f>
        <v>48.488487187693963</v>
      </c>
      <c r="X17" s="86">
        <f>((1-1/MAX(100%,過積載率!X17))^0.5*(HUAWEI製ＰＣＳ接続枚数計算ツール!$I$6-HUAWEI製ＰＣＳ接続枚数計算ツール!$G$6)+HUAWEI製ＰＣＳ接続枚数計算ツール!$G$6)*VLOOKUP(HUAWEI製ＰＣＳ接続枚数計算ツール!$C$9, HUAWEI製ＰＣＳ接続枚数計算ツール!$B$119:$P$149,10,FALSE)</f>
        <v>48.680979323805985</v>
      </c>
      <c r="Y17" s="86">
        <f>((1-1/MAX(100%,過積載率!Y17))^0.5*(HUAWEI製ＰＣＳ接続枚数計算ツール!$I$6-HUAWEI製ＰＣＳ接続枚数計算ツール!$G$6)+HUAWEI製ＰＣＳ接続枚数計算ツール!$G$6)*VLOOKUP(HUAWEI製ＰＣＳ接続枚数計算ツール!$C$9, HUAWEI製ＰＣＳ接続枚数計算ツール!$B$119:$P$149,10,FALSE)</f>
        <v>48.851650606036074</v>
      </c>
      <c r="Z17" s="86">
        <f>((1-1/MAX(100%,過積載率!Z17))^0.5*(HUAWEI製ＰＣＳ接続枚数計算ツール!$I$6-HUAWEI製ＰＣＳ接続枚数計算ツール!$G$6)+HUAWEI製ＰＣＳ接続枚数計算ツール!$G$6)*VLOOKUP(HUAWEI製ＰＣＳ接続枚数計算ツール!$C$9, HUAWEI製ＰＣＳ接続枚数計算ツール!$B$119:$P$149,10,FALSE)</f>
        <v>49.004219999999997</v>
      </c>
      <c r="AA17" s="86">
        <f>((1-1/MAX(100%,過積載率!AA17))^0.5*(HUAWEI製ＰＣＳ接続枚数計算ツール!$I$6-HUAWEI製ＰＣＳ接続枚数計算ツール!$G$6)+HUAWEI製ＰＣＳ接続枚数計算ツール!$G$6)*VLOOKUP(HUAWEI製ＰＣＳ接続枚数計算ツール!$C$9, HUAWEI製ＰＣＳ接続枚数計算ツール!$B$119:$P$149,10,FALSE)</f>
        <v>49.141563613258562</v>
      </c>
      <c r="AB17" s="86">
        <f>((1-1/MAX(100%,過積載率!AB17))^0.5*(HUAWEI製ＰＣＳ接続枚数計算ツール!$I$6-HUAWEI製ＰＣＳ接続枚数計算ツール!$G$6)+HUAWEI製ＰＣＳ接続枚数計算ツール!$G$6)*VLOOKUP(HUAWEI製ＰＣＳ接続枚数計算ツール!$C$9, HUAWEI製ＰＣＳ接続枚数計算ツール!$B$119:$P$149,10,FALSE)</f>
        <v>49.265951071209614</v>
      </c>
      <c r="AC17" s="86">
        <f>((1-1/MAX(100%,過積載率!AC17))^0.5*(HUAWEI製ＰＣＳ接続枚数計算ツール!$I$6-HUAWEI製ＰＣＳ接続枚数計算ツール!$G$6)+HUAWEI製ＰＣＳ接続枚数計算ツール!$G$6)*VLOOKUP(HUAWEI製ＰＣＳ接続枚数計算ツール!$C$9, HUAWEI製ＰＣＳ接続枚数計算ツール!$B$119:$P$149,10,FALSE)</f>
        <v>49.379203765130171</v>
      </c>
      <c r="AD17" s="86">
        <f>((1-1/MAX(100%,過積載率!AD17))^0.5*(HUAWEI製ＰＣＳ接続枚数計算ツール!$I$6-HUAWEI製ＰＣＳ接続枚数計算ツール!$G$6)+HUAWEI製ＰＣＳ接続枚数計算ツール!$G$6)*VLOOKUP(HUAWEI製ＰＣＳ接続枚数計算ツール!$C$9, HUAWEI製ＰＣＳ接続枚数計算ツール!$B$119:$P$149,10,FALSE)</f>
        <v>49.482804357157136</v>
      </c>
      <c r="AE17" s="86">
        <f>((1-1/MAX(100%,過積載率!AE17))^0.5*(HUAWEI製ＰＣＳ接続枚数計算ツール!$I$6-HUAWEI製ＰＣＳ接続枚数計算ツール!$G$6)+HUAWEI製ＰＣＳ接続枚数計算ツール!$G$6)*VLOOKUP(HUAWEI製ＰＣＳ接続枚数計算ツール!$C$9, HUAWEI製ＰＣＳ接続枚数計算ツール!$B$119:$P$149,10,FALSE)</f>
        <v>49.57797467257673</v>
      </c>
      <c r="AF17" s="86">
        <f>((1-1/MAX(100%,過積載率!AF17))^0.5*(HUAWEI製ＰＣＳ接続枚数計算ツール!$I$6-HUAWEI製ＰＣＳ接続枚数計算ツール!$G$6)+HUAWEI製ＰＣＳ接続枚数計算ツール!$G$6)*VLOOKUP(HUAWEI製ＰＣＳ接続枚数計算ツール!$C$9, HUAWEI製ＰＣＳ接続枚数計算ツール!$B$119:$P$149,10,FALSE)</f>
        <v>49.665732412933686</v>
      </c>
      <c r="AG17" s="86">
        <f>((1-1/MAX(100%,過積載率!AG17))^0.5*(HUAWEI製ＰＣＳ接続枚数計算ツール!$I$6-HUAWEI製ＰＣＳ接続枚数計算ツール!$G$6)+HUAWEI製ＰＣＳ接続枚数計算ツール!$G$6)*VLOOKUP(HUAWEI製ＰＣＳ接続枚数計算ツール!$C$9, HUAWEI製ＰＣＳ接続枚数計算ツール!$B$119:$P$149,10,FALSE)</f>
        <v>49.74693328326024</v>
      </c>
      <c r="AH17" s="86">
        <f>((1-1/MAX(100%,過積載率!AH17))^0.5*(HUAWEI製ＰＣＳ接続枚数計算ツール!$I$6-HUAWEI製ＰＣＳ接続枚数計算ツール!$G$6)+HUAWEI製ＰＣＳ接続枚数計算ツール!$G$6)*VLOOKUP(HUAWEI製ＰＣＳ接続枚数計算ツール!$C$9, HUAWEI製ＰＣＳ接続枚数計算ツール!$B$119:$P$149,10,FALSE)</f>
        <v>49.822302833077238</v>
      </c>
      <c r="AI17" s="86">
        <f>((1-1/MAX(100%,過積載率!AI17))^0.5*(HUAWEI製ＰＣＳ接続枚数計算ツール!$I$6-HUAWEI製ＰＣＳ接続枚数計算ツール!$G$6)+HUAWEI製ＰＣＳ接続枚数計算ツール!$G$6)*VLOOKUP(HUAWEI製ＰＣＳ接続枚数計算ツール!$C$9, HUAWEI製ＰＣＳ接続枚数計算ツール!$B$119:$P$149,10,FALSE)</f>
        <v>49.892460892227362</v>
      </c>
      <c r="AJ17" s="86">
        <f>((1-1/MAX(100%,過積載率!AJ17))^0.5*(HUAWEI製ＰＣＳ接続枚数計算ツール!$I$6-HUAWEI製ＰＣＳ接続枚数計算ツール!$G$6)+HUAWEI製ＰＣＳ接続枚数計算ツール!$G$6)*VLOOKUP(HUAWEI製ＰＣＳ接続枚数計算ツール!$C$9, HUAWEI製ＰＣＳ接続枚数計算ツール!$B$119:$P$149,10,FALSE)</f>
        <v>49.957940578277125</v>
      </c>
      <c r="AK17" s="86">
        <f>((1-1/MAX(100%,過積載率!AK17))^0.5*(HUAWEI製ＰＣＳ接続枚数計算ツール!$I$6-HUAWEI製ＰＣＳ接続枚数計算ツール!$G$6)+HUAWEI製ＰＣＳ接続枚数計算ツール!$G$6)*VLOOKUP(HUAWEI製ＰＣＳ接続枚数計算ツール!$C$9, HUAWEI製ＰＣＳ接続枚数計算ツール!$B$119:$P$149,10,FALSE)</f>
        <v>50.019203260283426</v>
      </c>
      <c r="AL17" s="86">
        <f>((1-1/MAX(100%,過積載率!AL17))^0.5*(HUAWEI製ＰＣＳ接続枚数計算ツール!$I$6-HUAWEI製ＰＣＳ接続枚数計算ツール!$G$6)+HUAWEI製ＰＣＳ接続枚数計算ツール!$G$6)*VLOOKUP(HUAWEI製ＰＣＳ接続枚数計算ツール!$C$9, HUAWEI製ＰＣＳ接続枚数計算ツール!$B$119:$P$149,10,FALSE)</f>
        <v>50.076650467106894</v>
      </c>
      <c r="AM17" s="86">
        <f>((1-1/MAX(100%,過積載率!AM17))^0.5*(HUAWEI製ＰＣＳ接続枚数計算ツール!$I$6-HUAWEI製ＰＣＳ接続枚数計算ツール!$G$6)+HUAWEI製ＰＣＳ接続枚数計算ツール!$G$6)*VLOOKUP(HUAWEI製ＰＣＳ接続枚数計算ツール!$C$9, HUAWEI製ＰＣＳ接続枚数計算ツール!$B$119:$P$149,10,FALSE)</f>
        <v>50.13063345714842</v>
      </c>
      <c r="AN17" s="86">
        <f>((1-1/MAX(100%,過積載率!AN17))^0.5*(HUAWEI製ＰＣＳ接続枚数計算ツール!$I$6-HUAWEI製ＰＣＳ接続枚数計算ツール!$G$6)+HUAWEI製ＰＣＳ接続枚数計算ツール!$G$6)*VLOOKUP(HUAWEI製ＰＣＳ接続枚数計算ツール!$C$9, HUAWEI製ＰＣＳ接続枚数計算ツール!$B$119:$P$149,10,FALSE)</f>
        <v>50.181460977322949</v>
      </c>
      <c r="AO17" s="86">
        <f>((1-1/MAX(100%,過積載率!AO17))^0.5*(HUAWEI製ＰＣＳ接続枚数計算ツール!$I$6-HUAWEI製ＰＣＳ接続枚数計算ツール!$G$6)+HUAWEI製ＰＣＳ接続枚数計算ツール!$G$6)*VLOOKUP(HUAWEI製ＰＣＳ接続枚数計算ツール!$C$9, HUAWEI製ＰＣＳ接続枚数計算ツール!$B$119:$P$149,10,FALSE)</f>
        <v>50.229405605118117</v>
      </c>
    </row>
    <row r="18" spans="1:41">
      <c r="A18">
        <v>16</v>
      </c>
      <c r="B18" s="86">
        <f>((1-1/MAX(100%,過積載率!B18))^0.5*(HUAWEI製ＰＣＳ接続枚数計算ツール!$I$6-HUAWEI製ＰＣＳ接続枚数計算ツール!$G$6)+HUAWEI製ＰＣＳ接続枚数計算ツール!$G$6)*VLOOKUP(HUAWEI製ＰＣＳ接続枚数計算ツール!$C$9,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8" s="86">
        <f>((1-1/MAX(100%,過積載率!C18))^0.5*(HUAWEI製ＰＣＳ接続枚数計算ツール!$I$6-HUAWEI製ＰＣＳ接続枚数計算ツール!$G$6)+HUAWEI製ＰＣＳ接続枚数計算ツール!$G$6)*VLOOKUP(HUAWEI製ＰＣＳ接続枚数計算ツール!$C$9,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8" s="86">
        <f>((1-1/MAX(100%,過積載率!D18))^0.5*(HUAWEI製ＰＣＳ接続枚数計算ツール!$I$6-HUAWEI製ＰＣＳ接続枚数計算ツール!$G$6)+HUAWEI製ＰＣＳ接続枚数計算ツール!$G$6)*VLOOKUP(HUAWEI製ＰＣＳ接続枚数計算ツール!$C$9,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8" s="86">
        <f>((1-1/MAX(100%,過積載率!E18))^0.5*(HUAWEI製ＰＣＳ接続枚数計算ツール!$I$6-HUAWEI製ＰＣＳ接続枚数計算ツール!$G$6)+HUAWEI製ＰＣＳ接続枚数計算ツール!$G$6)*VLOOKUP(HUAWEI製ＰＣＳ接続枚数計算ツール!$C$9,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8" s="86">
        <f>((1-1/MAX(100%,過積載率!F18))^0.5*(HUAWEI製ＰＣＳ接続枚数計算ツール!$I$6-HUAWEI製ＰＣＳ接続枚数計算ツール!$G$6)+HUAWEI製ＰＣＳ接続枚数計算ツール!$G$6)*VLOOKUP(HUAWEI製ＰＣＳ接続枚数計算ツール!$C$9,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8" s="86">
        <f>((1-1/MAX(100%,過積載率!G18))^0.5*(HUAWEI製ＰＣＳ接続枚数計算ツール!$I$6-HUAWEI製ＰＣＳ接続枚数計算ツール!$G$6)+HUAWEI製ＰＣＳ接続枚数計算ツール!$G$6)*VLOOKUP(HUAWEI製ＰＣＳ接続枚数計算ツール!$C$9,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8" s="86">
        <f>((1-1/MAX(100%,過積載率!H18))^0.5*(HUAWEI製ＰＣＳ接続枚数計算ツール!$I$6-HUAWEI製ＰＣＳ接続枚数計算ツール!$G$6)+HUAWEI製ＰＣＳ接続枚数計算ツール!$G$6)*VLOOKUP(HUAWEI製ＰＣＳ接続枚数計算ツール!$C$9,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8" s="86">
        <f>((1-1/MAX(100%,過積載率!I18))^0.5*(HUAWEI製ＰＣＳ接続枚数計算ツール!$I$6-HUAWEI製ＰＣＳ接続枚数計算ツール!$G$6)+HUAWEI製ＰＣＳ接続枚数計算ツール!$G$6)*VLOOKUP(HUAWEI製ＰＣＳ接続枚数計算ツール!$C$9,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8" s="86">
        <f>((1-1/MAX(100%,過積載率!J18))^0.5*(HUAWEI製ＰＣＳ接続枚数計算ツール!$I$6-HUAWEI製ＰＣＳ接続枚数計算ツール!$G$6)+HUAWEI製ＰＣＳ接続枚数計算ツール!$G$6)*VLOOKUP(HUAWEI製ＰＣＳ接続枚数計算ツール!$C$9,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8" s="86">
        <f>((1-1/MAX(100%,過積載率!K18))^0.5*(HUAWEI製ＰＣＳ接続枚数計算ツール!$I$6-HUAWEI製ＰＣＳ接続枚数計算ツール!$G$6)+HUAWEI製ＰＣＳ接続枚数計算ツール!$G$6)*VLOOKUP(HUAWEI製ＰＣＳ接続枚数計算ツール!$C$9,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8" s="86">
        <f>((1-1/MAX(100%,過積載率!L18))^0.5*(HUAWEI製ＰＣＳ接続枚数計算ツール!$I$6-HUAWEI製ＰＣＳ接続枚数計算ツール!$G$6)+HUAWEI製ＰＣＳ接続枚数計算ツール!$G$6)*VLOOKUP(HUAWEI製ＰＣＳ接続枚数計算ツール!$C$9,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8" s="86">
        <f>((1-1/MAX(100%,過積載率!M18))^0.5*(HUAWEI製ＰＣＳ接続枚数計算ツール!$I$6-HUAWEI製ＰＣＳ接続枚数計算ツール!$G$6)+HUAWEI製ＰＣＳ接続枚数計算ツール!$G$6)*VLOOKUP(HUAWEI製ＰＣＳ接続枚数計算ツール!$C$9,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8" s="86">
        <f>((1-1/MAX(100%,過積載率!N18))^0.5*(HUAWEI製ＰＣＳ接続枚数計算ツール!$I$6-HUAWEI製ＰＣＳ接続枚数計算ツール!$G$6)+HUAWEI製ＰＣＳ接続枚数計算ツール!$G$6)*VLOOKUP(HUAWEI製ＰＣＳ接続枚数計算ツール!$C$9,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18" s="86">
        <f>((1-1/MAX(100%,過積載率!O18))^0.5*(HUAWEI製ＰＣＳ接続枚数計算ツール!$I$6-HUAWEI製ＰＣＳ接続枚数計算ツール!$G$6)+HUAWEI製ＰＣＳ接続枚数計算ツール!$G$6)*VLOOKUP(HUAWEI製ＰＣＳ接続枚数計算ツール!$C$9, HUAWEI製ＰＣＳ接続枚数計算ツール!$B$119:$P$149,10,FALSE)</f>
        <v>45.51629039968671</v>
      </c>
      <c r="P18" s="86">
        <f>((1-1/MAX(100%,過積載率!P18))^0.5*(HUAWEI製ＰＣＳ接続枚数計算ツール!$I$6-HUAWEI製ＰＣＳ接続枚数計算ツール!$G$6)+HUAWEI製ＰＣＳ接続枚数計算ツール!$G$6)*VLOOKUP(HUAWEI製ＰＣＳ接続枚数計算ツール!$C$9, HUAWEI製ＰＣＳ接続枚数計算ツール!$B$119:$P$149,10,FALSE)</f>
        <v>46.372905499528542</v>
      </c>
      <c r="Q18" s="86">
        <f>((1-1/MAX(100%,過積載率!Q18))^0.5*(HUAWEI製ＰＣＳ接続枚数計算ツール!$I$6-HUAWEI製ＰＣＳ接続枚数計算ツール!$G$6)+HUAWEI製ＰＣＳ接続枚数計算ツール!$G$6)*VLOOKUP(HUAWEI製ＰＣＳ接続枚数計算ツール!$C$9, HUAWEI製ＰＣＳ接続枚数計算ツール!$B$119:$P$149,10,FALSE)</f>
        <v>46.964902202278218</v>
      </c>
      <c r="R18" s="86">
        <f>((1-1/MAX(100%,過積載率!R18))^0.5*(HUAWEI製ＰＣＳ接続枚数計算ツール!$I$6-HUAWEI製ＰＣＳ接続枚数計算ツール!$G$6)+HUAWEI製ＰＣＳ接続枚数計算ツール!$G$6)*VLOOKUP(HUAWEI製ＰＣＳ接続枚数計算ツール!$C$9, HUAWEI製ＰＣＳ接続枚数計算ツール!$B$119:$P$149,10,FALSE)</f>
        <v>47.418448406183337</v>
      </c>
      <c r="S18" s="86">
        <f>((1-1/MAX(100%,過積載率!S18))^0.5*(HUAWEI製ＰＣＳ接続枚数計算ツール!$I$6-HUAWEI製ＰＣＳ接続枚数計算ツール!$G$6)+HUAWEI製ＰＣＳ接続枚数計算ツール!$G$6)*VLOOKUP(HUAWEI製ＰＣＳ接続枚数計算ツール!$C$9, HUAWEI製ＰＣＳ接続枚数計算ツール!$B$119:$P$149,10,FALSE)</f>
        <v>47.783894440546355</v>
      </c>
      <c r="T18" s="86">
        <f>((1-1/MAX(100%,過積載率!T18))^0.5*(HUAWEI製ＰＣＳ接続枚数計算ツール!$I$6-HUAWEI製ＰＣＳ接続枚数計算ツール!$G$6)+HUAWEI製ＰＣＳ接続枚数計算ツール!$G$6)*VLOOKUP(HUAWEI製ＰＣＳ接続枚数計算ツール!$C$9, HUAWEI製ＰＣＳ接続枚数計算ツール!$B$119:$P$149,10,FALSE)</f>
        <v>48.087657885036734</v>
      </c>
      <c r="U18" s="86">
        <f>((1-1/MAX(100%,過積載率!U18))^0.5*(HUAWEI製ＰＣＳ接続枚数計算ツール!$I$6-HUAWEI製ＰＣＳ接続枚数計算ツール!$G$6)+HUAWEI製ＰＣＳ接続枚数計算ツール!$G$6)*VLOOKUP(HUAWEI製ＰＣＳ接続枚数計算ツール!$C$9, HUAWEI製ＰＣＳ接続枚数計算ツール!$B$119:$P$149,10,FALSE)</f>
        <v>48.345667767935957</v>
      </c>
      <c r="V18" s="86">
        <f>((1-1/MAX(100%,過積載率!V18))^0.5*(HUAWEI製ＰＣＳ接続枚数計算ツール!$I$6-HUAWEI製ＰＣＳ接続枚数計算ツール!$G$6)+HUAWEI製ＰＣＳ接続枚数計算ツール!$G$6)*VLOOKUP(HUAWEI製ＰＣＳ接続枚数計算ツール!$C$9, HUAWEI製ＰＣＳ接続枚数計算ツール!$B$119:$P$149,10,FALSE)</f>
        <v>48.568385348613688</v>
      </c>
      <c r="W18" s="86">
        <f>((1-1/MAX(100%,過積載率!W18))^0.5*(HUAWEI製ＰＣＳ接続枚数計算ツール!$I$6-HUAWEI製ＰＣＳ接続枚数計算ツール!$G$6)+HUAWEI製ＰＣＳ接続枚数計算ツール!$G$6)*VLOOKUP(HUAWEI製ＰＣＳ接続枚数計算ツール!$C$9, HUAWEI製ＰＣＳ接続枚数計算ツール!$B$119:$P$149,10,FALSE)</f>
        <v>48.763091961289661</v>
      </c>
      <c r="X18" s="86">
        <f>((1-1/MAX(100%,過積載率!X18))^0.5*(HUAWEI製ＰＣＳ接続枚数計算ツール!$I$6-HUAWEI製ＰＣＳ接続枚数計算ツール!$G$6)+HUAWEI製ＰＣＳ接続枚数計算ツール!$G$6)*VLOOKUP(HUAWEI製ＰＣＳ接続枚数計算ツール!$C$9, HUAWEI製ＰＣＳ接続枚数計算ツール!$B$119:$P$149,10,FALSE)</f>
        <v>48.935074303879702</v>
      </c>
      <c r="Y18" s="86">
        <f>((1-1/MAX(100%,過積載率!Y18))^0.5*(HUAWEI製ＰＣＳ接続枚数計算ツール!$I$6-HUAWEI製ＰＣＳ接続枚数計算ツール!$G$6)+HUAWEI製ＰＣＳ接続枚数計算ツール!$G$6)*VLOOKUP(HUAWEI製ＰＣＳ接続枚数計算ツール!$C$9, HUAWEI製ＰＣＳ接続枚数計算ツール!$B$119:$P$149,10,FALSE)</f>
        <v>49.08829654098205</v>
      </c>
      <c r="Z18" s="86">
        <f>((1-1/MAX(100%,過積載率!Z18))^0.5*(HUAWEI製ＰＣＳ接続枚数計算ツール!$I$6-HUAWEI製ＰＣＳ接続枚数計算ツール!$G$6)+HUAWEI製ＰＣＳ接続枚数計算ツール!$G$6)*VLOOKUP(HUAWEI製ＰＣＳ接続枚数計算ツール!$C$9, HUAWEI製ＰＣＳ接続枚数計算ツール!$B$119:$P$149,10,FALSE)</f>
        <v>49.225807867015007</v>
      </c>
      <c r="AA18" s="86">
        <f>((1-1/MAX(100%,過積載率!AA18))^0.5*(HUAWEI製ＰＣＳ接続枚数計算ツール!$I$6-HUAWEI製ＰＣＳ接続枚数計算ツール!$G$6)+HUAWEI製ＰＣＳ接続枚数計算ツール!$G$6)*VLOOKUP(HUAWEI製ＰＣＳ接続枚数計算ツール!$C$9, HUAWEI製ＰＣＳ接続枚数計算ツール!$B$119:$P$149,10,FALSE)</f>
        <v>49.350002812343284</v>
      </c>
      <c r="AB18" s="86">
        <f>((1-1/MAX(100%,過積載率!AB18))^0.5*(HUAWEI製ＰＣＳ接続枚数計算ツール!$I$6-HUAWEI製ＰＣＳ接続枚数計算ツール!$G$6)+HUAWEI製ＰＣＳ接続枚数計算ツール!$G$6)*VLOOKUP(HUAWEI製ＰＣＳ接続枚数計算ツール!$C$9, HUAWEI製ＰＣＳ接続枚数計算ツール!$B$119:$P$149,10,FALSE)</f>
        <v>49.462794510802176</v>
      </c>
      <c r="AC18" s="86">
        <f>((1-1/MAX(100%,過積載率!AC18))^0.5*(HUAWEI製ＰＣＳ接続枚数計算ツール!$I$6-HUAWEI製ＰＣＳ接続枚数計算ツール!$G$6)+HUAWEI製ＰＣＳ接続枚数計算ツール!$G$6)*VLOOKUP(HUAWEI製ＰＣＳ接続枚数計算ツール!$C$9, HUAWEI製ＰＣＳ接続枚数計算ツール!$B$119:$P$149,10,FALSE)</f>
        <v>49.565733984236452</v>
      </c>
      <c r="AD18" s="86">
        <f>((1-1/MAX(100%,過積載率!AD18))^0.5*(HUAWEI製ＰＣＳ接続枚数計算ツール!$I$6-HUAWEI製ＰＣＳ接続枚数計算ツール!$G$6)+HUAWEI製ＰＣＳ接続枚数計算ツール!$G$6)*VLOOKUP(HUAWEI製ＰＣＳ接続枚数計算ツール!$C$9, HUAWEI製ＰＣＳ接続枚数計算ツール!$B$119:$P$149,10,FALSE)</f>
        <v>49.660094596869563</v>
      </c>
      <c r="AE18" s="86">
        <f>((1-1/MAX(100%,過積載率!AE18))^0.5*(HUAWEI製ＰＣＳ接続枚数計算ツール!$I$6-HUAWEI製ＰＣＳ接続枚数計算ツール!$G$6)+HUAWEI製ＰＣＳ接続枚数計算ツール!$G$6)*VLOOKUP(HUAWEI製ＰＣＳ接続枚数計算ツール!$C$9, HUAWEI製ＰＣＳ接続枚数計算ツール!$B$119:$P$149,10,FALSE)</f>
        <v>49.74693328326024</v>
      </c>
      <c r="AF18" s="86">
        <f>((1-1/MAX(100%,過積載率!AF18))^0.5*(HUAWEI製ＰＣＳ接続枚数計算ツール!$I$6-HUAWEI製ＰＣＳ接続枚数計算ツール!$G$6)+HUAWEI製ＰＣＳ接続枚数計算ツール!$G$6)*VLOOKUP(HUAWEI製ＰＣＳ接続枚数計算ツール!$C$9, HUAWEI製ＰＣＳ接続枚数計算ツール!$B$119:$P$149,10,FALSE)</f>
        <v>49.827135848369601</v>
      </c>
      <c r="AG18" s="86">
        <f>((1-1/MAX(100%,過積載率!AG18))^0.5*(HUAWEI製ＰＣＳ接続枚数計算ツール!$I$6-HUAWEI製ＰＣＳ接続枚数計算ツール!$G$6)+HUAWEI製ＰＣＳ接続枚数計算ツール!$G$6)*VLOOKUP(HUAWEI製ＰＣＳ接続枚数計算ツール!$C$9, HUAWEI製ＰＣＳ接続枚数計算ツール!$B$119:$P$149,10,FALSE)</f>
        <v>49.901451079158512</v>
      </c>
      <c r="AH18" s="86">
        <f>((1-1/MAX(100%,過積載率!AH18))^0.5*(HUAWEI製ＰＣＳ接続枚数計算ツール!$I$6-HUAWEI製ＰＣＳ接続枚数計算ツール!$G$6)+HUAWEI製ＰＣＳ接続枚数計算ツール!$G$6)*VLOOKUP(HUAWEI製ＰＣＳ接続枚数計算ツール!$C$9, HUAWEI製ＰＣＳ接続枚数計算ツール!$B$119:$P$149,10,FALSE)</f>
        <v>49.970516831112825</v>
      </c>
      <c r="AI18" s="86">
        <f>((1-1/MAX(100%,過積載率!AI18))^0.5*(HUAWEI製ＰＣＳ接続枚数計算ツール!$I$6-HUAWEI製ＰＣＳ接続枚数計算ツール!$G$6)+HUAWEI製ＰＣＳ接続枚数計算ツール!$G$6)*VLOOKUP(HUAWEI製ＰＣＳ接続枚数計算ツール!$C$9, HUAWEI製ＰＣＳ接続枚数計算ツール!$B$119:$P$149,10,FALSE)</f>
        <v>50.03488025230768</v>
      </c>
      <c r="AJ18" s="86">
        <f>((1-1/MAX(100%,過積載率!AJ18))^0.5*(HUAWEI製ＰＣＳ接続枚数計算ツール!$I$6-HUAWEI製ＰＣＳ接続枚数計算ツール!$G$6)+HUAWEI製ＰＣＳ接続枚数計算ツール!$G$6)*VLOOKUP(HUAWEI製ＰＣＳ接続枚数計算ツール!$C$9, HUAWEI製ＰＣＳ接続枚数計算ツール!$B$119:$P$149,10,FALSE)</f>
        <v>50.095013654877256</v>
      </c>
      <c r="AK18" s="86">
        <f>((1-1/MAX(100%,過積載率!AK18))^0.5*(HUAWEI製ＰＣＳ接続枚数計算ツール!$I$6-HUAWEI製ＰＣＳ接続枚数計算ツール!$G$6)+HUAWEI製ＰＣＳ接続枚数計算ツール!$G$6)*VLOOKUP(HUAWEI製ＰＣＳ接続枚数計算ツール!$C$9, HUAWEI製ＰＣＳ接続枚数計算ツール!$B$119:$P$149,10,FALSE)</f>
        <v>50.151327107861952</v>
      </c>
      <c r="AL18" s="86">
        <f>((1-1/MAX(100%,過積載率!AL18))^0.5*(HUAWEI製ＰＣＳ接続枚数計算ツール!$I$6-HUAWEI製ＰＣＳ接続枚数計算ツール!$G$6)+HUAWEI製ＰＣＳ接続枚数計算ツール!$G$6)*VLOOKUP(HUAWEI製ＰＣＳ接続枚数計算ツール!$C$9, HUAWEI製ＰＣＳ接続枚数計算ツール!$B$119:$P$149,10,FALSE)</f>
        <v>50.204178528162686</v>
      </c>
      <c r="AM18" s="86">
        <f>((1-1/MAX(100%,過積載率!AM18))^0.5*(HUAWEI製ＰＣＳ接続枚数計算ツール!$I$6-HUAWEI製ＰＣＳ接続枚数計算ツール!$G$6)+HUAWEI製ＰＣＳ接続枚数計算ツール!$G$6)*VLOOKUP(HUAWEI製ＰＣＳ接続枚数計算ツール!$C$9, HUAWEI製ＰＣＳ接続枚数計算ツール!$B$119:$P$149,10,FALSE)</f>
        <v>50.253881839813111</v>
      </c>
      <c r="AN18" s="86">
        <f>((1-1/MAX(100%,過積載率!AN18))^0.5*(HUAWEI製ＰＣＳ接続枚数計算ツール!$I$6-HUAWEI製ＰＣＳ接続枚数計算ツール!$G$6)+HUAWEI製ＰＣＳ接続枚数計算ツール!$G$6)*VLOOKUP(HUAWEI製ＰＣＳ接続枚数計算ツール!$C$9, HUAWEI製ＰＣＳ接続枚数計算ツール!$B$119:$P$149,10,FALSE)</f>
        <v>50.300713625860027</v>
      </c>
      <c r="AO18" s="86">
        <f>((1-1/MAX(100%,過積載率!AO18))^0.5*(HUAWEI製ＰＣＳ接続枚数計算ツール!$I$6-HUAWEI製ＰＣＳ接続枚数計算ツール!$G$6)+HUAWEI製ＰＣＳ接続枚数計算ツール!$G$6)*VLOOKUP(HUAWEI製ＰＣＳ接続枚数計算ツール!$C$9, HUAWEI製ＰＣＳ接続枚数計算ツール!$B$119:$P$149,10,FALSE)</f>
        <v>50.344918592458541</v>
      </c>
    </row>
    <row r="19" spans="1:41">
      <c r="A19">
        <v>17</v>
      </c>
      <c r="B19" s="86">
        <f>((1-1/MAX(100%,過積載率!B19))^0.5*(HUAWEI製ＰＣＳ接続枚数計算ツール!$I$6-HUAWEI製ＰＣＳ接続枚数計算ツール!$G$6)+HUAWEI製ＰＣＳ接続枚数計算ツール!$G$6)*VLOOKUP(HUAWEI製ＰＣＳ接続枚数計算ツール!$C$9,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19" s="86">
        <f>((1-1/MAX(100%,過積載率!C19))^0.5*(HUAWEI製ＰＣＳ接続枚数計算ツール!$I$6-HUAWEI製ＰＣＳ接続枚数計算ツール!$G$6)+HUAWEI製ＰＣＳ接続枚数計算ツール!$G$6)*VLOOKUP(HUAWEI製ＰＣＳ接続枚数計算ツール!$C$9,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19" s="86">
        <f>((1-1/MAX(100%,過積載率!D19))^0.5*(HUAWEI製ＰＣＳ接続枚数計算ツール!$I$6-HUAWEI製ＰＣＳ接続枚数計算ツール!$G$6)+HUAWEI製ＰＣＳ接続枚数計算ツール!$G$6)*VLOOKUP(HUAWEI製ＰＣＳ接続枚数計算ツール!$C$9,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19" s="86">
        <f>((1-1/MAX(100%,過積載率!E19))^0.5*(HUAWEI製ＰＣＳ接続枚数計算ツール!$I$6-HUAWEI製ＰＣＳ接続枚数計算ツール!$G$6)+HUAWEI製ＰＣＳ接続枚数計算ツール!$G$6)*VLOOKUP(HUAWEI製ＰＣＳ接続枚数計算ツール!$C$9,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19" s="86">
        <f>((1-1/MAX(100%,過積載率!F19))^0.5*(HUAWEI製ＰＣＳ接続枚数計算ツール!$I$6-HUAWEI製ＰＣＳ接続枚数計算ツール!$G$6)+HUAWEI製ＰＣＳ接続枚数計算ツール!$G$6)*VLOOKUP(HUAWEI製ＰＣＳ接続枚数計算ツール!$C$9,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19" s="86">
        <f>((1-1/MAX(100%,過積載率!G19))^0.5*(HUAWEI製ＰＣＳ接続枚数計算ツール!$I$6-HUAWEI製ＰＣＳ接続枚数計算ツール!$G$6)+HUAWEI製ＰＣＳ接続枚数計算ツール!$G$6)*VLOOKUP(HUAWEI製ＰＣＳ接続枚数計算ツール!$C$9,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19" s="86">
        <f>((1-1/MAX(100%,過積載率!H19))^0.5*(HUAWEI製ＰＣＳ接続枚数計算ツール!$I$6-HUAWEI製ＰＣＳ接続枚数計算ツール!$G$6)+HUAWEI製ＰＣＳ接続枚数計算ツール!$G$6)*VLOOKUP(HUAWEI製ＰＣＳ接続枚数計算ツール!$C$9,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19" s="86">
        <f>((1-1/MAX(100%,過積載率!I19))^0.5*(HUAWEI製ＰＣＳ接続枚数計算ツール!$I$6-HUAWEI製ＰＣＳ接続枚数計算ツール!$G$6)+HUAWEI製ＰＣＳ接続枚数計算ツール!$G$6)*VLOOKUP(HUAWEI製ＰＣＳ接続枚数計算ツール!$C$9,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19" s="86">
        <f>((1-1/MAX(100%,過積載率!J19))^0.5*(HUAWEI製ＰＣＳ接続枚数計算ツール!$I$6-HUAWEI製ＰＣＳ接続枚数計算ツール!$G$6)+HUAWEI製ＰＣＳ接続枚数計算ツール!$G$6)*VLOOKUP(HUAWEI製ＰＣＳ接続枚数計算ツール!$C$9,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19" s="86">
        <f>((1-1/MAX(100%,過積載率!K19))^0.5*(HUAWEI製ＰＣＳ接続枚数計算ツール!$I$6-HUAWEI製ＰＣＳ接続枚数計算ツール!$G$6)+HUAWEI製ＰＣＳ接続枚数計算ツール!$G$6)*VLOOKUP(HUAWEI製ＰＣＳ接続枚数計算ツール!$C$9,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19" s="86">
        <f>((1-1/MAX(100%,過積載率!L19))^0.5*(HUAWEI製ＰＣＳ接続枚数計算ツール!$I$6-HUAWEI製ＰＣＳ接続枚数計算ツール!$G$6)+HUAWEI製ＰＣＳ接続枚数計算ツール!$G$6)*VLOOKUP(HUAWEI製ＰＣＳ接続枚数計算ツール!$C$9,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19" s="86">
        <f>((1-1/MAX(100%,過積載率!M19))^0.5*(HUAWEI製ＰＣＳ接続枚数計算ツール!$I$6-HUAWEI製ＰＣＳ接続枚数計算ツール!$G$6)+HUAWEI製ＰＣＳ接続枚数計算ツール!$G$6)*VLOOKUP(HUAWEI製ＰＣＳ接続枚数計算ツール!$C$9,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19" s="86">
        <f>((1-1/MAX(100%,過積載率!N19))^0.5*(HUAWEI製ＰＣＳ接続枚数計算ツール!$I$6-HUAWEI製ＰＣＳ接続枚数計算ツール!$G$6)+HUAWEI製ＰＣＳ接続枚数計算ツール!$G$6)*VLOOKUP(HUAWEI製ＰＣＳ接続枚数計算ツール!$C$9, HUAWEI製ＰＣＳ接続枚数計算ツール!$B$119:$P$149,10,FALSE)</f>
        <v>45.298998425442775</v>
      </c>
      <c r="O19" s="86">
        <f>((1-1/MAX(100%,過積載率!O19))^0.5*(HUAWEI製ＰＣＳ接続枚数計算ツール!$I$6-HUAWEI製ＰＣＳ接続枚数計算ツール!$G$6)+HUAWEI製ＰＣＳ接続枚数計算ツール!$G$6)*VLOOKUP(HUAWEI製ＰＣＳ接続枚数計算ツール!$C$9, HUAWEI製ＰＣＳ接続枚数計算ツール!$B$119:$P$149,10,FALSE)</f>
        <v>46.284591975560801</v>
      </c>
      <c r="P19" s="86">
        <f>((1-1/MAX(100%,過積載率!P19))^0.5*(HUAWEI製ＰＣＳ接続枚数計算ツール!$I$6-HUAWEI製ＰＣＳ接続枚数計算ツール!$G$6)+HUAWEI製ＰＣＳ接続枚数計算ツール!$G$6)*VLOOKUP(HUAWEI製ＰＣＳ接続枚数計算ツール!$C$9, HUAWEI製ＰＣＳ接続枚数計算ツール!$B$119:$P$149,10,FALSE)</f>
        <v>46.932694815945311</v>
      </c>
      <c r="Q19" s="86">
        <f>((1-1/MAX(100%,過積載率!Q19))^0.5*(HUAWEI製ＰＣＳ接続枚数計算ツール!$I$6-HUAWEI製ＰＣＳ接続枚数計算ツール!$G$6)+HUAWEI製ＰＣＳ接続枚数計算ツール!$G$6)*VLOOKUP(HUAWEI製ＰＣＳ接続枚数計算ツール!$C$9, HUAWEI製ＰＣＳ接続枚数計算ツール!$B$119:$P$149,10,FALSE)</f>
        <v>47.418448406183337</v>
      </c>
      <c r="R19" s="86">
        <f>((1-1/MAX(100%,過積載率!R19))^0.5*(HUAWEI製ＰＣＳ接続枚数計算ツール!$I$6-HUAWEI製ＰＣＳ接続枚数計算ツール!$G$6)+HUAWEI製ＰＣＳ接続枚数計算ツール!$G$6)*VLOOKUP(HUAWEI製ＰＣＳ接続枚数計算ツール!$C$9, HUAWEI製ＰＣＳ接続枚数計算ツール!$B$119:$P$149,10,FALSE)</f>
        <v>47.804483594491366</v>
      </c>
      <c r="S19" s="86">
        <f>((1-1/MAX(100%,過積載率!S19))^0.5*(HUAWEI製ＰＣＳ接続枚数計算ツール!$I$6-HUAWEI製ＰＣＳ接続枚数計算ツール!$G$6)+HUAWEI製ＰＣＳ接続枚数計算ツール!$G$6)*VLOOKUP(HUAWEI製ＰＣＳ接続枚数計算ツール!$C$9, HUAWEI製ＰＣＳ接続枚数計算ツール!$B$119:$P$149,10,FALSE)</f>
        <v>48.122156710916784</v>
      </c>
      <c r="T19" s="86">
        <f>((1-1/MAX(100%,過積載率!T19))^0.5*(HUAWEI製ＰＣＳ接続枚数計算ツール!$I$6-HUAWEI製ＰＣＳ接続枚数計算ツール!$G$6)+HUAWEI製ＰＣＳ接続枚数計算ツール!$G$6)*VLOOKUP(HUAWEI製ＰＣＳ接続枚数計算ツール!$C$9, HUAWEI製ＰＣＳ接続枚数計算ツール!$B$119:$P$149,10,FALSE)</f>
        <v>48.389861708567246</v>
      </c>
      <c r="U19" s="86">
        <f>((1-1/MAX(100%,過積載率!U19))^0.5*(HUAWEI製ＰＣＳ接続枚数計算ツール!$I$6-HUAWEI製ＰＣＳ接続枚数計算ツール!$G$6)+HUAWEI製ＰＣＳ接続枚数計算ツール!$G$6)*VLOOKUP(HUAWEI製ＰＣＳ接続枚数計算ツール!$C$9, HUAWEI製ＰＣＳ接続枚数計算ツール!$B$119:$P$149,10,FALSE)</f>
        <v>48.619453852755647</v>
      </c>
      <c r="V19" s="86">
        <f>((1-1/MAX(100%,過積載率!V19))^0.5*(HUAWEI製ＰＣＳ接続枚数計算ツール!$I$6-HUAWEI製ＰＣＳ接続枚数計算ツール!$G$6)+HUAWEI製ＰＣＳ接続枚数計算ツール!$G$6)*VLOOKUP(HUAWEI製ＰＣＳ接続枚数計算ツール!$C$9, HUAWEI製ＰＣＳ接続枚数計算ツール!$B$119:$P$149,10,FALSE)</f>
        <v>48.819069524965471</v>
      </c>
      <c r="W19" s="86">
        <f>((1-1/MAX(100%,過積載率!W19))^0.5*(HUAWEI製ＰＣＳ接続枚数計算ツール!$I$6-HUAWEI製ＰＣＳ接続枚数計算ツール!$G$6)+HUAWEI製ＰＣＳ接続枚数計算ツール!$G$6)*VLOOKUP(HUAWEI製ＰＣＳ接続枚数計算ツール!$C$9, HUAWEI製ＰＣＳ接続枚数計算ツール!$B$119:$P$149,10,FALSE)</f>
        <v>48.994550550181508</v>
      </c>
      <c r="X19" s="86">
        <f>((1-1/MAX(100%,過積載率!X19))^0.5*(HUAWEI製ＰＣＳ接続枚数計算ツール!$I$6-HUAWEI製ＰＣＳ接続枚数計算ツール!$G$6)+HUAWEI製ＰＣＳ接続枚数計算ツール!$G$6)*VLOOKUP(HUAWEI製ＰＣＳ接続枚数計算ツール!$C$9, HUAWEI製ＰＣＳ接続枚数計算ツール!$B$119:$P$149,10,FALSE)</f>
        <v>49.150236931100231</v>
      </c>
      <c r="Y19" s="86">
        <f>((1-1/MAX(100%,過積載率!Y19))^0.5*(HUAWEI製ＰＣＳ接続枚数計算ツール!$I$6-HUAWEI製ＰＣＳ接続枚数計算ツール!$G$6)+HUAWEI製ＰＣＳ接続枚数計算ツール!$G$6)*VLOOKUP(HUAWEI製ＰＣＳ接続枚数計算ツール!$C$9, HUAWEI製ＰＣＳ接続枚数計算ツール!$B$119:$P$149,10,FALSE)</f>
        <v>49.289440637937652</v>
      </c>
      <c r="Z19" s="86">
        <f>((1-1/MAX(100%,過積載率!Z19))^0.5*(HUAWEI製ＰＣＳ接続枚数計算ツール!$I$6-HUAWEI製ＰＣＳ接続枚数計算ツール!$G$6)+HUAWEI製ＰＣＳ接続枚数計算ツール!$G$6)*VLOOKUP(HUAWEI製ＰＣＳ接続枚数計算ツール!$C$9, HUAWEI製ＰＣＳ接続枚数計算ツール!$B$119:$P$149,10,FALSE)</f>
        <v>49.414744666367746</v>
      </c>
      <c r="AA19" s="86">
        <f>((1-1/MAX(100%,過積載率!AA19))^0.5*(HUAWEI製ＰＣＳ接続枚数計算ツール!$I$6-HUAWEI製ＰＣＳ接続枚数計算ツール!$G$6)+HUAWEI製ＰＣＳ接続枚数計算ツール!$G$6)*VLOOKUP(HUAWEI製ＰＣＳ接続枚数計算ツール!$C$9, HUAWEI製ＰＣＳ接続枚数計算ツール!$B$119:$P$149,10,FALSE)</f>
        <v>49.528200138454068</v>
      </c>
      <c r="AB19" s="86">
        <f>((1-1/MAX(100%,過積載率!AB19))^0.5*(HUAWEI製ＰＣＳ接続枚数計算ツール!$I$6-HUAWEI製ＰＣＳ接続枚数計算ツール!$G$6)+HUAWEI製ＰＣＳ接続枚数計算ツール!$G$6)*VLOOKUP(HUAWEI製ＰＣＳ接続枚数計算ツール!$C$9, HUAWEI製ＰＣＳ接続枚数計算ツール!$B$119:$P$149,10,FALSE)</f>
        <v>49.631460842742506</v>
      </c>
      <c r="AC19" s="86">
        <f>((1-1/MAX(100%,過積載率!AC19))^0.5*(HUAWEI製ＰＣＳ接続枚数計算ツール!$I$6-HUAWEI製ＰＣＳ接続枚数計算ツール!$G$6)+HUAWEI製ＰＣＳ接続枚数計算ツール!$G$6)*VLOOKUP(HUAWEI製ＰＣＳ接続枚数計算ツール!$C$9, HUAWEI製ＰＣＳ接続枚数計算ツール!$B$119:$P$149,10,FALSE)</f>
        <v>49.725877778376876</v>
      </c>
      <c r="AD19" s="86">
        <f>((1-1/MAX(100%,過積載率!AD19))^0.5*(HUAWEI製ＰＣＳ接続枚数計算ツール!$I$6-HUAWEI製ＰＣＳ接続枚数計算ツール!$G$6)+HUAWEI製ＰＣＳ接続枚数計算ツール!$G$6)*VLOOKUP(HUAWEI製ＰＣＳ接続枚数計算ツール!$C$9, HUAWEI製ＰＣＳ接続枚数計算ツール!$B$119:$P$149,10,FALSE)</f>
        <v>49.812567240858328</v>
      </c>
      <c r="AE19" s="86">
        <f>((1-1/MAX(100%,過積載率!AE19))^0.5*(HUAWEI製ＰＣＳ接続枚数計算ツール!$I$6-HUAWEI製ＰＣＳ接続枚数計算ツール!$G$6)+HUAWEI製ＰＣＳ接続枚数計算ツール!$G$6)*VLOOKUP(HUAWEI製ＰＣＳ接続枚数計算ツール!$C$9, HUAWEI製ＰＣＳ接続枚数計算ツール!$B$119:$P$149,10,FALSE)</f>
        <v>49.892460892227362</v>
      </c>
      <c r="AF19" s="86">
        <f>((1-1/MAX(100%,過積載率!AF19))^0.5*(HUAWEI製ＰＣＳ接続枚数計算ツール!$I$6-HUAWEI製ＰＣＳ接続枚数計算ツール!$G$6)+HUAWEI製ＰＣＳ接続枚数計算ツール!$G$6)*VLOOKUP(HUAWEI製ＰＣＳ接続枚数計算ツール!$C$9, HUAWEI製ＰＣＳ接続枚数計算ツール!$B$119:$P$149,10,FALSE)</f>
        <v>49.966343257117153</v>
      </c>
      <c r="AG19" s="86">
        <f>((1-1/MAX(100%,過積載率!AG19))^0.5*(HUAWEI製ＰＣＳ接続枚数計算ツール!$I$6-HUAWEI製ＰＣＳ接続枚数計算ツール!$G$6)+HUAWEI製ＰＣＳ接続枚数計算ツール!$G$6)*VLOOKUP(HUAWEI製ＰＣＳ接続枚数計算ツール!$C$9, HUAWEI製ＰＣＳ接続枚数計算ツール!$B$119:$P$149,10,FALSE)</f>
        <v>50.03488025230768</v>
      </c>
      <c r="AH19" s="86">
        <f>((1-1/MAX(100%,過積載率!AH19))^0.5*(HUAWEI製ＰＣＳ接続枚数計算ツール!$I$6-HUAWEI製ＰＣＳ接続枚数計算ツール!$G$6)+HUAWEI製ＰＣＳ接続枚数計算ツール!$G$6)*VLOOKUP(HUAWEI製ＰＣＳ接続枚数計算ツール!$C$9, HUAWEI製ＰＣＳ接続枚数計算ツール!$B$119:$P$149,10,FALSE)</f>
        <v>50.098641201088085</v>
      </c>
      <c r="AI19" s="86">
        <f>((1-1/MAX(100%,過積載率!AI19))^0.5*(HUAWEI製ＰＣＳ接続枚数計算ツール!$I$6-HUAWEI製ＰＣＳ接続枚数計算ツール!$G$6)+HUAWEI製ＰＣＳ接続枚数計算ツール!$G$6)*VLOOKUP(HUAWEI製ＰＣＳ接続枚数計算ツール!$C$9, HUAWEI製ＰＣＳ接続枚数計算ツール!$B$119:$P$149,10,FALSE)</f>
        <v>50.158116034322013</v>
      </c>
      <c r="AJ19" s="86">
        <f>((1-1/MAX(100%,過積載率!AJ19))^0.5*(HUAWEI製ＰＣＳ接続枚数計算ツール!$I$6-HUAWEI製ＰＣＳ接続枚数計算ツール!$G$6)+HUAWEI製ＰＣＳ接続枚数計算ツール!$G$6)*VLOOKUP(HUAWEI製ＰＣＳ接続枚数計算ツール!$C$9, HUAWEI製ＰＣＳ接続枚数計算ツール!$B$119:$P$149,10,FALSE)</f>
        <v>50.213728882551621</v>
      </c>
      <c r="AK19" s="86">
        <f>((1-1/MAX(100%,過積載率!AK19))^0.5*(HUAWEI製ＰＣＳ接続枚数計算ツール!$I$6-HUAWEI製ＰＣＳ接続枚数計算ツール!$G$6)+HUAWEI製ＰＣＳ接続枚数計算ツール!$G$6)*VLOOKUP(HUAWEI製ＰＣＳ接続枚数計算ツール!$C$9, HUAWEI製ＰＣＳ接続枚数計算ツール!$B$119:$P$149,10,FALSE)</f>
        <v>50.265848925988735</v>
      </c>
      <c r="AL19" s="86">
        <f>((1-1/MAX(100%,過積載率!AL19))^0.5*(HUAWEI製ＰＣＳ接続枚数計算ツール!$I$6-HUAWEI製ＰＣＳ接続枚数計算ツール!$G$6)+HUAWEI製ＰＣＳ接続枚数計算ツール!$G$6)*VLOOKUP(HUAWEI製ＰＣＳ接続枚数計算ツール!$C$9, HUAWEI製ＰＣＳ接続枚数計算ツール!$B$119:$P$149,10,FALSE)</f>
        <v>50.31479913591663</v>
      </c>
      <c r="AM19" s="86">
        <f>((1-1/MAX(100%,過積載率!AM19))^0.5*(HUAWEI製ＰＣＳ接続枚数計算ツール!$I$6-HUAWEI製ＰＣＳ接続枚数計算ツール!$G$6)+HUAWEI製ＰＣＳ接続枚数計算ツール!$G$6)*VLOOKUP(HUAWEI製ＰＣＳ接続枚数計算ツール!$C$9, HUAWEI製ＰＣＳ接続枚数計算ツール!$B$119:$P$149,10,FALSE)</f>
        <v>50.360863376923298</v>
      </c>
      <c r="AN19" s="86">
        <f>((1-1/MAX(100%,過積載率!AN19))^0.5*(HUAWEI製ＰＣＳ接続枚数計算ツール!$I$6-HUAWEI製ＰＣＳ接続枚数計算ツール!$G$6)+HUAWEI製ＰＣＳ接続枚数計算ツール!$G$6)*VLOOKUP(HUAWEI製ＰＣＳ接続枚数計算ツール!$C$9, HUAWEI製ＰＣＳ接続枚数計算ツール!$B$119:$P$149,10,FALSE)</f>
        <v>50.404292222168493</v>
      </c>
      <c r="AO19" s="86">
        <f>((1-1/MAX(100%,過積載率!AO19))^0.5*(HUAWEI製ＰＣＳ接続枚数計算ツール!$I$6-HUAWEI製ＰＣＳ接続枚数計算ツール!$G$6)+HUAWEI製ＰＣＳ接続枚数計算ツール!$G$6)*VLOOKUP(HUAWEI製ＰＣＳ接続枚数計算ツール!$C$9, HUAWEI製ＰＣＳ接続枚数計算ツール!$B$119:$P$149,10,FALSE)</f>
        <v>50.445307748969874</v>
      </c>
    </row>
    <row r="20" spans="1:41">
      <c r="A20">
        <v>18</v>
      </c>
      <c r="B20" s="86">
        <f>((1-1/MAX(100%,過積載率!B20))^0.5*(HUAWEI製ＰＣＳ接続枚数計算ツール!$I$6-HUAWEI製ＰＣＳ接続枚数計算ツール!$G$6)+HUAWEI製ＰＣＳ接続枚数計算ツール!$G$6)*VLOOKUP(HUAWEI製ＰＣＳ接続枚数計算ツール!$C$9,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0" s="86">
        <f>((1-1/MAX(100%,過積載率!C20))^0.5*(HUAWEI製ＰＣＳ接続枚数計算ツール!$I$6-HUAWEI製ＰＣＳ接続枚数計算ツール!$G$6)+HUAWEI製ＰＣＳ接続枚数計算ツール!$G$6)*VLOOKUP(HUAWEI製ＰＣＳ接続枚数計算ツール!$C$9,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0" s="86">
        <f>((1-1/MAX(100%,過積載率!D20))^0.5*(HUAWEI製ＰＣＳ接続枚数計算ツール!$I$6-HUAWEI製ＰＣＳ接続枚数計算ツール!$G$6)+HUAWEI製ＰＣＳ接続枚数計算ツール!$G$6)*VLOOKUP(HUAWEI製ＰＣＳ接続枚数計算ツール!$C$9,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0" s="86">
        <f>((1-1/MAX(100%,過積載率!E20))^0.5*(HUAWEI製ＰＣＳ接続枚数計算ツール!$I$6-HUAWEI製ＰＣＳ接続枚数計算ツール!$G$6)+HUAWEI製ＰＣＳ接続枚数計算ツール!$G$6)*VLOOKUP(HUAWEI製ＰＣＳ接続枚数計算ツール!$C$9,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0" s="86">
        <f>((1-1/MAX(100%,過積載率!F20))^0.5*(HUAWEI製ＰＣＳ接続枚数計算ツール!$I$6-HUAWEI製ＰＣＳ接続枚数計算ツール!$G$6)+HUAWEI製ＰＣＳ接続枚数計算ツール!$G$6)*VLOOKUP(HUAWEI製ＰＣＳ接続枚数計算ツール!$C$9,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0" s="86">
        <f>((1-1/MAX(100%,過積載率!G20))^0.5*(HUAWEI製ＰＣＳ接続枚数計算ツール!$I$6-HUAWEI製ＰＣＳ接続枚数計算ツール!$G$6)+HUAWEI製ＰＣＳ接続枚数計算ツール!$G$6)*VLOOKUP(HUAWEI製ＰＣＳ接続枚数計算ツール!$C$9,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0" s="86">
        <f>((1-1/MAX(100%,過積載率!H20))^0.5*(HUAWEI製ＰＣＳ接続枚数計算ツール!$I$6-HUAWEI製ＰＣＳ接続枚数計算ツール!$G$6)+HUAWEI製ＰＣＳ接続枚数計算ツール!$G$6)*VLOOKUP(HUAWEI製ＰＣＳ接続枚数計算ツール!$C$9,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0" s="86">
        <f>((1-1/MAX(100%,過積載率!I20))^0.5*(HUAWEI製ＰＣＳ接続枚数計算ツール!$I$6-HUAWEI製ＰＣＳ接続枚数計算ツール!$G$6)+HUAWEI製ＰＣＳ接続枚数計算ツール!$G$6)*VLOOKUP(HUAWEI製ＰＣＳ接続枚数計算ツール!$C$9,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0" s="86">
        <f>((1-1/MAX(100%,過積載率!J20))^0.5*(HUAWEI製ＰＣＳ接続枚数計算ツール!$I$6-HUAWEI製ＰＣＳ接続枚数計算ツール!$G$6)+HUAWEI製ＰＣＳ接続枚数計算ツール!$G$6)*VLOOKUP(HUAWEI製ＰＣＳ接続枚数計算ツール!$C$9,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0" s="86">
        <f>((1-1/MAX(100%,過積載率!K20))^0.5*(HUAWEI製ＰＣＳ接続枚数計算ツール!$I$6-HUAWEI製ＰＣＳ接続枚数計算ツール!$G$6)+HUAWEI製ＰＣＳ接続枚数計算ツール!$G$6)*VLOOKUP(HUAWEI製ＰＣＳ接続枚数計算ツール!$C$9,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0" s="86">
        <f>((1-1/MAX(100%,過積載率!L20))^0.5*(HUAWEI製ＰＣＳ接続枚数計算ツール!$I$6-HUAWEI製ＰＣＳ接続枚数計算ツール!$G$6)+HUAWEI製ＰＣＳ接続枚数計算ツール!$G$6)*VLOOKUP(HUAWEI製ＰＣＳ接続枚数計算ツール!$C$9,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0" s="86">
        <f>((1-1/MAX(100%,過積載率!M20))^0.5*(HUAWEI製ＰＣＳ接続枚数計算ツール!$I$6-HUAWEI製ＰＣＳ接続枚数計算ツール!$G$6)+HUAWEI製ＰＣＳ接続枚数計算ツール!$G$6)*VLOOKUP(HUAWEI製ＰＣＳ接続枚数計算ツール!$C$9, HUAWEI製ＰＣＳ接続枚数計算ツール!$B$119:$P$149,10,FALSE)</f>
        <v>44.856655469635044</v>
      </c>
      <c r="N20" s="86">
        <f>((1-1/MAX(100%,過積載率!N20))^0.5*(HUAWEI製ＰＣＳ接続枚数計算ツール!$I$6-HUAWEI製ＰＣＳ接続枚数計算ツール!$G$6)+HUAWEI製ＰＣＳ接続枚数計算ツール!$G$6)*VLOOKUP(HUAWEI製ＰＣＳ接続枚数計算ツール!$C$9, HUAWEI製ＰＣＳ接続枚数計算ツール!$B$119:$P$149,10,FALSE)</f>
        <v>46.094950225184441</v>
      </c>
      <c r="O20" s="86">
        <f>((1-1/MAX(100%,過積載率!O20))^0.5*(HUAWEI製ＰＣＳ接続枚数計算ツール!$I$6-HUAWEI製ＰＣＳ接続枚数計算ツール!$G$6)+HUAWEI製ＰＣＳ接続枚数計算ツール!$G$6)*VLOOKUP(HUAWEI製ＰＣＳ接続枚数計算ツール!$C$9, HUAWEI製ＰＣＳ接続枚数計算ツール!$B$119:$P$149,10,FALSE)</f>
        <v>46.832767074015699</v>
      </c>
      <c r="P20" s="86">
        <f>((1-1/MAX(100%,過積載率!P20))^0.5*(HUAWEI製ＰＣＳ接続枚数計算ツール!$I$6-HUAWEI製ＰＣＳ接続枚数計算ツール!$G$6)+HUAWEI製ＰＣＳ接続枚数計算ツール!$G$6)*VLOOKUP(HUAWEI製ＰＣＳ接続枚数計算ツール!$C$9, HUAWEI製ＰＣＳ接続枚数計算ツール!$B$119:$P$149,10,FALSE)</f>
        <v>47.367288267155793</v>
      </c>
      <c r="Q20" s="86">
        <f>((1-1/MAX(100%,過積載率!Q20))^0.5*(HUAWEI製ＰＣＳ接続枚数計算ツール!$I$6-HUAWEI製ＰＣＳ接続枚数計算ツール!$G$6)+HUAWEI製ＰＣＳ接続枚数計算ツール!$G$6)*VLOOKUP(HUAWEI製ＰＣＳ接続枚数計算ツール!$C$9, HUAWEI製ＰＣＳ接続枚数計算ツール!$B$119:$P$149,10,FALSE)</f>
        <v>47.783894440546355</v>
      </c>
      <c r="R20" s="86">
        <f>((1-1/MAX(100%,過積載率!R20))^0.5*(HUAWEI製ＰＣＳ接続枚数計算ツール!$I$6-HUAWEI製ＰＣＳ接続枚数計算ツール!$G$6)+HUAWEI製ＰＣＳ接続枚数計算ツール!$G$6)*VLOOKUP(HUAWEI製ＰＣＳ接続枚数計算ツール!$C$9, HUAWEI製ＰＣＳ接続枚数計算ツール!$B$119:$P$149,10,FALSE)</f>
        <v>48.122156710916784</v>
      </c>
      <c r="S20" s="86">
        <f>((1-1/MAX(100%,過積載率!S20))^0.5*(HUAWEI製ＰＣＳ接続枚数計算ツール!$I$6-HUAWEI製ＰＣＳ接続枚数計算ツール!$G$6)+HUAWEI製ＰＣＳ接続枚数計算ツール!$G$6)*VLOOKUP(HUAWEI製ＰＣＳ接続枚数計算ツール!$C$9, HUAWEI製ＰＣＳ接続枚数計算ツール!$B$119:$P$149,10,FALSE)</f>
        <v>48.40432867965702</v>
      </c>
      <c r="T20" s="86">
        <f>((1-1/MAX(100%,過積載率!T20))^0.5*(HUAWEI製ＰＣＳ接続枚数計算ツール!$I$6-HUAWEI製ＰＣＳ接続枚数計算ツール!$G$6)+HUAWEI製ＰＣＳ接続枚数計算ツール!$G$6)*VLOOKUP(HUAWEI製ＰＣＳ接続枚数計算ツール!$C$9, HUAWEI製ＰＣＳ接続枚数計算ツール!$B$119:$P$149,10,FALSE)</f>
        <v>48.644363947344651</v>
      </c>
      <c r="U20" s="86">
        <f>((1-1/MAX(100%,過積載率!U20))^0.5*(HUAWEI製ＰＣＳ接続枚数計算ツール!$I$6-HUAWEI製ＰＣＳ接続枚数計算ツール!$G$6)+HUAWEI製ＰＣＳ接続枚数計算ツール!$G$6)*VLOOKUP(HUAWEI製ＰＣＳ接続枚数計算ツール!$C$9, HUAWEI製ＰＣＳ接続枚数計算ツール!$B$119:$P$149,10,FALSE)</f>
        <v>48.851650606036074</v>
      </c>
      <c r="V20" s="86">
        <f>((1-1/MAX(100%,過積載率!V20))^0.5*(HUAWEI製ＰＣＳ接続枚数計算ツール!$I$6-HUAWEI製ＰＣＳ接続枚数計算ツール!$G$6)+HUAWEI製ＰＣＳ接続枚数計算ツール!$G$6)*VLOOKUP(HUAWEI製ＰＣＳ接続枚数計算ツール!$C$9, HUAWEI製ＰＣＳ接続枚数計算ツール!$B$119:$P$149,10,FALSE)</f>
        <v>49.03282660712312</v>
      </c>
      <c r="W20" s="86">
        <f>((1-1/MAX(100%,過積載率!W20))^0.5*(HUAWEI製ＰＣＳ接続枚数計算ツール!$I$6-HUAWEI製ＰＣＳ接続枚数計算ツール!$G$6)+HUAWEI製ＰＣＳ接続枚数計算ツール!$G$6)*VLOOKUP(HUAWEI製ＰＣＳ接続枚数計算ツール!$C$9, HUAWEI製ＰＣＳ接続枚数計算ツール!$B$119:$P$149,10,FALSE)</f>
        <v>49.192762653596468</v>
      </c>
      <c r="X20" s="86">
        <f>((1-1/MAX(100%,過積載率!X20))^0.5*(HUAWEI製ＰＣＳ接続枚数計算ツール!$I$6-HUAWEI製ＰＣＳ接続枚数計算ツール!$G$6)+HUAWEI製ＰＣＳ接続枚数計算ツール!$G$6)*VLOOKUP(HUAWEI製ＰＣＳ接続枚数計算ツール!$C$9, HUAWEI製ＰＣＳ接続枚数計算ツール!$B$119:$P$149,10,FALSE)</f>
        <v>49.335137405982728</v>
      </c>
      <c r="Y20" s="86">
        <f>((1-1/MAX(100%,過積載率!Y20))^0.5*(HUAWEI製ＰＣＳ接続枚数計算ツール!$I$6-HUAWEI製ＰＣＳ接続枚数計算ツール!$G$6)+HUAWEI製ＰＣＳ接続枚数計算ツール!$G$6)*VLOOKUP(HUAWEI製ＰＣＳ接続枚数計算ツール!$C$9, HUAWEI製ＰＣＳ接続枚数計算ツール!$B$119:$P$149,10,FALSE)</f>
        <v>49.462794510802176</v>
      </c>
      <c r="Z20" s="86">
        <f>((1-1/MAX(100%,過積載率!Z20))^0.5*(HUAWEI製ＰＣＳ接続枚数計算ツール!$I$6-HUAWEI製ＰＣＳ接続枚数計算ツール!$G$6)+HUAWEI製ＰＣＳ接続枚数計算ツール!$G$6)*VLOOKUP(HUAWEI製ＰＣＳ接続枚数計算ツール!$C$9, HUAWEI製ＰＣＳ接続枚数計算ツール!$B$119:$P$149,10,FALSE)</f>
        <v>49.57797467257673</v>
      </c>
      <c r="AA20" s="86">
        <f>((1-1/MAX(100%,過積載率!AA20))^0.5*(HUAWEI製ＰＣＳ接続枚数計算ツール!$I$6-HUAWEI製ＰＣＳ接続枚数計算ツール!$G$6)+HUAWEI製ＰＣＳ接続枚数計算ツール!$G$6)*VLOOKUP(HUAWEI製ＰＣＳ接続枚数計算ツール!$C$9, HUAWEI製ＰＣＳ接続枚数計算ツール!$B$119:$P$149,10,FALSE)</f>
        <v>49.682472218361099</v>
      </c>
      <c r="AB20" s="86">
        <f>((1-1/MAX(100%,過積載率!AB20))^0.5*(HUAWEI製ＰＣＳ接続枚数計算ツール!$I$6-HUAWEI製ＰＣＳ接続枚数計算ツール!$G$6)+HUAWEI製ＰＣＳ接続枚数計算ツール!$G$6)*VLOOKUP(HUAWEI製ＰＣＳ接続枚数計算ツール!$C$9, HUAWEI製ＰＣＳ接続枚数計算ツール!$B$119:$P$149,10,FALSE)</f>
        <v>49.777744009096658</v>
      </c>
      <c r="AC20" s="86">
        <f>((1-1/MAX(100%,過積載率!AC20))^0.5*(HUAWEI製ＰＣＳ接続枚数計算ツール!$I$6-HUAWEI製ＰＣＳ接続枚数計算ツール!$G$6)+HUAWEI製ＰＣＳ接続枚数計算ツール!$G$6)*VLOOKUP(HUAWEI製ＰＣＳ接続枚数計算ツール!$C$9, HUAWEI製ＰＣＳ接続枚数計算ツール!$B$119:$P$149,10,FALSE)</f>
        <v>49.864987176011788</v>
      </c>
      <c r="AD20" s="86">
        <f>((1-1/MAX(100%,過積載率!AD20))^0.5*(HUAWEI製ＰＣＳ接続枚数計算ツール!$I$6-HUAWEI製ＰＣＳ接続枚数計算ツール!$G$6)+HUAWEI製ＰＣＳ接続枚数計算ツール!$G$6)*VLOOKUP(HUAWEI製ＰＣＳ接続枚数計算ツール!$C$9, HUAWEI製ＰＣＳ接続枚数計算ツール!$B$119:$P$149,10,FALSE)</f>
        <v>49.945195835792958</v>
      </c>
      <c r="AE20" s="86">
        <f>((1-1/MAX(100%,過積載率!AE20))^0.5*(HUAWEI製ＰＣＳ接続枚数計算ツール!$I$6-HUAWEI製ＰＣＳ接続枚数計算ツール!$G$6)+HUAWEI製ＰＣＳ接続枚数計算ツール!$G$6)*VLOOKUP(HUAWEI製ＰＣＳ接続枚数計算ツール!$C$9, HUAWEI製ＰＣＳ接続枚数計算ツール!$B$119:$P$149,10,FALSE)</f>
        <v>50.019203260283426</v>
      </c>
      <c r="AF20" s="86">
        <f>((1-1/MAX(100%,過積載率!AF20))^0.5*(HUAWEI製ＰＣＳ接続枚数計算ツール!$I$6-HUAWEI製ＰＣＳ接続枚数計算ツール!$G$6)+HUAWEI製ＰＣＳ接続枚数計算ツール!$G$6)*VLOOKUP(HUAWEI製ＰＣＳ接続枚数計算ツール!$C$9, HUAWEI製ＰＣＳ接続枚数計算ツール!$B$119:$P$149,10,FALSE)</f>
        <v>50.087713754309085</v>
      </c>
      <c r="AG20" s="86">
        <f>((1-1/MAX(100%,過積載率!AG20))^0.5*(HUAWEI製ＰＣＳ接続枚数計算ツール!$I$6-HUAWEI製ＰＣＳ接続枚数計算ツール!$G$6)+HUAWEI製ＰＣＳ接続枚数計算ツール!$G$6)*VLOOKUP(HUAWEI製ＰＣＳ接続枚数計算ツール!$C$9, HUAWEI製ＰＣＳ接続枚数計算ツール!$B$119:$P$149,10,FALSE)</f>
        <v>50.151327107861952</v>
      </c>
      <c r="AH20" s="86">
        <f>((1-1/MAX(100%,過積載率!AH20))^0.5*(HUAWEI製ＰＣＳ接続枚数計算ツール!$I$6-HUAWEI製ＰＣＳ接続枚数計算ツール!$G$6)+HUAWEI製ＰＣＳ接続枚数計算ツール!$G$6)*VLOOKUP(HUAWEI製ＰＣＳ接続枚数計算ツール!$C$9, HUAWEI製ＰＣＳ接続枚数計算ツール!$B$119:$P$149,10,FALSE)</f>
        <v>50.210557597645838</v>
      </c>
      <c r="AI20" s="86">
        <f>((1-1/MAX(100%,過積載率!AI20))^0.5*(HUAWEI製ＰＣＳ接続枚数計算ツール!$I$6-HUAWEI製ＰＣＳ接続枚数計算ツール!$G$6)+HUAWEI製ＰＣＳ接続枚数計算ツール!$G$6)*VLOOKUP(HUAWEI製ＰＣＳ接続枚数計算ツール!$C$9, HUAWEI製ＰＣＳ接続枚数計算ツール!$B$119:$P$149,10,FALSE)</f>
        <v>50.265848925988735</v>
      </c>
      <c r="AJ20" s="86">
        <f>((1-1/MAX(100%,過積載率!AJ20))^0.5*(HUAWEI製ＰＣＳ接続枚数計算ツール!$I$6-HUAWEI製ＰＣＳ接続枚数計算ツール!$G$6)+HUAWEI製ＰＣＳ接続枚数計算ツール!$G$6)*VLOOKUP(HUAWEI製ＰＣＳ接続枚数計算ツール!$C$9, HUAWEI製ＰＣＳ接続枚数計算ツール!$B$119:$P$149,10,FALSE)</f>
        <v>50.317586089862196</v>
      </c>
      <c r="AK20" s="86">
        <f>((1-1/MAX(100%,過積載率!AK20))^0.5*(HUAWEI製ＰＣＳ接続枚数計算ツール!$I$6-HUAWEI製ＰＣＳ接続枚数計算ツール!$G$6)+HUAWEI製ＰＣＳ接続枚数計算ツール!$G$6)*VLOOKUP(HUAWEI製ＰＣＳ接続枚数計算ツール!$C$9, HUAWEI製ＰＣＳ接続枚数計算ツール!$B$119:$P$149,10,FALSE)</f>
        <v>50.366104901298939</v>
      </c>
      <c r="AL20" s="86">
        <f>((1-1/MAX(100%,過積載率!AL20))^0.5*(HUAWEI製ＰＣＳ接続枚数計算ツール!$I$6-HUAWEI製ＰＣＳ接続枚数計算ツール!$G$6)+HUAWEI製ＰＣＳ接続枚数計算ツール!$G$6)*VLOOKUP(HUAWEI製ＰＣＳ接続枚数計算ツール!$C$9, HUAWEI製ＰＣＳ接続枚数計算ツール!$B$119:$P$149,10,FALSE)</f>
        <v>50.411699690759406</v>
      </c>
      <c r="AM20" s="86">
        <f>((1-1/MAX(100%,過積載率!AM20))^0.5*(HUAWEI製ＰＣＳ接続枚数計算ツール!$I$6-HUAWEI製ＰＣＳ接続枚数計算ツール!$G$6)+HUAWEI製ＰＣＳ接続枚数計算ツール!$G$6)*VLOOKUP(HUAWEI製ＰＣＳ接続枚数計算ツール!$C$9, HUAWEI製ＰＣＳ接続枚数計算ツール!$B$119:$P$149,10,FALSE)</f>
        <v>50.454629590241169</v>
      </c>
      <c r="AN20" s="86">
        <f>((1-1/MAX(100%,過積載率!AN20))^0.5*(HUAWEI製ＰＣＳ接続枚数計算ツール!$I$6-HUAWEI製ＰＣＳ接続枚数計算ツール!$G$6)+HUAWEI製ＰＣＳ接続枚数計算ツール!$G$6)*VLOOKUP(HUAWEI製ＰＣＳ接続枚数計算ツール!$C$9, HUAWEI製ＰＣＳ接続枚数計算ツール!$B$119:$P$149,10,FALSE)</f>
        <v>50.495123695824013</v>
      </c>
      <c r="AO20" s="86">
        <f>((1-1/MAX(100%,過積載率!AO20))^0.5*(HUAWEI製ＰＣＳ接続枚数計算ツール!$I$6-HUAWEI製ＰＣＳ接続枚数計算ツール!$G$6)+HUAWEI製ＰＣＳ接続枚数計算ツール!$G$6)*VLOOKUP(HUAWEI製ＰＣＳ接続枚数計算ツール!$C$9, HUAWEI製ＰＣＳ接続枚数計算ツール!$B$119:$P$149,10,FALSE)</f>
        <v>50.533385338448667</v>
      </c>
    </row>
    <row r="21" spans="1:41">
      <c r="A21">
        <v>19</v>
      </c>
      <c r="B21" s="86">
        <f>((1-1/MAX(100%,過積載率!B21))^0.5*(HUAWEI製ＰＣＳ接続枚数計算ツール!$I$6-HUAWEI製ＰＣＳ接続枚数計算ツール!$G$6)+HUAWEI製ＰＣＳ接続枚数計算ツール!$G$6)*VLOOKUP(HUAWEI製ＰＣＳ接続枚数計算ツール!$C$9,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1" s="86">
        <f>((1-1/MAX(100%,過積載率!C21))^0.5*(HUAWEI製ＰＣＳ接続枚数計算ツール!$I$6-HUAWEI製ＰＣＳ接続枚数計算ツール!$G$6)+HUAWEI製ＰＣＳ接続枚数計算ツール!$G$6)*VLOOKUP(HUAWEI製ＰＣＳ接続枚数計算ツール!$C$9,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1" s="86">
        <f>((1-1/MAX(100%,過積載率!D21))^0.5*(HUAWEI製ＰＣＳ接続枚数計算ツール!$I$6-HUAWEI製ＰＣＳ接続枚数計算ツール!$G$6)+HUAWEI製ＰＣＳ接続枚数計算ツール!$G$6)*VLOOKUP(HUAWEI製ＰＣＳ接続枚数計算ツール!$C$9,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1" s="86">
        <f>((1-1/MAX(100%,過積載率!E21))^0.5*(HUAWEI製ＰＣＳ接続枚数計算ツール!$I$6-HUAWEI製ＰＣＳ接続枚数計算ツール!$G$6)+HUAWEI製ＰＣＳ接続枚数計算ツール!$G$6)*VLOOKUP(HUAWEI製ＰＣＳ接続枚数計算ツール!$C$9,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1" s="86">
        <f>((1-1/MAX(100%,過積載率!F21))^0.5*(HUAWEI製ＰＣＳ接続枚数計算ツール!$I$6-HUAWEI製ＰＣＳ接続枚数計算ツール!$G$6)+HUAWEI製ＰＣＳ接続枚数計算ツール!$G$6)*VLOOKUP(HUAWEI製ＰＣＳ接続枚数計算ツール!$C$9,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1" s="86">
        <f>((1-1/MAX(100%,過積載率!G21))^0.5*(HUAWEI製ＰＣＳ接続枚数計算ツール!$I$6-HUAWEI製ＰＣＳ接続枚数計算ツール!$G$6)+HUAWEI製ＰＣＳ接続枚数計算ツール!$G$6)*VLOOKUP(HUAWEI製ＰＣＳ接続枚数計算ツール!$C$9,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1" s="86">
        <f>((1-1/MAX(100%,過積載率!H21))^0.5*(HUAWEI製ＰＣＳ接続枚数計算ツール!$I$6-HUAWEI製ＰＣＳ接続枚数計算ツール!$G$6)+HUAWEI製ＰＣＳ接続枚数計算ツール!$G$6)*VLOOKUP(HUAWEI製ＰＣＳ接続枚数計算ツール!$C$9,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1" s="86">
        <f>((1-1/MAX(100%,過積載率!I21))^0.5*(HUAWEI製ＰＣＳ接続枚数計算ツール!$I$6-HUAWEI製ＰＣＳ接続枚数計算ツール!$G$6)+HUAWEI製ＰＣＳ接続枚数計算ツール!$G$6)*VLOOKUP(HUAWEI製ＰＣＳ接続枚数計算ツール!$C$9,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1" s="86">
        <f>((1-1/MAX(100%,過積載率!J21))^0.5*(HUAWEI製ＰＣＳ接続枚数計算ツール!$I$6-HUAWEI製ＰＣＳ接続枚数計算ツール!$G$6)+HUAWEI製ＰＣＳ接続枚数計算ツール!$G$6)*VLOOKUP(HUAWEI製ＰＣＳ接続枚数計算ツール!$C$9,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1" s="86">
        <f>((1-1/MAX(100%,過積載率!K21))^0.5*(HUAWEI製ＰＣＳ接続枚数計算ツール!$I$6-HUAWEI製ＰＣＳ接続枚数計算ツール!$G$6)+HUAWEI製ＰＣＳ接続枚数計算ツール!$G$6)*VLOOKUP(HUAWEI製ＰＣＳ接続枚数計算ツール!$C$9,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1" s="86">
        <f>((1-1/MAX(100%,過積載率!L21))^0.5*(HUAWEI製ＰＣＳ接続枚数計算ツール!$I$6-HUAWEI製ＰＣＳ接続枚数計算ツール!$G$6)+HUAWEI製ＰＣＳ接続枚数計算ツール!$G$6)*VLOOKUP(HUAWEI製ＰＣＳ接続枚数計算ツール!$C$9,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1" s="86">
        <f>((1-1/MAX(100%,過積載率!M21))^0.5*(HUAWEI製ＰＣＳ接続枚数計算ツール!$I$6-HUAWEI製ＰＣＳ接続枚数計算ツール!$G$6)+HUAWEI製ＰＣＳ接続枚数計算ツール!$G$6)*VLOOKUP(HUAWEI製ＰＣＳ接続枚数計算ツール!$C$9,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21" s="86">
        <f>((1-1/MAX(100%,過積載率!N21))^0.5*(HUAWEI製ＰＣＳ接続枚数計算ツール!$I$6-HUAWEI製ＰＣＳ接続枚数計算ツール!$G$6)+HUAWEI製ＰＣＳ接続枚数計算ツール!$G$6)*VLOOKUP(HUAWEI製ＰＣＳ接続枚数計算ツール!$C$9,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21" s="86">
        <f>((1-1/MAX(100%,過積載率!O21))^0.5*(HUAWEI製ＰＣＳ接続枚数計算ツール!$I$6-HUAWEI製ＰＣＳ接続枚数計算ツール!$G$6)+HUAWEI製ＰＣＳ接続枚数計算ツール!$G$6)*VLOOKUP(HUAWEI製ＰＣＳ接続枚数計算ツール!$C$9,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21" s="86">
        <f>((1-1/MAX(100%,過積載率!P21))^0.5*(HUAWEI製ＰＣＳ接続枚数計算ツール!$I$6-HUAWEI製ＰＣＳ接続枚数計算ツール!$G$6)+HUAWEI製ＰＣＳ接続枚数計算ツール!$G$6)*VLOOKUP(HUAWEI製ＰＣＳ接続枚数計算ツール!$C$9,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21" s="86">
        <f>((1-1/MAX(100%,過積載率!Q21))^0.5*(HUAWEI製ＰＣＳ接続枚数計算ツール!$I$6-HUAWEI製ＰＣＳ接続枚数計算ツール!$G$6)+HUAWEI製ＰＣＳ接続枚数計算ツール!$G$6)*VLOOKUP(HUAWEI製ＰＣＳ接続枚数計算ツール!$C$9,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21" s="86">
        <f>((1-1/MAX(100%,過積載率!R21))^0.5*(HUAWEI製ＰＣＳ接続枚数計算ツール!$I$6-HUAWEI製ＰＣＳ接続枚数計算ツール!$G$6)+HUAWEI製ＰＣＳ接続枚数計算ツール!$G$6)*VLOOKUP(HUAWEI製ＰＣＳ接続枚数計算ツール!$C$9,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21" s="86">
        <f>((1-1/MAX(100%,過積載率!S21))^0.5*(HUAWEI製ＰＣＳ接続枚数計算ツール!$I$6-HUAWEI製ＰＣＳ接続枚数計算ツール!$G$6)+HUAWEI製ＰＣＳ接続枚数計算ツール!$G$6)*VLOOKUP(HUAWEI製ＰＣＳ接続枚数計算ツール!$C$9,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21" s="86">
        <f>((1-1/MAX(100%,過積載率!T21))^0.5*(HUAWEI製ＰＣＳ接続枚数計算ツール!$I$6-HUAWEI製ＰＣＳ接続枚数計算ツール!$G$6)+HUAWEI製ＰＣＳ接続枚数計算ツール!$G$6)*VLOOKUP(HUAWEI製ＰＣＳ接続枚数計算ツール!$C$9,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21" s="86">
        <f>((1-1/MAX(100%,過積載率!U21))^0.5*(HUAWEI製ＰＣＳ接続枚数計算ツール!$I$6-HUAWEI製ＰＣＳ接続枚数計算ツール!$G$6)+HUAWEI製ＰＣＳ接続枚数計算ツール!$G$6)*VLOOKUP(HUAWEI製ＰＣＳ接続枚数計算ツール!$C$9,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21" s="86">
        <f>((1-1/MAX(100%,過積載率!V21))^0.5*(HUAWEI製ＰＣＳ接続枚数計算ツール!$I$6-HUAWEI製ＰＣＳ接続枚数計算ツール!$G$6)+HUAWEI製ＰＣＳ接続枚数計算ツール!$G$6)*VLOOKUP(HUAWEI製ＰＣＳ接続枚数計算ツール!$C$9,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21" s="86">
        <f>((1-1/MAX(100%,過積載率!W21))^0.5*(HUAWEI製ＰＣＳ接続枚数計算ツール!$I$6-HUAWEI製ＰＣＳ接続枚数計算ツール!$G$6)+HUAWEI製ＰＣＳ接続枚数計算ツール!$G$6)*VLOOKUP(HUAWEI製ＰＣＳ接続枚数計算ツール!$C$9,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21" s="86">
        <f>((1-1/MAX(100%,過積載率!X21))^0.5*(HUAWEI製ＰＣＳ接続枚数計算ツール!$I$6-HUAWEI製ＰＣＳ接続枚数計算ツール!$G$6)+HUAWEI製ＰＣＳ接続枚数計算ツール!$G$6)*VLOOKUP(HUAWEI製ＰＣＳ接続枚数計算ツール!$C$9,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21" s="86">
        <f>((1-1/MAX(100%,過積載率!Y21))^0.5*(HUAWEI製ＰＣＳ接続枚数計算ツール!$I$6-HUAWEI製ＰＣＳ接続枚数計算ツール!$G$6)+HUAWEI製ＰＣＳ接続枚数計算ツール!$G$6)*VLOOKUP(HUAWEI製ＰＣＳ接続枚数計算ツール!$C$9,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21" s="86">
        <f>((1-1/MAX(100%,過積載率!Z21))^0.5*(HUAWEI製ＰＣＳ接続枚数計算ツール!$I$6-HUAWEI製ＰＣＳ接続枚数計算ツール!$G$6)+HUAWEI製ＰＣＳ接続枚数計算ツール!$G$6)*VLOOKUP(HUAWEI製ＰＣＳ接続枚数計算ツール!$C$9,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21" s="86">
        <f>((1-1/MAX(100%,過積載率!AA21))^0.5*(HUAWEI製ＰＣＳ接続枚数計算ツール!$I$6-HUAWEI製ＰＣＳ接続枚数計算ツール!$G$6)+HUAWEI製ＰＣＳ接続枚数計算ツール!$G$6)*VLOOKUP(HUAWEI製ＰＣＳ接続枚数計算ツール!$C$9,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21" s="86">
        <f>((1-1/MAX(100%,過積載率!AB21))^0.5*(HUAWEI製ＰＣＳ接続枚数計算ツール!$I$6-HUAWEI製ＰＣＳ接続枚数計算ツール!$G$6)+HUAWEI製ＰＣＳ接続枚数計算ツール!$G$6)*VLOOKUP(HUAWEI製ＰＣＳ接続枚数計算ツール!$C$9,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21" s="86">
        <f>((1-1/MAX(100%,過積載率!AC21))^0.5*(HUAWEI製ＰＣＳ接続枚数計算ツール!$I$6-HUAWEI製ＰＣＳ接続枚数計算ツール!$G$6)+HUAWEI製ＰＣＳ接続枚数計算ツール!$G$6)*VLOOKUP(HUAWEI製ＰＣＳ接続枚数計算ツール!$C$9,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21" s="86">
        <f>((1-1/MAX(100%,過積載率!AD21))^0.5*(HUAWEI製ＰＣＳ接続枚数計算ツール!$I$6-HUAWEI製ＰＣＳ接続枚数計算ツール!$G$6)+HUAWEI製ＰＣＳ接続枚数計算ツール!$G$6)*VLOOKUP(HUAWEI製ＰＣＳ接続枚数計算ツール!$C$9,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21" s="86">
        <f>((1-1/MAX(100%,過積載率!AE21))^0.5*(HUAWEI製ＰＣＳ接続枚数計算ツール!$I$6-HUAWEI製ＰＣＳ接続枚数計算ツール!$G$6)+HUAWEI製ＰＣＳ接続枚数計算ツール!$G$6)*VLOOKUP(HUAWEI製ＰＣＳ接続枚数計算ツール!$C$9,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21" s="86">
        <f>((1-1/MAX(100%,過積載率!AF21))^0.5*(HUAWEI製ＰＣＳ接続枚数計算ツール!$I$6-HUAWEI製ＰＣＳ接続枚数計算ツール!$G$6)+HUAWEI製ＰＣＳ接続枚数計算ツール!$G$6)*VLOOKUP(HUAWEI製ＰＣＳ接続枚数計算ツール!$C$9,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21" s="86">
        <f>((1-1/MAX(100%,過積載率!AG21))^0.5*(HUAWEI製ＰＣＳ接続枚数計算ツール!$I$6-HUAWEI製ＰＣＳ接続枚数計算ツール!$G$6)+HUAWEI製ＰＣＳ接続枚数計算ツール!$G$6)*VLOOKUP(HUAWEI製ＰＣＳ接続枚数計算ツール!$C$9,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21" s="86">
        <f>((1-1/MAX(100%,過積載率!AH21))^0.5*(HUAWEI製ＰＣＳ接続枚数計算ツール!$I$6-HUAWEI製ＰＣＳ接続枚数計算ツール!$G$6)+HUAWEI製ＰＣＳ接続枚数計算ツール!$G$6)*VLOOKUP(HUAWEI製ＰＣＳ接続枚数計算ツール!$C$9,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21" s="86">
        <f>((1-1/MAX(100%,過積載率!AI21))^0.5*(HUAWEI製ＰＣＳ接続枚数計算ツール!$I$6-HUAWEI製ＰＣＳ接続枚数計算ツール!$G$6)+HUAWEI製ＰＣＳ接続枚数計算ツール!$G$6)*VLOOKUP(HUAWEI製ＰＣＳ接続枚数計算ツール!$C$9,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21" s="86">
        <f>((1-1/MAX(100%,過積載率!AJ21))^0.5*(HUAWEI製ＰＣＳ接続枚数計算ツール!$I$6-HUAWEI製ＰＣＳ接続枚数計算ツール!$G$6)+HUAWEI製ＰＣＳ接続枚数計算ツール!$G$6)*VLOOKUP(HUAWEI製ＰＣＳ接続枚数計算ツール!$C$9,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21" s="86">
        <f>((1-1/MAX(100%,過積載率!AK21))^0.5*(HUAWEI製ＰＣＳ接続枚数計算ツール!$I$6-HUAWEI製ＰＣＳ接続枚数計算ツール!$G$6)+HUAWEI製ＰＣＳ接続枚数計算ツール!$G$6)*VLOOKUP(HUAWEI製ＰＣＳ接続枚数計算ツール!$C$9,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21" s="86">
        <f>((1-1/MAX(100%,過積載率!AL21))^0.5*(HUAWEI製ＰＣＳ接続枚数計算ツール!$I$6-HUAWEI製ＰＣＳ接続枚数計算ツール!$G$6)+HUAWEI製ＰＣＳ接続枚数計算ツール!$G$6)*VLOOKUP(HUAWEI製ＰＣＳ接続枚数計算ツール!$C$9,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21" s="86">
        <f>((1-1/MAX(100%,過積載率!AM21))^0.5*(HUAWEI製ＰＣＳ接続枚数計算ツール!$I$6-HUAWEI製ＰＣＳ接続枚数計算ツール!$G$6)+HUAWEI製ＰＣＳ接続枚数計算ツール!$G$6)*VLOOKUP(HUAWEI製ＰＣＳ接続枚数計算ツール!$C$9,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21" s="86">
        <f>((1-1/MAX(100%,過積載率!AN21))^0.5*(HUAWEI製ＰＣＳ接続枚数計算ツール!$I$6-HUAWEI製ＰＣＳ接続枚数計算ツール!$G$6)+HUAWEI製ＰＣＳ接続枚数計算ツール!$G$6)*VLOOKUP(HUAWEI製ＰＣＳ接続枚数計算ツール!$C$9,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21" s="86">
        <f>((1-1/MAX(100%,過積載率!AO21))^0.5*(HUAWEI製ＰＣＳ接続枚数計算ツール!$I$6-HUAWEI製ＰＣＳ接続枚数計算ツール!$G$6)+HUAWEI製ＰＣＳ接続枚数計算ツール!$G$6)*VLOOKUP(HUAWEI製ＰＣＳ接続枚数計算ツール!$C$9,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22" spans="1:41">
      <c r="A22">
        <v>20</v>
      </c>
      <c r="B22" s="86">
        <f>((1-1/MAX(100%,過積載率!B22))^0.5*(HUAWEI製ＰＣＳ接続枚数計算ツール!$I$6-HUAWEI製ＰＣＳ接続枚数計算ツール!$G$6)+HUAWEI製ＰＣＳ接続枚数計算ツール!$G$6)*VLOOKUP(HUAWEI製ＰＣＳ接続枚数計算ツール!$C$9,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2" s="86">
        <f>((1-1/MAX(100%,過積載率!C22))^0.5*(HUAWEI製ＰＣＳ接続枚数計算ツール!$I$6-HUAWEI製ＰＣＳ接続枚数計算ツール!$G$6)+HUAWEI製ＰＣＳ接続枚数計算ツール!$G$6)*VLOOKUP(HUAWEI製ＰＣＳ接続枚数計算ツール!$C$9,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2" s="86">
        <f>((1-1/MAX(100%,過積載率!D22))^0.5*(HUAWEI製ＰＣＳ接続枚数計算ツール!$I$6-HUAWEI製ＰＣＳ接続枚数計算ツール!$G$6)+HUAWEI製ＰＣＳ接続枚数計算ツール!$G$6)*VLOOKUP(HUAWEI製ＰＣＳ接続枚数計算ツール!$C$9,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2" s="86">
        <f>((1-1/MAX(100%,過積載率!E22))^0.5*(HUAWEI製ＰＣＳ接続枚数計算ツール!$I$6-HUAWEI製ＰＣＳ接続枚数計算ツール!$G$6)+HUAWEI製ＰＣＳ接続枚数計算ツール!$G$6)*VLOOKUP(HUAWEI製ＰＣＳ接続枚数計算ツール!$C$9,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2" s="86">
        <f>((1-1/MAX(100%,過積載率!F22))^0.5*(HUAWEI製ＰＣＳ接続枚数計算ツール!$I$6-HUAWEI製ＰＣＳ接続枚数計算ツール!$G$6)+HUAWEI製ＰＣＳ接続枚数計算ツール!$G$6)*VLOOKUP(HUAWEI製ＰＣＳ接続枚数計算ツール!$C$9,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2" s="86">
        <f>((1-1/MAX(100%,過積載率!G22))^0.5*(HUAWEI製ＰＣＳ接続枚数計算ツール!$I$6-HUAWEI製ＰＣＳ接続枚数計算ツール!$G$6)+HUAWEI製ＰＣＳ接続枚数計算ツール!$G$6)*VLOOKUP(HUAWEI製ＰＣＳ接続枚数計算ツール!$C$9,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2" s="86">
        <f>((1-1/MAX(100%,過積載率!H22))^0.5*(HUAWEI製ＰＣＳ接続枚数計算ツール!$I$6-HUAWEI製ＰＣＳ接続枚数計算ツール!$G$6)+HUAWEI製ＰＣＳ接続枚数計算ツール!$G$6)*VLOOKUP(HUAWEI製ＰＣＳ接続枚数計算ツール!$C$9,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2" s="86">
        <f>((1-1/MAX(100%,過積載率!I22))^0.5*(HUAWEI製ＰＣＳ接続枚数計算ツール!$I$6-HUAWEI製ＰＣＳ接続枚数計算ツール!$G$6)+HUAWEI製ＰＣＳ接続枚数計算ツール!$G$6)*VLOOKUP(HUAWEI製ＰＣＳ接続枚数計算ツール!$C$9,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2" s="86">
        <f>((1-1/MAX(100%,過積載率!J22))^0.5*(HUAWEI製ＰＣＳ接続枚数計算ツール!$I$6-HUAWEI製ＰＣＳ接続枚数計算ツール!$G$6)+HUAWEI製ＰＣＳ接続枚数計算ツール!$G$6)*VLOOKUP(HUAWEI製ＰＣＳ接続枚数計算ツール!$C$9,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2" s="86">
        <f>((1-1/MAX(100%,過積載率!K22))^0.5*(HUAWEI製ＰＣＳ接続枚数計算ツール!$I$6-HUAWEI製ＰＣＳ接続枚数計算ツール!$G$6)+HUAWEI製ＰＣＳ接続枚数計算ツール!$G$6)*VLOOKUP(HUAWEI製ＰＣＳ接続枚数計算ツール!$C$9,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2" s="86">
        <f>((1-1/MAX(100%,過積載率!L22))^0.5*(HUAWEI製ＰＣＳ接続枚数計算ツール!$I$6-HUAWEI製ＰＣＳ接続枚数計算ツール!$G$6)+HUAWEI製ＰＣＳ接続枚数計算ツール!$G$6)*VLOOKUP(HUAWEI製ＰＣＳ接続枚数計算ツール!$C$9,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2" s="86">
        <f>((1-1/MAX(100%,過積載率!M22))^0.5*(HUAWEI製ＰＣＳ接続枚数計算ツール!$I$6-HUAWEI製ＰＣＳ接続枚数計算ツール!$G$6)+HUAWEI製ＰＣＳ接続枚数計算ツール!$G$6)*VLOOKUP(HUAWEI製ＰＣＳ接続枚数計算ツール!$C$9,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22" s="86">
        <f>((1-1/MAX(100%,過積載率!N22))^0.5*(HUAWEI製ＰＣＳ接続枚数計算ツール!$I$6-HUAWEI製ＰＣＳ接続枚数計算ツール!$G$6)+HUAWEI製ＰＣＳ接続枚数計算ツール!$G$6)*VLOOKUP(HUAWEI製ＰＣＳ接続枚数計算ツール!$C$9,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22" s="86">
        <f>((1-1/MAX(100%,過積載率!O22))^0.5*(HUAWEI製ＰＣＳ接続枚数計算ツール!$I$6-HUAWEI製ＰＣＳ接続枚数計算ツール!$G$6)+HUAWEI製ＰＣＳ接続枚数計算ツール!$G$6)*VLOOKUP(HUAWEI製ＰＣＳ接続枚数計算ツール!$C$9,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22" s="86">
        <f>((1-1/MAX(100%,過積載率!P22))^0.5*(HUAWEI製ＰＣＳ接続枚数計算ツール!$I$6-HUAWEI製ＰＣＳ接続枚数計算ツール!$G$6)+HUAWEI製ＰＣＳ接続枚数計算ツール!$G$6)*VLOOKUP(HUAWEI製ＰＣＳ接続枚数計算ツール!$C$9,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22" s="86">
        <f>((1-1/MAX(100%,過積載率!Q22))^0.5*(HUAWEI製ＰＣＳ接続枚数計算ツール!$I$6-HUAWEI製ＰＣＳ接続枚数計算ツール!$G$6)+HUAWEI製ＰＣＳ接続枚数計算ツール!$G$6)*VLOOKUP(HUAWEI製ＰＣＳ接続枚数計算ツール!$C$9,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22" s="86">
        <f>((1-1/MAX(100%,過積載率!R22))^0.5*(HUAWEI製ＰＣＳ接続枚数計算ツール!$I$6-HUAWEI製ＰＣＳ接続枚数計算ツール!$G$6)+HUAWEI製ＰＣＳ接続枚数計算ツール!$G$6)*VLOOKUP(HUAWEI製ＰＣＳ接続枚数計算ツール!$C$9,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22" s="86">
        <f>((1-1/MAX(100%,過積載率!S22))^0.5*(HUAWEI製ＰＣＳ接続枚数計算ツール!$I$6-HUAWEI製ＰＣＳ接続枚数計算ツール!$G$6)+HUAWEI製ＰＣＳ接続枚数計算ツール!$G$6)*VLOOKUP(HUAWEI製ＰＣＳ接続枚数計算ツール!$C$9,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22" s="86">
        <f>((1-1/MAX(100%,過積載率!T22))^0.5*(HUAWEI製ＰＣＳ接続枚数計算ツール!$I$6-HUAWEI製ＰＣＳ接続枚数計算ツール!$G$6)+HUAWEI製ＰＣＳ接続枚数計算ツール!$G$6)*VLOOKUP(HUAWEI製ＰＣＳ接続枚数計算ツール!$C$9,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22" s="86">
        <f>((1-1/MAX(100%,過積載率!U22))^0.5*(HUAWEI製ＰＣＳ接続枚数計算ツール!$I$6-HUAWEI製ＰＣＳ接続枚数計算ツール!$G$6)+HUAWEI製ＰＣＳ接続枚数計算ツール!$G$6)*VLOOKUP(HUAWEI製ＰＣＳ接続枚数計算ツール!$C$9,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22" s="86">
        <f>((1-1/MAX(100%,過積載率!V22))^0.5*(HUAWEI製ＰＣＳ接続枚数計算ツール!$I$6-HUAWEI製ＰＣＳ接続枚数計算ツール!$G$6)+HUAWEI製ＰＣＳ接続枚数計算ツール!$G$6)*VLOOKUP(HUAWEI製ＰＣＳ接続枚数計算ツール!$C$9,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22" s="86">
        <f>((1-1/MAX(100%,過積載率!W22))^0.5*(HUAWEI製ＰＣＳ接続枚数計算ツール!$I$6-HUAWEI製ＰＣＳ接続枚数計算ツール!$G$6)+HUAWEI製ＰＣＳ接続枚数計算ツール!$G$6)*VLOOKUP(HUAWEI製ＰＣＳ接続枚数計算ツール!$C$9,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22" s="86">
        <f>((1-1/MAX(100%,過積載率!X22))^0.5*(HUAWEI製ＰＣＳ接続枚数計算ツール!$I$6-HUAWEI製ＰＣＳ接続枚数計算ツール!$G$6)+HUAWEI製ＰＣＳ接続枚数計算ツール!$G$6)*VLOOKUP(HUAWEI製ＰＣＳ接続枚数計算ツール!$C$9,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22" s="86">
        <f>((1-1/MAX(100%,過積載率!Y22))^0.5*(HUAWEI製ＰＣＳ接続枚数計算ツール!$I$6-HUAWEI製ＰＣＳ接続枚数計算ツール!$G$6)+HUAWEI製ＰＣＳ接続枚数計算ツール!$G$6)*VLOOKUP(HUAWEI製ＰＣＳ接続枚数計算ツール!$C$9,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22" s="86">
        <f>((1-1/MAX(100%,過積載率!Z22))^0.5*(HUAWEI製ＰＣＳ接続枚数計算ツール!$I$6-HUAWEI製ＰＣＳ接続枚数計算ツール!$G$6)+HUAWEI製ＰＣＳ接続枚数計算ツール!$G$6)*VLOOKUP(HUAWEI製ＰＣＳ接続枚数計算ツール!$C$9,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22" s="86">
        <f>((1-1/MAX(100%,過積載率!AA22))^0.5*(HUAWEI製ＰＣＳ接続枚数計算ツール!$I$6-HUAWEI製ＰＣＳ接続枚数計算ツール!$G$6)+HUAWEI製ＰＣＳ接続枚数計算ツール!$G$6)*VLOOKUP(HUAWEI製ＰＣＳ接続枚数計算ツール!$C$9,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22" s="86">
        <f>((1-1/MAX(100%,過積載率!AB22))^0.5*(HUAWEI製ＰＣＳ接続枚数計算ツール!$I$6-HUAWEI製ＰＣＳ接続枚数計算ツール!$G$6)+HUAWEI製ＰＣＳ接続枚数計算ツール!$G$6)*VLOOKUP(HUAWEI製ＰＣＳ接続枚数計算ツール!$C$9,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22" s="86">
        <f>((1-1/MAX(100%,過積載率!AC22))^0.5*(HUAWEI製ＰＣＳ接続枚数計算ツール!$I$6-HUAWEI製ＰＣＳ接続枚数計算ツール!$G$6)+HUAWEI製ＰＣＳ接続枚数計算ツール!$G$6)*VLOOKUP(HUAWEI製ＰＣＳ接続枚数計算ツール!$C$9,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22" s="86">
        <f>((1-1/MAX(100%,過積載率!AD22))^0.5*(HUAWEI製ＰＣＳ接続枚数計算ツール!$I$6-HUAWEI製ＰＣＳ接続枚数計算ツール!$G$6)+HUAWEI製ＰＣＳ接続枚数計算ツール!$G$6)*VLOOKUP(HUAWEI製ＰＣＳ接続枚数計算ツール!$C$9,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22" s="86">
        <f>((1-1/MAX(100%,過積載率!AE22))^0.5*(HUAWEI製ＰＣＳ接続枚数計算ツール!$I$6-HUAWEI製ＰＣＳ接続枚数計算ツール!$G$6)+HUAWEI製ＰＣＳ接続枚数計算ツール!$G$6)*VLOOKUP(HUAWEI製ＰＣＳ接続枚数計算ツール!$C$9,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22" s="86">
        <f>((1-1/MAX(100%,過積載率!AF22))^0.5*(HUAWEI製ＰＣＳ接続枚数計算ツール!$I$6-HUAWEI製ＰＣＳ接続枚数計算ツール!$G$6)+HUAWEI製ＰＣＳ接続枚数計算ツール!$G$6)*VLOOKUP(HUAWEI製ＰＣＳ接続枚数計算ツール!$C$9,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22" s="86">
        <f>((1-1/MAX(100%,過積載率!AG22))^0.5*(HUAWEI製ＰＣＳ接続枚数計算ツール!$I$6-HUAWEI製ＰＣＳ接続枚数計算ツール!$G$6)+HUAWEI製ＰＣＳ接続枚数計算ツール!$G$6)*VLOOKUP(HUAWEI製ＰＣＳ接続枚数計算ツール!$C$9,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22" s="86">
        <f>((1-1/MAX(100%,過積載率!AH22))^0.5*(HUAWEI製ＰＣＳ接続枚数計算ツール!$I$6-HUAWEI製ＰＣＳ接続枚数計算ツール!$G$6)+HUAWEI製ＰＣＳ接続枚数計算ツール!$G$6)*VLOOKUP(HUAWEI製ＰＣＳ接続枚数計算ツール!$C$9,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22" s="86">
        <f>((1-1/MAX(100%,過積載率!AI22))^0.5*(HUAWEI製ＰＣＳ接続枚数計算ツール!$I$6-HUAWEI製ＰＣＳ接続枚数計算ツール!$G$6)+HUAWEI製ＰＣＳ接続枚数計算ツール!$G$6)*VLOOKUP(HUAWEI製ＰＣＳ接続枚数計算ツール!$C$9,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22" s="86">
        <f>((1-1/MAX(100%,過積載率!AJ22))^0.5*(HUAWEI製ＰＣＳ接続枚数計算ツール!$I$6-HUAWEI製ＰＣＳ接続枚数計算ツール!$G$6)+HUAWEI製ＰＣＳ接続枚数計算ツール!$G$6)*VLOOKUP(HUAWEI製ＰＣＳ接続枚数計算ツール!$C$9,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22" s="86">
        <f>((1-1/MAX(100%,過積載率!AK22))^0.5*(HUAWEI製ＰＣＳ接続枚数計算ツール!$I$6-HUAWEI製ＰＣＳ接続枚数計算ツール!$G$6)+HUAWEI製ＰＣＳ接続枚数計算ツール!$G$6)*VLOOKUP(HUAWEI製ＰＣＳ接続枚数計算ツール!$C$9,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22" s="86">
        <f>((1-1/MAX(100%,過積載率!AL22))^0.5*(HUAWEI製ＰＣＳ接続枚数計算ツール!$I$6-HUAWEI製ＰＣＳ接続枚数計算ツール!$G$6)+HUAWEI製ＰＣＳ接続枚数計算ツール!$G$6)*VLOOKUP(HUAWEI製ＰＣＳ接続枚数計算ツール!$C$9,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22" s="86">
        <f>((1-1/MAX(100%,過積載率!AM22))^0.5*(HUAWEI製ＰＣＳ接続枚数計算ツール!$I$6-HUAWEI製ＰＣＳ接続枚数計算ツール!$G$6)+HUAWEI製ＰＣＳ接続枚数計算ツール!$G$6)*VLOOKUP(HUAWEI製ＰＣＳ接続枚数計算ツール!$C$9,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22" s="86">
        <f>((1-1/MAX(100%,過積載率!AN22))^0.5*(HUAWEI製ＰＣＳ接続枚数計算ツール!$I$6-HUAWEI製ＰＣＳ接続枚数計算ツール!$G$6)+HUAWEI製ＰＣＳ接続枚数計算ツール!$G$6)*VLOOKUP(HUAWEI製ＰＣＳ接続枚数計算ツール!$C$9,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22" s="86">
        <f>((1-1/MAX(100%,過積載率!AO22))^0.5*(HUAWEI製ＰＣＳ接続枚数計算ツール!$I$6-HUAWEI製ＰＣＳ接続枚数計算ツール!$G$6)+HUAWEI製ＰＣＳ接続枚数計算ツール!$G$6)*VLOOKUP(HUAWEI製ＰＣＳ接続枚数計算ツール!$C$9,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23" spans="1:41">
      <c r="A23">
        <v>21</v>
      </c>
      <c r="B23" s="86">
        <f>((1-1/MAX(100%,過積載率!B23))^0.5*(HUAWEI製ＰＣＳ接続枚数計算ツール!$I$6-HUAWEI製ＰＣＳ接続枚数計算ツール!$G$6)+HUAWEI製ＰＣＳ接続枚数計算ツール!$G$6)*VLOOKUP(HUAWEI製ＰＣＳ接続枚数計算ツール!$C$9,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3" s="86">
        <f>((1-1/MAX(100%,過積載率!C23))^0.5*(HUAWEI製ＰＣＳ接続枚数計算ツール!$I$6-HUAWEI製ＰＣＳ接続枚数計算ツール!$G$6)+HUAWEI製ＰＣＳ接続枚数計算ツール!$G$6)*VLOOKUP(HUAWEI製ＰＣＳ接続枚数計算ツール!$C$9,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3" s="86">
        <f>((1-1/MAX(100%,過積載率!D23))^0.5*(HUAWEI製ＰＣＳ接続枚数計算ツール!$I$6-HUAWEI製ＰＣＳ接続枚数計算ツール!$G$6)+HUAWEI製ＰＣＳ接続枚数計算ツール!$G$6)*VLOOKUP(HUAWEI製ＰＣＳ接続枚数計算ツール!$C$9,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3" s="86">
        <f>((1-1/MAX(100%,過積載率!E23))^0.5*(HUAWEI製ＰＣＳ接続枚数計算ツール!$I$6-HUAWEI製ＰＣＳ接続枚数計算ツール!$G$6)+HUAWEI製ＰＣＳ接続枚数計算ツール!$G$6)*VLOOKUP(HUAWEI製ＰＣＳ接続枚数計算ツール!$C$9,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3" s="86">
        <f>((1-1/MAX(100%,過積載率!F23))^0.5*(HUAWEI製ＰＣＳ接続枚数計算ツール!$I$6-HUAWEI製ＰＣＳ接続枚数計算ツール!$G$6)+HUAWEI製ＰＣＳ接続枚数計算ツール!$G$6)*VLOOKUP(HUAWEI製ＰＣＳ接続枚数計算ツール!$C$9,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3" s="86">
        <f>((1-1/MAX(100%,過積載率!G23))^0.5*(HUAWEI製ＰＣＳ接続枚数計算ツール!$I$6-HUAWEI製ＰＣＳ接続枚数計算ツール!$G$6)+HUAWEI製ＰＣＳ接続枚数計算ツール!$G$6)*VLOOKUP(HUAWEI製ＰＣＳ接続枚数計算ツール!$C$9,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3" s="86">
        <f>((1-1/MAX(100%,過積載率!H23))^0.5*(HUAWEI製ＰＣＳ接続枚数計算ツール!$I$6-HUAWEI製ＰＣＳ接続枚数計算ツール!$G$6)+HUAWEI製ＰＣＳ接続枚数計算ツール!$G$6)*VLOOKUP(HUAWEI製ＰＣＳ接続枚数計算ツール!$C$9,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3" s="86">
        <f>((1-1/MAX(100%,過積載率!I23))^0.5*(HUAWEI製ＰＣＳ接続枚数計算ツール!$I$6-HUAWEI製ＰＣＳ接続枚数計算ツール!$G$6)+HUAWEI製ＰＣＳ接続枚数計算ツール!$G$6)*VLOOKUP(HUAWEI製ＰＣＳ接続枚数計算ツール!$C$9,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3" s="86">
        <f>((1-1/MAX(100%,過積載率!J23))^0.5*(HUAWEI製ＰＣＳ接続枚数計算ツール!$I$6-HUAWEI製ＰＣＳ接続枚数計算ツール!$G$6)+HUAWEI製ＰＣＳ接続枚数計算ツール!$G$6)*VLOOKUP(HUAWEI製ＰＣＳ接続枚数計算ツール!$C$9,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3" s="86">
        <f>((1-1/MAX(100%,過積載率!K23))^0.5*(HUAWEI製ＰＣＳ接続枚数計算ツール!$I$6-HUAWEI製ＰＣＳ接続枚数計算ツール!$G$6)+HUAWEI製ＰＣＳ接続枚数計算ツール!$G$6)*VLOOKUP(HUAWEI製ＰＣＳ接続枚数計算ツール!$C$9,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3" s="86">
        <f>((1-1/MAX(100%,過積載率!L23))^0.5*(HUAWEI製ＰＣＳ接続枚数計算ツール!$I$6-HUAWEI製ＰＣＳ接続枚数計算ツール!$G$6)+HUAWEI製ＰＣＳ接続枚数計算ツール!$G$6)*VLOOKUP(HUAWEI製ＰＣＳ接続枚数計算ツール!$C$9,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3" s="86">
        <f>((1-1/MAX(100%,過積載率!M23))^0.5*(HUAWEI製ＰＣＳ接続枚数計算ツール!$I$6-HUAWEI製ＰＣＳ接続枚数計算ツール!$G$6)+HUAWEI製ＰＣＳ接続枚数計算ツール!$G$6)*VLOOKUP(HUAWEI製ＰＣＳ接続枚数計算ツール!$C$9,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23" s="86">
        <f>((1-1/MAX(100%,過積載率!N23))^0.5*(HUAWEI製ＰＣＳ接続枚数計算ツール!$I$6-HUAWEI製ＰＣＳ接続枚数計算ツール!$G$6)+HUAWEI製ＰＣＳ接続枚数計算ツール!$G$6)*VLOOKUP(HUAWEI製ＰＣＳ接続枚数計算ツール!$C$9,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23" s="86">
        <f>((1-1/MAX(100%,過積載率!O23))^0.5*(HUAWEI製ＰＣＳ接続枚数計算ツール!$I$6-HUAWEI製ＰＣＳ接続枚数計算ツール!$G$6)+HUAWEI製ＰＣＳ接続枚数計算ツール!$G$6)*VLOOKUP(HUAWEI製ＰＣＳ接続枚数計算ツール!$C$9,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23" s="86">
        <f>((1-1/MAX(100%,過積載率!P23))^0.5*(HUAWEI製ＰＣＳ接続枚数計算ツール!$I$6-HUAWEI製ＰＣＳ接続枚数計算ツール!$G$6)+HUAWEI製ＰＣＳ接続枚数計算ツール!$G$6)*VLOOKUP(HUAWEI製ＰＣＳ接続枚数計算ツール!$C$9,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23" s="86">
        <f>((1-1/MAX(100%,過積載率!Q23))^0.5*(HUAWEI製ＰＣＳ接続枚数計算ツール!$I$6-HUAWEI製ＰＣＳ接続枚数計算ツール!$G$6)+HUAWEI製ＰＣＳ接続枚数計算ツール!$G$6)*VLOOKUP(HUAWEI製ＰＣＳ接続枚数計算ツール!$C$9,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23" s="86">
        <f>((1-1/MAX(100%,過積載率!R23))^0.5*(HUAWEI製ＰＣＳ接続枚数計算ツール!$I$6-HUAWEI製ＰＣＳ接続枚数計算ツール!$G$6)+HUAWEI製ＰＣＳ接続枚数計算ツール!$G$6)*VLOOKUP(HUAWEI製ＰＣＳ接続枚数計算ツール!$C$9,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23" s="86">
        <f>((1-1/MAX(100%,過積載率!S23))^0.5*(HUAWEI製ＰＣＳ接続枚数計算ツール!$I$6-HUAWEI製ＰＣＳ接続枚数計算ツール!$G$6)+HUAWEI製ＰＣＳ接続枚数計算ツール!$G$6)*VLOOKUP(HUAWEI製ＰＣＳ接続枚数計算ツール!$C$9,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23" s="86">
        <f>((1-1/MAX(100%,過積載率!T23))^0.5*(HUAWEI製ＰＣＳ接続枚数計算ツール!$I$6-HUAWEI製ＰＣＳ接続枚数計算ツール!$G$6)+HUAWEI製ＰＣＳ接続枚数計算ツール!$G$6)*VLOOKUP(HUAWEI製ＰＣＳ接続枚数計算ツール!$C$9,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23" s="86">
        <f>((1-1/MAX(100%,過積載率!U23))^0.5*(HUAWEI製ＰＣＳ接続枚数計算ツール!$I$6-HUAWEI製ＰＣＳ接続枚数計算ツール!$G$6)+HUAWEI製ＰＣＳ接続枚数計算ツール!$G$6)*VLOOKUP(HUAWEI製ＰＣＳ接続枚数計算ツール!$C$9,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23" s="86">
        <f>((1-1/MAX(100%,過積載率!V23))^0.5*(HUAWEI製ＰＣＳ接続枚数計算ツール!$I$6-HUAWEI製ＰＣＳ接続枚数計算ツール!$G$6)+HUAWEI製ＰＣＳ接続枚数計算ツール!$G$6)*VLOOKUP(HUAWEI製ＰＣＳ接続枚数計算ツール!$C$9,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23" s="86">
        <f>((1-1/MAX(100%,過積載率!W23))^0.5*(HUAWEI製ＰＣＳ接続枚数計算ツール!$I$6-HUAWEI製ＰＣＳ接続枚数計算ツール!$G$6)+HUAWEI製ＰＣＳ接続枚数計算ツール!$G$6)*VLOOKUP(HUAWEI製ＰＣＳ接続枚数計算ツール!$C$9,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23" s="86">
        <f>((1-1/MAX(100%,過積載率!X23))^0.5*(HUAWEI製ＰＣＳ接続枚数計算ツール!$I$6-HUAWEI製ＰＣＳ接続枚数計算ツール!$G$6)+HUAWEI製ＰＣＳ接続枚数計算ツール!$G$6)*VLOOKUP(HUAWEI製ＰＣＳ接続枚数計算ツール!$C$9,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23" s="86">
        <f>((1-1/MAX(100%,過積載率!Y23))^0.5*(HUAWEI製ＰＣＳ接続枚数計算ツール!$I$6-HUAWEI製ＰＣＳ接続枚数計算ツール!$G$6)+HUAWEI製ＰＣＳ接続枚数計算ツール!$G$6)*VLOOKUP(HUAWEI製ＰＣＳ接続枚数計算ツール!$C$9,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23" s="86">
        <f>((1-1/MAX(100%,過積載率!Z23))^0.5*(HUAWEI製ＰＣＳ接続枚数計算ツール!$I$6-HUAWEI製ＰＣＳ接続枚数計算ツール!$G$6)+HUAWEI製ＰＣＳ接続枚数計算ツール!$G$6)*VLOOKUP(HUAWEI製ＰＣＳ接続枚数計算ツール!$C$9,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23" s="86">
        <f>((1-1/MAX(100%,過積載率!AA23))^0.5*(HUAWEI製ＰＣＳ接続枚数計算ツール!$I$6-HUAWEI製ＰＣＳ接続枚数計算ツール!$G$6)+HUAWEI製ＰＣＳ接続枚数計算ツール!$G$6)*VLOOKUP(HUAWEI製ＰＣＳ接続枚数計算ツール!$C$9,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23" s="86">
        <f>((1-1/MAX(100%,過積載率!AB23))^0.5*(HUAWEI製ＰＣＳ接続枚数計算ツール!$I$6-HUAWEI製ＰＣＳ接続枚数計算ツール!$G$6)+HUAWEI製ＰＣＳ接続枚数計算ツール!$G$6)*VLOOKUP(HUAWEI製ＰＣＳ接続枚数計算ツール!$C$9,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23" s="86">
        <f>((1-1/MAX(100%,過積載率!AC23))^0.5*(HUAWEI製ＰＣＳ接続枚数計算ツール!$I$6-HUAWEI製ＰＣＳ接続枚数計算ツール!$G$6)+HUAWEI製ＰＣＳ接続枚数計算ツール!$G$6)*VLOOKUP(HUAWEI製ＰＣＳ接続枚数計算ツール!$C$9,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23" s="86">
        <f>((1-1/MAX(100%,過積載率!AD23))^0.5*(HUAWEI製ＰＣＳ接続枚数計算ツール!$I$6-HUAWEI製ＰＣＳ接続枚数計算ツール!$G$6)+HUAWEI製ＰＣＳ接続枚数計算ツール!$G$6)*VLOOKUP(HUAWEI製ＰＣＳ接続枚数計算ツール!$C$9,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23" s="86">
        <f>((1-1/MAX(100%,過積載率!AE23))^0.5*(HUAWEI製ＰＣＳ接続枚数計算ツール!$I$6-HUAWEI製ＰＣＳ接続枚数計算ツール!$G$6)+HUAWEI製ＰＣＳ接続枚数計算ツール!$G$6)*VLOOKUP(HUAWEI製ＰＣＳ接続枚数計算ツール!$C$9,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23" s="86">
        <f>((1-1/MAX(100%,過積載率!AF23))^0.5*(HUAWEI製ＰＣＳ接続枚数計算ツール!$I$6-HUAWEI製ＰＣＳ接続枚数計算ツール!$G$6)+HUAWEI製ＰＣＳ接続枚数計算ツール!$G$6)*VLOOKUP(HUAWEI製ＰＣＳ接続枚数計算ツール!$C$9,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23" s="86">
        <f>((1-1/MAX(100%,過積載率!AG23))^0.5*(HUAWEI製ＰＣＳ接続枚数計算ツール!$I$6-HUAWEI製ＰＣＳ接続枚数計算ツール!$G$6)+HUAWEI製ＰＣＳ接続枚数計算ツール!$G$6)*VLOOKUP(HUAWEI製ＰＣＳ接続枚数計算ツール!$C$9,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23" s="86">
        <f>((1-1/MAX(100%,過積載率!AH23))^0.5*(HUAWEI製ＰＣＳ接続枚数計算ツール!$I$6-HUAWEI製ＰＣＳ接続枚数計算ツール!$G$6)+HUAWEI製ＰＣＳ接続枚数計算ツール!$G$6)*VLOOKUP(HUAWEI製ＰＣＳ接続枚数計算ツール!$C$9,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23" s="86">
        <f>((1-1/MAX(100%,過積載率!AI23))^0.5*(HUAWEI製ＰＣＳ接続枚数計算ツール!$I$6-HUAWEI製ＰＣＳ接続枚数計算ツール!$G$6)+HUAWEI製ＰＣＳ接続枚数計算ツール!$G$6)*VLOOKUP(HUAWEI製ＰＣＳ接続枚数計算ツール!$C$9,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23" s="86">
        <f>((1-1/MAX(100%,過積載率!AJ23))^0.5*(HUAWEI製ＰＣＳ接続枚数計算ツール!$I$6-HUAWEI製ＰＣＳ接続枚数計算ツール!$G$6)+HUAWEI製ＰＣＳ接続枚数計算ツール!$G$6)*VLOOKUP(HUAWEI製ＰＣＳ接続枚数計算ツール!$C$9,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23" s="86">
        <f>((1-1/MAX(100%,過積載率!AK23))^0.5*(HUAWEI製ＰＣＳ接続枚数計算ツール!$I$6-HUAWEI製ＰＣＳ接続枚数計算ツール!$G$6)+HUAWEI製ＰＣＳ接続枚数計算ツール!$G$6)*VLOOKUP(HUAWEI製ＰＣＳ接続枚数計算ツール!$C$9,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23" s="86">
        <f>((1-1/MAX(100%,過積載率!AL23))^0.5*(HUAWEI製ＰＣＳ接続枚数計算ツール!$I$6-HUAWEI製ＰＣＳ接続枚数計算ツール!$G$6)+HUAWEI製ＰＣＳ接続枚数計算ツール!$G$6)*VLOOKUP(HUAWEI製ＰＣＳ接続枚数計算ツール!$C$9,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23" s="86">
        <f>((1-1/MAX(100%,過積載率!AM23))^0.5*(HUAWEI製ＰＣＳ接続枚数計算ツール!$I$6-HUAWEI製ＰＣＳ接続枚数計算ツール!$G$6)+HUAWEI製ＰＣＳ接続枚数計算ツール!$G$6)*VLOOKUP(HUAWEI製ＰＣＳ接続枚数計算ツール!$C$9,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23" s="86">
        <f>((1-1/MAX(100%,過積載率!AN23))^0.5*(HUAWEI製ＰＣＳ接続枚数計算ツール!$I$6-HUAWEI製ＰＣＳ接続枚数計算ツール!$G$6)+HUAWEI製ＰＣＳ接続枚数計算ツール!$G$6)*VLOOKUP(HUAWEI製ＰＣＳ接続枚数計算ツール!$C$9,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23" s="86">
        <f>((1-1/MAX(100%,過積載率!AO23))^0.5*(HUAWEI製ＰＣＳ接続枚数計算ツール!$I$6-HUAWEI製ＰＣＳ接続枚数計算ツール!$G$6)+HUAWEI製ＰＣＳ接続枚数計算ツール!$G$6)*VLOOKUP(HUAWEI製ＰＣＳ接続枚数計算ツール!$C$9,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24" spans="1:41">
      <c r="A24">
        <v>22</v>
      </c>
      <c r="B24" s="86">
        <f>((1-1/MAX(100%,過積載率!B24))^0.5*(HUAWEI製ＰＣＳ接続枚数計算ツール!$I$6-HUAWEI製ＰＣＳ接続枚数計算ツール!$G$6)+HUAWEI製ＰＣＳ接続枚数計算ツール!$G$6)*VLOOKUP(HUAWEI製ＰＣＳ接続枚数計算ツール!$C$9,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4" s="86">
        <f>((1-1/MAX(100%,過積載率!C24))^0.5*(HUAWEI製ＰＣＳ接続枚数計算ツール!$I$6-HUAWEI製ＰＣＳ接続枚数計算ツール!$G$6)+HUAWEI製ＰＣＳ接続枚数計算ツール!$G$6)*VLOOKUP(HUAWEI製ＰＣＳ接続枚数計算ツール!$C$9,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4" s="86">
        <f>((1-1/MAX(100%,過積載率!D24))^0.5*(HUAWEI製ＰＣＳ接続枚数計算ツール!$I$6-HUAWEI製ＰＣＳ接続枚数計算ツール!$G$6)+HUAWEI製ＰＣＳ接続枚数計算ツール!$G$6)*VLOOKUP(HUAWEI製ＰＣＳ接続枚数計算ツール!$C$9,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4" s="86">
        <f>((1-1/MAX(100%,過積載率!E24))^0.5*(HUAWEI製ＰＣＳ接続枚数計算ツール!$I$6-HUAWEI製ＰＣＳ接続枚数計算ツール!$G$6)+HUAWEI製ＰＣＳ接続枚数計算ツール!$G$6)*VLOOKUP(HUAWEI製ＰＣＳ接続枚数計算ツール!$C$9,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4" s="86">
        <f>((1-1/MAX(100%,過積載率!F24))^0.5*(HUAWEI製ＰＣＳ接続枚数計算ツール!$I$6-HUAWEI製ＰＣＳ接続枚数計算ツール!$G$6)+HUAWEI製ＰＣＳ接続枚数計算ツール!$G$6)*VLOOKUP(HUAWEI製ＰＣＳ接続枚数計算ツール!$C$9,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4" s="86">
        <f>((1-1/MAX(100%,過積載率!G24))^0.5*(HUAWEI製ＰＣＳ接続枚数計算ツール!$I$6-HUAWEI製ＰＣＳ接続枚数計算ツール!$G$6)+HUAWEI製ＰＣＳ接続枚数計算ツール!$G$6)*VLOOKUP(HUAWEI製ＰＣＳ接続枚数計算ツール!$C$9,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4" s="86">
        <f>((1-1/MAX(100%,過積載率!H24))^0.5*(HUAWEI製ＰＣＳ接続枚数計算ツール!$I$6-HUAWEI製ＰＣＳ接続枚数計算ツール!$G$6)+HUAWEI製ＰＣＳ接続枚数計算ツール!$G$6)*VLOOKUP(HUAWEI製ＰＣＳ接続枚数計算ツール!$C$9,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4" s="86">
        <f>((1-1/MAX(100%,過積載率!I24))^0.5*(HUAWEI製ＰＣＳ接続枚数計算ツール!$I$6-HUAWEI製ＰＣＳ接続枚数計算ツール!$G$6)+HUAWEI製ＰＣＳ接続枚数計算ツール!$G$6)*VLOOKUP(HUAWEI製ＰＣＳ接続枚数計算ツール!$C$9,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4" s="86">
        <f>((1-1/MAX(100%,過積載率!J24))^0.5*(HUAWEI製ＰＣＳ接続枚数計算ツール!$I$6-HUAWEI製ＰＣＳ接続枚数計算ツール!$G$6)+HUAWEI製ＰＣＳ接続枚数計算ツール!$G$6)*VLOOKUP(HUAWEI製ＰＣＳ接続枚数計算ツール!$C$9,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4" s="86">
        <f>((1-1/MAX(100%,過積載率!K24))^0.5*(HUAWEI製ＰＣＳ接続枚数計算ツール!$I$6-HUAWEI製ＰＣＳ接続枚数計算ツール!$G$6)+HUAWEI製ＰＣＳ接続枚数計算ツール!$G$6)*VLOOKUP(HUAWEI製ＰＣＳ接続枚数計算ツール!$C$9,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4" s="86">
        <f>((1-1/MAX(100%,過積載率!L24))^0.5*(HUAWEI製ＰＣＳ接続枚数計算ツール!$I$6-HUAWEI製ＰＣＳ接続枚数計算ツール!$G$6)+HUAWEI製ＰＣＳ接続枚数計算ツール!$G$6)*VLOOKUP(HUAWEI製ＰＣＳ接続枚数計算ツール!$C$9,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4" s="86">
        <f>((1-1/MAX(100%,過積載率!M24))^0.5*(HUAWEI製ＰＣＳ接続枚数計算ツール!$I$6-HUAWEI製ＰＣＳ接続枚数計算ツール!$G$6)+HUAWEI製ＰＣＳ接続枚数計算ツール!$G$6)*VLOOKUP(HUAWEI製ＰＣＳ接続枚数計算ツール!$C$9,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24" s="86">
        <f>((1-1/MAX(100%,過積載率!N24))^0.5*(HUAWEI製ＰＣＳ接続枚数計算ツール!$I$6-HUAWEI製ＰＣＳ接続枚数計算ツール!$G$6)+HUAWEI製ＰＣＳ接続枚数計算ツール!$G$6)*VLOOKUP(HUAWEI製ＰＣＳ接続枚数計算ツール!$C$9,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24" s="86">
        <f>((1-1/MAX(100%,過積載率!O24))^0.5*(HUAWEI製ＰＣＳ接続枚数計算ツール!$I$6-HUAWEI製ＰＣＳ接続枚数計算ツール!$G$6)+HUAWEI製ＰＣＳ接続枚数計算ツール!$G$6)*VLOOKUP(HUAWEI製ＰＣＳ接続枚数計算ツール!$C$9,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24" s="86">
        <f>((1-1/MAX(100%,過積載率!P24))^0.5*(HUAWEI製ＰＣＳ接続枚数計算ツール!$I$6-HUAWEI製ＰＣＳ接続枚数計算ツール!$G$6)+HUAWEI製ＰＣＳ接続枚数計算ツール!$G$6)*VLOOKUP(HUAWEI製ＰＣＳ接続枚数計算ツール!$C$9,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24" s="86">
        <f>((1-1/MAX(100%,過積載率!Q24))^0.5*(HUAWEI製ＰＣＳ接続枚数計算ツール!$I$6-HUAWEI製ＰＣＳ接続枚数計算ツール!$G$6)+HUAWEI製ＰＣＳ接続枚数計算ツール!$G$6)*VLOOKUP(HUAWEI製ＰＣＳ接続枚数計算ツール!$C$9,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24" s="86">
        <f>((1-1/MAX(100%,過積載率!R24))^0.5*(HUAWEI製ＰＣＳ接続枚数計算ツール!$I$6-HUAWEI製ＰＣＳ接続枚数計算ツール!$G$6)+HUAWEI製ＰＣＳ接続枚数計算ツール!$G$6)*VLOOKUP(HUAWEI製ＰＣＳ接続枚数計算ツール!$C$9,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24" s="86">
        <f>((1-1/MAX(100%,過積載率!S24))^0.5*(HUAWEI製ＰＣＳ接続枚数計算ツール!$I$6-HUAWEI製ＰＣＳ接続枚数計算ツール!$G$6)+HUAWEI製ＰＣＳ接続枚数計算ツール!$G$6)*VLOOKUP(HUAWEI製ＰＣＳ接続枚数計算ツール!$C$9,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24" s="86">
        <f>((1-1/MAX(100%,過積載率!T24))^0.5*(HUAWEI製ＰＣＳ接続枚数計算ツール!$I$6-HUAWEI製ＰＣＳ接続枚数計算ツール!$G$6)+HUAWEI製ＰＣＳ接続枚数計算ツール!$G$6)*VLOOKUP(HUAWEI製ＰＣＳ接続枚数計算ツール!$C$9,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24" s="86">
        <f>((1-1/MAX(100%,過積載率!U24))^0.5*(HUAWEI製ＰＣＳ接続枚数計算ツール!$I$6-HUAWEI製ＰＣＳ接続枚数計算ツール!$G$6)+HUAWEI製ＰＣＳ接続枚数計算ツール!$G$6)*VLOOKUP(HUAWEI製ＰＣＳ接続枚数計算ツール!$C$9,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24" s="86">
        <f>((1-1/MAX(100%,過積載率!V24))^0.5*(HUAWEI製ＰＣＳ接続枚数計算ツール!$I$6-HUAWEI製ＰＣＳ接続枚数計算ツール!$G$6)+HUAWEI製ＰＣＳ接続枚数計算ツール!$G$6)*VLOOKUP(HUAWEI製ＰＣＳ接続枚数計算ツール!$C$9,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24" s="86">
        <f>((1-1/MAX(100%,過積載率!W24))^0.5*(HUAWEI製ＰＣＳ接続枚数計算ツール!$I$6-HUAWEI製ＰＣＳ接続枚数計算ツール!$G$6)+HUAWEI製ＰＣＳ接続枚数計算ツール!$G$6)*VLOOKUP(HUAWEI製ＰＣＳ接続枚数計算ツール!$C$9,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24" s="86">
        <f>((1-1/MAX(100%,過積載率!X24))^0.5*(HUAWEI製ＰＣＳ接続枚数計算ツール!$I$6-HUAWEI製ＰＣＳ接続枚数計算ツール!$G$6)+HUAWEI製ＰＣＳ接続枚数計算ツール!$G$6)*VLOOKUP(HUAWEI製ＰＣＳ接続枚数計算ツール!$C$9,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24" s="86">
        <f>((1-1/MAX(100%,過積載率!Y24))^0.5*(HUAWEI製ＰＣＳ接続枚数計算ツール!$I$6-HUAWEI製ＰＣＳ接続枚数計算ツール!$G$6)+HUAWEI製ＰＣＳ接続枚数計算ツール!$G$6)*VLOOKUP(HUAWEI製ＰＣＳ接続枚数計算ツール!$C$9,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24" s="86">
        <f>((1-1/MAX(100%,過積載率!Z24))^0.5*(HUAWEI製ＰＣＳ接続枚数計算ツール!$I$6-HUAWEI製ＰＣＳ接続枚数計算ツール!$G$6)+HUAWEI製ＰＣＳ接続枚数計算ツール!$G$6)*VLOOKUP(HUAWEI製ＰＣＳ接続枚数計算ツール!$C$9,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24" s="86">
        <f>((1-1/MAX(100%,過積載率!AA24))^0.5*(HUAWEI製ＰＣＳ接続枚数計算ツール!$I$6-HUAWEI製ＰＣＳ接続枚数計算ツール!$G$6)+HUAWEI製ＰＣＳ接続枚数計算ツール!$G$6)*VLOOKUP(HUAWEI製ＰＣＳ接続枚数計算ツール!$C$9,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24" s="86">
        <f>((1-1/MAX(100%,過積載率!AB24))^0.5*(HUAWEI製ＰＣＳ接続枚数計算ツール!$I$6-HUAWEI製ＰＣＳ接続枚数計算ツール!$G$6)+HUAWEI製ＰＣＳ接続枚数計算ツール!$G$6)*VLOOKUP(HUAWEI製ＰＣＳ接続枚数計算ツール!$C$9,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24" s="86">
        <f>((1-1/MAX(100%,過積載率!AC24))^0.5*(HUAWEI製ＰＣＳ接続枚数計算ツール!$I$6-HUAWEI製ＰＣＳ接続枚数計算ツール!$G$6)+HUAWEI製ＰＣＳ接続枚数計算ツール!$G$6)*VLOOKUP(HUAWEI製ＰＣＳ接続枚数計算ツール!$C$9,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24" s="86">
        <f>((1-1/MAX(100%,過積載率!AD24))^0.5*(HUAWEI製ＰＣＳ接続枚数計算ツール!$I$6-HUAWEI製ＰＣＳ接続枚数計算ツール!$G$6)+HUAWEI製ＰＣＳ接続枚数計算ツール!$G$6)*VLOOKUP(HUAWEI製ＰＣＳ接続枚数計算ツール!$C$9,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24" s="86">
        <f>((1-1/MAX(100%,過積載率!AE24))^0.5*(HUAWEI製ＰＣＳ接続枚数計算ツール!$I$6-HUAWEI製ＰＣＳ接続枚数計算ツール!$G$6)+HUAWEI製ＰＣＳ接続枚数計算ツール!$G$6)*VLOOKUP(HUAWEI製ＰＣＳ接続枚数計算ツール!$C$9,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24" s="86">
        <f>((1-1/MAX(100%,過積載率!AF24))^0.5*(HUAWEI製ＰＣＳ接続枚数計算ツール!$I$6-HUAWEI製ＰＣＳ接続枚数計算ツール!$G$6)+HUAWEI製ＰＣＳ接続枚数計算ツール!$G$6)*VLOOKUP(HUAWEI製ＰＣＳ接続枚数計算ツール!$C$9,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24" s="86">
        <f>((1-1/MAX(100%,過積載率!AG24))^0.5*(HUAWEI製ＰＣＳ接続枚数計算ツール!$I$6-HUAWEI製ＰＣＳ接続枚数計算ツール!$G$6)+HUAWEI製ＰＣＳ接続枚数計算ツール!$G$6)*VLOOKUP(HUAWEI製ＰＣＳ接続枚数計算ツール!$C$9,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24" s="86">
        <f>((1-1/MAX(100%,過積載率!AH24))^0.5*(HUAWEI製ＰＣＳ接続枚数計算ツール!$I$6-HUAWEI製ＰＣＳ接続枚数計算ツール!$G$6)+HUAWEI製ＰＣＳ接続枚数計算ツール!$G$6)*VLOOKUP(HUAWEI製ＰＣＳ接続枚数計算ツール!$C$9,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24" s="86">
        <f>((1-1/MAX(100%,過積載率!AI24))^0.5*(HUAWEI製ＰＣＳ接続枚数計算ツール!$I$6-HUAWEI製ＰＣＳ接続枚数計算ツール!$G$6)+HUAWEI製ＰＣＳ接続枚数計算ツール!$G$6)*VLOOKUP(HUAWEI製ＰＣＳ接続枚数計算ツール!$C$9,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24" s="86">
        <f>((1-1/MAX(100%,過積載率!AJ24))^0.5*(HUAWEI製ＰＣＳ接続枚数計算ツール!$I$6-HUAWEI製ＰＣＳ接続枚数計算ツール!$G$6)+HUAWEI製ＰＣＳ接続枚数計算ツール!$G$6)*VLOOKUP(HUAWEI製ＰＣＳ接続枚数計算ツール!$C$9,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24" s="86">
        <f>((1-1/MAX(100%,過積載率!AK24))^0.5*(HUAWEI製ＰＣＳ接続枚数計算ツール!$I$6-HUAWEI製ＰＣＳ接続枚数計算ツール!$G$6)+HUAWEI製ＰＣＳ接続枚数計算ツール!$G$6)*VLOOKUP(HUAWEI製ＰＣＳ接続枚数計算ツール!$C$9,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24" s="86">
        <f>((1-1/MAX(100%,過積載率!AL24))^0.5*(HUAWEI製ＰＣＳ接続枚数計算ツール!$I$6-HUAWEI製ＰＣＳ接続枚数計算ツール!$G$6)+HUAWEI製ＰＣＳ接続枚数計算ツール!$G$6)*VLOOKUP(HUAWEI製ＰＣＳ接続枚数計算ツール!$C$9,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24" s="86">
        <f>((1-1/MAX(100%,過積載率!AM24))^0.5*(HUAWEI製ＰＣＳ接続枚数計算ツール!$I$6-HUAWEI製ＰＣＳ接続枚数計算ツール!$G$6)+HUAWEI製ＰＣＳ接続枚数計算ツール!$G$6)*VLOOKUP(HUAWEI製ＰＣＳ接続枚数計算ツール!$C$9,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24" s="86">
        <f>((1-1/MAX(100%,過積載率!AN24))^0.5*(HUAWEI製ＰＣＳ接続枚数計算ツール!$I$6-HUAWEI製ＰＣＳ接続枚数計算ツール!$G$6)+HUAWEI製ＰＣＳ接続枚数計算ツール!$G$6)*VLOOKUP(HUAWEI製ＰＣＳ接続枚数計算ツール!$C$9,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24" s="86">
        <f>((1-1/MAX(100%,過積載率!AO24))^0.5*(HUAWEI製ＰＣＳ接続枚数計算ツール!$I$6-HUAWEI製ＰＣＳ接続枚数計算ツール!$G$6)+HUAWEI製ＰＣＳ接続枚数計算ツール!$G$6)*VLOOKUP(HUAWEI製ＰＣＳ接続枚数計算ツール!$C$9,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25" spans="1:41">
      <c r="A25">
        <v>23</v>
      </c>
      <c r="B25" s="86">
        <f>((1-1/MAX(100%,過積載率!B25))^0.5*(HUAWEI製ＰＣＳ接続枚数計算ツール!$I$6-HUAWEI製ＰＣＳ接続枚数計算ツール!$G$6)+HUAWEI製ＰＣＳ接続枚数計算ツール!$G$6)*VLOOKUP(HUAWEI製ＰＣＳ接続枚数計算ツール!$C$9,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5" s="86">
        <f>((1-1/MAX(100%,過積載率!C25))^0.5*(HUAWEI製ＰＣＳ接続枚数計算ツール!$I$6-HUAWEI製ＰＣＳ接続枚数計算ツール!$G$6)+HUAWEI製ＰＣＳ接続枚数計算ツール!$G$6)*VLOOKUP(HUAWEI製ＰＣＳ接続枚数計算ツール!$C$9,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5" s="86">
        <f>((1-1/MAX(100%,過積載率!D25))^0.5*(HUAWEI製ＰＣＳ接続枚数計算ツール!$I$6-HUAWEI製ＰＣＳ接続枚数計算ツール!$G$6)+HUAWEI製ＰＣＳ接続枚数計算ツール!$G$6)*VLOOKUP(HUAWEI製ＰＣＳ接続枚数計算ツール!$C$9,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5" s="86">
        <f>((1-1/MAX(100%,過積載率!E25))^0.5*(HUAWEI製ＰＣＳ接続枚数計算ツール!$I$6-HUAWEI製ＰＣＳ接続枚数計算ツール!$G$6)+HUAWEI製ＰＣＳ接続枚数計算ツール!$G$6)*VLOOKUP(HUAWEI製ＰＣＳ接続枚数計算ツール!$C$9,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5" s="86">
        <f>((1-1/MAX(100%,過積載率!F25))^0.5*(HUAWEI製ＰＣＳ接続枚数計算ツール!$I$6-HUAWEI製ＰＣＳ接続枚数計算ツール!$G$6)+HUAWEI製ＰＣＳ接続枚数計算ツール!$G$6)*VLOOKUP(HUAWEI製ＰＣＳ接続枚数計算ツール!$C$9,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5" s="86">
        <f>((1-1/MAX(100%,過積載率!G25))^0.5*(HUAWEI製ＰＣＳ接続枚数計算ツール!$I$6-HUAWEI製ＰＣＳ接続枚数計算ツール!$G$6)+HUAWEI製ＰＣＳ接続枚数計算ツール!$G$6)*VLOOKUP(HUAWEI製ＰＣＳ接続枚数計算ツール!$C$9,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5" s="86">
        <f>((1-1/MAX(100%,過積載率!H25))^0.5*(HUAWEI製ＰＣＳ接続枚数計算ツール!$I$6-HUAWEI製ＰＣＳ接続枚数計算ツール!$G$6)+HUAWEI製ＰＣＳ接続枚数計算ツール!$G$6)*VLOOKUP(HUAWEI製ＰＣＳ接続枚数計算ツール!$C$9,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5" s="86">
        <f>((1-1/MAX(100%,過積載率!I25))^0.5*(HUAWEI製ＰＣＳ接続枚数計算ツール!$I$6-HUAWEI製ＰＣＳ接続枚数計算ツール!$G$6)+HUAWEI製ＰＣＳ接続枚数計算ツール!$G$6)*VLOOKUP(HUAWEI製ＰＣＳ接続枚数計算ツール!$C$9,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5" s="86">
        <f>((1-1/MAX(100%,過積載率!J25))^0.5*(HUAWEI製ＰＣＳ接続枚数計算ツール!$I$6-HUAWEI製ＰＣＳ接続枚数計算ツール!$G$6)+HUAWEI製ＰＣＳ接続枚数計算ツール!$G$6)*VLOOKUP(HUAWEI製ＰＣＳ接続枚数計算ツール!$C$9,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5" s="86">
        <f>((1-1/MAX(100%,過積載率!K25))^0.5*(HUAWEI製ＰＣＳ接続枚数計算ツール!$I$6-HUAWEI製ＰＣＳ接続枚数計算ツール!$G$6)+HUAWEI製ＰＣＳ接続枚数計算ツール!$G$6)*VLOOKUP(HUAWEI製ＰＣＳ接続枚数計算ツール!$C$9,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5" s="86">
        <f>((1-1/MAX(100%,過積載率!L25))^0.5*(HUAWEI製ＰＣＳ接続枚数計算ツール!$I$6-HUAWEI製ＰＣＳ接続枚数計算ツール!$G$6)+HUAWEI製ＰＣＳ接続枚数計算ツール!$G$6)*VLOOKUP(HUAWEI製ＰＣＳ接続枚数計算ツール!$C$9,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5" s="86">
        <f>((1-1/MAX(100%,過積載率!M25))^0.5*(HUAWEI製ＰＣＳ接続枚数計算ツール!$I$6-HUAWEI製ＰＣＳ接続枚数計算ツール!$G$6)+HUAWEI製ＰＣＳ接続枚数計算ツール!$G$6)*VLOOKUP(HUAWEI製ＰＣＳ接続枚数計算ツール!$C$9,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25" s="86">
        <f>((1-1/MAX(100%,過積載率!N25))^0.5*(HUAWEI製ＰＣＳ接続枚数計算ツール!$I$6-HUAWEI製ＰＣＳ接続枚数計算ツール!$G$6)+HUAWEI製ＰＣＳ接続枚数計算ツール!$G$6)*VLOOKUP(HUAWEI製ＰＣＳ接続枚数計算ツール!$C$9,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25" s="86">
        <f>((1-1/MAX(100%,過積載率!O25))^0.5*(HUAWEI製ＰＣＳ接続枚数計算ツール!$I$6-HUAWEI製ＰＣＳ接続枚数計算ツール!$G$6)+HUAWEI製ＰＣＳ接続枚数計算ツール!$G$6)*VLOOKUP(HUAWEI製ＰＣＳ接続枚数計算ツール!$C$9,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25" s="86">
        <f>((1-1/MAX(100%,過積載率!P25))^0.5*(HUAWEI製ＰＣＳ接続枚数計算ツール!$I$6-HUAWEI製ＰＣＳ接続枚数計算ツール!$G$6)+HUAWEI製ＰＣＳ接続枚数計算ツール!$G$6)*VLOOKUP(HUAWEI製ＰＣＳ接続枚数計算ツール!$C$9,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25" s="86">
        <f>((1-1/MAX(100%,過積載率!Q25))^0.5*(HUAWEI製ＰＣＳ接続枚数計算ツール!$I$6-HUAWEI製ＰＣＳ接続枚数計算ツール!$G$6)+HUAWEI製ＰＣＳ接続枚数計算ツール!$G$6)*VLOOKUP(HUAWEI製ＰＣＳ接続枚数計算ツール!$C$9,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25" s="86">
        <f>((1-1/MAX(100%,過積載率!R25))^0.5*(HUAWEI製ＰＣＳ接続枚数計算ツール!$I$6-HUAWEI製ＰＣＳ接続枚数計算ツール!$G$6)+HUAWEI製ＰＣＳ接続枚数計算ツール!$G$6)*VLOOKUP(HUAWEI製ＰＣＳ接続枚数計算ツール!$C$9,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25" s="86">
        <f>((1-1/MAX(100%,過積載率!S25))^0.5*(HUAWEI製ＰＣＳ接続枚数計算ツール!$I$6-HUAWEI製ＰＣＳ接続枚数計算ツール!$G$6)+HUAWEI製ＰＣＳ接続枚数計算ツール!$G$6)*VLOOKUP(HUAWEI製ＰＣＳ接続枚数計算ツール!$C$9,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25" s="86">
        <f>((1-1/MAX(100%,過積載率!T25))^0.5*(HUAWEI製ＰＣＳ接続枚数計算ツール!$I$6-HUAWEI製ＰＣＳ接続枚数計算ツール!$G$6)+HUAWEI製ＰＣＳ接続枚数計算ツール!$G$6)*VLOOKUP(HUAWEI製ＰＣＳ接続枚数計算ツール!$C$9,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25" s="86">
        <f>((1-1/MAX(100%,過積載率!U25))^0.5*(HUAWEI製ＰＣＳ接続枚数計算ツール!$I$6-HUAWEI製ＰＣＳ接続枚数計算ツール!$G$6)+HUAWEI製ＰＣＳ接続枚数計算ツール!$G$6)*VLOOKUP(HUAWEI製ＰＣＳ接続枚数計算ツール!$C$9,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25" s="86">
        <f>((1-1/MAX(100%,過積載率!V25))^0.5*(HUAWEI製ＰＣＳ接続枚数計算ツール!$I$6-HUAWEI製ＰＣＳ接続枚数計算ツール!$G$6)+HUAWEI製ＰＣＳ接続枚数計算ツール!$G$6)*VLOOKUP(HUAWEI製ＰＣＳ接続枚数計算ツール!$C$9,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25" s="86">
        <f>((1-1/MAX(100%,過積載率!W25))^0.5*(HUAWEI製ＰＣＳ接続枚数計算ツール!$I$6-HUAWEI製ＰＣＳ接続枚数計算ツール!$G$6)+HUAWEI製ＰＣＳ接続枚数計算ツール!$G$6)*VLOOKUP(HUAWEI製ＰＣＳ接続枚数計算ツール!$C$9,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25" s="86">
        <f>((1-1/MAX(100%,過積載率!X25))^0.5*(HUAWEI製ＰＣＳ接続枚数計算ツール!$I$6-HUAWEI製ＰＣＳ接続枚数計算ツール!$G$6)+HUAWEI製ＰＣＳ接続枚数計算ツール!$G$6)*VLOOKUP(HUAWEI製ＰＣＳ接続枚数計算ツール!$C$9,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25" s="86">
        <f>((1-1/MAX(100%,過積載率!Y25))^0.5*(HUAWEI製ＰＣＳ接続枚数計算ツール!$I$6-HUAWEI製ＰＣＳ接続枚数計算ツール!$G$6)+HUAWEI製ＰＣＳ接続枚数計算ツール!$G$6)*VLOOKUP(HUAWEI製ＰＣＳ接続枚数計算ツール!$C$9,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25" s="86">
        <f>((1-1/MAX(100%,過積載率!Z25))^0.5*(HUAWEI製ＰＣＳ接続枚数計算ツール!$I$6-HUAWEI製ＰＣＳ接続枚数計算ツール!$G$6)+HUAWEI製ＰＣＳ接続枚数計算ツール!$G$6)*VLOOKUP(HUAWEI製ＰＣＳ接続枚数計算ツール!$C$9,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25" s="86">
        <f>((1-1/MAX(100%,過積載率!AA25))^0.5*(HUAWEI製ＰＣＳ接続枚数計算ツール!$I$6-HUAWEI製ＰＣＳ接続枚数計算ツール!$G$6)+HUAWEI製ＰＣＳ接続枚数計算ツール!$G$6)*VLOOKUP(HUAWEI製ＰＣＳ接続枚数計算ツール!$C$9,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25" s="86">
        <f>((1-1/MAX(100%,過積載率!AB25))^0.5*(HUAWEI製ＰＣＳ接続枚数計算ツール!$I$6-HUAWEI製ＰＣＳ接続枚数計算ツール!$G$6)+HUAWEI製ＰＣＳ接続枚数計算ツール!$G$6)*VLOOKUP(HUAWEI製ＰＣＳ接続枚数計算ツール!$C$9,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25" s="86">
        <f>((1-1/MAX(100%,過積載率!AC25))^0.5*(HUAWEI製ＰＣＳ接続枚数計算ツール!$I$6-HUAWEI製ＰＣＳ接続枚数計算ツール!$G$6)+HUAWEI製ＰＣＳ接続枚数計算ツール!$G$6)*VLOOKUP(HUAWEI製ＰＣＳ接続枚数計算ツール!$C$9,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25" s="86">
        <f>((1-1/MAX(100%,過積載率!AD25))^0.5*(HUAWEI製ＰＣＳ接続枚数計算ツール!$I$6-HUAWEI製ＰＣＳ接続枚数計算ツール!$G$6)+HUAWEI製ＰＣＳ接続枚数計算ツール!$G$6)*VLOOKUP(HUAWEI製ＰＣＳ接続枚数計算ツール!$C$9,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25" s="86">
        <f>((1-1/MAX(100%,過積載率!AE25))^0.5*(HUAWEI製ＰＣＳ接続枚数計算ツール!$I$6-HUAWEI製ＰＣＳ接続枚数計算ツール!$G$6)+HUAWEI製ＰＣＳ接続枚数計算ツール!$G$6)*VLOOKUP(HUAWEI製ＰＣＳ接続枚数計算ツール!$C$9,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25" s="86">
        <f>((1-1/MAX(100%,過積載率!AF25))^0.5*(HUAWEI製ＰＣＳ接続枚数計算ツール!$I$6-HUAWEI製ＰＣＳ接続枚数計算ツール!$G$6)+HUAWEI製ＰＣＳ接続枚数計算ツール!$G$6)*VLOOKUP(HUAWEI製ＰＣＳ接続枚数計算ツール!$C$9,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25" s="86">
        <f>((1-1/MAX(100%,過積載率!AG25))^0.5*(HUAWEI製ＰＣＳ接続枚数計算ツール!$I$6-HUAWEI製ＰＣＳ接続枚数計算ツール!$G$6)+HUAWEI製ＰＣＳ接続枚数計算ツール!$G$6)*VLOOKUP(HUAWEI製ＰＣＳ接続枚数計算ツール!$C$9,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25" s="86">
        <f>((1-1/MAX(100%,過積載率!AH25))^0.5*(HUAWEI製ＰＣＳ接続枚数計算ツール!$I$6-HUAWEI製ＰＣＳ接続枚数計算ツール!$G$6)+HUAWEI製ＰＣＳ接続枚数計算ツール!$G$6)*VLOOKUP(HUAWEI製ＰＣＳ接続枚数計算ツール!$C$9,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25" s="86">
        <f>((1-1/MAX(100%,過積載率!AI25))^0.5*(HUAWEI製ＰＣＳ接続枚数計算ツール!$I$6-HUAWEI製ＰＣＳ接続枚数計算ツール!$G$6)+HUAWEI製ＰＣＳ接続枚数計算ツール!$G$6)*VLOOKUP(HUAWEI製ＰＣＳ接続枚数計算ツール!$C$9,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25" s="86">
        <f>((1-1/MAX(100%,過積載率!AJ25))^0.5*(HUAWEI製ＰＣＳ接続枚数計算ツール!$I$6-HUAWEI製ＰＣＳ接続枚数計算ツール!$G$6)+HUAWEI製ＰＣＳ接続枚数計算ツール!$G$6)*VLOOKUP(HUAWEI製ＰＣＳ接続枚数計算ツール!$C$9,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25" s="86">
        <f>((1-1/MAX(100%,過積載率!AK25))^0.5*(HUAWEI製ＰＣＳ接続枚数計算ツール!$I$6-HUAWEI製ＰＣＳ接続枚数計算ツール!$G$6)+HUAWEI製ＰＣＳ接続枚数計算ツール!$G$6)*VLOOKUP(HUAWEI製ＰＣＳ接続枚数計算ツール!$C$9,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25" s="86">
        <f>((1-1/MAX(100%,過積載率!AL25))^0.5*(HUAWEI製ＰＣＳ接続枚数計算ツール!$I$6-HUAWEI製ＰＣＳ接続枚数計算ツール!$G$6)+HUAWEI製ＰＣＳ接続枚数計算ツール!$G$6)*VLOOKUP(HUAWEI製ＰＣＳ接続枚数計算ツール!$C$9,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25" s="86">
        <f>((1-1/MAX(100%,過積載率!AM25))^0.5*(HUAWEI製ＰＣＳ接続枚数計算ツール!$I$6-HUAWEI製ＰＣＳ接続枚数計算ツール!$G$6)+HUAWEI製ＰＣＳ接続枚数計算ツール!$G$6)*VLOOKUP(HUAWEI製ＰＣＳ接続枚数計算ツール!$C$9,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25" s="86">
        <f>((1-1/MAX(100%,過積載率!AN25))^0.5*(HUAWEI製ＰＣＳ接続枚数計算ツール!$I$6-HUAWEI製ＰＣＳ接続枚数計算ツール!$G$6)+HUAWEI製ＰＣＳ接続枚数計算ツール!$G$6)*VLOOKUP(HUAWEI製ＰＣＳ接続枚数計算ツール!$C$9,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25" s="86">
        <f>((1-1/MAX(100%,過積載率!AO25))^0.5*(HUAWEI製ＰＣＳ接続枚数計算ツール!$I$6-HUAWEI製ＰＣＳ接続枚数計算ツール!$G$6)+HUAWEI製ＰＣＳ接続枚数計算ツール!$G$6)*VLOOKUP(HUAWEI製ＰＣＳ接続枚数計算ツール!$C$9,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26" spans="1:41">
      <c r="A26">
        <v>24</v>
      </c>
      <c r="B26" s="86">
        <f>((1-1/MAX(100%,過積載率!B26))^0.5*(HUAWEI製ＰＣＳ接続枚数計算ツール!$I$6-HUAWEI製ＰＣＳ接続枚数計算ツール!$G$6)+HUAWEI製ＰＣＳ接続枚数計算ツール!$G$6)*VLOOKUP(HUAWEI製ＰＣＳ接続枚数計算ツール!$C$9,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6" s="86">
        <f>((1-1/MAX(100%,過積載率!C26))^0.5*(HUAWEI製ＰＣＳ接続枚数計算ツール!$I$6-HUAWEI製ＰＣＳ接続枚数計算ツール!$G$6)+HUAWEI製ＰＣＳ接続枚数計算ツール!$G$6)*VLOOKUP(HUAWEI製ＰＣＳ接続枚数計算ツール!$C$9,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6" s="86">
        <f>((1-1/MAX(100%,過積載率!D26))^0.5*(HUAWEI製ＰＣＳ接続枚数計算ツール!$I$6-HUAWEI製ＰＣＳ接続枚数計算ツール!$G$6)+HUAWEI製ＰＣＳ接続枚数計算ツール!$G$6)*VLOOKUP(HUAWEI製ＰＣＳ接続枚数計算ツール!$C$9,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6" s="86">
        <f>((1-1/MAX(100%,過積載率!E26))^0.5*(HUAWEI製ＰＣＳ接続枚数計算ツール!$I$6-HUAWEI製ＰＣＳ接続枚数計算ツール!$G$6)+HUAWEI製ＰＣＳ接続枚数計算ツール!$G$6)*VLOOKUP(HUAWEI製ＰＣＳ接続枚数計算ツール!$C$9,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6" s="86">
        <f>((1-1/MAX(100%,過積載率!F26))^0.5*(HUAWEI製ＰＣＳ接続枚数計算ツール!$I$6-HUAWEI製ＰＣＳ接続枚数計算ツール!$G$6)+HUAWEI製ＰＣＳ接続枚数計算ツール!$G$6)*VLOOKUP(HUAWEI製ＰＣＳ接続枚数計算ツール!$C$9,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6" s="86">
        <f>((1-1/MAX(100%,過積載率!G26))^0.5*(HUAWEI製ＰＣＳ接続枚数計算ツール!$I$6-HUAWEI製ＰＣＳ接続枚数計算ツール!$G$6)+HUAWEI製ＰＣＳ接続枚数計算ツール!$G$6)*VLOOKUP(HUAWEI製ＰＣＳ接続枚数計算ツール!$C$9,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6" s="86">
        <f>((1-1/MAX(100%,過積載率!H26))^0.5*(HUAWEI製ＰＣＳ接続枚数計算ツール!$I$6-HUAWEI製ＰＣＳ接続枚数計算ツール!$G$6)+HUAWEI製ＰＣＳ接続枚数計算ツール!$G$6)*VLOOKUP(HUAWEI製ＰＣＳ接続枚数計算ツール!$C$9,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6" s="86">
        <f>((1-1/MAX(100%,過積載率!I26))^0.5*(HUAWEI製ＰＣＳ接続枚数計算ツール!$I$6-HUAWEI製ＰＣＳ接続枚数計算ツール!$G$6)+HUAWEI製ＰＣＳ接続枚数計算ツール!$G$6)*VLOOKUP(HUAWEI製ＰＣＳ接続枚数計算ツール!$C$9,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6" s="86">
        <f>((1-1/MAX(100%,過積載率!J26))^0.5*(HUAWEI製ＰＣＳ接続枚数計算ツール!$I$6-HUAWEI製ＰＣＳ接続枚数計算ツール!$G$6)+HUAWEI製ＰＣＳ接続枚数計算ツール!$G$6)*VLOOKUP(HUAWEI製ＰＣＳ接続枚数計算ツール!$C$9,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6" s="86">
        <f>((1-1/MAX(100%,過積載率!K26))^0.5*(HUAWEI製ＰＣＳ接続枚数計算ツール!$I$6-HUAWEI製ＰＣＳ接続枚数計算ツール!$G$6)+HUAWEI製ＰＣＳ接続枚数計算ツール!$G$6)*VLOOKUP(HUAWEI製ＰＣＳ接続枚数計算ツール!$C$9,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6" s="86">
        <f>((1-1/MAX(100%,過積載率!L26))^0.5*(HUAWEI製ＰＣＳ接続枚数計算ツール!$I$6-HUAWEI製ＰＣＳ接続枚数計算ツール!$G$6)+HUAWEI製ＰＣＳ接続枚数計算ツール!$G$6)*VLOOKUP(HUAWEI製ＰＣＳ接続枚数計算ツール!$C$9,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6" s="86">
        <f>((1-1/MAX(100%,過積載率!M26))^0.5*(HUAWEI製ＰＣＳ接続枚数計算ツール!$I$6-HUAWEI製ＰＣＳ接続枚数計算ツール!$G$6)+HUAWEI製ＰＣＳ接続枚数計算ツール!$G$6)*VLOOKUP(HUAWEI製ＰＣＳ接続枚数計算ツール!$C$9,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26" s="86">
        <f>((1-1/MAX(100%,過積載率!N26))^0.5*(HUAWEI製ＰＣＳ接続枚数計算ツール!$I$6-HUAWEI製ＰＣＳ接続枚数計算ツール!$G$6)+HUAWEI製ＰＣＳ接続枚数計算ツール!$G$6)*VLOOKUP(HUAWEI製ＰＣＳ接続枚数計算ツール!$C$9,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26" s="86">
        <f>((1-1/MAX(100%,過積載率!O26))^0.5*(HUAWEI製ＰＣＳ接続枚数計算ツール!$I$6-HUAWEI製ＰＣＳ接続枚数計算ツール!$G$6)+HUAWEI製ＰＣＳ接続枚数計算ツール!$G$6)*VLOOKUP(HUAWEI製ＰＣＳ接続枚数計算ツール!$C$9,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26" s="86">
        <f>((1-1/MAX(100%,過積載率!P26))^0.5*(HUAWEI製ＰＣＳ接続枚数計算ツール!$I$6-HUAWEI製ＰＣＳ接続枚数計算ツール!$G$6)+HUAWEI製ＰＣＳ接続枚数計算ツール!$G$6)*VLOOKUP(HUAWEI製ＰＣＳ接続枚数計算ツール!$C$9,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26" s="86">
        <f>((1-1/MAX(100%,過積載率!Q26))^0.5*(HUAWEI製ＰＣＳ接続枚数計算ツール!$I$6-HUAWEI製ＰＣＳ接続枚数計算ツール!$G$6)+HUAWEI製ＰＣＳ接続枚数計算ツール!$G$6)*VLOOKUP(HUAWEI製ＰＣＳ接続枚数計算ツール!$C$9,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26" s="86">
        <f>((1-1/MAX(100%,過積載率!R26))^0.5*(HUAWEI製ＰＣＳ接続枚数計算ツール!$I$6-HUAWEI製ＰＣＳ接続枚数計算ツール!$G$6)+HUAWEI製ＰＣＳ接続枚数計算ツール!$G$6)*VLOOKUP(HUAWEI製ＰＣＳ接続枚数計算ツール!$C$9,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26" s="86">
        <f>((1-1/MAX(100%,過積載率!S26))^0.5*(HUAWEI製ＰＣＳ接続枚数計算ツール!$I$6-HUAWEI製ＰＣＳ接続枚数計算ツール!$G$6)+HUAWEI製ＰＣＳ接続枚数計算ツール!$G$6)*VLOOKUP(HUAWEI製ＰＣＳ接続枚数計算ツール!$C$9,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26" s="86">
        <f>((1-1/MAX(100%,過積載率!T26))^0.5*(HUAWEI製ＰＣＳ接続枚数計算ツール!$I$6-HUAWEI製ＰＣＳ接続枚数計算ツール!$G$6)+HUAWEI製ＰＣＳ接続枚数計算ツール!$G$6)*VLOOKUP(HUAWEI製ＰＣＳ接続枚数計算ツール!$C$9,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26" s="86">
        <f>((1-1/MAX(100%,過積載率!U26))^0.5*(HUAWEI製ＰＣＳ接続枚数計算ツール!$I$6-HUAWEI製ＰＣＳ接続枚数計算ツール!$G$6)+HUAWEI製ＰＣＳ接続枚数計算ツール!$G$6)*VLOOKUP(HUAWEI製ＰＣＳ接続枚数計算ツール!$C$9,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26" s="86">
        <f>((1-1/MAX(100%,過積載率!V26))^0.5*(HUAWEI製ＰＣＳ接続枚数計算ツール!$I$6-HUAWEI製ＰＣＳ接続枚数計算ツール!$G$6)+HUAWEI製ＰＣＳ接続枚数計算ツール!$G$6)*VLOOKUP(HUAWEI製ＰＣＳ接続枚数計算ツール!$C$9,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26" s="86">
        <f>((1-1/MAX(100%,過積載率!W26))^0.5*(HUAWEI製ＰＣＳ接続枚数計算ツール!$I$6-HUAWEI製ＰＣＳ接続枚数計算ツール!$G$6)+HUAWEI製ＰＣＳ接続枚数計算ツール!$G$6)*VLOOKUP(HUAWEI製ＰＣＳ接続枚数計算ツール!$C$9,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26" s="86">
        <f>((1-1/MAX(100%,過積載率!X26))^0.5*(HUAWEI製ＰＣＳ接続枚数計算ツール!$I$6-HUAWEI製ＰＣＳ接続枚数計算ツール!$G$6)+HUAWEI製ＰＣＳ接続枚数計算ツール!$G$6)*VLOOKUP(HUAWEI製ＰＣＳ接続枚数計算ツール!$C$9,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26" s="86">
        <f>((1-1/MAX(100%,過積載率!Y26))^0.5*(HUAWEI製ＰＣＳ接続枚数計算ツール!$I$6-HUAWEI製ＰＣＳ接続枚数計算ツール!$G$6)+HUAWEI製ＰＣＳ接続枚数計算ツール!$G$6)*VLOOKUP(HUAWEI製ＰＣＳ接続枚数計算ツール!$C$9,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26" s="86">
        <f>((1-1/MAX(100%,過積載率!Z26))^0.5*(HUAWEI製ＰＣＳ接続枚数計算ツール!$I$6-HUAWEI製ＰＣＳ接続枚数計算ツール!$G$6)+HUAWEI製ＰＣＳ接続枚数計算ツール!$G$6)*VLOOKUP(HUAWEI製ＰＣＳ接続枚数計算ツール!$C$9,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26" s="86">
        <f>((1-1/MAX(100%,過積載率!AA26))^0.5*(HUAWEI製ＰＣＳ接続枚数計算ツール!$I$6-HUAWEI製ＰＣＳ接続枚数計算ツール!$G$6)+HUAWEI製ＰＣＳ接続枚数計算ツール!$G$6)*VLOOKUP(HUAWEI製ＰＣＳ接続枚数計算ツール!$C$9,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26" s="86">
        <f>((1-1/MAX(100%,過積載率!AB26))^0.5*(HUAWEI製ＰＣＳ接続枚数計算ツール!$I$6-HUAWEI製ＰＣＳ接続枚数計算ツール!$G$6)+HUAWEI製ＰＣＳ接続枚数計算ツール!$G$6)*VLOOKUP(HUAWEI製ＰＣＳ接続枚数計算ツール!$C$9,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26" s="86">
        <f>((1-1/MAX(100%,過積載率!AC26))^0.5*(HUAWEI製ＰＣＳ接続枚数計算ツール!$I$6-HUAWEI製ＰＣＳ接続枚数計算ツール!$G$6)+HUAWEI製ＰＣＳ接続枚数計算ツール!$G$6)*VLOOKUP(HUAWEI製ＰＣＳ接続枚数計算ツール!$C$9,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26" s="86">
        <f>((1-1/MAX(100%,過積載率!AD26))^0.5*(HUAWEI製ＰＣＳ接続枚数計算ツール!$I$6-HUAWEI製ＰＣＳ接続枚数計算ツール!$G$6)+HUAWEI製ＰＣＳ接続枚数計算ツール!$G$6)*VLOOKUP(HUAWEI製ＰＣＳ接続枚数計算ツール!$C$9,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26" s="86">
        <f>((1-1/MAX(100%,過積載率!AE26))^0.5*(HUAWEI製ＰＣＳ接続枚数計算ツール!$I$6-HUAWEI製ＰＣＳ接続枚数計算ツール!$G$6)+HUAWEI製ＰＣＳ接続枚数計算ツール!$G$6)*VLOOKUP(HUAWEI製ＰＣＳ接続枚数計算ツール!$C$9,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26" s="86">
        <f>((1-1/MAX(100%,過積載率!AF26))^0.5*(HUAWEI製ＰＣＳ接続枚数計算ツール!$I$6-HUAWEI製ＰＣＳ接続枚数計算ツール!$G$6)+HUAWEI製ＰＣＳ接続枚数計算ツール!$G$6)*VLOOKUP(HUAWEI製ＰＣＳ接続枚数計算ツール!$C$9,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26" s="86">
        <f>((1-1/MAX(100%,過積載率!AG26))^0.5*(HUAWEI製ＰＣＳ接続枚数計算ツール!$I$6-HUAWEI製ＰＣＳ接続枚数計算ツール!$G$6)+HUAWEI製ＰＣＳ接続枚数計算ツール!$G$6)*VLOOKUP(HUAWEI製ＰＣＳ接続枚数計算ツール!$C$9,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26" s="86">
        <f>((1-1/MAX(100%,過積載率!AH26))^0.5*(HUAWEI製ＰＣＳ接続枚数計算ツール!$I$6-HUAWEI製ＰＣＳ接続枚数計算ツール!$G$6)+HUAWEI製ＰＣＳ接続枚数計算ツール!$G$6)*VLOOKUP(HUAWEI製ＰＣＳ接続枚数計算ツール!$C$9,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26" s="86">
        <f>((1-1/MAX(100%,過積載率!AI26))^0.5*(HUAWEI製ＰＣＳ接続枚数計算ツール!$I$6-HUAWEI製ＰＣＳ接続枚数計算ツール!$G$6)+HUAWEI製ＰＣＳ接続枚数計算ツール!$G$6)*VLOOKUP(HUAWEI製ＰＣＳ接続枚数計算ツール!$C$9,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26" s="86">
        <f>((1-1/MAX(100%,過積載率!AJ26))^0.5*(HUAWEI製ＰＣＳ接続枚数計算ツール!$I$6-HUAWEI製ＰＣＳ接続枚数計算ツール!$G$6)+HUAWEI製ＰＣＳ接続枚数計算ツール!$G$6)*VLOOKUP(HUAWEI製ＰＣＳ接続枚数計算ツール!$C$9,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26" s="86">
        <f>((1-1/MAX(100%,過積載率!AK26))^0.5*(HUAWEI製ＰＣＳ接続枚数計算ツール!$I$6-HUAWEI製ＰＣＳ接続枚数計算ツール!$G$6)+HUAWEI製ＰＣＳ接続枚数計算ツール!$G$6)*VLOOKUP(HUAWEI製ＰＣＳ接続枚数計算ツール!$C$9,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26" s="86">
        <f>((1-1/MAX(100%,過積載率!AL26))^0.5*(HUAWEI製ＰＣＳ接続枚数計算ツール!$I$6-HUAWEI製ＰＣＳ接続枚数計算ツール!$G$6)+HUAWEI製ＰＣＳ接続枚数計算ツール!$G$6)*VLOOKUP(HUAWEI製ＰＣＳ接続枚数計算ツール!$C$9,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26" s="86">
        <f>((1-1/MAX(100%,過積載率!AM26))^0.5*(HUAWEI製ＰＣＳ接続枚数計算ツール!$I$6-HUAWEI製ＰＣＳ接続枚数計算ツール!$G$6)+HUAWEI製ＰＣＳ接続枚数計算ツール!$G$6)*VLOOKUP(HUAWEI製ＰＣＳ接続枚数計算ツール!$C$9,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26" s="86">
        <f>((1-1/MAX(100%,過積載率!AN26))^0.5*(HUAWEI製ＰＣＳ接続枚数計算ツール!$I$6-HUAWEI製ＰＣＳ接続枚数計算ツール!$G$6)+HUAWEI製ＰＣＳ接続枚数計算ツール!$G$6)*VLOOKUP(HUAWEI製ＰＣＳ接続枚数計算ツール!$C$9,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26" s="86">
        <f>((1-1/MAX(100%,過積載率!AO26))^0.5*(HUAWEI製ＰＣＳ接続枚数計算ツール!$I$6-HUAWEI製ＰＣＳ接続枚数計算ツール!$G$6)+HUAWEI製ＰＣＳ接続枚数計算ツール!$G$6)*VLOOKUP(HUAWEI製ＰＣＳ接続枚数計算ツール!$C$9,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27" spans="1:41">
      <c r="A27">
        <v>25</v>
      </c>
      <c r="B27" s="86">
        <f>((1-1/MAX(100%,過積載率!B27))^0.5*(HUAWEI製ＰＣＳ接続枚数計算ツール!$I$6-HUAWEI製ＰＣＳ接続枚数計算ツール!$G$6)+HUAWEI製ＰＣＳ接続枚数計算ツール!$G$6)*VLOOKUP(HUAWEI製ＰＣＳ接続枚数計算ツール!$C$9,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7" s="86">
        <f>((1-1/MAX(100%,過積載率!C27))^0.5*(HUAWEI製ＰＣＳ接続枚数計算ツール!$I$6-HUAWEI製ＰＣＳ接続枚数計算ツール!$G$6)+HUAWEI製ＰＣＳ接続枚数計算ツール!$G$6)*VLOOKUP(HUAWEI製ＰＣＳ接続枚数計算ツール!$C$9,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7" s="86">
        <f>((1-1/MAX(100%,過積載率!D27))^0.5*(HUAWEI製ＰＣＳ接続枚数計算ツール!$I$6-HUAWEI製ＰＣＳ接続枚数計算ツール!$G$6)+HUAWEI製ＰＣＳ接続枚数計算ツール!$G$6)*VLOOKUP(HUAWEI製ＰＣＳ接続枚数計算ツール!$C$9,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7" s="86">
        <f>((1-1/MAX(100%,過積載率!E27))^0.5*(HUAWEI製ＰＣＳ接続枚数計算ツール!$I$6-HUAWEI製ＰＣＳ接続枚数計算ツール!$G$6)+HUAWEI製ＰＣＳ接続枚数計算ツール!$G$6)*VLOOKUP(HUAWEI製ＰＣＳ接続枚数計算ツール!$C$9,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7" s="86">
        <f>((1-1/MAX(100%,過積載率!F27))^0.5*(HUAWEI製ＰＣＳ接続枚数計算ツール!$I$6-HUAWEI製ＰＣＳ接続枚数計算ツール!$G$6)+HUAWEI製ＰＣＳ接続枚数計算ツール!$G$6)*VLOOKUP(HUAWEI製ＰＣＳ接続枚数計算ツール!$C$9,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7" s="86">
        <f>((1-1/MAX(100%,過積載率!G27))^0.5*(HUAWEI製ＰＣＳ接続枚数計算ツール!$I$6-HUAWEI製ＰＣＳ接続枚数計算ツール!$G$6)+HUAWEI製ＰＣＳ接続枚数計算ツール!$G$6)*VLOOKUP(HUAWEI製ＰＣＳ接続枚数計算ツール!$C$9,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7" s="86">
        <f>((1-1/MAX(100%,過積載率!H27))^0.5*(HUAWEI製ＰＣＳ接続枚数計算ツール!$I$6-HUAWEI製ＰＣＳ接続枚数計算ツール!$G$6)+HUAWEI製ＰＣＳ接続枚数計算ツール!$G$6)*VLOOKUP(HUAWEI製ＰＣＳ接続枚数計算ツール!$C$9,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7" s="86">
        <f>((1-1/MAX(100%,過積載率!I27))^0.5*(HUAWEI製ＰＣＳ接続枚数計算ツール!$I$6-HUAWEI製ＰＣＳ接続枚数計算ツール!$G$6)+HUAWEI製ＰＣＳ接続枚数計算ツール!$G$6)*VLOOKUP(HUAWEI製ＰＣＳ接続枚数計算ツール!$C$9,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7" s="86">
        <f>((1-1/MAX(100%,過積載率!J27))^0.5*(HUAWEI製ＰＣＳ接続枚数計算ツール!$I$6-HUAWEI製ＰＣＳ接続枚数計算ツール!$G$6)+HUAWEI製ＰＣＳ接続枚数計算ツール!$G$6)*VLOOKUP(HUAWEI製ＰＣＳ接続枚数計算ツール!$C$9,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7" s="86">
        <f>((1-1/MAX(100%,過積載率!K27))^0.5*(HUAWEI製ＰＣＳ接続枚数計算ツール!$I$6-HUAWEI製ＰＣＳ接続枚数計算ツール!$G$6)+HUAWEI製ＰＣＳ接続枚数計算ツール!$G$6)*VLOOKUP(HUAWEI製ＰＣＳ接続枚数計算ツール!$C$9,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7" s="86">
        <f>((1-1/MAX(100%,過積載率!L27))^0.5*(HUAWEI製ＰＣＳ接続枚数計算ツール!$I$6-HUAWEI製ＰＣＳ接続枚数計算ツール!$G$6)+HUAWEI製ＰＣＳ接続枚数計算ツール!$G$6)*VLOOKUP(HUAWEI製ＰＣＳ接続枚数計算ツール!$C$9,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7" s="86">
        <f>((1-1/MAX(100%,過積載率!M27))^0.5*(HUAWEI製ＰＣＳ接続枚数計算ツール!$I$6-HUAWEI製ＰＣＳ接続枚数計算ツール!$G$6)+HUAWEI製ＰＣＳ接続枚数計算ツール!$G$6)*VLOOKUP(HUAWEI製ＰＣＳ接続枚数計算ツール!$C$9,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27" s="86">
        <f>((1-1/MAX(100%,過積載率!N27))^0.5*(HUAWEI製ＰＣＳ接続枚数計算ツール!$I$6-HUAWEI製ＰＣＳ接続枚数計算ツール!$G$6)+HUAWEI製ＰＣＳ接続枚数計算ツール!$G$6)*VLOOKUP(HUAWEI製ＰＣＳ接続枚数計算ツール!$C$9,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27" s="86">
        <f>((1-1/MAX(100%,過積載率!O27))^0.5*(HUAWEI製ＰＣＳ接続枚数計算ツール!$I$6-HUAWEI製ＰＣＳ接続枚数計算ツール!$G$6)+HUAWEI製ＰＣＳ接続枚数計算ツール!$G$6)*VLOOKUP(HUAWEI製ＰＣＳ接続枚数計算ツール!$C$9,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27" s="86">
        <f>((1-1/MAX(100%,過積載率!P27))^0.5*(HUAWEI製ＰＣＳ接続枚数計算ツール!$I$6-HUAWEI製ＰＣＳ接続枚数計算ツール!$G$6)+HUAWEI製ＰＣＳ接続枚数計算ツール!$G$6)*VLOOKUP(HUAWEI製ＰＣＳ接続枚数計算ツール!$C$9,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27" s="86">
        <f>((1-1/MAX(100%,過積載率!Q27))^0.5*(HUAWEI製ＰＣＳ接続枚数計算ツール!$I$6-HUAWEI製ＰＣＳ接続枚数計算ツール!$G$6)+HUAWEI製ＰＣＳ接続枚数計算ツール!$G$6)*VLOOKUP(HUAWEI製ＰＣＳ接続枚数計算ツール!$C$9,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27" s="86">
        <f>((1-1/MAX(100%,過積載率!R27))^0.5*(HUAWEI製ＰＣＳ接続枚数計算ツール!$I$6-HUAWEI製ＰＣＳ接続枚数計算ツール!$G$6)+HUAWEI製ＰＣＳ接続枚数計算ツール!$G$6)*VLOOKUP(HUAWEI製ＰＣＳ接続枚数計算ツール!$C$9,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27" s="86">
        <f>((1-1/MAX(100%,過積載率!S27))^0.5*(HUAWEI製ＰＣＳ接続枚数計算ツール!$I$6-HUAWEI製ＰＣＳ接続枚数計算ツール!$G$6)+HUAWEI製ＰＣＳ接続枚数計算ツール!$G$6)*VLOOKUP(HUAWEI製ＰＣＳ接続枚数計算ツール!$C$9,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27" s="86">
        <f>((1-1/MAX(100%,過積載率!T27))^0.5*(HUAWEI製ＰＣＳ接続枚数計算ツール!$I$6-HUAWEI製ＰＣＳ接続枚数計算ツール!$G$6)+HUAWEI製ＰＣＳ接続枚数計算ツール!$G$6)*VLOOKUP(HUAWEI製ＰＣＳ接続枚数計算ツール!$C$9,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27" s="86">
        <f>((1-1/MAX(100%,過積載率!U27))^0.5*(HUAWEI製ＰＣＳ接続枚数計算ツール!$I$6-HUAWEI製ＰＣＳ接続枚数計算ツール!$G$6)+HUAWEI製ＰＣＳ接続枚数計算ツール!$G$6)*VLOOKUP(HUAWEI製ＰＣＳ接続枚数計算ツール!$C$9,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27" s="86">
        <f>((1-1/MAX(100%,過積載率!V27))^0.5*(HUAWEI製ＰＣＳ接続枚数計算ツール!$I$6-HUAWEI製ＰＣＳ接続枚数計算ツール!$G$6)+HUAWEI製ＰＣＳ接続枚数計算ツール!$G$6)*VLOOKUP(HUAWEI製ＰＣＳ接続枚数計算ツール!$C$9,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27" s="86">
        <f>((1-1/MAX(100%,過積載率!W27))^0.5*(HUAWEI製ＰＣＳ接続枚数計算ツール!$I$6-HUAWEI製ＰＣＳ接続枚数計算ツール!$G$6)+HUAWEI製ＰＣＳ接続枚数計算ツール!$G$6)*VLOOKUP(HUAWEI製ＰＣＳ接続枚数計算ツール!$C$9,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27" s="86">
        <f>((1-1/MAX(100%,過積載率!X27))^0.5*(HUAWEI製ＰＣＳ接続枚数計算ツール!$I$6-HUAWEI製ＰＣＳ接続枚数計算ツール!$G$6)+HUAWEI製ＰＣＳ接続枚数計算ツール!$G$6)*VLOOKUP(HUAWEI製ＰＣＳ接続枚数計算ツール!$C$9,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27" s="86">
        <f>((1-1/MAX(100%,過積載率!Y27))^0.5*(HUAWEI製ＰＣＳ接続枚数計算ツール!$I$6-HUAWEI製ＰＣＳ接続枚数計算ツール!$G$6)+HUAWEI製ＰＣＳ接続枚数計算ツール!$G$6)*VLOOKUP(HUAWEI製ＰＣＳ接続枚数計算ツール!$C$9,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27" s="86">
        <f>((1-1/MAX(100%,過積載率!Z27))^0.5*(HUAWEI製ＰＣＳ接続枚数計算ツール!$I$6-HUAWEI製ＰＣＳ接続枚数計算ツール!$G$6)+HUAWEI製ＰＣＳ接続枚数計算ツール!$G$6)*VLOOKUP(HUAWEI製ＰＣＳ接続枚数計算ツール!$C$9,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27" s="86">
        <f>((1-1/MAX(100%,過積載率!AA27))^0.5*(HUAWEI製ＰＣＳ接続枚数計算ツール!$I$6-HUAWEI製ＰＣＳ接続枚数計算ツール!$G$6)+HUAWEI製ＰＣＳ接続枚数計算ツール!$G$6)*VLOOKUP(HUAWEI製ＰＣＳ接続枚数計算ツール!$C$9,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27" s="86">
        <f>((1-1/MAX(100%,過積載率!AB27))^0.5*(HUAWEI製ＰＣＳ接続枚数計算ツール!$I$6-HUAWEI製ＰＣＳ接続枚数計算ツール!$G$6)+HUAWEI製ＰＣＳ接続枚数計算ツール!$G$6)*VLOOKUP(HUAWEI製ＰＣＳ接続枚数計算ツール!$C$9,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27" s="86">
        <f>((1-1/MAX(100%,過積載率!AC27))^0.5*(HUAWEI製ＰＣＳ接続枚数計算ツール!$I$6-HUAWEI製ＰＣＳ接続枚数計算ツール!$G$6)+HUAWEI製ＰＣＳ接続枚数計算ツール!$G$6)*VLOOKUP(HUAWEI製ＰＣＳ接続枚数計算ツール!$C$9,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27" s="86">
        <f>((1-1/MAX(100%,過積載率!AD27))^0.5*(HUAWEI製ＰＣＳ接続枚数計算ツール!$I$6-HUAWEI製ＰＣＳ接続枚数計算ツール!$G$6)+HUAWEI製ＰＣＳ接続枚数計算ツール!$G$6)*VLOOKUP(HUAWEI製ＰＣＳ接続枚数計算ツール!$C$9,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27" s="86">
        <f>((1-1/MAX(100%,過積載率!AE27))^0.5*(HUAWEI製ＰＣＳ接続枚数計算ツール!$I$6-HUAWEI製ＰＣＳ接続枚数計算ツール!$G$6)+HUAWEI製ＰＣＳ接続枚数計算ツール!$G$6)*VLOOKUP(HUAWEI製ＰＣＳ接続枚数計算ツール!$C$9,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27" s="86">
        <f>((1-1/MAX(100%,過積載率!AF27))^0.5*(HUAWEI製ＰＣＳ接続枚数計算ツール!$I$6-HUAWEI製ＰＣＳ接続枚数計算ツール!$G$6)+HUAWEI製ＰＣＳ接続枚数計算ツール!$G$6)*VLOOKUP(HUAWEI製ＰＣＳ接続枚数計算ツール!$C$9,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27" s="86">
        <f>((1-1/MAX(100%,過積載率!AG27))^0.5*(HUAWEI製ＰＣＳ接続枚数計算ツール!$I$6-HUAWEI製ＰＣＳ接続枚数計算ツール!$G$6)+HUAWEI製ＰＣＳ接続枚数計算ツール!$G$6)*VLOOKUP(HUAWEI製ＰＣＳ接続枚数計算ツール!$C$9,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27" s="86">
        <f>((1-1/MAX(100%,過積載率!AH27))^0.5*(HUAWEI製ＰＣＳ接続枚数計算ツール!$I$6-HUAWEI製ＰＣＳ接続枚数計算ツール!$G$6)+HUAWEI製ＰＣＳ接続枚数計算ツール!$G$6)*VLOOKUP(HUAWEI製ＰＣＳ接続枚数計算ツール!$C$9,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27" s="86">
        <f>((1-1/MAX(100%,過積載率!AI27))^0.5*(HUAWEI製ＰＣＳ接続枚数計算ツール!$I$6-HUAWEI製ＰＣＳ接続枚数計算ツール!$G$6)+HUAWEI製ＰＣＳ接続枚数計算ツール!$G$6)*VLOOKUP(HUAWEI製ＰＣＳ接続枚数計算ツール!$C$9,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27" s="86">
        <f>((1-1/MAX(100%,過積載率!AJ27))^0.5*(HUAWEI製ＰＣＳ接続枚数計算ツール!$I$6-HUAWEI製ＰＣＳ接続枚数計算ツール!$G$6)+HUAWEI製ＰＣＳ接続枚数計算ツール!$G$6)*VLOOKUP(HUAWEI製ＰＣＳ接続枚数計算ツール!$C$9,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27" s="86">
        <f>((1-1/MAX(100%,過積載率!AK27))^0.5*(HUAWEI製ＰＣＳ接続枚数計算ツール!$I$6-HUAWEI製ＰＣＳ接続枚数計算ツール!$G$6)+HUAWEI製ＰＣＳ接続枚数計算ツール!$G$6)*VLOOKUP(HUAWEI製ＰＣＳ接続枚数計算ツール!$C$9,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27" s="86">
        <f>((1-1/MAX(100%,過積載率!AL27))^0.5*(HUAWEI製ＰＣＳ接続枚数計算ツール!$I$6-HUAWEI製ＰＣＳ接続枚数計算ツール!$G$6)+HUAWEI製ＰＣＳ接続枚数計算ツール!$G$6)*VLOOKUP(HUAWEI製ＰＣＳ接続枚数計算ツール!$C$9,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27" s="86">
        <f>((1-1/MAX(100%,過積載率!AM27))^0.5*(HUAWEI製ＰＣＳ接続枚数計算ツール!$I$6-HUAWEI製ＰＣＳ接続枚数計算ツール!$G$6)+HUAWEI製ＰＣＳ接続枚数計算ツール!$G$6)*VLOOKUP(HUAWEI製ＰＣＳ接続枚数計算ツール!$C$9,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27" s="86">
        <f>((1-1/MAX(100%,過積載率!AN27))^0.5*(HUAWEI製ＰＣＳ接続枚数計算ツール!$I$6-HUAWEI製ＰＣＳ接続枚数計算ツール!$G$6)+HUAWEI製ＰＣＳ接続枚数計算ツール!$G$6)*VLOOKUP(HUAWEI製ＰＣＳ接続枚数計算ツール!$C$9,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27" s="86">
        <f>((1-1/MAX(100%,過積載率!AO27))^0.5*(HUAWEI製ＰＣＳ接続枚数計算ツール!$I$6-HUAWEI製ＰＣＳ接続枚数計算ツール!$G$6)+HUAWEI製ＰＣＳ接続枚数計算ツール!$G$6)*VLOOKUP(HUAWEI製ＰＣＳ接続枚数計算ツール!$C$9,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28" spans="1:41">
      <c r="A28">
        <v>26</v>
      </c>
      <c r="B28" s="86">
        <f>((1-1/MAX(100%,過積載率!B28))^0.5*(HUAWEI製ＰＣＳ接続枚数計算ツール!$I$6-HUAWEI製ＰＣＳ接続枚数計算ツール!$G$6)+HUAWEI製ＰＣＳ接続枚数計算ツール!$G$6)*VLOOKUP(HUAWEI製ＰＣＳ接続枚数計算ツール!$C$9,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8" s="86">
        <f>((1-1/MAX(100%,過積載率!C28))^0.5*(HUAWEI製ＰＣＳ接続枚数計算ツール!$I$6-HUAWEI製ＰＣＳ接続枚数計算ツール!$G$6)+HUAWEI製ＰＣＳ接続枚数計算ツール!$G$6)*VLOOKUP(HUAWEI製ＰＣＳ接続枚数計算ツール!$C$9,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8" s="86">
        <f>((1-1/MAX(100%,過積載率!D28))^0.5*(HUAWEI製ＰＣＳ接続枚数計算ツール!$I$6-HUAWEI製ＰＣＳ接続枚数計算ツール!$G$6)+HUAWEI製ＰＣＳ接続枚数計算ツール!$G$6)*VLOOKUP(HUAWEI製ＰＣＳ接続枚数計算ツール!$C$9,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8" s="86">
        <f>((1-1/MAX(100%,過積載率!E28))^0.5*(HUAWEI製ＰＣＳ接続枚数計算ツール!$I$6-HUAWEI製ＰＣＳ接続枚数計算ツール!$G$6)+HUAWEI製ＰＣＳ接続枚数計算ツール!$G$6)*VLOOKUP(HUAWEI製ＰＣＳ接続枚数計算ツール!$C$9,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8" s="86">
        <f>((1-1/MAX(100%,過積載率!F28))^0.5*(HUAWEI製ＰＣＳ接続枚数計算ツール!$I$6-HUAWEI製ＰＣＳ接続枚数計算ツール!$G$6)+HUAWEI製ＰＣＳ接続枚数計算ツール!$G$6)*VLOOKUP(HUAWEI製ＰＣＳ接続枚数計算ツール!$C$9,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8" s="86">
        <f>((1-1/MAX(100%,過積載率!G28))^0.5*(HUAWEI製ＰＣＳ接続枚数計算ツール!$I$6-HUAWEI製ＰＣＳ接続枚数計算ツール!$G$6)+HUAWEI製ＰＣＳ接続枚数計算ツール!$G$6)*VLOOKUP(HUAWEI製ＰＣＳ接続枚数計算ツール!$C$9,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8" s="86">
        <f>((1-1/MAX(100%,過積載率!H28))^0.5*(HUAWEI製ＰＣＳ接続枚数計算ツール!$I$6-HUAWEI製ＰＣＳ接続枚数計算ツール!$G$6)+HUAWEI製ＰＣＳ接続枚数計算ツール!$G$6)*VLOOKUP(HUAWEI製ＰＣＳ接続枚数計算ツール!$C$9,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8" s="86">
        <f>((1-1/MAX(100%,過積載率!I28))^0.5*(HUAWEI製ＰＣＳ接続枚数計算ツール!$I$6-HUAWEI製ＰＣＳ接続枚数計算ツール!$G$6)+HUAWEI製ＰＣＳ接続枚数計算ツール!$G$6)*VLOOKUP(HUAWEI製ＰＣＳ接続枚数計算ツール!$C$9,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8" s="86">
        <f>((1-1/MAX(100%,過積載率!J28))^0.5*(HUAWEI製ＰＣＳ接続枚数計算ツール!$I$6-HUAWEI製ＰＣＳ接続枚数計算ツール!$G$6)+HUAWEI製ＰＣＳ接続枚数計算ツール!$G$6)*VLOOKUP(HUAWEI製ＰＣＳ接続枚数計算ツール!$C$9,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8" s="86">
        <f>((1-1/MAX(100%,過積載率!K28))^0.5*(HUAWEI製ＰＣＳ接続枚数計算ツール!$I$6-HUAWEI製ＰＣＳ接続枚数計算ツール!$G$6)+HUAWEI製ＰＣＳ接続枚数計算ツール!$G$6)*VLOOKUP(HUAWEI製ＰＣＳ接続枚数計算ツール!$C$9,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8" s="86">
        <f>((1-1/MAX(100%,過積載率!L28))^0.5*(HUAWEI製ＰＣＳ接続枚数計算ツール!$I$6-HUAWEI製ＰＣＳ接続枚数計算ツール!$G$6)+HUAWEI製ＰＣＳ接続枚数計算ツール!$G$6)*VLOOKUP(HUAWEI製ＰＣＳ接続枚数計算ツール!$C$9,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8" s="86">
        <f>((1-1/MAX(100%,過積載率!M28))^0.5*(HUAWEI製ＰＣＳ接続枚数計算ツール!$I$6-HUAWEI製ＰＣＳ接続枚数計算ツール!$G$6)+HUAWEI製ＰＣＳ接続枚数計算ツール!$G$6)*VLOOKUP(HUAWEI製ＰＣＳ接続枚数計算ツール!$C$9,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28" s="86">
        <f>((1-1/MAX(100%,過積載率!N28))^0.5*(HUAWEI製ＰＣＳ接続枚数計算ツール!$I$6-HUAWEI製ＰＣＳ接続枚数計算ツール!$G$6)+HUAWEI製ＰＣＳ接続枚数計算ツール!$G$6)*VLOOKUP(HUAWEI製ＰＣＳ接続枚数計算ツール!$C$9,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28" s="86">
        <f>((1-1/MAX(100%,過積載率!O28))^0.5*(HUAWEI製ＰＣＳ接続枚数計算ツール!$I$6-HUAWEI製ＰＣＳ接続枚数計算ツール!$G$6)+HUAWEI製ＰＣＳ接続枚数計算ツール!$G$6)*VLOOKUP(HUAWEI製ＰＣＳ接続枚数計算ツール!$C$9,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28" s="86">
        <f>((1-1/MAX(100%,過積載率!P28))^0.5*(HUAWEI製ＰＣＳ接続枚数計算ツール!$I$6-HUAWEI製ＰＣＳ接続枚数計算ツール!$G$6)+HUAWEI製ＰＣＳ接続枚数計算ツール!$G$6)*VLOOKUP(HUAWEI製ＰＣＳ接続枚数計算ツール!$C$9,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28" s="86">
        <f>((1-1/MAX(100%,過積載率!Q28))^0.5*(HUAWEI製ＰＣＳ接続枚数計算ツール!$I$6-HUAWEI製ＰＣＳ接続枚数計算ツール!$G$6)+HUAWEI製ＰＣＳ接続枚数計算ツール!$G$6)*VLOOKUP(HUAWEI製ＰＣＳ接続枚数計算ツール!$C$9,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28" s="86">
        <f>((1-1/MAX(100%,過積載率!R28))^0.5*(HUAWEI製ＰＣＳ接続枚数計算ツール!$I$6-HUAWEI製ＰＣＳ接続枚数計算ツール!$G$6)+HUAWEI製ＰＣＳ接続枚数計算ツール!$G$6)*VLOOKUP(HUAWEI製ＰＣＳ接続枚数計算ツール!$C$9,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28" s="86">
        <f>((1-1/MAX(100%,過積載率!S28))^0.5*(HUAWEI製ＰＣＳ接続枚数計算ツール!$I$6-HUAWEI製ＰＣＳ接続枚数計算ツール!$G$6)+HUAWEI製ＰＣＳ接続枚数計算ツール!$G$6)*VLOOKUP(HUAWEI製ＰＣＳ接続枚数計算ツール!$C$9,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28" s="86">
        <f>((1-1/MAX(100%,過積載率!T28))^0.5*(HUAWEI製ＰＣＳ接続枚数計算ツール!$I$6-HUAWEI製ＰＣＳ接続枚数計算ツール!$G$6)+HUAWEI製ＰＣＳ接続枚数計算ツール!$G$6)*VLOOKUP(HUAWEI製ＰＣＳ接続枚数計算ツール!$C$9,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28" s="86">
        <f>((1-1/MAX(100%,過積載率!U28))^0.5*(HUAWEI製ＰＣＳ接続枚数計算ツール!$I$6-HUAWEI製ＰＣＳ接続枚数計算ツール!$G$6)+HUAWEI製ＰＣＳ接続枚数計算ツール!$G$6)*VLOOKUP(HUAWEI製ＰＣＳ接続枚数計算ツール!$C$9,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28" s="86">
        <f>((1-1/MAX(100%,過積載率!V28))^0.5*(HUAWEI製ＰＣＳ接続枚数計算ツール!$I$6-HUAWEI製ＰＣＳ接続枚数計算ツール!$G$6)+HUAWEI製ＰＣＳ接続枚数計算ツール!$G$6)*VLOOKUP(HUAWEI製ＰＣＳ接続枚数計算ツール!$C$9,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28" s="86">
        <f>((1-1/MAX(100%,過積載率!W28))^0.5*(HUAWEI製ＰＣＳ接続枚数計算ツール!$I$6-HUAWEI製ＰＣＳ接続枚数計算ツール!$G$6)+HUAWEI製ＰＣＳ接続枚数計算ツール!$G$6)*VLOOKUP(HUAWEI製ＰＣＳ接続枚数計算ツール!$C$9,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28" s="86">
        <f>((1-1/MAX(100%,過積載率!X28))^0.5*(HUAWEI製ＰＣＳ接続枚数計算ツール!$I$6-HUAWEI製ＰＣＳ接続枚数計算ツール!$G$6)+HUAWEI製ＰＣＳ接続枚数計算ツール!$G$6)*VLOOKUP(HUAWEI製ＰＣＳ接続枚数計算ツール!$C$9,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28" s="86">
        <f>((1-1/MAX(100%,過積載率!Y28))^0.5*(HUAWEI製ＰＣＳ接続枚数計算ツール!$I$6-HUAWEI製ＰＣＳ接続枚数計算ツール!$G$6)+HUAWEI製ＰＣＳ接続枚数計算ツール!$G$6)*VLOOKUP(HUAWEI製ＰＣＳ接続枚数計算ツール!$C$9,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28" s="86">
        <f>((1-1/MAX(100%,過積載率!Z28))^0.5*(HUAWEI製ＰＣＳ接続枚数計算ツール!$I$6-HUAWEI製ＰＣＳ接続枚数計算ツール!$G$6)+HUAWEI製ＰＣＳ接続枚数計算ツール!$G$6)*VLOOKUP(HUAWEI製ＰＣＳ接続枚数計算ツール!$C$9,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28" s="86">
        <f>((1-1/MAX(100%,過積載率!AA28))^0.5*(HUAWEI製ＰＣＳ接続枚数計算ツール!$I$6-HUAWEI製ＰＣＳ接続枚数計算ツール!$G$6)+HUAWEI製ＰＣＳ接続枚数計算ツール!$G$6)*VLOOKUP(HUAWEI製ＰＣＳ接続枚数計算ツール!$C$9,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28" s="86">
        <f>((1-1/MAX(100%,過積載率!AB28))^0.5*(HUAWEI製ＰＣＳ接続枚数計算ツール!$I$6-HUAWEI製ＰＣＳ接続枚数計算ツール!$G$6)+HUAWEI製ＰＣＳ接続枚数計算ツール!$G$6)*VLOOKUP(HUAWEI製ＰＣＳ接続枚数計算ツール!$C$9,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28" s="86">
        <f>((1-1/MAX(100%,過積載率!AC28))^0.5*(HUAWEI製ＰＣＳ接続枚数計算ツール!$I$6-HUAWEI製ＰＣＳ接続枚数計算ツール!$G$6)+HUAWEI製ＰＣＳ接続枚数計算ツール!$G$6)*VLOOKUP(HUAWEI製ＰＣＳ接続枚数計算ツール!$C$9,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28" s="86">
        <f>((1-1/MAX(100%,過積載率!AD28))^0.5*(HUAWEI製ＰＣＳ接続枚数計算ツール!$I$6-HUAWEI製ＰＣＳ接続枚数計算ツール!$G$6)+HUAWEI製ＰＣＳ接続枚数計算ツール!$G$6)*VLOOKUP(HUAWEI製ＰＣＳ接続枚数計算ツール!$C$9,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28" s="86">
        <f>((1-1/MAX(100%,過積載率!AE28))^0.5*(HUAWEI製ＰＣＳ接続枚数計算ツール!$I$6-HUAWEI製ＰＣＳ接続枚数計算ツール!$G$6)+HUAWEI製ＰＣＳ接続枚数計算ツール!$G$6)*VLOOKUP(HUAWEI製ＰＣＳ接続枚数計算ツール!$C$9,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28" s="86">
        <f>((1-1/MAX(100%,過積載率!AF28))^0.5*(HUAWEI製ＰＣＳ接続枚数計算ツール!$I$6-HUAWEI製ＰＣＳ接続枚数計算ツール!$G$6)+HUAWEI製ＰＣＳ接続枚数計算ツール!$G$6)*VLOOKUP(HUAWEI製ＰＣＳ接続枚数計算ツール!$C$9,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28" s="86">
        <f>((1-1/MAX(100%,過積載率!AG28))^0.5*(HUAWEI製ＰＣＳ接続枚数計算ツール!$I$6-HUAWEI製ＰＣＳ接続枚数計算ツール!$G$6)+HUAWEI製ＰＣＳ接続枚数計算ツール!$G$6)*VLOOKUP(HUAWEI製ＰＣＳ接続枚数計算ツール!$C$9,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28" s="86">
        <f>((1-1/MAX(100%,過積載率!AH28))^0.5*(HUAWEI製ＰＣＳ接続枚数計算ツール!$I$6-HUAWEI製ＰＣＳ接続枚数計算ツール!$G$6)+HUAWEI製ＰＣＳ接続枚数計算ツール!$G$6)*VLOOKUP(HUAWEI製ＰＣＳ接続枚数計算ツール!$C$9,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28" s="86">
        <f>((1-1/MAX(100%,過積載率!AI28))^0.5*(HUAWEI製ＰＣＳ接続枚数計算ツール!$I$6-HUAWEI製ＰＣＳ接続枚数計算ツール!$G$6)+HUAWEI製ＰＣＳ接続枚数計算ツール!$G$6)*VLOOKUP(HUAWEI製ＰＣＳ接続枚数計算ツール!$C$9,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28" s="86">
        <f>((1-1/MAX(100%,過積載率!AJ28))^0.5*(HUAWEI製ＰＣＳ接続枚数計算ツール!$I$6-HUAWEI製ＰＣＳ接続枚数計算ツール!$G$6)+HUAWEI製ＰＣＳ接続枚数計算ツール!$G$6)*VLOOKUP(HUAWEI製ＰＣＳ接続枚数計算ツール!$C$9,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28" s="86">
        <f>((1-1/MAX(100%,過積載率!AK28))^0.5*(HUAWEI製ＰＣＳ接続枚数計算ツール!$I$6-HUAWEI製ＰＣＳ接続枚数計算ツール!$G$6)+HUAWEI製ＰＣＳ接続枚数計算ツール!$G$6)*VLOOKUP(HUAWEI製ＰＣＳ接続枚数計算ツール!$C$9,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28" s="86">
        <f>((1-1/MAX(100%,過積載率!AL28))^0.5*(HUAWEI製ＰＣＳ接続枚数計算ツール!$I$6-HUAWEI製ＰＣＳ接続枚数計算ツール!$G$6)+HUAWEI製ＰＣＳ接続枚数計算ツール!$G$6)*VLOOKUP(HUAWEI製ＰＣＳ接続枚数計算ツール!$C$9,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28" s="86">
        <f>((1-1/MAX(100%,過積載率!AM28))^0.5*(HUAWEI製ＰＣＳ接続枚数計算ツール!$I$6-HUAWEI製ＰＣＳ接続枚数計算ツール!$G$6)+HUAWEI製ＰＣＳ接続枚数計算ツール!$G$6)*VLOOKUP(HUAWEI製ＰＣＳ接続枚数計算ツール!$C$9,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28" s="86">
        <f>((1-1/MAX(100%,過積載率!AN28))^0.5*(HUAWEI製ＰＣＳ接続枚数計算ツール!$I$6-HUAWEI製ＰＣＳ接続枚数計算ツール!$G$6)+HUAWEI製ＰＣＳ接続枚数計算ツール!$G$6)*VLOOKUP(HUAWEI製ＰＣＳ接続枚数計算ツール!$C$9,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28" s="86">
        <f>((1-1/MAX(100%,過積載率!AO28))^0.5*(HUAWEI製ＰＣＳ接続枚数計算ツール!$I$6-HUAWEI製ＰＣＳ接続枚数計算ツール!$G$6)+HUAWEI製ＰＣＳ接続枚数計算ツール!$G$6)*VLOOKUP(HUAWEI製ＰＣＳ接続枚数計算ツール!$C$9,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29" spans="1:41">
      <c r="A29">
        <v>27</v>
      </c>
      <c r="B29" s="86">
        <f>((1-1/MAX(100%,過積載率!B29))^0.5*(HUAWEI製ＰＣＳ接続枚数計算ツール!$I$6-HUAWEI製ＰＣＳ接続枚数計算ツール!$G$6)+HUAWEI製ＰＣＳ接続枚数計算ツール!$G$6)*VLOOKUP(HUAWEI製ＰＣＳ接続枚数計算ツール!$C$9,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29" s="86">
        <f>((1-1/MAX(100%,過積載率!C29))^0.5*(HUAWEI製ＰＣＳ接続枚数計算ツール!$I$6-HUAWEI製ＰＣＳ接続枚数計算ツール!$G$6)+HUAWEI製ＰＣＳ接続枚数計算ツール!$G$6)*VLOOKUP(HUAWEI製ＰＣＳ接続枚数計算ツール!$C$9,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29" s="86">
        <f>((1-1/MAX(100%,過積載率!D29))^0.5*(HUAWEI製ＰＣＳ接続枚数計算ツール!$I$6-HUAWEI製ＰＣＳ接続枚数計算ツール!$G$6)+HUAWEI製ＰＣＳ接続枚数計算ツール!$G$6)*VLOOKUP(HUAWEI製ＰＣＳ接続枚数計算ツール!$C$9,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29" s="86">
        <f>((1-1/MAX(100%,過積載率!E29))^0.5*(HUAWEI製ＰＣＳ接続枚数計算ツール!$I$6-HUAWEI製ＰＣＳ接続枚数計算ツール!$G$6)+HUAWEI製ＰＣＳ接続枚数計算ツール!$G$6)*VLOOKUP(HUAWEI製ＰＣＳ接続枚数計算ツール!$C$9,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29" s="86">
        <f>((1-1/MAX(100%,過積載率!F29))^0.5*(HUAWEI製ＰＣＳ接続枚数計算ツール!$I$6-HUAWEI製ＰＣＳ接続枚数計算ツール!$G$6)+HUAWEI製ＰＣＳ接続枚数計算ツール!$G$6)*VLOOKUP(HUAWEI製ＰＣＳ接続枚数計算ツール!$C$9,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29" s="86">
        <f>((1-1/MAX(100%,過積載率!G29))^0.5*(HUAWEI製ＰＣＳ接続枚数計算ツール!$I$6-HUAWEI製ＰＣＳ接続枚数計算ツール!$G$6)+HUAWEI製ＰＣＳ接続枚数計算ツール!$G$6)*VLOOKUP(HUAWEI製ＰＣＳ接続枚数計算ツール!$C$9,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29" s="86">
        <f>((1-1/MAX(100%,過積載率!H29))^0.5*(HUAWEI製ＰＣＳ接続枚数計算ツール!$I$6-HUAWEI製ＰＣＳ接続枚数計算ツール!$G$6)+HUAWEI製ＰＣＳ接続枚数計算ツール!$G$6)*VLOOKUP(HUAWEI製ＰＣＳ接続枚数計算ツール!$C$9,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29" s="86">
        <f>((1-1/MAX(100%,過積載率!I29))^0.5*(HUAWEI製ＰＣＳ接続枚数計算ツール!$I$6-HUAWEI製ＰＣＳ接続枚数計算ツール!$G$6)+HUAWEI製ＰＣＳ接続枚数計算ツール!$G$6)*VLOOKUP(HUAWEI製ＰＣＳ接続枚数計算ツール!$C$9,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29" s="86">
        <f>((1-1/MAX(100%,過積載率!J29))^0.5*(HUAWEI製ＰＣＳ接続枚数計算ツール!$I$6-HUAWEI製ＰＣＳ接続枚数計算ツール!$G$6)+HUAWEI製ＰＣＳ接続枚数計算ツール!$G$6)*VLOOKUP(HUAWEI製ＰＣＳ接続枚数計算ツール!$C$9,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29" s="86">
        <f>((1-1/MAX(100%,過積載率!K29))^0.5*(HUAWEI製ＰＣＳ接続枚数計算ツール!$I$6-HUAWEI製ＰＣＳ接続枚数計算ツール!$G$6)+HUAWEI製ＰＣＳ接続枚数計算ツール!$G$6)*VLOOKUP(HUAWEI製ＰＣＳ接続枚数計算ツール!$C$9,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29" s="86">
        <f>((1-1/MAX(100%,過積載率!L29))^0.5*(HUAWEI製ＰＣＳ接続枚数計算ツール!$I$6-HUAWEI製ＰＣＳ接続枚数計算ツール!$G$6)+HUAWEI製ＰＣＳ接続枚数計算ツール!$G$6)*VLOOKUP(HUAWEI製ＰＣＳ接続枚数計算ツール!$C$9,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29" s="86">
        <f>((1-1/MAX(100%,過積載率!M29))^0.5*(HUAWEI製ＰＣＳ接続枚数計算ツール!$I$6-HUAWEI製ＰＣＳ接続枚数計算ツール!$G$6)+HUAWEI製ＰＣＳ接続枚数計算ツール!$G$6)*VLOOKUP(HUAWEI製ＰＣＳ接続枚数計算ツール!$C$9,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29" s="86">
        <f>((1-1/MAX(100%,過積載率!N29))^0.5*(HUAWEI製ＰＣＳ接続枚数計算ツール!$I$6-HUAWEI製ＰＣＳ接続枚数計算ツール!$G$6)+HUAWEI製ＰＣＳ接続枚数計算ツール!$G$6)*VLOOKUP(HUAWEI製ＰＣＳ接続枚数計算ツール!$C$9,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29" s="86">
        <f>((1-1/MAX(100%,過積載率!O29))^0.5*(HUAWEI製ＰＣＳ接続枚数計算ツール!$I$6-HUAWEI製ＰＣＳ接続枚数計算ツール!$G$6)+HUAWEI製ＰＣＳ接続枚数計算ツール!$G$6)*VLOOKUP(HUAWEI製ＰＣＳ接続枚数計算ツール!$C$9,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29" s="86">
        <f>((1-1/MAX(100%,過積載率!P29))^0.5*(HUAWEI製ＰＣＳ接続枚数計算ツール!$I$6-HUAWEI製ＰＣＳ接続枚数計算ツール!$G$6)+HUAWEI製ＰＣＳ接続枚数計算ツール!$G$6)*VLOOKUP(HUAWEI製ＰＣＳ接続枚数計算ツール!$C$9,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29" s="86">
        <f>((1-1/MAX(100%,過積載率!Q29))^0.5*(HUAWEI製ＰＣＳ接続枚数計算ツール!$I$6-HUAWEI製ＰＣＳ接続枚数計算ツール!$G$6)+HUAWEI製ＰＣＳ接続枚数計算ツール!$G$6)*VLOOKUP(HUAWEI製ＰＣＳ接続枚数計算ツール!$C$9,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29" s="86">
        <f>((1-1/MAX(100%,過積載率!R29))^0.5*(HUAWEI製ＰＣＳ接続枚数計算ツール!$I$6-HUAWEI製ＰＣＳ接続枚数計算ツール!$G$6)+HUAWEI製ＰＣＳ接続枚数計算ツール!$G$6)*VLOOKUP(HUAWEI製ＰＣＳ接続枚数計算ツール!$C$9,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29" s="86">
        <f>((1-1/MAX(100%,過積載率!S29))^0.5*(HUAWEI製ＰＣＳ接続枚数計算ツール!$I$6-HUAWEI製ＰＣＳ接続枚数計算ツール!$G$6)+HUAWEI製ＰＣＳ接続枚数計算ツール!$G$6)*VLOOKUP(HUAWEI製ＰＣＳ接続枚数計算ツール!$C$9,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29" s="86">
        <f>((1-1/MAX(100%,過積載率!T29))^0.5*(HUAWEI製ＰＣＳ接続枚数計算ツール!$I$6-HUAWEI製ＰＣＳ接続枚数計算ツール!$G$6)+HUAWEI製ＰＣＳ接続枚数計算ツール!$G$6)*VLOOKUP(HUAWEI製ＰＣＳ接続枚数計算ツール!$C$9,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29" s="86">
        <f>((1-1/MAX(100%,過積載率!U29))^0.5*(HUAWEI製ＰＣＳ接続枚数計算ツール!$I$6-HUAWEI製ＰＣＳ接続枚数計算ツール!$G$6)+HUAWEI製ＰＣＳ接続枚数計算ツール!$G$6)*VLOOKUP(HUAWEI製ＰＣＳ接続枚数計算ツール!$C$9,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29" s="86">
        <f>((1-1/MAX(100%,過積載率!V29))^0.5*(HUAWEI製ＰＣＳ接続枚数計算ツール!$I$6-HUAWEI製ＰＣＳ接続枚数計算ツール!$G$6)+HUAWEI製ＰＣＳ接続枚数計算ツール!$G$6)*VLOOKUP(HUAWEI製ＰＣＳ接続枚数計算ツール!$C$9,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29" s="86">
        <f>((1-1/MAX(100%,過積載率!W29))^0.5*(HUAWEI製ＰＣＳ接続枚数計算ツール!$I$6-HUAWEI製ＰＣＳ接続枚数計算ツール!$G$6)+HUAWEI製ＰＣＳ接続枚数計算ツール!$G$6)*VLOOKUP(HUAWEI製ＰＣＳ接続枚数計算ツール!$C$9,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29" s="86">
        <f>((1-1/MAX(100%,過積載率!X29))^0.5*(HUAWEI製ＰＣＳ接続枚数計算ツール!$I$6-HUAWEI製ＰＣＳ接続枚数計算ツール!$G$6)+HUAWEI製ＰＣＳ接続枚数計算ツール!$G$6)*VLOOKUP(HUAWEI製ＰＣＳ接続枚数計算ツール!$C$9,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29" s="86">
        <f>((1-1/MAX(100%,過積載率!Y29))^0.5*(HUAWEI製ＰＣＳ接続枚数計算ツール!$I$6-HUAWEI製ＰＣＳ接続枚数計算ツール!$G$6)+HUAWEI製ＰＣＳ接続枚数計算ツール!$G$6)*VLOOKUP(HUAWEI製ＰＣＳ接続枚数計算ツール!$C$9,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29" s="86">
        <f>((1-1/MAX(100%,過積載率!Z29))^0.5*(HUAWEI製ＰＣＳ接続枚数計算ツール!$I$6-HUAWEI製ＰＣＳ接続枚数計算ツール!$G$6)+HUAWEI製ＰＣＳ接続枚数計算ツール!$G$6)*VLOOKUP(HUAWEI製ＰＣＳ接続枚数計算ツール!$C$9,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29" s="86">
        <f>((1-1/MAX(100%,過積載率!AA29))^0.5*(HUAWEI製ＰＣＳ接続枚数計算ツール!$I$6-HUAWEI製ＰＣＳ接続枚数計算ツール!$G$6)+HUAWEI製ＰＣＳ接続枚数計算ツール!$G$6)*VLOOKUP(HUAWEI製ＰＣＳ接続枚数計算ツール!$C$9,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29" s="86">
        <f>((1-1/MAX(100%,過積載率!AB29))^0.5*(HUAWEI製ＰＣＳ接続枚数計算ツール!$I$6-HUAWEI製ＰＣＳ接続枚数計算ツール!$G$6)+HUAWEI製ＰＣＳ接続枚数計算ツール!$G$6)*VLOOKUP(HUAWEI製ＰＣＳ接続枚数計算ツール!$C$9,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29" s="86">
        <f>((1-1/MAX(100%,過積載率!AC29))^0.5*(HUAWEI製ＰＣＳ接続枚数計算ツール!$I$6-HUAWEI製ＰＣＳ接続枚数計算ツール!$G$6)+HUAWEI製ＰＣＳ接続枚数計算ツール!$G$6)*VLOOKUP(HUAWEI製ＰＣＳ接続枚数計算ツール!$C$9,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29" s="86">
        <f>((1-1/MAX(100%,過積載率!AD29))^0.5*(HUAWEI製ＰＣＳ接続枚数計算ツール!$I$6-HUAWEI製ＰＣＳ接続枚数計算ツール!$G$6)+HUAWEI製ＰＣＳ接続枚数計算ツール!$G$6)*VLOOKUP(HUAWEI製ＰＣＳ接続枚数計算ツール!$C$9,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29" s="86">
        <f>((1-1/MAX(100%,過積載率!AE29))^0.5*(HUAWEI製ＰＣＳ接続枚数計算ツール!$I$6-HUAWEI製ＰＣＳ接続枚数計算ツール!$G$6)+HUAWEI製ＰＣＳ接続枚数計算ツール!$G$6)*VLOOKUP(HUAWEI製ＰＣＳ接続枚数計算ツール!$C$9,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29" s="86">
        <f>((1-1/MAX(100%,過積載率!AF29))^0.5*(HUAWEI製ＰＣＳ接続枚数計算ツール!$I$6-HUAWEI製ＰＣＳ接続枚数計算ツール!$G$6)+HUAWEI製ＰＣＳ接続枚数計算ツール!$G$6)*VLOOKUP(HUAWEI製ＰＣＳ接続枚数計算ツール!$C$9,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29" s="86">
        <f>((1-1/MAX(100%,過積載率!AG29))^0.5*(HUAWEI製ＰＣＳ接続枚数計算ツール!$I$6-HUAWEI製ＰＣＳ接続枚数計算ツール!$G$6)+HUAWEI製ＰＣＳ接続枚数計算ツール!$G$6)*VLOOKUP(HUAWEI製ＰＣＳ接続枚数計算ツール!$C$9,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29" s="86">
        <f>((1-1/MAX(100%,過積載率!AH29))^0.5*(HUAWEI製ＰＣＳ接続枚数計算ツール!$I$6-HUAWEI製ＰＣＳ接続枚数計算ツール!$G$6)+HUAWEI製ＰＣＳ接続枚数計算ツール!$G$6)*VLOOKUP(HUAWEI製ＰＣＳ接続枚数計算ツール!$C$9,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29" s="86">
        <f>((1-1/MAX(100%,過積載率!AI29))^0.5*(HUAWEI製ＰＣＳ接続枚数計算ツール!$I$6-HUAWEI製ＰＣＳ接続枚数計算ツール!$G$6)+HUAWEI製ＰＣＳ接続枚数計算ツール!$G$6)*VLOOKUP(HUAWEI製ＰＣＳ接続枚数計算ツール!$C$9,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29" s="86">
        <f>((1-1/MAX(100%,過積載率!AJ29))^0.5*(HUAWEI製ＰＣＳ接続枚数計算ツール!$I$6-HUAWEI製ＰＣＳ接続枚数計算ツール!$G$6)+HUAWEI製ＰＣＳ接続枚数計算ツール!$G$6)*VLOOKUP(HUAWEI製ＰＣＳ接続枚数計算ツール!$C$9,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29" s="86">
        <f>((1-1/MAX(100%,過積載率!AK29))^0.5*(HUAWEI製ＰＣＳ接続枚数計算ツール!$I$6-HUAWEI製ＰＣＳ接続枚数計算ツール!$G$6)+HUAWEI製ＰＣＳ接続枚数計算ツール!$G$6)*VLOOKUP(HUAWEI製ＰＣＳ接続枚数計算ツール!$C$9,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29" s="86">
        <f>((1-1/MAX(100%,過積載率!AL29))^0.5*(HUAWEI製ＰＣＳ接続枚数計算ツール!$I$6-HUAWEI製ＰＣＳ接続枚数計算ツール!$G$6)+HUAWEI製ＰＣＳ接続枚数計算ツール!$G$6)*VLOOKUP(HUAWEI製ＰＣＳ接続枚数計算ツール!$C$9,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29" s="86">
        <f>((1-1/MAX(100%,過積載率!AM29))^0.5*(HUAWEI製ＰＣＳ接続枚数計算ツール!$I$6-HUAWEI製ＰＣＳ接続枚数計算ツール!$G$6)+HUAWEI製ＰＣＳ接続枚数計算ツール!$G$6)*VLOOKUP(HUAWEI製ＰＣＳ接続枚数計算ツール!$C$9,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29" s="86">
        <f>((1-1/MAX(100%,過積載率!AN29))^0.5*(HUAWEI製ＰＣＳ接続枚数計算ツール!$I$6-HUAWEI製ＰＣＳ接続枚数計算ツール!$G$6)+HUAWEI製ＰＣＳ接続枚数計算ツール!$G$6)*VLOOKUP(HUAWEI製ＰＣＳ接続枚数計算ツール!$C$9,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29" s="86">
        <f>((1-1/MAX(100%,過積載率!AO29))^0.5*(HUAWEI製ＰＣＳ接続枚数計算ツール!$I$6-HUAWEI製ＰＣＳ接続枚数計算ツール!$G$6)+HUAWEI製ＰＣＳ接続枚数計算ツール!$G$6)*VLOOKUP(HUAWEI製ＰＣＳ接続枚数計算ツール!$C$9,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row r="30" spans="1:41">
      <c r="A30">
        <v>28</v>
      </c>
      <c r="B30" s="86">
        <f>((1-1/MAX(100%,過積載率!B30))^0.5*(HUAWEI製ＰＣＳ接続枚数計算ツール!$I$6-HUAWEI製ＰＣＳ接続枚数計算ツール!$G$6)+HUAWEI製ＰＣＳ接続枚数計算ツール!$G$6)*VLOOKUP(HUAWEI製ＰＣＳ接続枚数計算ツール!$C$9,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C30" s="86">
        <f>((1-1/MAX(100%,過積載率!C30))^0.5*(HUAWEI製ＰＣＳ接続枚数計算ツール!$I$6-HUAWEI製ＰＣＳ接続枚数計算ツール!$G$6)+HUAWEI製ＰＣＳ接続枚数計算ツール!$G$6)*VLOOKUP(HUAWEI製ＰＣＳ接続枚数計算ツール!$C$9,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D30" s="86">
        <f>((1-1/MAX(100%,過積載率!D30))^0.5*(HUAWEI製ＰＣＳ接続枚数計算ツール!$I$6-HUAWEI製ＰＣＳ接続枚数計算ツール!$G$6)+HUAWEI製ＰＣＳ接続枚数計算ツール!$G$6)*VLOOKUP(HUAWEI製ＰＣＳ接続枚数計算ツール!$C$9,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E30" s="86">
        <f>((1-1/MAX(100%,過積載率!E30))^0.5*(HUAWEI製ＰＣＳ接続枚数計算ツール!$I$6-HUAWEI製ＰＣＳ接続枚数計算ツール!$G$6)+HUAWEI製ＰＣＳ接続枚数計算ツール!$G$6)*VLOOKUP(HUAWEI製ＰＣＳ接続枚数計算ツール!$C$9,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F30" s="86">
        <f>((1-1/MAX(100%,過積載率!F30))^0.5*(HUAWEI製ＰＣＳ接続枚数計算ツール!$I$6-HUAWEI製ＰＣＳ接続枚数計算ツール!$G$6)+HUAWEI製ＰＣＳ接続枚数計算ツール!$G$6)*VLOOKUP(HUAWEI製ＰＣＳ接続枚数計算ツール!$C$9,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G30" s="86">
        <f>((1-1/MAX(100%,過積載率!G30))^0.5*(HUAWEI製ＰＣＳ接続枚数計算ツール!$I$6-HUAWEI製ＰＣＳ接続枚数計算ツール!$G$6)+HUAWEI製ＰＣＳ接続枚数計算ツール!$G$6)*VLOOKUP(HUAWEI製ＰＣＳ接続枚数計算ツール!$C$9,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H30" s="86">
        <f>((1-1/MAX(100%,過積載率!H30))^0.5*(HUAWEI製ＰＣＳ接続枚数計算ツール!$I$6-HUAWEI製ＰＣＳ接続枚数計算ツール!$G$6)+HUAWEI製ＰＣＳ接続枚数計算ツール!$G$6)*VLOOKUP(HUAWEI製ＰＣＳ接続枚数計算ツール!$C$9,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I30" s="86">
        <f>((1-1/MAX(100%,過積載率!I30))^0.5*(HUAWEI製ＰＣＳ接続枚数計算ツール!$I$6-HUAWEI製ＰＣＳ接続枚数計算ツール!$G$6)+HUAWEI製ＰＣＳ接続枚数計算ツール!$G$6)*VLOOKUP(HUAWEI製ＰＣＳ接続枚数計算ツール!$C$9,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J30" s="86">
        <f>((1-1/MAX(100%,過積載率!J30))^0.5*(HUAWEI製ＰＣＳ接続枚数計算ツール!$I$6-HUAWEI製ＰＣＳ接続枚数計算ツール!$G$6)+HUAWEI製ＰＣＳ接続枚数計算ツール!$G$6)*VLOOKUP(HUAWEI製ＰＣＳ接続枚数計算ツール!$C$9,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K30" s="86">
        <f>((1-1/MAX(100%,過積載率!K30))^0.5*(HUAWEI製ＰＣＳ接続枚数計算ツール!$I$6-HUAWEI製ＰＣＳ接続枚数計算ツール!$G$6)+HUAWEI製ＰＣＳ接続枚数計算ツール!$G$6)*VLOOKUP(HUAWEI製ＰＣＳ接続枚数計算ツール!$C$9,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L30" s="86">
        <f>((1-1/MAX(100%,過積載率!L30))^0.5*(HUAWEI製ＰＣＳ接続枚数計算ツール!$I$6-HUAWEI製ＰＣＳ接続枚数計算ツール!$G$6)+HUAWEI製ＰＣＳ接続枚数計算ツール!$G$6)*VLOOKUP(HUAWEI製ＰＣＳ接続枚数計算ツール!$C$9,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M30" s="86">
        <f>((1-1/MAX(100%,過積載率!M30))^0.5*(HUAWEI製ＰＣＳ接続枚数計算ツール!$I$6-HUAWEI製ＰＣＳ接続枚数計算ツール!$G$6)+HUAWEI製ＰＣＳ接続枚数計算ツール!$G$6)*VLOOKUP(HUAWEI製ＰＣＳ接続枚数計算ツール!$C$9,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N30" s="86">
        <f>((1-1/MAX(100%,過積載率!N30))^0.5*(HUAWEI製ＰＣＳ接続枚数計算ツール!$I$6-HUAWEI製ＰＣＳ接続枚数計算ツール!$G$6)+HUAWEI製ＰＣＳ接続枚数計算ツール!$G$6)*VLOOKUP(HUAWEI製ＰＣＳ接続枚数計算ツール!$C$9,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O30" s="86">
        <f>((1-1/MAX(100%,過積載率!O30))^0.5*(HUAWEI製ＰＣＳ接続枚数計算ツール!$I$6-HUAWEI製ＰＣＳ接続枚数計算ツール!$G$6)+HUAWEI製ＰＣＳ接続枚数計算ツール!$G$6)*VLOOKUP(HUAWEI製ＰＣＳ接続枚数計算ツール!$C$9,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P30" s="86">
        <f>((1-1/MAX(100%,過積載率!P30))^0.5*(HUAWEI製ＰＣＳ接続枚数計算ツール!$I$6-HUAWEI製ＰＣＳ接続枚数計算ツール!$G$6)+HUAWEI製ＰＣＳ接続枚数計算ツール!$G$6)*VLOOKUP(HUAWEI製ＰＣＳ接続枚数計算ツール!$C$9,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Q30" s="86">
        <f>((1-1/MAX(100%,過積載率!Q30))^0.5*(HUAWEI製ＰＣＳ接続枚数計算ツール!$I$6-HUAWEI製ＰＣＳ接続枚数計算ツール!$G$6)+HUAWEI製ＰＣＳ接続枚数計算ツール!$G$6)*VLOOKUP(HUAWEI製ＰＣＳ接続枚数計算ツール!$C$9,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R30" s="86">
        <f>((1-1/MAX(100%,過積載率!R30))^0.5*(HUAWEI製ＰＣＳ接続枚数計算ツール!$I$6-HUAWEI製ＰＣＳ接続枚数計算ツール!$G$6)+HUAWEI製ＰＣＳ接続枚数計算ツール!$G$6)*VLOOKUP(HUAWEI製ＰＣＳ接続枚数計算ツール!$C$9,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S30" s="86">
        <f>((1-1/MAX(100%,過積載率!S30))^0.5*(HUAWEI製ＰＣＳ接続枚数計算ツール!$I$6-HUAWEI製ＰＣＳ接続枚数計算ツール!$G$6)+HUAWEI製ＰＣＳ接続枚数計算ツール!$G$6)*VLOOKUP(HUAWEI製ＰＣＳ接続枚数計算ツール!$C$9,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T30" s="86">
        <f>((1-1/MAX(100%,過積載率!T30))^0.5*(HUAWEI製ＰＣＳ接続枚数計算ツール!$I$6-HUAWEI製ＰＣＳ接続枚数計算ツール!$G$6)+HUAWEI製ＰＣＳ接続枚数計算ツール!$G$6)*VLOOKUP(HUAWEI製ＰＣＳ接続枚数計算ツール!$C$9,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U30" s="86">
        <f>((1-1/MAX(100%,過積載率!U30))^0.5*(HUAWEI製ＰＣＳ接続枚数計算ツール!$I$6-HUAWEI製ＰＣＳ接続枚数計算ツール!$G$6)+HUAWEI製ＰＣＳ接続枚数計算ツール!$G$6)*VLOOKUP(HUAWEI製ＰＣＳ接続枚数計算ツール!$C$9,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V30" s="86">
        <f>((1-1/MAX(100%,過積載率!V30))^0.5*(HUAWEI製ＰＣＳ接続枚数計算ツール!$I$6-HUAWEI製ＰＣＳ接続枚数計算ツール!$G$6)+HUAWEI製ＰＣＳ接続枚数計算ツール!$G$6)*VLOOKUP(HUAWEI製ＰＣＳ接続枚数計算ツール!$C$9,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W30" s="86">
        <f>((1-1/MAX(100%,過積載率!W30))^0.5*(HUAWEI製ＰＣＳ接続枚数計算ツール!$I$6-HUAWEI製ＰＣＳ接続枚数計算ツール!$G$6)+HUAWEI製ＰＣＳ接続枚数計算ツール!$G$6)*VLOOKUP(HUAWEI製ＰＣＳ接続枚数計算ツール!$C$9,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X30" s="86">
        <f>((1-1/MAX(100%,過積載率!X30))^0.5*(HUAWEI製ＰＣＳ接続枚数計算ツール!$I$6-HUAWEI製ＰＣＳ接続枚数計算ツール!$G$6)+HUAWEI製ＰＣＳ接続枚数計算ツール!$G$6)*VLOOKUP(HUAWEI製ＰＣＳ接続枚数計算ツール!$C$9,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Y30" s="86">
        <f>((1-1/MAX(100%,過積載率!Y30))^0.5*(HUAWEI製ＰＣＳ接続枚数計算ツール!$I$6-HUAWEI製ＰＣＳ接続枚数計算ツール!$G$6)+HUAWEI製ＰＣＳ接続枚数計算ツール!$G$6)*VLOOKUP(HUAWEI製ＰＣＳ接続枚数計算ツール!$C$9,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Z30" s="86">
        <f>((1-1/MAX(100%,過積載率!Z30))^0.5*(HUAWEI製ＰＣＳ接続枚数計算ツール!$I$6-HUAWEI製ＰＣＳ接続枚数計算ツール!$G$6)+HUAWEI製ＰＣＳ接続枚数計算ツール!$G$6)*VLOOKUP(HUAWEI製ＰＣＳ接続枚数計算ツール!$C$9,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A30" s="86">
        <f>((1-1/MAX(100%,過積載率!AA30))^0.5*(HUAWEI製ＰＣＳ接続枚数計算ツール!$I$6-HUAWEI製ＰＣＳ接続枚数計算ツール!$G$6)+HUAWEI製ＰＣＳ接続枚数計算ツール!$G$6)*VLOOKUP(HUAWEI製ＰＣＳ接続枚数計算ツール!$C$9,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B30" s="86">
        <f>((1-1/MAX(100%,過積載率!AB30))^0.5*(HUAWEI製ＰＣＳ接続枚数計算ツール!$I$6-HUAWEI製ＰＣＳ接続枚数計算ツール!$G$6)+HUAWEI製ＰＣＳ接続枚数計算ツール!$G$6)*VLOOKUP(HUAWEI製ＰＣＳ接続枚数計算ツール!$C$9,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C30" s="86">
        <f>((1-1/MAX(100%,過積載率!AC30))^0.5*(HUAWEI製ＰＣＳ接続枚数計算ツール!$I$6-HUAWEI製ＰＣＳ接続枚数計算ツール!$G$6)+HUAWEI製ＰＣＳ接続枚数計算ツール!$G$6)*VLOOKUP(HUAWEI製ＰＣＳ接続枚数計算ツール!$C$9,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D30" s="86">
        <f>((1-1/MAX(100%,過積載率!AD30))^0.5*(HUAWEI製ＰＣＳ接続枚数計算ツール!$I$6-HUAWEI製ＰＣＳ接続枚数計算ツール!$G$6)+HUAWEI製ＰＣＳ接続枚数計算ツール!$G$6)*VLOOKUP(HUAWEI製ＰＣＳ接続枚数計算ツール!$C$9,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E30" s="86">
        <f>((1-1/MAX(100%,過積載率!AE30))^0.5*(HUAWEI製ＰＣＳ接続枚数計算ツール!$I$6-HUAWEI製ＰＣＳ接続枚数計算ツール!$G$6)+HUAWEI製ＰＣＳ接続枚数計算ツール!$G$6)*VLOOKUP(HUAWEI製ＰＣＳ接続枚数計算ツール!$C$9,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F30" s="86">
        <f>((1-1/MAX(100%,過積載率!AF30))^0.5*(HUAWEI製ＰＣＳ接続枚数計算ツール!$I$6-HUAWEI製ＰＣＳ接続枚数計算ツール!$G$6)+HUAWEI製ＰＣＳ接続枚数計算ツール!$G$6)*VLOOKUP(HUAWEI製ＰＣＳ接続枚数計算ツール!$C$9,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G30" s="86">
        <f>((1-1/MAX(100%,過積載率!AG30))^0.5*(HUAWEI製ＰＣＳ接続枚数計算ツール!$I$6-HUAWEI製ＰＣＳ接続枚数計算ツール!$G$6)+HUAWEI製ＰＣＳ接続枚数計算ツール!$G$6)*VLOOKUP(HUAWEI製ＰＣＳ接続枚数計算ツール!$C$9,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H30" s="86">
        <f>((1-1/MAX(100%,過積載率!AH30))^0.5*(HUAWEI製ＰＣＳ接続枚数計算ツール!$I$6-HUAWEI製ＰＣＳ接続枚数計算ツール!$G$6)+HUAWEI製ＰＣＳ接続枚数計算ツール!$G$6)*VLOOKUP(HUAWEI製ＰＣＳ接続枚数計算ツール!$C$9,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I30" s="86">
        <f>((1-1/MAX(100%,過積載率!AI30))^0.5*(HUAWEI製ＰＣＳ接続枚数計算ツール!$I$6-HUAWEI製ＰＣＳ接続枚数計算ツール!$G$6)+HUAWEI製ＰＣＳ接続枚数計算ツール!$G$6)*VLOOKUP(HUAWEI製ＰＣＳ接続枚数計算ツール!$C$9,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J30" s="86">
        <f>((1-1/MAX(100%,過積載率!AJ30))^0.5*(HUAWEI製ＰＣＳ接続枚数計算ツール!$I$6-HUAWEI製ＰＣＳ接続枚数計算ツール!$G$6)+HUAWEI製ＰＣＳ接続枚数計算ツール!$G$6)*VLOOKUP(HUAWEI製ＰＣＳ接続枚数計算ツール!$C$9,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K30" s="86">
        <f>((1-1/MAX(100%,過積載率!AK30))^0.5*(HUAWEI製ＰＣＳ接続枚数計算ツール!$I$6-HUAWEI製ＰＣＳ接続枚数計算ツール!$G$6)+HUAWEI製ＰＣＳ接続枚数計算ツール!$G$6)*VLOOKUP(HUAWEI製ＰＣＳ接続枚数計算ツール!$C$9,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L30" s="86">
        <f>((1-1/MAX(100%,過積載率!AL30))^0.5*(HUAWEI製ＰＣＳ接続枚数計算ツール!$I$6-HUAWEI製ＰＣＳ接続枚数計算ツール!$G$6)+HUAWEI製ＰＣＳ接続枚数計算ツール!$G$6)*VLOOKUP(HUAWEI製ＰＣＳ接続枚数計算ツール!$C$9,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M30" s="86">
        <f>((1-1/MAX(100%,過積載率!AM30))^0.5*(HUAWEI製ＰＣＳ接続枚数計算ツール!$I$6-HUAWEI製ＰＣＳ接続枚数計算ツール!$G$6)+HUAWEI製ＰＣＳ接続枚数計算ツール!$G$6)*VLOOKUP(HUAWEI製ＰＣＳ接続枚数計算ツール!$C$9,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N30" s="86">
        <f>((1-1/MAX(100%,過積載率!AN30))^0.5*(HUAWEI製ＰＣＳ接続枚数計算ツール!$I$6-HUAWEI製ＰＣＳ接続枚数計算ツール!$G$6)+HUAWEI製ＰＣＳ接続枚数計算ツール!$G$6)*VLOOKUP(HUAWEI製ＰＣＳ接続枚数計算ツール!$C$9,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c r="AO30" s="86">
        <f>((1-1/MAX(100%,過積載率!AO30))^0.5*(HUAWEI製ＰＣＳ接続枚数計算ツール!$I$6-HUAWEI製ＰＣＳ接続枚数計算ツール!$G$6)+HUAWEI製ＰＣＳ接続枚数計算ツール!$G$6)*VLOOKUP(HUAWEI製ＰＣＳ接続枚数計算ツール!$C$9, HUAWEI製ＰＣＳ接続枚数計算ツール!$B$119:$P$149,10,FALSE)</f>
        <v>43.222860000000004</v>
      </c>
    </row>
  </sheetData>
  <phoneticPr fontId="21"/>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29"/>
  <sheetViews>
    <sheetView topLeftCell="V1" workbookViewId="0">
      <selection activeCell="M11" sqref="M11"/>
    </sheetView>
  </sheetViews>
  <sheetFormatPr defaultRowHeight="14.1"/>
  <sheetData>
    <row r="1" spans="1:41">
      <c r="A1" t="s">
        <v>2037</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f>IF(OR(過積載率!B3=0,(標準電圧!B3*標準電圧!B$2-VLOOKUP(HUAWEI製ＰＣＳ接続枚数計算ツール!$C$9, HUAWEI製ＰＣＳ接続枚数計算ツール!$B$119:$P$149,12,FALSE))&lt;0),0,IF(ROUNDDOWN((標準電圧!B3*標準電圧!B$2-VLOOKUP(HUAWEI製ＰＣＳ接続枚数計算ツール!$C$9,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HUAWEI製ＰＣＳ接続枚数計算ツール!$B$119:$P$149,14,FALSE),0)/100&gt;=IF(過積載率!B3&gt;1,1,過積載率!B3),1,0))</f>
        <v>0</v>
      </c>
      <c r="C3">
        <f>IF(OR(過積載率!C3=0,(標準電圧!C3*標準電圧!C$2-VLOOKUP(HUAWEI製ＰＣＳ接続枚数計算ツール!$C$9, HUAWEI製ＰＣＳ接続枚数計算ツール!$B$119:$P$149,12,FALSE))&lt;0),0,IF(ROUNDDOWN((標準電圧!C3*標準電圧!C$2-VLOOKUP(HUAWEI製ＰＣＳ接続枚数計算ツール!$C$9,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HUAWEI製ＰＣＳ接続枚数計算ツール!$B$119:$P$149,14,FALSE),0)/100&gt;=IF(過積載率!C3&gt;1,1,過積載率!C3),1,0))</f>
        <v>0</v>
      </c>
      <c r="D3">
        <f>IF(OR(過積載率!D3=0,(標準電圧!D3*標準電圧!D$2-VLOOKUP(HUAWEI製ＰＣＳ接続枚数計算ツール!$C$9, HUAWEI製ＰＣＳ接続枚数計算ツール!$B$119:$P$149,12,FALSE))&lt;0),0,IF(ROUNDDOWN((標準電圧!D3*標準電圧!D$2-VLOOKUP(HUAWEI製ＰＣＳ接続枚数計算ツール!$C$9,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HUAWEI製ＰＣＳ接続枚数計算ツール!$B$119:$P$149,14,FALSE),0)/100&gt;=IF(過積載率!D3&gt;1,1,過積載率!D3),1,0))</f>
        <v>0</v>
      </c>
      <c r="E3">
        <f>IF(OR(過積載率!E3=0,(標準電圧!E3*標準電圧!E$2-VLOOKUP(HUAWEI製ＰＣＳ接続枚数計算ツール!$C$9, HUAWEI製ＰＣＳ接続枚数計算ツール!$B$119:$P$149,12,FALSE))&lt;0),0,IF(ROUNDDOWN((標準電圧!E3*標準電圧!E$2-VLOOKUP(HUAWEI製ＰＣＳ接続枚数計算ツール!$C$9,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HUAWEI製ＰＣＳ接続枚数計算ツール!$B$119:$P$149,14,FALSE),0)/100&gt;=IF(過積載率!E3&gt;1,1,過積載率!E3),1,0))</f>
        <v>0</v>
      </c>
      <c r="F3">
        <f>IF(OR(過積載率!F3=0,(標準電圧!F3*標準電圧!F$2-VLOOKUP(HUAWEI製ＰＣＳ接続枚数計算ツール!$C$9, HUAWEI製ＰＣＳ接続枚数計算ツール!$B$119:$P$149,12,FALSE))&lt;0),0,IF(ROUNDDOWN((標準電圧!F3*標準電圧!F$2-VLOOKUP(HUAWEI製ＰＣＳ接続枚数計算ツール!$C$9,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HUAWEI製ＰＣＳ接続枚数計算ツール!$B$119:$P$149,14,FALSE),0)/100&gt;=IF(過積載率!F3&gt;1,1,過積載率!F3),1,0))</f>
        <v>0</v>
      </c>
      <c r="G3">
        <f>IF(OR(過積載率!G3=0,(標準電圧!G3*標準電圧!G$2-VLOOKUP(HUAWEI製ＰＣＳ接続枚数計算ツール!$C$9, HUAWEI製ＰＣＳ接続枚数計算ツール!$B$119:$P$149,12,FALSE))&lt;0),0,IF(ROUNDDOWN((標準電圧!G3*標準電圧!G$2-VLOOKUP(HUAWEI製ＰＣＳ接続枚数計算ツール!$C$9,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HUAWEI製ＰＣＳ接続枚数計算ツール!$B$119:$P$149,14,FALSE),0)/100&gt;=IF(過積載率!G3&gt;1,1,過積載率!G3),1,0))</f>
        <v>0</v>
      </c>
      <c r="H3">
        <f>IF(OR(過積載率!H3=0,(標準電圧!H3*標準電圧!H$2-VLOOKUP(HUAWEI製ＰＣＳ接続枚数計算ツール!$C$9, HUAWEI製ＰＣＳ接続枚数計算ツール!$B$119:$P$149,12,FALSE))&lt;0),0,IF(ROUNDDOWN((標準電圧!H3*標準電圧!H$2-VLOOKUP(HUAWEI製ＰＣＳ接続枚数計算ツール!$C$9,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HUAWEI製ＰＣＳ接続枚数計算ツール!$B$119:$P$149,14,FALSE),0)/100&gt;=IF(過積載率!H3&gt;1,1,過積載率!H3),1,0))</f>
        <v>0</v>
      </c>
      <c r="I3">
        <f>IF(OR(過積載率!I3=0,(標準電圧!I3*標準電圧!I$2-VLOOKUP(HUAWEI製ＰＣＳ接続枚数計算ツール!$C$9, HUAWEI製ＰＣＳ接続枚数計算ツール!$B$119:$P$149,12,FALSE))&lt;0),0,IF(ROUNDDOWN((標準電圧!I3*標準電圧!I$2-VLOOKUP(HUAWEI製ＰＣＳ接続枚数計算ツール!$C$9,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HUAWEI製ＰＣＳ接続枚数計算ツール!$B$119:$P$149,14,FALSE),0)/100&gt;=IF(過積載率!I3&gt;1,1,過積載率!I3),1,0))</f>
        <v>0</v>
      </c>
      <c r="J3">
        <f>IF(OR(過積載率!J3=0,(標準電圧!J3*標準電圧!J$2-VLOOKUP(HUAWEI製ＰＣＳ接続枚数計算ツール!$C$9, HUAWEI製ＰＣＳ接続枚数計算ツール!$B$119:$P$149,12,FALSE))&lt;0),0,IF(ROUNDDOWN((標準電圧!J3*標準電圧!J$2-VLOOKUP(HUAWEI製ＰＣＳ接続枚数計算ツール!$C$9,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HUAWEI製ＰＣＳ接続枚数計算ツール!$B$119:$P$149,14,FALSE),0)/100&gt;=IF(過積載率!J3&gt;1,1,過積載率!J3),1,0))</f>
        <v>0</v>
      </c>
      <c r="K3">
        <f>IF(OR(過積載率!K3=0,(標準電圧!K3*標準電圧!K$2-VLOOKUP(HUAWEI製ＰＣＳ接続枚数計算ツール!$C$9, HUAWEI製ＰＣＳ接続枚数計算ツール!$B$119:$P$149,12,FALSE))&lt;0),0,IF(ROUNDDOWN((標準電圧!K3*標準電圧!K$2-VLOOKUP(HUAWEI製ＰＣＳ接続枚数計算ツール!$C$9,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HUAWEI製ＰＣＳ接続枚数計算ツール!$B$119:$P$149,14,FALSE),0)/100&gt;=IF(過積載率!K3&gt;1,1,過積載率!K3),1,0))</f>
        <v>0</v>
      </c>
      <c r="L3">
        <f>IF(OR(過積載率!L3=0,(標準電圧!L3*標準電圧!L$2-VLOOKUP(HUAWEI製ＰＣＳ接続枚数計算ツール!$C$9, HUAWEI製ＰＣＳ接続枚数計算ツール!$B$119:$P$149,12,FALSE))&lt;0),0,IF(ROUNDDOWN((標準電圧!L3*標準電圧!L$2-VLOOKUP(HUAWEI製ＰＣＳ接続枚数計算ツール!$C$9,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HUAWEI製ＰＣＳ接続枚数計算ツール!$B$119:$P$149,14,FALSE),0)/100&gt;=IF(過積載率!L3&gt;1,1,過積載率!L3),1,0))</f>
        <v>0</v>
      </c>
      <c r="M3">
        <f>IF(OR(過積載率!M3=0,(標準電圧!M3*標準電圧!M$2-VLOOKUP(HUAWEI製ＰＣＳ接続枚数計算ツール!$C$9, HUAWEI製ＰＣＳ接続枚数計算ツール!$B$119:$P$149,12,FALSE))&lt;0),0,IF(ROUNDDOWN((標準電圧!M3*標準電圧!M$2-VLOOKUP(HUAWEI製ＰＣＳ接続枚数計算ツール!$C$9,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HUAWEI製ＰＣＳ接続枚数計算ツール!$B$119:$P$149,14,FALSE),0)/100&gt;=IF(過積載率!M3&gt;1,1,過積載率!M3),1,0))</f>
        <v>1</v>
      </c>
      <c r="N3">
        <f>IF(OR(過積載率!N3=0,(標準電圧!N3*標準電圧!N$2-VLOOKUP(HUAWEI製ＰＣＳ接続枚数計算ツール!$C$9, HUAWEI製ＰＣＳ接続枚数計算ツール!$B$119:$P$149,12,FALSE))&lt;0),0,IF(ROUNDDOWN((標準電圧!N3*標準電圧!N$2-VLOOKUP(HUAWEI製ＰＣＳ接続枚数計算ツール!$C$9,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HUAWEI製ＰＣＳ接続枚数計算ツール!$B$119:$P$149,14,FALSE),0)/100&gt;=IF(過積載率!N3&gt;1,1,過積載率!N3),1,0))</f>
        <v>1</v>
      </c>
      <c r="O3">
        <f>IF(OR(過積載率!O3=0,(標準電圧!O3*標準電圧!O$2-VLOOKUP(HUAWEI製ＰＣＳ接続枚数計算ツール!$C$9, HUAWEI製ＰＣＳ接続枚数計算ツール!$B$119:$P$149,12,FALSE))&lt;0),0,IF(ROUNDDOWN((標準電圧!O3*標準電圧!O$2-VLOOKUP(HUAWEI製ＰＣＳ接続枚数計算ツール!$C$9,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HUAWEI製ＰＣＳ接続枚数計算ツール!$B$119:$P$149,14,FALSE),0)/100&gt;=IF(過積載率!O3&gt;1,1,過積載率!O3),1,0))</f>
        <v>1</v>
      </c>
      <c r="P3">
        <f>IF(OR(過積載率!P3=0,(標準電圧!P3*標準電圧!P$2-VLOOKUP(HUAWEI製ＰＣＳ接続枚数計算ツール!$C$9, HUAWEI製ＰＣＳ接続枚数計算ツール!$B$119:$P$149,12,FALSE))&lt;0),0,IF(ROUNDDOWN((標準電圧!P3*標準電圧!P$2-VLOOKUP(HUAWEI製ＰＣＳ接続枚数計算ツール!$C$9,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HUAWEI製ＰＣＳ接続枚数計算ツール!$B$119:$P$149,14,FALSE),0)/100&gt;=IF(過積載率!P3&gt;1,1,過積載率!P3),1,0))</f>
        <v>1</v>
      </c>
      <c r="Q3">
        <f>IF(OR(過積載率!Q3=0,(標準電圧!Q3*標準電圧!Q$2-VLOOKUP(HUAWEI製ＰＣＳ接続枚数計算ツール!$C$9, HUAWEI製ＰＣＳ接続枚数計算ツール!$B$119:$P$149,12,FALSE))&lt;0),0,IF(ROUNDDOWN((標準電圧!Q3*標準電圧!Q$2-VLOOKUP(HUAWEI製ＰＣＳ接続枚数計算ツール!$C$9,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HUAWEI製ＰＣＳ接続枚数計算ツール!$B$119:$P$149,14,FALSE),0)/100&gt;=IF(過積載率!Q3&gt;1,1,過積載率!Q3),1,0))</f>
        <v>1</v>
      </c>
      <c r="R3">
        <f>IF(OR(過積載率!R3=0,(標準電圧!R3*標準電圧!R$2-VLOOKUP(HUAWEI製ＰＣＳ接続枚数計算ツール!$C$9, HUAWEI製ＰＣＳ接続枚数計算ツール!$B$119:$P$149,12,FALSE))&lt;0),0,IF(ROUNDDOWN((標準電圧!R3*標準電圧!R$2-VLOOKUP(HUAWEI製ＰＣＳ接続枚数計算ツール!$C$9,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HUAWEI製ＰＣＳ接続枚数計算ツール!$B$119:$P$149,14,FALSE),0)/100&gt;=IF(過積載率!R3&gt;1,1,過積載率!R3),1,0))</f>
        <v>1</v>
      </c>
      <c r="S3">
        <f>IF(OR(過積載率!S3=0,(標準電圧!S3*標準電圧!S$2-VLOOKUP(HUAWEI製ＰＣＳ接続枚数計算ツール!$C$9, HUAWEI製ＰＣＳ接続枚数計算ツール!$B$119:$P$149,12,FALSE))&lt;0),0,IF(ROUNDDOWN((標準電圧!S3*標準電圧!S$2-VLOOKUP(HUAWEI製ＰＣＳ接続枚数計算ツール!$C$9,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HUAWEI製ＰＣＳ接続枚数計算ツール!$B$119:$P$149,14,FALSE),0)/100&gt;=IF(過積載率!S3&gt;1,1,過積載率!S3),1,0))</f>
        <v>1</v>
      </c>
      <c r="T3">
        <f>IF(OR(過積載率!T3=0,(標準電圧!T3*標準電圧!T$2-VLOOKUP(HUAWEI製ＰＣＳ接続枚数計算ツール!$C$9, HUAWEI製ＰＣＳ接続枚数計算ツール!$B$119:$P$149,12,FALSE))&lt;0),0,IF(ROUNDDOWN((標準電圧!T3*標準電圧!T$2-VLOOKUP(HUAWEI製ＰＣＳ接続枚数計算ツール!$C$9,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HUAWEI製ＰＣＳ接続枚数計算ツール!$B$119:$P$149,14,FALSE),0)/100&gt;=IF(過積載率!T3&gt;1,1,過積載率!T3),1,0))</f>
        <v>1</v>
      </c>
      <c r="U3">
        <f>IF(OR(過積載率!U3=0,(標準電圧!U3*標準電圧!U$2-VLOOKUP(HUAWEI製ＰＣＳ接続枚数計算ツール!$C$9, HUAWEI製ＰＣＳ接続枚数計算ツール!$B$119:$P$149,12,FALSE))&lt;0),0,IF(ROUNDDOWN((標準電圧!U3*標準電圧!U$2-VLOOKUP(HUAWEI製ＰＣＳ接続枚数計算ツール!$C$9,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HUAWEI製ＰＣＳ接続枚数計算ツール!$B$119:$P$149,14,FALSE),0)/100&gt;=IF(過積載率!U3&gt;1,1,過積載率!U3),1,0))</f>
        <v>1</v>
      </c>
      <c r="V3">
        <f>IF(OR(過積載率!V3=0,(標準電圧!V3*標準電圧!V$2-VLOOKUP(HUAWEI製ＰＣＳ接続枚数計算ツール!$C$9, HUAWEI製ＰＣＳ接続枚数計算ツール!$B$119:$P$149,12,FALSE))&lt;0),0,IF(ROUNDDOWN((標準電圧!V3*標準電圧!V$2-VLOOKUP(HUAWEI製ＰＣＳ接続枚数計算ツール!$C$9,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HUAWEI製ＰＣＳ接続枚数計算ツール!$B$119:$P$149,14,FALSE),0)/100&gt;=IF(過積載率!V3&gt;1,1,過積載率!V3),1,0))</f>
        <v>1</v>
      </c>
      <c r="W3">
        <f>IF(OR(過積載率!W3=0,(標準電圧!W3*標準電圧!W$2-VLOOKUP(HUAWEI製ＰＣＳ接続枚数計算ツール!$C$9, HUAWEI製ＰＣＳ接続枚数計算ツール!$B$119:$P$149,12,FALSE))&lt;0),0,IF(ROUNDDOWN((標準電圧!W3*標準電圧!W$2-VLOOKUP(HUAWEI製ＰＣＳ接続枚数計算ツール!$C$9,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HUAWEI製ＰＣＳ接続枚数計算ツール!$B$119:$P$149,14,FALSE),0)/100&gt;=IF(過積載率!W3&gt;1,1,過積載率!W3),1,0))</f>
        <v>1</v>
      </c>
      <c r="X3">
        <f>IF(OR(過積載率!X3=0,(標準電圧!X3*標準電圧!X$2-VLOOKUP(HUAWEI製ＰＣＳ接続枚数計算ツール!$C$9, HUAWEI製ＰＣＳ接続枚数計算ツール!$B$119:$P$149,12,FALSE))&lt;0),0,IF(ROUNDDOWN((標準電圧!X3*標準電圧!X$2-VLOOKUP(HUAWEI製ＰＣＳ接続枚数計算ツール!$C$9,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HUAWEI製ＰＣＳ接続枚数計算ツール!$B$119:$P$149,14,FALSE),0)/100&gt;=IF(過積載率!X3&gt;1,1,過積載率!X3),1,0))</f>
        <v>1</v>
      </c>
      <c r="Y3">
        <f>IF(OR(過積載率!Y3=0,(標準電圧!Y3*標準電圧!Y$2-VLOOKUP(HUAWEI製ＰＣＳ接続枚数計算ツール!$C$9, HUAWEI製ＰＣＳ接続枚数計算ツール!$B$119:$P$149,12,FALSE))&lt;0),0,IF(ROUNDDOWN((標準電圧!Y3*標準電圧!Y$2-VLOOKUP(HUAWEI製ＰＣＳ接続枚数計算ツール!$C$9,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HUAWEI製ＰＣＳ接続枚数計算ツール!$B$119:$P$149,14,FALSE),0)/100&gt;=IF(過積載率!Y3&gt;1,1,過積載率!Y3),1,0))</f>
        <v>1</v>
      </c>
      <c r="Z3">
        <f>IF(OR(過積載率!Z3=0,(標準電圧!Z3*標準電圧!Z$2-VLOOKUP(HUAWEI製ＰＣＳ接続枚数計算ツール!$C$9, HUAWEI製ＰＣＳ接続枚数計算ツール!$B$119:$P$149,12,FALSE))&lt;0),0,IF(ROUNDDOWN((標準電圧!Z3*標準電圧!Z$2-VLOOKUP(HUAWEI製ＰＣＳ接続枚数計算ツール!$C$9,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HUAWEI製ＰＣＳ接続枚数計算ツール!$B$119:$P$149,14,FALSE),0)/100&gt;=IF(過積載率!Z3&gt;1,1,過積載率!Z3),1,0))</f>
        <v>1</v>
      </c>
      <c r="AA3">
        <f>IF(OR(過積載率!AA3=0,(標準電圧!AA3*標準電圧!AA$2-VLOOKUP(HUAWEI製ＰＣＳ接続枚数計算ツール!$C$9, HUAWEI製ＰＣＳ接続枚数計算ツール!$B$119:$P$149,12,FALSE))&lt;0),0,IF(ROUNDDOWN((標準電圧!AA3*標準電圧!AA$2-VLOOKUP(HUAWEI製ＰＣＳ接続枚数計算ツール!$C$9,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HUAWEI製ＰＣＳ接続枚数計算ツール!$B$119:$P$149,14,FALSE),0)/100&gt;=IF(過積載率!AA3&gt;1,1,過積載率!AA3),1,0))</f>
        <v>1</v>
      </c>
      <c r="AB3">
        <f>IF(OR(過積載率!AB3=0,(標準電圧!AB3*標準電圧!AB$2-VLOOKUP(HUAWEI製ＰＣＳ接続枚数計算ツール!$C$9, HUAWEI製ＰＣＳ接続枚数計算ツール!$B$119:$P$149,12,FALSE))&lt;0),0,IF(ROUNDDOWN((標準電圧!AB3*標準電圧!AB$2-VLOOKUP(HUAWEI製ＰＣＳ接続枚数計算ツール!$C$9,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HUAWEI製ＰＣＳ接続枚数計算ツール!$B$119:$P$149,14,FALSE),0)/100&gt;=IF(過積載率!AB3&gt;1,1,過積載率!AB3),1,0))</f>
        <v>1</v>
      </c>
      <c r="AC3">
        <f>IF(OR(過積載率!AC3=0,(標準電圧!AC3*標準電圧!AC$2-VLOOKUP(HUAWEI製ＰＣＳ接続枚数計算ツール!$C$9, HUAWEI製ＰＣＳ接続枚数計算ツール!$B$119:$P$149,12,FALSE))&lt;0),0,IF(ROUNDDOWN((標準電圧!AC3*標準電圧!AC$2-VLOOKUP(HUAWEI製ＰＣＳ接続枚数計算ツール!$C$9,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HUAWEI製ＰＣＳ接続枚数計算ツール!$B$119:$P$149,14,FALSE),0)/100&gt;=IF(過積載率!AC3&gt;1,1,過積載率!AC3),1,0))</f>
        <v>1</v>
      </c>
      <c r="AD3">
        <f>IF(OR(過積載率!AD3=0,(標準電圧!AD3*標準電圧!AD$2-VLOOKUP(HUAWEI製ＰＣＳ接続枚数計算ツール!$C$9, HUAWEI製ＰＣＳ接続枚数計算ツール!$B$119:$P$149,12,FALSE))&lt;0),0,IF(ROUNDDOWN((標準電圧!AD3*標準電圧!AD$2-VLOOKUP(HUAWEI製ＰＣＳ接続枚数計算ツール!$C$9,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HUAWEI製ＰＣＳ接続枚数計算ツール!$B$119:$P$149,14,FALSE),0)/100&gt;=IF(過積載率!AD3&gt;1,1,過積載率!AD3),1,0))</f>
        <v>1</v>
      </c>
      <c r="AE3">
        <f>IF(OR(過積載率!AE3=0,(標準電圧!AE3*標準電圧!AE$2-VLOOKUP(HUAWEI製ＰＣＳ接続枚数計算ツール!$C$9, HUAWEI製ＰＣＳ接続枚数計算ツール!$B$119:$P$149,12,FALSE))&lt;0),0,IF(ROUNDDOWN((標準電圧!AE3*標準電圧!AE$2-VLOOKUP(HUAWEI製ＰＣＳ接続枚数計算ツール!$C$9,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HUAWEI製ＰＣＳ接続枚数計算ツール!$B$119:$P$149,14,FALSE),0)/100&gt;=IF(過積載率!AE3&gt;1,1,過積載率!AE3),1,0))</f>
        <v>1</v>
      </c>
      <c r="AF3">
        <f>IF(OR(過積載率!AF3=0,(標準電圧!AF3*標準電圧!AF$2-VLOOKUP(HUAWEI製ＰＣＳ接続枚数計算ツール!$C$9, HUAWEI製ＰＣＳ接続枚数計算ツール!$B$119:$P$149,12,FALSE))&lt;0),0,IF(ROUNDDOWN((標準電圧!AF3*標準電圧!AF$2-VLOOKUP(HUAWEI製ＰＣＳ接続枚数計算ツール!$C$9,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HUAWEI製ＰＣＳ接続枚数計算ツール!$B$119:$P$149,14,FALSE),0)/100&gt;=IF(過積載率!AF3&gt;1,1,過積載率!AF3),1,0))</f>
        <v>1</v>
      </c>
      <c r="AG3">
        <f>IF(OR(過積載率!AG3=0,(標準電圧!AG3*標準電圧!AG$2-VLOOKUP(HUAWEI製ＰＣＳ接続枚数計算ツール!$C$9, HUAWEI製ＰＣＳ接続枚数計算ツール!$B$119:$P$149,12,FALSE))&lt;0),0,IF(ROUNDDOWN((標準電圧!AG3*標準電圧!AG$2-VLOOKUP(HUAWEI製ＰＣＳ接続枚数計算ツール!$C$9,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HUAWEI製ＰＣＳ接続枚数計算ツール!$B$119:$P$149,14,FALSE),0)/100&gt;=IF(過積載率!AG3&gt;1,1,過積載率!AG3),1,0))</f>
        <v>1</v>
      </c>
      <c r="AH3">
        <f>IF(OR(過積載率!AH3=0,(標準電圧!AH3*標準電圧!AH$2-VLOOKUP(HUAWEI製ＰＣＳ接続枚数計算ツール!$C$9, HUAWEI製ＰＣＳ接続枚数計算ツール!$B$119:$P$149,12,FALSE))&lt;0),0,IF(ROUNDDOWN((標準電圧!AH3*標準電圧!AH$2-VLOOKUP(HUAWEI製ＰＣＳ接続枚数計算ツール!$C$9,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HUAWEI製ＰＣＳ接続枚数計算ツール!$B$119:$P$149,14,FALSE),0)/100&gt;=IF(過積載率!AH3&gt;1,1,過積載率!AH3),1,0))</f>
        <v>1</v>
      </c>
      <c r="AI3">
        <f>IF(OR(過積載率!AI3=0,(標準電圧!AI3*標準電圧!AI$2-VLOOKUP(HUAWEI製ＰＣＳ接続枚数計算ツール!$C$9, HUAWEI製ＰＣＳ接続枚数計算ツール!$B$119:$P$149,12,FALSE))&lt;0),0,IF(ROUNDDOWN((標準電圧!AI3*標準電圧!AI$2-VLOOKUP(HUAWEI製ＰＣＳ接続枚数計算ツール!$C$9,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HUAWEI製ＰＣＳ接続枚数計算ツール!$B$119:$P$149,14,FALSE),0)/100&gt;=IF(過積載率!AI3&gt;1,1,過積載率!AI3),1,0))</f>
        <v>1</v>
      </c>
      <c r="AJ3">
        <f>IF(OR(過積載率!AJ3=0,(標準電圧!AJ3*標準電圧!AJ$2-VLOOKUP(HUAWEI製ＰＣＳ接続枚数計算ツール!$C$9, HUAWEI製ＰＣＳ接続枚数計算ツール!$B$119:$P$149,12,FALSE))&lt;0),0,IF(ROUNDDOWN((標準電圧!AJ3*標準電圧!AJ$2-VLOOKUP(HUAWEI製ＰＣＳ接続枚数計算ツール!$C$9,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HUAWEI製ＰＣＳ接続枚数計算ツール!$B$119:$P$149,14,FALSE),0)/100&gt;=IF(過積載率!AJ3&gt;1,1,過積載率!AJ3),1,0))</f>
        <v>1</v>
      </c>
      <c r="AK3">
        <f>IF(OR(過積載率!AK3=0,(標準電圧!AK3*標準電圧!AK$2-VLOOKUP(HUAWEI製ＰＣＳ接続枚数計算ツール!$C$9, HUAWEI製ＰＣＳ接続枚数計算ツール!$B$119:$P$149,12,FALSE))&lt;0),0,IF(ROUNDDOWN((標準電圧!AK3*標準電圧!AK$2-VLOOKUP(HUAWEI製ＰＣＳ接続枚数計算ツール!$C$9,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HUAWEI製ＰＣＳ接続枚数計算ツール!$B$119:$P$149,14,FALSE),0)/100&gt;=IF(過積載率!AK3&gt;1,1,過積載率!AK3),1,0))</f>
        <v>1</v>
      </c>
      <c r="AL3">
        <f>IF(OR(過積載率!AL3=0,(標準電圧!AL3*標準電圧!AL$2-VLOOKUP(HUAWEI製ＰＣＳ接続枚数計算ツール!$C$9, HUAWEI製ＰＣＳ接続枚数計算ツール!$B$119:$P$149,12,FALSE))&lt;0),0,IF(ROUNDDOWN((標準電圧!AL3*標準電圧!AL$2-VLOOKUP(HUAWEI製ＰＣＳ接続枚数計算ツール!$C$9,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HUAWEI製ＰＣＳ接続枚数計算ツール!$B$119:$P$149,14,FALSE),0)/100&gt;=IF(過積載率!AL3&gt;1,1,過積載率!AL3),1,0))</f>
        <v>1</v>
      </c>
      <c r="AM3">
        <f>IF(OR(過積載率!AM3=0,(標準電圧!AM3*標準電圧!AM$2-VLOOKUP(HUAWEI製ＰＣＳ接続枚数計算ツール!$C$9, HUAWEI製ＰＣＳ接続枚数計算ツール!$B$119:$P$149,12,FALSE))&lt;0),0,IF(ROUNDDOWN((標準電圧!AM3*標準電圧!AM$2-VLOOKUP(HUAWEI製ＰＣＳ接続枚数計算ツール!$C$9,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HUAWEI製ＰＣＳ接続枚数計算ツール!$B$119:$P$149,14,FALSE),0)/100&gt;=IF(過積載率!AM3&gt;1,1,過積載率!AM3),1,0))</f>
        <v>1</v>
      </c>
      <c r="AN3">
        <f>IF(OR(過積載率!AN3=0,(標準電圧!AN3*標準電圧!AN$2-VLOOKUP(HUAWEI製ＰＣＳ接続枚数計算ツール!$C$9, HUAWEI製ＰＣＳ接続枚数計算ツール!$B$119:$P$149,12,FALSE))&lt;0),0,IF(ROUNDDOWN((標準電圧!AN3*標準電圧!AN$2-VLOOKUP(HUAWEI製ＰＣＳ接続枚数計算ツール!$C$9,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HUAWEI製ＰＣＳ接続枚数計算ツール!$B$119:$P$149,14,FALSE),0)/100&gt;=IF(過積載率!AN3&gt;1,1,過積載率!AN3),1,0))</f>
        <v>1</v>
      </c>
      <c r="AO3">
        <f>IF(OR(過積載率!AO3=0,(標準電圧!AO3*標準電圧!AO$2-VLOOKUP(HUAWEI製ＰＣＳ接続枚数計算ツール!$C$9, HUAWEI製ＰＣＳ接続枚数計算ツール!$B$119:$P$149,12,FALSE))&lt;0),0,IF(ROUNDDOWN((標準電圧!AO3*標準電圧!AO$2-VLOOKUP(HUAWEI製ＰＣＳ接続枚数計算ツール!$C$9,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HUAWEI製ＰＣＳ接続枚数計算ツール!$B$119:$P$149,14,FALSE),0)/100&gt;=IF(過積載率!AO3&gt;1,1,過積載率!AO3),1,0))</f>
        <v>1</v>
      </c>
    </row>
    <row r="4" spans="1:41">
      <c r="A4">
        <v>2</v>
      </c>
      <c r="B4">
        <f>IF(OR(過積載率!B4=0,(標準電圧!B4*標準電圧!B$2-VLOOKUP(HUAWEI製ＰＣＳ接続枚数計算ツール!$C$9, HUAWEI製ＰＣＳ接続枚数計算ツール!$B$119:$P$149,12,FALSE))&lt;0),0,IF(ROUNDDOWN((標準電圧!B4*標準電圧!B$2-VLOOKUP(HUAWEI製ＰＣＳ接続枚数計算ツール!$C$9,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HUAWEI製ＰＣＳ接続枚数計算ツール!$B$119:$P$149,14,FALSE),0)/100&gt;=IF(過積載率!B4&gt;1,1,過積載率!B4),1,0))</f>
        <v>0</v>
      </c>
      <c r="C4">
        <f>IF(OR(過積載率!C4=0,(標準電圧!C4*標準電圧!C$2-VLOOKUP(HUAWEI製ＰＣＳ接続枚数計算ツール!$C$9, HUAWEI製ＰＣＳ接続枚数計算ツール!$B$119:$P$149,12,FALSE))&lt;0),0,IF(ROUNDDOWN((標準電圧!C4*標準電圧!C$2-VLOOKUP(HUAWEI製ＰＣＳ接続枚数計算ツール!$C$9,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HUAWEI製ＰＣＳ接続枚数計算ツール!$B$119:$P$149,14,FALSE),0)/100&gt;=IF(過積載率!C4&gt;1,1,過積載率!C4),1,0))</f>
        <v>0</v>
      </c>
      <c r="D4">
        <f>IF(OR(過積載率!D4=0,(標準電圧!D4*標準電圧!D$2-VLOOKUP(HUAWEI製ＰＣＳ接続枚数計算ツール!$C$9, HUAWEI製ＰＣＳ接続枚数計算ツール!$B$119:$P$149,12,FALSE))&lt;0),0,IF(ROUNDDOWN((標準電圧!D4*標準電圧!D$2-VLOOKUP(HUAWEI製ＰＣＳ接続枚数計算ツール!$C$9,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HUAWEI製ＰＣＳ接続枚数計算ツール!$B$119:$P$149,14,FALSE),0)/100&gt;=IF(過積載率!D4&gt;1,1,過積載率!D4),1,0))</f>
        <v>0</v>
      </c>
      <c r="E4">
        <f>IF(OR(過積載率!E4=0,(標準電圧!E4*標準電圧!E$2-VLOOKUP(HUAWEI製ＰＣＳ接続枚数計算ツール!$C$9, HUAWEI製ＰＣＳ接続枚数計算ツール!$B$119:$P$149,12,FALSE))&lt;0),0,IF(ROUNDDOWN((標準電圧!E4*標準電圧!E$2-VLOOKUP(HUAWEI製ＰＣＳ接続枚数計算ツール!$C$9,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HUAWEI製ＰＣＳ接続枚数計算ツール!$B$119:$P$149,14,FALSE),0)/100&gt;=IF(過積載率!E4&gt;1,1,過積載率!E4),1,0))</f>
        <v>0</v>
      </c>
      <c r="F4">
        <f>IF(OR(過積載率!F4=0,(標準電圧!F4*標準電圧!F$2-VLOOKUP(HUAWEI製ＰＣＳ接続枚数計算ツール!$C$9, HUAWEI製ＰＣＳ接続枚数計算ツール!$B$119:$P$149,12,FALSE))&lt;0),0,IF(ROUNDDOWN((標準電圧!F4*標準電圧!F$2-VLOOKUP(HUAWEI製ＰＣＳ接続枚数計算ツール!$C$9,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HUAWEI製ＰＣＳ接続枚数計算ツール!$B$119:$P$149,14,FALSE),0)/100&gt;=IF(過積載率!F4&gt;1,1,過積載率!F4),1,0))</f>
        <v>0</v>
      </c>
      <c r="G4">
        <f>IF(OR(過積載率!G4=0,(標準電圧!G4*標準電圧!G$2-VLOOKUP(HUAWEI製ＰＣＳ接続枚数計算ツール!$C$9, HUAWEI製ＰＣＳ接続枚数計算ツール!$B$119:$P$149,12,FALSE))&lt;0),0,IF(ROUNDDOWN((標準電圧!G4*標準電圧!G$2-VLOOKUP(HUAWEI製ＰＣＳ接続枚数計算ツール!$C$9,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HUAWEI製ＰＣＳ接続枚数計算ツール!$B$119:$P$149,14,FALSE),0)/100&gt;=IF(過積載率!G4&gt;1,1,過積載率!G4),1,0))</f>
        <v>0</v>
      </c>
      <c r="H4">
        <f>IF(OR(過積載率!H4=0,(標準電圧!H4*標準電圧!H$2-VLOOKUP(HUAWEI製ＰＣＳ接続枚数計算ツール!$C$9, HUAWEI製ＰＣＳ接続枚数計算ツール!$B$119:$P$149,12,FALSE))&lt;0),0,IF(ROUNDDOWN((標準電圧!H4*標準電圧!H$2-VLOOKUP(HUAWEI製ＰＣＳ接続枚数計算ツール!$C$9,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HUAWEI製ＰＣＳ接続枚数計算ツール!$B$119:$P$149,14,FALSE),0)/100&gt;=IF(過積載率!H4&gt;1,1,過積載率!H4),1,0))</f>
        <v>0</v>
      </c>
      <c r="I4">
        <f>IF(OR(過積載率!I4=0,(標準電圧!I4*標準電圧!I$2-VLOOKUP(HUAWEI製ＰＣＳ接続枚数計算ツール!$C$9, HUAWEI製ＰＣＳ接続枚数計算ツール!$B$119:$P$149,12,FALSE))&lt;0),0,IF(ROUNDDOWN((標準電圧!I4*標準電圧!I$2-VLOOKUP(HUAWEI製ＰＣＳ接続枚数計算ツール!$C$9,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HUAWEI製ＰＣＳ接続枚数計算ツール!$B$119:$P$149,14,FALSE),0)/100&gt;=IF(過積載率!I4&gt;1,1,過積載率!I4),1,0))</f>
        <v>0</v>
      </c>
      <c r="J4">
        <f>IF(OR(過積載率!J4=0,(標準電圧!J4*標準電圧!J$2-VLOOKUP(HUAWEI製ＰＣＳ接続枚数計算ツール!$C$9, HUAWEI製ＰＣＳ接続枚数計算ツール!$B$119:$P$149,12,FALSE))&lt;0),0,IF(ROUNDDOWN((標準電圧!J4*標準電圧!J$2-VLOOKUP(HUAWEI製ＰＣＳ接続枚数計算ツール!$C$9,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HUAWEI製ＰＣＳ接続枚数計算ツール!$B$119:$P$149,14,FALSE),0)/100&gt;=IF(過積載率!J4&gt;1,1,過積載率!J4),1,0))</f>
        <v>0</v>
      </c>
      <c r="K4">
        <f>IF(OR(過積載率!K4=0,(標準電圧!K4*標準電圧!K$2-VLOOKUP(HUAWEI製ＰＣＳ接続枚数計算ツール!$C$9, HUAWEI製ＰＣＳ接続枚数計算ツール!$B$119:$P$149,12,FALSE))&lt;0),0,IF(ROUNDDOWN((標準電圧!K4*標準電圧!K$2-VLOOKUP(HUAWEI製ＰＣＳ接続枚数計算ツール!$C$9,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HUAWEI製ＰＣＳ接続枚数計算ツール!$B$119:$P$149,14,FALSE),0)/100&gt;=IF(過積載率!K4&gt;1,1,過積載率!K4),1,0))</f>
        <v>0</v>
      </c>
      <c r="L4">
        <f>IF(OR(過積載率!L4=0,(標準電圧!L4*標準電圧!L$2-VLOOKUP(HUAWEI製ＰＣＳ接続枚数計算ツール!$C$9, HUAWEI製ＰＣＳ接続枚数計算ツール!$B$119:$P$149,12,FALSE))&lt;0),0,IF(ROUNDDOWN((標準電圧!L4*標準電圧!L$2-VLOOKUP(HUAWEI製ＰＣＳ接続枚数計算ツール!$C$9,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HUAWEI製ＰＣＳ接続枚数計算ツール!$B$119:$P$149,14,FALSE),0)/100&gt;=IF(過積載率!L4&gt;1,1,過積載率!L4),1,0))</f>
        <v>0</v>
      </c>
      <c r="M4">
        <f>IF(OR(過積載率!M4=0,(標準電圧!M4*標準電圧!M$2-VLOOKUP(HUAWEI製ＰＣＳ接続枚数計算ツール!$C$9, HUAWEI製ＰＣＳ接続枚数計算ツール!$B$119:$P$149,12,FALSE))&lt;0),0,IF(ROUNDDOWN((標準電圧!M4*標準電圧!M$2-VLOOKUP(HUAWEI製ＰＣＳ接続枚数計算ツール!$C$9,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HUAWEI製ＰＣＳ接続枚数計算ツール!$B$119:$P$149,14,FALSE),0)/100&gt;=IF(過積載率!M4&gt;1,1,過積載率!M4),1,0))</f>
        <v>1</v>
      </c>
      <c r="N4">
        <f>IF(OR(過積載率!N4=0,(標準電圧!N4*標準電圧!N$2-VLOOKUP(HUAWEI製ＰＣＳ接続枚数計算ツール!$C$9, HUAWEI製ＰＣＳ接続枚数計算ツール!$B$119:$P$149,12,FALSE))&lt;0),0,IF(ROUNDDOWN((標準電圧!N4*標準電圧!N$2-VLOOKUP(HUAWEI製ＰＣＳ接続枚数計算ツール!$C$9,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HUAWEI製ＰＣＳ接続枚数計算ツール!$B$119:$P$149,14,FALSE),0)/100&gt;=IF(過積載率!N4&gt;1,1,過積載率!N4),1,0))</f>
        <v>1</v>
      </c>
      <c r="O4">
        <f>IF(OR(過積載率!O4=0,(標準電圧!O4*標準電圧!O$2-VLOOKUP(HUAWEI製ＰＣＳ接続枚数計算ツール!$C$9, HUAWEI製ＰＣＳ接続枚数計算ツール!$B$119:$P$149,12,FALSE))&lt;0),0,IF(ROUNDDOWN((標準電圧!O4*標準電圧!O$2-VLOOKUP(HUAWEI製ＰＣＳ接続枚数計算ツール!$C$9,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HUAWEI製ＰＣＳ接続枚数計算ツール!$B$119:$P$149,14,FALSE),0)/100&gt;=IF(過積載率!O4&gt;1,1,過積載率!O4),1,0))</f>
        <v>1</v>
      </c>
      <c r="P4">
        <f>IF(OR(過積載率!P4=0,(標準電圧!P4*標準電圧!P$2-VLOOKUP(HUAWEI製ＰＣＳ接続枚数計算ツール!$C$9, HUAWEI製ＰＣＳ接続枚数計算ツール!$B$119:$P$149,12,FALSE))&lt;0),0,IF(ROUNDDOWN((標準電圧!P4*標準電圧!P$2-VLOOKUP(HUAWEI製ＰＣＳ接続枚数計算ツール!$C$9,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HUAWEI製ＰＣＳ接続枚数計算ツール!$B$119:$P$149,14,FALSE),0)/100&gt;=IF(過積載率!P4&gt;1,1,過積載率!P4),1,0))</f>
        <v>1</v>
      </c>
      <c r="Q4">
        <f>IF(OR(過積載率!Q4=0,(標準電圧!Q4*標準電圧!Q$2-VLOOKUP(HUAWEI製ＰＣＳ接続枚数計算ツール!$C$9, HUAWEI製ＰＣＳ接続枚数計算ツール!$B$119:$P$149,12,FALSE))&lt;0),0,IF(ROUNDDOWN((標準電圧!Q4*標準電圧!Q$2-VLOOKUP(HUAWEI製ＰＣＳ接続枚数計算ツール!$C$9,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HUAWEI製ＰＣＳ接続枚数計算ツール!$B$119:$P$149,14,FALSE),0)/100&gt;=IF(過積載率!Q4&gt;1,1,過積載率!Q4),1,0))</f>
        <v>1</v>
      </c>
      <c r="R4">
        <f>IF(OR(過積載率!R4=0,(標準電圧!R4*標準電圧!R$2-VLOOKUP(HUAWEI製ＰＣＳ接続枚数計算ツール!$C$9, HUAWEI製ＰＣＳ接続枚数計算ツール!$B$119:$P$149,12,FALSE))&lt;0),0,IF(ROUNDDOWN((標準電圧!R4*標準電圧!R$2-VLOOKUP(HUAWEI製ＰＣＳ接続枚数計算ツール!$C$9,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HUAWEI製ＰＣＳ接続枚数計算ツール!$B$119:$P$149,14,FALSE),0)/100&gt;=IF(過積載率!R4&gt;1,1,過積載率!R4),1,0))</f>
        <v>1</v>
      </c>
      <c r="S4">
        <f>IF(OR(過積載率!S4=0,(標準電圧!S4*標準電圧!S$2-VLOOKUP(HUAWEI製ＰＣＳ接続枚数計算ツール!$C$9, HUAWEI製ＰＣＳ接続枚数計算ツール!$B$119:$P$149,12,FALSE))&lt;0),0,IF(ROUNDDOWN((標準電圧!S4*標準電圧!S$2-VLOOKUP(HUAWEI製ＰＣＳ接続枚数計算ツール!$C$9,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HUAWEI製ＰＣＳ接続枚数計算ツール!$B$119:$P$149,14,FALSE),0)/100&gt;=IF(過積載率!S4&gt;1,1,過積載率!S4),1,0))</f>
        <v>1</v>
      </c>
      <c r="T4">
        <f>IF(OR(過積載率!T4=0,(標準電圧!T4*標準電圧!T$2-VLOOKUP(HUAWEI製ＰＣＳ接続枚数計算ツール!$C$9, HUAWEI製ＰＣＳ接続枚数計算ツール!$B$119:$P$149,12,FALSE))&lt;0),0,IF(ROUNDDOWN((標準電圧!T4*標準電圧!T$2-VLOOKUP(HUAWEI製ＰＣＳ接続枚数計算ツール!$C$9,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HUAWEI製ＰＣＳ接続枚数計算ツール!$B$119:$P$149,14,FALSE),0)/100&gt;=IF(過積載率!T4&gt;1,1,過積載率!T4),1,0))</f>
        <v>1</v>
      </c>
      <c r="U4">
        <f>IF(OR(過積載率!U4=0,(標準電圧!U4*標準電圧!U$2-VLOOKUP(HUAWEI製ＰＣＳ接続枚数計算ツール!$C$9, HUAWEI製ＰＣＳ接続枚数計算ツール!$B$119:$P$149,12,FALSE))&lt;0),0,IF(ROUNDDOWN((標準電圧!U4*標準電圧!U$2-VLOOKUP(HUAWEI製ＰＣＳ接続枚数計算ツール!$C$9,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HUAWEI製ＰＣＳ接続枚数計算ツール!$B$119:$P$149,14,FALSE),0)/100&gt;=IF(過積載率!U4&gt;1,1,過積載率!U4),1,0))</f>
        <v>1</v>
      </c>
      <c r="V4">
        <f>IF(OR(過積載率!V4=0,(標準電圧!V4*標準電圧!V$2-VLOOKUP(HUAWEI製ＰＣＳ接続枚数計算ツール!$C$9, HUAWEI製ＰＣＳ接続枚数計算ツール!$B$119:$P$149,12,FALSE))&lt;0),0,IF(ROUNDDOWN((標準電圧!V4*標準電圧!V$2-VLOOKUP(HUAWEI製ＰＣＳ接続枚数計算ツール!$C$9,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HUAWEI製ＰＣＳ接続枚数計算ツール!$B$119:$P$149,14,FALSE),0)/100&gt;=IF(過積載率!V4&gt;1,1,過積載率!V4),1,0))</f>
        <v>1</v>
      </c>
      <c r="W4">
        <f>IF(OR(過積載率!W4=0,(標準電圧!W4*標準電圧!W$2-VLOOKUP(HUAWEI製ＰＣＳ接続枚数計算ツール!$C$9, HUAWEI製ＰＣＳ接続枚数計算ツール!$B$119:$P$149,12,FALSE))&lt;0),0,IF(ROUNDDOWN((標準電圧!W4*標準電圧!W$2-VLOOKUP(HUAWEI製ＰＣＳ接続枚数計算ツール!$C$9,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HUAWEI製ＰＣＳ接続枚数計算ツール!$B$119:$P$149,14,FALSE),0)/100&gt;=IF(過積載率!W4&gt;1,1,過積載率!W4),1,0))</f>
        <v>1</v>
      </c>
      <c r="X4">
        <f>IF(OR(過積載率!X4=0,(標準電圧!X4*標準電圧!X$2-VLOOKUP(HUAWEI製ＰＣＳ接続枚数計算ツール!$C$9, HUAWEI製ＰＣＳ接続枚数計算ツール!$B$119:$P$149,12,FALSE))&lt;0),0,IF(ROUNDDOWN((標準電圧!X4*標準電圧!X$2-VLOOKUP(HUAWEI製ＰＣＳ接続枚数計算ツール!$C$9,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HUAWEI製ＰＣＳ接続枚数計算ツール!$B$119:$P$149,14,FALSE),0)/100&gt;=IF(過積載率!X4&gt;1,1,過積載率!X4),1,0))</f>
        <v>1</v>
      </c>
      <c r="Y4">
        <f>IF(OR(過積載率!Y4=0,(標準電圧!Y4*標準電圧!Y$2-VLOOKUP(HUAWEI製ＰＣＳ接続枚数計算ツール!$C$9, HUAWEI製ＰＣＳ接続枚数計算ツール!$B$119:$P$149,12,FALSE))&lt;0),0,IF(ROUNDDOWN((標準電圧!Y4*標準電圧!Y$2-VLOOKUP(HUAWEI製ＰＣＳ接続枚数計算ツール!$C$9,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HUAWEI製ＰＣＳ接続枚数計算ツール!$B$119:$P$149,14,FALSE),0)/100&gt;=IF(過積載率!Y4&gt;1,1,過積載率!Y4),1,0))</f>
        <v>1</v>
      </c>
      <c r="Z4">
        <f>IF(OR(過積載率!Z4=0,(標準電圧!Z4*標準電圧!Z$2-VLOOKUP(HUAWEI製ＰＣＳ接続枚数計算ツール!$C$9, HUAWEI製ＰＣＳ接続枚数計算ツール!$B$119:$P$149,12,FALSE))&lt;0),0,IF(ROUNDDOWN((標準電圧!Z4*標準電圧!Z$2-VLOOKUP(HUAWEI製ＰＣＳ接続枚数計算ツール!$C$9,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HUAWEI製ＰＣＳ接続枚数計算ツール!$B$119:$P$149,14,FALSE),0)/100&gt;=IF(過積載率!Z4&gt;1,1,過積載率!Z4),1,0))</f>
        <v>1</v>
      </c>
      <c r="AA4">
        <f>IF(OR(過積載率!AA4=0,(標準電圧!AA4*標準電圧!AA$2-VLOOKUP(HUAWEI製ＰＣＳ接続枚数計算ツール!$C$9, HUAWEI製ＰＣＳ接続枚数計算ツール!$B$119:$P$149,12,FALSE))&lt;0),0,IF(ROUNDDOWN((標準電圧!AA4*標準電圧!AA$2-VLOOKUP(HUAWEI製ＰＣＳ接続枚数計算ツール!$C$9,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HUAWEI製ＰＣＳ接続枚数計算ツール!$B$119:$P$149,14,FALSE),0)/100&gt;=IF(過積載率!AA4&gt;1,1,過積載率!AA4),1,0))</f>
        <v>1</v>
      </c>
      <c r="AB4">
        <f>IF(OR(過積載率!AB4=0,(標準電圧!AB4*標準電圧!AB$2-VLOOKUP(HUAWEI製ＰＣＳ接続枚数計算ツール!$C$9, HUAWEI製ＰＣＳ接続枚数計算ツール!$B$119:$P$149,12,FALSE))&lt;0),0,IF(ROUNDDOWN((標準電圧!AB4*標準電圧!AB$2-VLOOKUP(HUAWEI製ＰＣＳ接続枚数計算ツール!$C$9,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HUAWEI製ＰＣＳ接続枚数計算ツール!$B$119:$P$149,14,FALSE),0)/100&gt;=IF(過積載率!AB4&gt;1,1,過積載率!AB4),1,0))</f>
        <v>1</v>
      </c>
      <c r="AC4">
        <f>IF(OR(過積載率!AC4=0,(標準電圧!AC4*標準電圧!AC$2-VLOOKUP(HUAWEI製ＰＣＳ接続枚数計算ツール!$C$9, HUAWEI製ＰＣＳ接続枚数計算ツール!$B$119:$P$149,12,FALSE))&lt;0),0,IF(ROUNDDOWN((標準電圧!AC4*標準電圧!AC$2-VLOOKUP(HUAWEI製ＰＣＳ接続枚数計算ツール!$C$9,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HUAWEI製ＰＣＳ接続枚数計算ツール!$B$119:$P$149,14,FALSE),0)/100&gt;=IF(過積載率!AC4&gt;1,1,過積載率!AC4),1,0))</f>
        <v>1</v>
      </c>
      <c r="AD4">
        <f>IF(OR(過積載率!AD4=0,(標準電圧!AD4*標準電圧!AD$2-VLOOKUP(HUAWEI製ＰＣＳ接続枚数計算ツール!$C$9, HUAWEI製ＰＣＳ接続枚数計算ツール!$B$119:$P$149,12,FALSE))&lt;0),0,IF(ROUNDDOWN((標準電圧!AD4*標準電圧!AD$2-VLOOKUP(HUAWEI製ＰＣＳ接続枚数計算ツール!$C$9,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HUAWEI製ＰＣＳ接続枚数計算ツール!$B$119:$P$149,14,FALSE),0)/100&gt;=IF(過積載率!AD4&gt;1,1,過積載率!AD4),1,0))</f>
        <v>1</v>
      </c>
      <c r="AE4">
        <f>IF(OR(過積載率!AE4=0,(標準電圧!AE4*標準電圧!AE$2-VLOOKUP(HUAWEI製ＰＣＳ接続枚数計算ツール!$C$9, HUAWEI製ＰＣＳ接続枚数計算ツール!$B$119:$P$149,12,FALSE))&lt;0),0,IF(ROUNDDOWN((標準電圧!AE4*標準電圧!AE$2-VLOOKUP(HUAWEI製ＰＣＳ接続枚数計算ツール!$C$9,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HUAWEI製ＰＣＳ接続枚数計算ツール!$B$119:$P$149,14,FALSE),0)/100&gt;=IF(過積載率!AE4&gt;1,1,過積載率!AE4),1,0))</f>
        <v>1</v>
      </c>
      <c r="AF4">
        <f>IF(OR(過積載率!AF4=0,(標準電圧!AF4*標準電圧!AF$2-VLOOKUP(HUAWEI製ＰＣＳ接続枚数計算ツール!$C$9, HUAWEI製ＰＣＳ接続枚数計算ツール!$B$119:$P$149,12,FALSE))&lt;0),0,IF(ROUNDDOWN((標準電圧!AF4*標準電圧!AF$2-VLOOKUP(HUAWEI製ＰＣＳ接続枚数計算ツール!$C$9,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HUAWEI製ＰＣＳ接続枚数計算ツール!$B$119:$P$149,14,FALSE),0)/100&gt;=IF(過積載率!AF4&gt;1,1,過積載率!AF4),1,0))</f>
        <v>1</v>
      </c>
      <c r="AG4">
        <f>IF(OR(過積載率!AG4=0,(標準電圧!AG4*標準電圧!AG$2-VLOOKUP(HUAWEI製ＰＣＳ接続枚数計算ツール!$C$9, HUAWEI製ＰＣＳ接続枚数計算ツール!$B$119:$P$149,12,FALSE))&lt;0),0,IF(ROUNDDOWN((標準電圧!AG4*標準電圧!AG$2-VLOOKUP(HUAWEI製ＰＣＳ接続枚数計算ツール!$C$9,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HUAWEI製ＰＣＳ接続枚数計算ツール!$B$119:$P$149,14,FALSE),0)/100&gt;=IF(過積載率!AG4&gt;1,1,過積載率!AG4),1,0))</f>
        <v>1</v>
      </c>
      <c r="AH4">
        <f>IF(OR(過積載率!AH4=0,(標準電圧!AH4*標準電圧!AH$2-VLOOKUP(HUAWEI製ＰＣＳ接続枚数計算ツール!$C$9, HUAWEI製ＰＣＳ接続枚数計算ツール!$B$119:$P$149,12,FALSE))&lt;0),0,IF(ROUNDDOWN((標準電圧!AH4*標準電圧!AH$2-VLOOKUP(HUAWEI製ＰＣＳ接続枚数計算ツール!$C$9,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HUAWEI製ＰＣＳ接続枚数計算ツール!$B$119:$P$149,14,FALSE),0)/100&gt;=IF(過積載率!AH4&gt;1,1,過積載率!AH4),1,0))</f>
        <v>1</v>
      </c>
      <c r="AI4">
        <f>IF(OR(過積載率!AI4=0,(標準電圧!AI4*標準電圧!AI$2-VLOOKUP(HUAWEI製ＰＣＳ接続枚数計算ツール!$C$9, HUAWEI製ＰＣＳ接続枚数計算ツール!$B$119:$P$149,12,FALSE))&lt;0),0,IF(ROUNDDOWN((標準電圧!AI4*標準電圧!AI$2-VLOOKUP(HUAWEI製ＰＣＳ接続枚数計算ツール!$C$9,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HUAWEI製ＰＣＳ接続枚数計算ツール!$B$119:$P$149,14,FALSE),0)/100&gt;=IF(過積載率!AI4&gt;1,1,過積載率!AI4),1,0))</f>
        <v>1</v>
      </c>
      <c r="AJ4">
        <f>IF(OR(過積載率!AJ4=0,(標準電圧!AJ4*標準電圧!AJ$2-VLOOKUP(HUAWEI製ＰＣＳ接続枚数計算ツール!$C$9, HUAWEI製ＰＣＳ接続枚数計算ツール!$B$119:$P$149,12,FALSE))&lt;0),0,IF(ROUNDDOWN((標準電圧!AJ4*標準電圧!AJ$2-VLOOKUP(HUAWEI製ＰＣＳ接続枚数計算ツール!$C$9,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HUAWEI製ＰＣＳ接続枚数計算ツール!$B$119:$P$149,14,FALSE),0)/100&gt;=IF(過積載率!AJ4&gt;1,1,過積載率!AJ4),1,0))</f>
        <v>1</v>
      </c>
      <c r="AK4">
        <f>IF(OR(過積載率!AK4=0,(標準電圧!AK4*標準電圧!AK$2-VLOOKUP(HUAWEI製ＰＣＳ接続枚数計算ツール!$C$9, HUAWEI製ＰＣＳ接続枚数計算ツール!$B$119:$P$149,12,FALSE))&lt;0),0,IF(ROUNDDOWN((標準電圧!AK4*標準電圧!AK$2-VLOOKUP(HUAWEI製ＰＣＳ接続枚数計算ツール!$C$9,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HUAWEI製ＰＣＳ接続枚数計算ツール!$B$119:$P$149,14,FALSE),0)/100&gt;=IF(過積載率!AK4&gt;1,1,過積載率!AK4),1,0))</f>
        <v>1</v>
      </c>
      <c r="AL4">
        <f>IF(OR(過積載率!AL4=0,(標準電圧!AL4*標準電圧!AL$2-VLOOKUP(HUAWEI製ＰＣＳ接続枚数計算ツール!$C$9, HUAWEI製ＰＣＳ接続枚数計算ツール!$B$119:$P$149,12,FALSE))&lt;0),0,IF(ROUNDDOWN((標準電圧!AL4*標準電圧!AL$2-VLOOKUP(HUAWEI製ＰＣＳ接続枚数計算ツール!$C$9,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HUAWEI製ＰＣＳ接続枚数計算ツール!$B$119:$P$149,14,FALSE),0)/100&gt;=IF(過積載率!AL4&gt;1,1,過積載率!AL4),1,0))</f>
        <v>1</v>
      </c>
      <c r="AM4">
        <f>IF(OR(過積載率!AM4=0,(標準電圧!AM4*標準電圧!AM$2-VLOOKUP(HUAWEI製ＰＣＳ接続枚数計算ツール!$C$9, HUAWEI製ＰＣＳ接続枚数計算ツール!$B$119:$P$149,12,FALSE))&lt;0),0,IF(ROUNDDOWN((標準電圧!AM4*標準電圧!AM$2-VLOOKUP(HUAWEI製ＰＣＳ接続枚数計算ツール!$C$9,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HUAWEI製ＰＣＳ接続枚数計算ツール!$B$119:$P$149,14,FALSE),0)/100&gt;=IF(過積載率!AM4&gt;1,1,過積載率!AM4),1,0))</f>
        <v>1</v>
      </c>
      <c r="AN4">
        <f>IF(OR(過積載率!AN4=0,(標準電圧!AN4*標準電圧!AN$2-VLOOKUP(HUAWEI製ＰＣＳ接続枚数計算ツール!$C$9, HUAWEI製ＰＣＳ接続枚数計算ツール!$B$119:$P$149,12,FALSE))&lt;0),0,IF(ROUNDDOWN((標準電圧!AN4*標準電圧!AN$2-VLOOKUP(HUAWEI製ＰＣＳ接続枚数計算ツール!$C$9,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HUAWEI製ＰＣＳ接続枚数計算ツール!$B$119:$P$149,14,FALSE),0)/100&gt;=IF(過積載率!AN4&gt;1,1,過積載率!AN4),1,0))</f>
        <v>1</v>
      </c>
      <c r="AO4">
        <f>IF(OR(過積載率!AO4=0,(標準電圧!AO4*標準電圧!AO$2-VLOOKUP(HUAWEI製ＰＣＳ接続枚数計算ツール!$C$9, HUAWEI製ＰＣＳ接続枚数計算ツール!$B$119:$P$149,12,FALSE))&lt;0),0,IF(ROUNDDOWN((標準電圧!AO4*標準電圧!AO$2-VLOOKUP(HUAWEI製ＰＣＳ接続枚数計算ツール!$C$9,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HUAWEI製ＰＣＳ接続枚数計算ツール!$B$119:$P$149,14,FALSE),0)/100&gt;=IF(過積載率!AO4&gt;1,1,過積載率!AO4),1,0))</f>
        <v>1</v>
      </c>
    </row>
    <row r="5" spans="1:41">
      <c r="A5">
        <v>3</v>
      </c>
      <c r="B5">
        <f>IF(OR(過積載率!B5=0,(標準電圧!B5*標準電圧!B$2-VLOOKUP(HUAWEI製ＰＣＳ接続枚数計算ツール!$C$9, HUAWEI製ＰＣＳ接続枚数計算ツール!$B$119:$P$149,12,FALSE))&lt;0),0,IF(ROUNDDOWN((標準電圧!B5*標準電圧!B$2-VLOOKUP(HUAWEI製ＰＣＳ接続枚数計算ツール!$C$9,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HUAWEI製ＰＣＳ接続枚数計算ツール!$B$119:$P$149,14,FALSE),0)/100&gt;=IF(過積載率!B5&gt;1,1,過積載率!B5),1,0))</f>
        <v>0</v>
      </c>
      <c r="C5">
        <f>IF(OR(過積載率!C5=0,(標準電圧!C5*標準電圧!C$2-VLOOKUP(HUAWEI製ＰＣＳ接続枚数計算ツール!$C$9, HUAWEI製ＰＣＳ接続枚数計算ツール!$B$119:$P$149,12,FALSE))&lt;0),0,IF(ROUNDDOWN((標準電圧!C5*標準電圧!C$2-VLOOKUP(HUAWEI製ＰＣＳ接続枚数計算ツール!$C$9,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HUAWEI製ＰＣＳ接続枚数計算ツール!$B$119:$P$149,14,FALSE),0)/100&gt;=IF(過積載率!C5&gt;1,1,過積載率!C5),1,0))</f>
        <v>0</v>
      </c>
      <c r="D5">
        <f>IF(OR(過積載率!D5=0,(標準電圧!D5*標準電圧!D$2-VLOOKUP(HUAWEI製ＰＣＳ接続枚数計算ツール!$C$9, HUAWEI製ＰＣＳ接続枚数計算ツール!$B$119:$P$149,12,FALSE))&lt;0),0,IF(ROUNDDOWN((標準電圧!D5*標準電圧!D$2-VLOOKUP(HUAWEI製ＰＣＳ接続枚数計算ツール!$C$9,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HUAWEI製ＰＣＳ接続枚数計算ツール!$B$119:$P$149,14,FALSE),0)/100&gt;=IF(過積載率!D5&gt;1,1,過積載率!D5),1,0))</f>
        <v>0</v>
      </c>
      <c r="E5">
        <f>IF(OR(過積載率!E5=0,(標準電圧!E5*標準電圧!E$2-VLOOKUP(HUAWEI製ＰＣＳ接続枚数計算ツール!$C$9, HUAWEI製ＰＣＳ接続枚数計算ツール!$B$119:$P$149,12,FALSE))&lt;0),0,IF(ROUNDDOWN((標準電圧!E5*標準電圧!E$2-VLOOKUP(HUAWEI製ＰＣＳ接続枚数計算ツール!$C$9,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HUAWEI製ＰＣＳ接続枚数計算ツール!$B$119:$P$149,14,FALSE),0)/100&gt;=IF(過積載率!E5&gt;1,1,過積載率!E5),1,0))</f>
        <v>0</v>
      </c>
      <c r="F5">
        <f>IF(OR(過積載率!F5=0,(標準電圧!F5*標準電圧!F$2-VLOOKUP(HUAWEI製ＰＣＳ接続枚数計算ツール!$C$9, HUAWEI製ＰＣＳ接続枚数計算ツール!$B$119:$P$149,12,FALSE))&lt;0),0,IF(ROUNDDOWN((標準電圧!F5*標準電圧!F$2-VLOOKUP(HUAWEI製ＰＣＳ接続枚数計算ツール!$C$9,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HUAWEI製ＰＣＳ接続枚数計算ツール!$B$119:$P$149,14,FALSE),0)/100&gt;=IF(過積載率!F5&gt;1,1,過積載率!F5),1,0))</f>
        <v>0</v>
      </c>
      <c r="G5">
        <f>IF(OR(過積載率!G5=0,(標準電圧!G5*標準電圧!G$2-VLOOKUP(HUAWEI製ＰＣＳ接続枚数計算ツール!$C$9, HUAWEI製ＰＣＳ接続枚数計算ツール!$B$119:$P$149,12,FALSE))&lt;0),0,IF(ROUNDDOWN((標準電圧!G5*標準電圧!G$2-VLOOKUP(HUAWEI製ＰＣＳ接続枚数計算ツール!$C$9,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HUAWEI製ＰＣＳ接続枚数計算ツール!$B$119:$P$149,14,FALSE),0)/100&gt;=IF(過積載率!G5&gt;1,1,過積載率!G5),1,0))</f>
        <v>0</v>
      </c>
      <c r="H5">
        <f>IF(OR(過積載率!H5=0,(標準電圧!H5*標準電圧!H$2-VLOOKUP(HUAWEI製ＰＣＳ接続枚数計算ツール!$C$9, HUAWEI製ＰＣＳ接続枚数計算ツール!$B$119:$P$149,12,FALSE))&lt;0),0,IF(ROUNDDOWN((標準電圧!H5*標準電圧!H$2-VLOOKUP(HUAWEI製ＰＣＳ接続枚数計算ツール!$C$9,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HUAWEI製ＰＣＳ接続枚数計算ツール!$B$119:$P$149,14,FALSE),0)/100&gt;=IF(過積載率!H5&gt;1,1,過積載率!H5),1,0))</f>
        <v>0</v>
      </c>
      <c r="I5">
        <f>IF(OR(過積載率!I5=0,(標準電圧!I5*標準電圧!I$2-VLOOKUP(HUAWEI製ＰＣＳ接続枚数計算ツール!$C$9, HUAWEI製ＰＣＳ接続枚数計算ツール!$B$119:$P$149,12,FALSE))&lt;0),0,IF(ROUNDDOWN((標準電圧!I5*標準電圧!I$2-VLOOKUP(HUAWEI製ＰＣＳ接続枚数計算ツール!$C$9,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HUAWEI製ＰＣＳ接続枚数計算ツール!$B$119:$P$149,14,FALSE),0)/100&gt;=IF(過積載率!I5&gt;1,1,過積載率!I5),1,0))</f>
        <v>0</v>
      </c>
      <c r="J5">
        <f>IF(OR(過積載率!J5=0,(標準電圧!J5*標準電圧!J$2-VLOOKUP(HUAWEI製ＰＣＳ接続枚数計算ツール!$C$9, HUAWEI製ＰＣＳ接続枚数計算ツール!$B$119:$P$149,12,FALSE))&lt;0),0,IF(ROUNDDOWN((標準電圧!J5*標準電圧!J$2-VLOOKUP(HUAWEI製ＰＣＳ接続枚数計算ツール!$C$9,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HUAWEI製ＰＣＳ接続枚数計算ツール!$B$119:$P$149,14,FALSE),0)/100&gt;=IF(過積載率!J5&gt;1,1,過積載率!J5),1,0))</f>
        <v>0</v>
      </c>
      <c r="K5">
        <f>IF(OR(過積載率!K5=0,(標準電圧!K5*標準電圧!K$2-VLOOKUP(HUAWEI製ＰＣＳ接続枚数計算ツール!$C$9, HUAWEI製ＰＣＳ接続枚数計算ツール!$B$119:$P$149,12,FALSE))&lt;0),0,IF(ROUNDDOWN((標準電圧!K5*標準電圧!K$2-VLOOKUP(HUAWEI製ＰＣＳ接続枚数計算ツール!$C$9,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HUAWEI製ＰＣＳ接続枚数計算ツール!$B$119:$P$149,14,FALSE),0)/100&gt;=IF(過積載率!K5&gt;1,1,過積載率!K5),1,0))</f>
        <v>0</v>
      </c>
      <c r="L5">
        <f>IF(OR(過積載率!L5=0,(標準電圧!L5*標準電圧!L$2-VLOOKUP(HUAWEI製ＰＣＳ接続枚数計算ツール!$C$9, HUAWEI製ＰＣＳ接続枚数計算ツール!$B$119:$P$149,12,FALSE))&lt;0),0,IF(ROUNDDOWN((標準電圧!L5*標準電圧!L$2-VLOOKUP(HUAWEI製ＰＣＳ接続枚数計算ツール!$C$9,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HUAWEI製ＰＣＳ接続枚数計算ツール!$B$119:$P$149,14,FALSE),0)/100&gt;=IF(過積載率!L5&gt;1,1,過積載率!L5),1,0))</f>
        <v>0</v>
      </c>
      <c r="M5">
        <f>IF(OR(過積載率!M5=0,(標準電圧!M5*標準電圧!M$2-VLOOKUP(HUAWEI製ＰＣＳ接続枚数計算ツール!$C$9, HUAWEI製ＰＣＳ接続枚数計算ツール!$B$119:$P$149,12,FALSE))&lt;0),0,IF(ROUNDDOWN((標準電圧!M5*標準電圧!M$2-VLOOKUP(HUAWEI製ＰＣＳ接続枚数計算ツール!$C$9,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HUAWEI製ＰＣＳ接続枚数計算ツール!$B$119:$P$149,14,FALSE),0)/100&gt;=IF(過積載率!M5&gt;1,1,過積載率!M5),1,0))</f>
        <v>1</v>
      </c>
      <c r="N5">
        <f>IF(OR(過積載率!N5=0,(標準電圧!N5*標準電圧!N$2-VLOOKUP(HUAWEI製ＰＣＳ接続枚数計算ツール!$C$9, HUAWEI製ＰＣＳ接続枚数計算ツール!$B$119:$P$149,12,FALSE))&lt;0),0,IF(ROUNDDOWN((標準電圧!N5*標準電圧!N$2-VLOOKUP(HUAWEI製ＰＣＳ接続枚数計算ツール!$C$9,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HUAWEI製ＰＣＳ接続枚数計算ツール!$B$119:$P$149,14,FALSE),0)/100&gt;=IF(過積載率!N5&gt;1,1,過積載率!N5),1,0))</f>
        <v>1</v>
      </c>
      <c r="O5">
        <f>IF(OR(過積載率!O5=0,(標準電圧!O5*標準電圧!O$2-VLOOKUP(HUAWEI製ＰＣＳ接続枚数計算ツール!$C$9, HUAWEI製ＰＣＳ接続枚数計算ツール!$B$119:$P$149,12,FALSE))&lt;0),0,IF(ROUNDDOWN((標準電圧!O5*標準電圧!O$2-VLOOKUP(HUAWEI製ＰＣＳ接続枚数計算ツール!$C$9,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HUAWEI製ＰＣＳ接続枚数計算ツール!$B$119:$P$149,14,FALSE),0)/100&gt;=IF(過積載率!O5&gt;1,1,過積載率!O5),1,0))</f>
        <v>1</v>
      </c>
      <c r="P5">
        <f>IF(OR(過積載率!P5=0,(標準電圧!P5*標準電圧!P$2-VLOOKUP(HUAWEI製ＰＣＳ接続枚数計算ツール!$C$9, HUAWEI製ＰＣＳ接続枚数計算ツール!$B$119:$P$149,12,FALSE))&lt;0),0,IF(ROUNDDOWN((標準電圧!P5*標準電圧!P$2-VLOOKUP(HUAWEI製ＰＣＳ接続枚数計算ツール!$C$9,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HUAWEI製ＰＣＳ接続枚数計算ツール!$B$119:$P$149,14,FALSE),0)/100&gt;=IF(過積載率!P5&gt;1,1,過積載率!P5),1,0))</f>
        <v>1</v>
      </c>
      <c r="Q5">
        <f>IF(OR(過積載率!Q5=0,(標準電圧!Q5*標準電圧!Q$2-VLOOKUP(HUAWEI製ＰＣＳ接続枚数計算ツール!$C$9, HUAWEI製ＰＣＳ接続枚数計算ツール!$B$119:$P$149,12,FALSE))&lt;0),0,IF(ROUNDDOWN((標準電圧!Q5*標準電圧!Q$2-VLOOKUP(HUAWEI製ＰＣＳ接続枚数計算ツール!$C$9,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HUAWEI製ＰＣＳ接続枚数計算ツール!$B$119:$P$149,14,FALSE),0)/100&gt;=IF(過積載率!Q5&gt;1,1,過積載率!Q5),1,0))</f>
        <v>1</v>
      </c>
      <c r="R5">
        <f>IF(OR(過積載率!R5=0,(標準電圧!R5*標準電圧!R$2-VLOOKUP(HUAWEI製ＰＣＳ接続枚数計算ツール!$C$9, HUAWEI製ＰＣＳ接続枚数計算ツール!$B$119:$P$149,12,FALSE))&lt;0),0,IF(ROUNDDOWN((標準電圧!R5*標準電圧!R$2-VLOOKUP(HUAWEI製ＰＣＳ接続枚数計算ツール!$C$9,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HUAWEI製ＰＣＳ接続枚数計算ツール!$B$119:$P$149,14,FALSE),0)/100&gt;=IF(過積載率!R5&gt;1,1,過積載率!R5),1,0))</f>
        <v>1</v>
      </c>
      <c r="S5">
        <f>IF(OR(過積載率!S5=0,(標準電圧!S5*標準電圧!S$2-VLOOKUP(HUAWEI製ＰＣＳ接続枚数計算ツール!$C$9, HUAWEI製ＰＣＳ接続枚数計算ツール!$B$119:$P$149,12,FALSE))&lt;0),0,IF(ROUNDDOWN((標準電圧!S5*標準電圧!S$2-VLOOKUP(HUAWEI製ＰＣＳ接続枚数計算ツール!$C$9,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HUAWEI製ＰＣＳ接続枚数計算ツール!$B$119:$P$149,14,FALSE),0)/100&gt;=IF(過積載率!S5&gt;1,1,過積載率!S5),1,0))</f>
        <v>1</v>
      </c>
      <c r="T5">
        <f>IF(OR(過積載率!T5=0,(標準電圧!T5*標準電圧!T$2-VLOOKUP(HUAWEI製ＰＣＳ接続枚数計算ツール!$C$9, HUAWEI製ＰＣＳ接続枚数計算ツール!$B$119:$P$149,12,FALSE))&lt;0),0,IF(ROUNDDOWN((標準電圧!T5*標準電圧!T$2-VLOOKUP(HUAWEI製ＰＣＳ接続枚数計算ツール!$C$9,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HUAWEI製ＰＣＳ接続枚数計算ツール!$B$119:$P$149,14,FALSE),0)/100&gt;=IF(過積載率!T5&gt;1,1,過積載率!T5),1,0))</f>
        <v>1</v>
      </c>
      <c r="U5">
        <f>IF(OR(過積載率!U5=0,(標準電圧!U5*標準電圧!U$2-VLOOKUP(HUAWEI製ＰＣＳ接続枚数計算ツール!$C$9, HUAWEI製ＰＣＳ接続枚数計算ツール!$B$119:$P$149,12,FALSE))&lt;0),0,IF(ROUNDDOWN((標準電圧!U5*標準電圧!U$2-VLOOKUP(HUAWEI製ＰＣＳ接続枚数計算ツール!$C$9,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HUAWEI製ＰＣＳ接続枚数計算ツール!$B$119:$P$149,14,FALSE),0)/100&gt;=IF(過積載率!U5&gt;1,1,過積載率!U5),1,0))</f>
        <v>1</v>
      </c>
      <c r="V5">
        <f>IF(OR(過積載率!V5=0,(標準電圧!V5*標準電圧!V$2-VLOOKUP(HUAWEI製ＰＣＳ接続枚数計算ツール!$C$9, HUAWEI製ＰＣＳ接続枚数計算ツール!$B$119:$P$149,12,FALSE))&lt;0),0,IF(ROUNDDOWN((標準電圧!V5*標準電圧!V$2-VLOOKUP(HUAWEI製ＰＣＳ接続枚数計算ツール!$C$9,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HUAWEI製ＰＣＳ接続枚数計算ツール!$B$119:$P$149,14,FALSE),0)/100&gt;=IF(過積載率!V5&gt;1,1,過積載率!V5),1,0))</f>
        <v>1</v>
      </c>
      <c r="W5">
        <f>IF(OR(過積載率!W5=0,(標準電圧!W5*標準電圧!W$2-VLOOKUP(HUAWEI製ＰＣＳ接続枚数計算ツール!$C$9, HUAWEI製ＰＣＳ接続枚数計算ツール!$B$119:$P$149,12,FALSE))&lt;0),0,IF(ROUNDDOWN((標準電圧!W5*標準電圧!W$2-VLOOKUP(HUAWEI製ＰＣＳ接続枚数計算ツール!$C$9,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HUAWEI製ＰＣＳ接続枚数計算ツール!$B$119:$P$149,14,FALSE),0)/100&gt;=IF(過積載率!W5&gt;1,1,過積載率!W5),1,0))</f>
        <v>1</v>
      </c>
      <c r="X5">
        <f>IF(OR(過積載率!X5=0,(標準電圧!X5*標準電圧!X$2-VLOOKUP(HUAWEI製ＰＣＳ接続枚数計算ツール!$C$9, HUAWEI製ＰＣＳ接続枚数計算ツール!$B$119:$P$149,12,FALSE))&lt;0),0,IF(ROUNDDOWN((標準電圧!X5*標準電圧!X$2-VLOOKUP(HUAWEI製ＰＣＳ接続枚数計算ツール!$C$9,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HUAWEI製ＰＣＳ接続枚数計算ツール!$B$119:$P$149,14,FALSE),0)/100&gt;=IF(過積載率!X5&gt;1,1,過積載率!X5),1,0))</f>
        <v>1</v>
      </c>
      <c r="Y5">
        <f>IF(OR(過積載率!Y5=0,(標準電圧!Y5*標準電圧!Y$2-VLOOKUP(HUAWEI製ＰＣＳ接続枚数計算ツール!$C$9, HUAWEI製ＰＣＳ接続枚数計算ツール!$B$119:$P$149,12,FALSE))&lt;0),0,IF(ROUNDDOWN((標準電圧!Y5*標準電圧!Y$2-VLOOKUP(HUAWEI製ＰＣＳ接続枚数計算ツール!$C$9,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HUAWEI製ＰＣＳ接続枚数計算ツール!$B$119:$P$149,14,FALSE),0)/100&gt;=IF(過積載率!Y5&gt;1,1,過積載率!Y5),1,0))</f>
        <v>1</v>
      </c>
      <c r="Z5">
        <f>IF(OR(過積載率!Z5=0,(標準電圧!Z5*標準電圧!Z$2-VLOOKUP(HUAWEI製ＰＣＳ接続枚数計算ツール!$C$9, HUAWEI製ＰＣＳ接続枚数計算ツール!$B$119:$P$149,12,FALSE))&lt;0),0,IF(ROUNDDOWN((標準電圧!Z5*標準電圧!Z$2-VLOOKUP(HUAWEI製ＰＣＳ接続枚数計算ツール!$C$9,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HUAWEI製ＰＣＳ接続枚数計算ツール!$B$119:$P$149,14,FALSE),0)/100&gt;=IF(過積載率!Z5&gt;1,1,過積載率!Z5),1,0))</f>
        <v>1</v>
      </c>
      <c r="AA5">
        <f>IF(OR(過積載率!AA5=0,(標準電圧!AA5*標準電圧!AA$2-VLOOKUP(HUAWEI製ＰＣＳ接続枚数計算ツール!$C$9, HUAWEI製ＰＣＳ接続枚数計算ツール!$B$119:$P$149,12,FALSE))&lt;0),0,IF(ROUNDDOWN((標準電圧!AA5*標準電圧!AA$2-VLOOKUP(HUAWEI製ＰＣＳ接続枚数計算ツール!$C$9,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HUAWEI製ＰＣＳ接続枚数計算ツール!$B$119:$P$149,14,FALSE),0)/100&gt;=IF(過積載率!AA5&gt;1,1,過積載率!AA5),1,0))</f>
        <v>1</v>
      </c>
      <c r="AB5">
        <f>IF(OR(過積載率!AB5=0,(標準電圧!AB5*標準電圧!AB$2-VLOOKUP(HUAWEI製ＰＣＳ接続枚数計算ツール!$C$9, HUAWEI製ＰＣＳ接続枚数計算ツール!$B$119:$P$149,12,FALSE))&lt;0),0,IF(ROUNDDOWN((標準電圧!AB5*標準電圧!AB$2-VLOOKUP(HUAWEI製ＰＣＳ接続枚数計算ツール!$C$9,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HUAWEI製ＰＣＳ接続枚数計算ツール!$B$119:$P$149,14,FALSE),0)/100&gt;=IF(過積載率!AB5&gt;1,1,過積載率!AB5),1,0))</f>
        <v>1</v>
      </c>
      <c r="AC5">
        <f>IF(OR(過積載率!AC5=0,(標準電圧!AC5*標準電圧!AC$2-VLOOKUP(HUAWEI製ＰＣＳ接続枚数計算ツール!$C$9, HUAWEI製ＰＣＳ接続枚数計算ツール!$B$119:$P$149,12,FALSE))&lt;0),0,IF(ROUNDDOWN((標準電圧!AC5*標準電圧!AC$2-VLOOKUP(HUAWEI製ＰＣＳ接続枚数計算ツール!$C$9,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HUAWEI製ＰＣＳ接続枚数計算ツール!$B$119:$P$149,14,FALSE),0)/100&gt;=IF(過積載率!AC5&gt;1,1,過積載率!AC5),1,0))</f>
        <v>1</v>
      </c>
      <c r="AD5">
        <f>IF(OR(過積載率!AD5=0,(標準電圧!AD5*標準電圧!AD$2-VLOOKUP(HUAWEI製ＰＣＳ接続枚数計算ツール!$C$9, HUAWEI製ＰＣＳ接続枚数計算ツール!$B$119:$P$149,12,FALSE))&lt;0),0,IF(ROUNDDOWN((標準電圧!AD5*標準電圧!AD$2-VLOOKUP(HUAWEI製ＰＣＳ接続枚数計算ツール!$C$9,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HUAWEI製ＰＣＳ接続枚数計算ツール!$B$119:$P$149,14,FALSE),0)/100&gt;=IF(過積載率!AD5&gt;1,1,過積載率!AD5),1,0))</f>
        <v>1</v>
      </c>
      <c r="AE5">
        <f>IF(OR(過積載率!AE5=0,(標準電圧!AE5*標準電圧!AE$2-VLOOKUP(HUAWEI製ＰＣＳ接続枚数計算ツール!$C$9, HUAWEI製ＰＣＳ接続枚数計算ツール!$B$119:$P$149,12,FALSE))&lt;0),0,IF(ROUNDDOWN((標準電圧!AE5*標準電圧!AE$2-VLOOKUP(HUAWEI製ＰＣＳ接続枚数計算ツール!$C$9,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HUAWEI製ＰＣＳ接続枚数計算ツール!$B$119:$P$149,14,FALSE),0)/100&gt;=IF(過積載率!AE5&gt;1,1,過積載率!AE5),1,0))</f>
        <v>1</v>
      </c>
      <c r="AF5">
        <f>IF(OR(過積載率!AF5=0,(標準電圧!AF5*標準電圧!AF$2-VLOOKUP(HUAWEI製ＰＣＳ接続枚数計算ツール!$C$9, HUAWEI製ＰＣＳ接続枚数計算ツール!$B$119:$P$149,12,FALSE))&lt;0),0,IF(ROUNDDOWN((標準電圧!AF5*標準電圧!AF$2-VLOOKUP(HUAWEI製ＰＣＳ接続枚数計算ツール!$C$9,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HUAWEI製ＰＣＳ接続枚数計算ツール!$B$119:$P$149,14,FALSE),0)/100&gt;=IF(過積載率!AF5&gt;1,1,過積載率!AF5),1,0))</f>
        <v>1</v>
      </c>
      <c r="AG5">
        <f>IF(OR(過積載率!AG5=0,(標準電圧!AG5*標準電圧!AG$2-VLOOKUP(HUAWEI製ＰＣＳ接続枚数計算ツール!$C$9, HUAWEI製ＰＣＳ接続枚数計算ツール!$B$119:$P$149,12,FALSE))&lt;0),0,IF(ROUNDDOWN((標準電圧!AG5*標準電圧!AG$2-VLOOKUP(HUAWEI製ＰＣＳ接続枚数計算ツール!$C$9,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HUAWEI製ＰＣＳ接続枚数計算ツール!$B$119:$P$149,14,FALSE),0)/100&gt;=IF(過積載率!AG5&gt;1,1,過積載率!AG5),1,0))</f>
        <v>1</v>
      </c>
      <c r="AH5">
        <f>IF(OR(過積載率!AH5=0,(標準電圧!AH5*標準電圧!AH$2-VLOOKUP(HUAWEI製ＰＣＳ接続枚数計算ツール!$C$9, HUAWEI製ＰＣＳ接続枚数計算ツール!$B$119:$P$149,12,FALSE))&lt;0),0,IF(ROUNDDOWN((標準電圧!AH5*標準電圧!AH$2-VLOOKUP(HUAWEI製ＰＣＳ接続枚数計算ツール!$C$9,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HUAWEI製ＰＣＳ接続枚数計算ツール!$B$119:$P$149,14,FALSE),0)/100&gt;=IF(過積載率!AH5&gt;1,1,過積載率!AH5),1,0))</f>
        <v>1</v>
      </c>
      <c r="AI5">
        <f>IF(OR(過積載率!AI5=0,(標準電圧!AI5*標準電圧!AI$2-VLOOKUP(HUAWEI製ＰＣＳ接続枚数計算ツール!$C$9, HUAWEI製ＰＣＳ接続枚数計算ツール!$B$119:$P$149,12,FALSE))&lt;0),0,IF(ROUNDDOWN((標準電圧!AI5*標準電圧!AI$2-VLOOKUP(HUAWEI製ＰＣＳ接続枚数計算ツール!$C$9,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HUAWEI製ＰＣＳ接続枚数計算ツール!$B$119:$P$149,14,FALSE),0)/100&gt;=IF(過積載率!AI5&gt;1,1,過積載率!AI5),1,0))</f>
        <v>1</v>
      </c>
      <c r="AJ5">
        <f>IF(OR(過積載率!AJ5=0,(標準電圧!AJ5*標準電圧!AJ$2-VLOOKUP(HUAWEI製ＰＣＳ接続枚数計算ツール!$C$9, HUAWEI製ＰＣＳ接続枚数計算ツール!$B$119:$P$149,12,FALSE))&lt;0),0,IF(ROUNDDOWN((標準電圧!AJ5*標準電圧!AJ$2-VLOOKUP(HUAWEI製ＰＣＳ接続枚数計算ツール!$C$9,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HUAWEI製ＰＣＳ接続枚数計算ツール!$B$119:$P$149,14,FALSE),0)/100&gt;=IF(過積載率!AJ5&gt;1,1,過積載率!AJ5),1,0))</f>
        <v>1</v>
      </c>
      <c r="AK5">
        <f>IF(OR(過積載率!AK5=0,(標準電圧!AK5*標準電圧!AK$2-VLOOKUP(HUAWEI製ＰＣＳ接続枚数計算ツール!$C$9, HUAWEI製ＰＣＳ接続枚数計算ツール!$B$119:$P$149,12,FALSE))&lt;0),0,IF(ROUNDDOWN((標準電圧!AK5*標準電圧!AK$2-VLOOKUP(HUAWEI製ＰＣＳ接続枚数計算ツール!$C$9,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HUAWEI製ＰＣＳ接続枚数計算ツール!$B$119:$P$149,14,FALSE),0)/100&gt;=IF(過積載率!AK5&gt;1,1,過積載率!AK5),1,0))</f>
        <v>1</v>
      </c>
      <c r="AL5">
        <f>IF(OR(過積載率!AL5=0,(標準電圧!AL5*標準電圧!AL$2-VLOOKUP(HUAWEI製ＰＣＳ接続枚数計算ツール!$C$9, HUAWEI製ＰＣＳ接続枚数計算ツール!$B$119:$P$149,12,FALSE))&lt;0),0,IF(ROUNDDOWN((標準電圧!AL5*標準電圧!AL$2-VLOOKUP(HUAWEI製ＰＣＳ接続枚数計算ツール!$C$9,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HUAWEI製ＰＣＳ接続枚数計算ツール!$B$119:$P$149,14,FALSE),0)/100&gt;=IF(過積載率!AL5&gt;1,1,過積載率!AL5),1,0))</f>
        <v>1</v>
      </c>
      <c r="AM5">
        <f>IF(OR(過積載率!AM5=0,(標準電圧!AM5*標準電圧!AM$2-VLOOKUP(HUAWEI製ＰＣＳ接続枚数計算ツール!$C$9, HUAWEI製ＰＣＳ接続枚数計算ツール!$B$119:$P$149,12,FALSE))&lt;0),0,IF(ROUNDDOWN((標準電圧!AM5*標準電圧!AM$2-VLOOKUP(HUAWEI製ＰＣＳ接続枚数計算ツール!$C$9,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HUAWEI製ＰＣＳ接続枚数計算ツール!$B$119:$P$149,14,FALSE),0)/100&gt;=IF(過積載率!AM5&gt;1,1,過積載率!AM5),1,0))</f>
        <v>1</v>
      </c>
      <c r="AN5">
        <f>IF(OR(過積載率!AN5=0,(標準電圧!AN5*標準電圧!AN$2-VLOOKUP(HUAWEI製ＰＣＳ接続枚数計算ツール!$C$9, HUAWEI製ＰＣＳ接続枚数計算ツール!$B$119:$P$149,12,FALSE))&lt;0),0,IF(ROUNDDOWN((標準電圧!AN5*標準電圧!AN$2-VLOOKUP(HUAWEI製ＰＣＳ接続枚数計算ツール!$C$9,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HUAWEI製ＰＣＳ接続枚数計算ツール!$B$119:$P$149,14,FALSE),0)/100&gt;=IF(過積載率!AN5&gt;1,1,過積載率!AN5),1,0))</f>
        <v>1</v>
      </c>
      <c r="AO5">
        <f>IF(OR(過積載率!AO5=0,(標準電圧!AO5*標準電圧!AO$2-VLOOKUP(HUAWEI製ＰＣＳ接続枚数計算ツール!$C$9, HUAWEI製ＰＣＳ接続枚数計算ツール!$B$119:$P$149,12,FALSE))&lt;0),0,IF(ROUNDDOWN((標準電圧!AO5*標準電圧!AO$2-VLOOKUP(HUAWEI製ＰＣＳ接続枚数計算ツール!$C$9,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HUAWEI製ＰＣＳ接続枚数計算ツール!$B$119:$P$149,14,FALSE),0)/100&gt;=IF(過積載率!AO5&gt;1,1,過積載率!AO5),1,0))</f>
        <v>1</v>
      </c>
    </row>
    <row r="6" spans="1:41">
      <c r="A6">
        <v>4</v>
      </c>
      <c r="B6">
        <f>IF(OR(過積載率!B6=0,(標準電圧!B6*標準電圧!B$2-VLOOKUP(HUAWEI製ＰＣＳ接続枚数計算ツール!$C$9, HUAWEI製ＰＣＳ接続枚数計算ツール!$B$119:$P$149,12,FALSE))&lt;0),0,IF(ROUNDDOWN((標準電圧!B6*標準電圧!B$2-VLOOKUP(HUAWEI製ＰＣＳ接続枚数計算ツール!$C$9,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HUAWEI製ＰＣＳ接続枚数計算ツール!$B$119:$P$149,14,FALSE),0)/100&gt;=IF(過積載率!B6&gt;1,1,過積載率!B6),1,0))</f>
        <v>0</v>
      </c>
      <c r="C6">
        <f>IF(OR(過積載率!C6=0,(標準電圧!C6*標準電圧!C$2-VLOOKUP(HUAWEI製ＰＣＳ接続枚数計算ツール!$C$9, HUAWEI製ＰＣＳ接続枚数計算ツール!$B$119:$P$149,12,FALSE))&lt;0),0,IF(ROUNDDOWN((標準電圧!C6*標準電圧!C$2-VLOOKUP(HUAWEI製ＰＣＳ接続枚数計算ツール!$C$9,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HUAWEI製ＰＣＳ接続枚数計算ツール!$B$119:$P$149,14,FALSE),0)/100&gt;=IF(過積載率!C6&gt;1,1,過積載率!C6),1,0))</f>
        <v>0</v>
      </c>
      <c r="D6">
        <f>IF(OR(過積載率!D6=0,(標準電圧!D6*標準電圧!D$2-VLOOKUP(HUAWEI製ＰＣＳ接続枚数計算ツール!$C$9, HUAWEI製ＰＣＳ接続枚数計算ツール!$B$119:$P$149,12,FALSE))&lt;0),0,IF(ROUNDDOWN((標準電圧!D6*標準電圧!D$2-VLOOKUP(HUAWEI製ＰＣＳ接続枚数計算ツール!$C$9,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HUAWEI製ＰＣＳ接続枚数計算ツール!$B$119:$P$149,14,FALSE),0)/100&gt;=IF(過積載率!D6&gt;1,1,過積載率!D6),1,0))</f>
        <v>0</v>
      </c>
      <c r="E6">
        <f>IF(OR(過積載率!E6=0,(標準電圧!E6*標準電圧!E$2-VLOOKUP(HUAWEI製ＰＣＳ接続枚数計算ツール!$C$9, HUAWEI製ＰＣＳ接続枚数計算ツール!$B$119:$P$149,12,FALSE))&lt;0),0,IF(ROUNDDOWN((標準電圧!E6*標準電圧!E$2-VLOOKUP(HUAWEI製ＰＣＳ接続枚数計算ツール!$C$9,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HUAWEI製ＰＣＳ接続枚数計算ツール!$B$119:$P$149,14,FALSE),0)/100&gt;=IF(過積載率!E6&gt;1,1,過積載率!E6),1,0))</f>
        <v>0</v>
      </c>
      <c r="F6">
        <f>IF(OR(過積載率!F6=0,(標準電圧!F6*標準電圧!F$2-VLOOKUP(HUAWEI製ＰＣＳ接続枚数計算ツール!$C$9, HUAWEI製ＰＣＳ接続枚数計算ツール!$B$119:$P$149,12,FALSE))&lt;0),0,IF(ROUNDDOWN((標準電圧!F6*標準電圧!F$2-VLOOKUP(HUAWEI製ＰＣＳ接続枚数計算ツール!$C$9,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HUAWEI製ＰＣＳ接続枚数計算ツール!$B$119:$P$149,14,FALSE),0)/100&gt;=IF(過積載率!F6&gt;1,1,過積載率!F6),1,0))</f>
        <v>0</v>
      </c>
      <c r="G6">
        <f>IF(OR(過積載率!G6=0,(標準電圧!G6*標準電圧!G$2-VLOOKUP(HUAWEI製ＰＣＳ接続枚数計算ツール!$C$9, HUAWEI製ＰＣＳ接続枚数計算ツール!$B$119:$P$149,12,FALSE))&lt;0),0,IF(ROUNDDOWN((標準電圧!G6*標準電圧!G$2-VLOOKUP(HUAWEI製ＰＣＳ接続枚数計算ツール!$C$9,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HUAWEI製ＰＣＳ接続枚数計算ツール!$B$119:$P$149,14,FALSE),0)/100&gt;=IF(過積載率!G6&gt;1,1,過積載率!G6),1,0))</f>
        <v>0</v>
      </c>
      <c r="H6">
        <f>IF(OR(過積載率!H6=0,(標準電圧!H6*標準電圧!H$2-VLOOKUP(HUAWEI製ＰＣＳ接続枚数計算ツール!$C$9, HUAWEI製ＰＣＳ接続枚数計算ツール!$B$119:$P$149,12,FALSE))&lt;0),0,IF(ROUNDDOWN((標準電圧!H6*標準電圧!H$2-VLOOKUP(HUAWEI製ＰＣＳ接続枚数計算ツール!$C$9,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HUAWEI製ＰＣＳ接続枚数計算ツール!$B$119:$P$149,14,FALSE),0)/100&gt;=IF(過積載率!H6&gt;1,1,過積載率!H6),1,0))</f>
        <v>0</v>
      </c>
      <c r="I6">
        <f>IF(OR(過積載率!I6=0,(標準電圧!I6*標準電圧!I$2-VLOOKUP(HUAWEI製ＰＣＳ接続枚数計算ツール!$C$9, HUAWEI製ＰＣＳ接続枚数計算ツール!$B$119:$P$149,12,FALSE))&lt;0),0,IF(ROUNDDOWN((標準電圧!I6*標準電圧!I$2-VLOOKUP(HUAWEI製ＰＣＳ接続枚数計算ツール!$C$9,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HUAWEI製ＰＣＳ接続枚数計算ツール!$B$119:$P$149,14,FALSE),0)/100&gt;=IF(過積載率!I6&gt;1,1,過積載率!I6),1,0))</f>
        <v>0</v>
      </c>
      <c r="J6">
        <f>IF(OR(過積載率!J6=0,(標準電圧!J6*標準電圧!J$2-VLOOKUP(HUAWEI製ＰＣＳ接続枚数計算ツール!$C$9, HUAWEI製ＰＣＳ接続枚数計算ツール!$B$119:$P$149,12,FALSE))&lt;0),0,IF(ROUNDDOWN((標準電圧!J6*標準電圧!J$2-VLOOKUP(HUAWEI製ＰＣＳ接続枚数計算ツール!$C$9,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HUAWEI製ＰＣＳ接続枚数計算ツール!$B$119:$P$149,14,FALSE),0)/100&gt;=IF(過積載率!J6&gt;1,1,過積載率!J6),1,0))</f>
        <v>0</v>
      </c>
      <c r="K6">
        <f>IF(OR(過積載率!K6=0,(標準電圧!K6*標準電圧!K$2-VLOOKUP(HUAWEI製ＰＣＳ接続枚数計算ツール!$C$9, HUAWEI製ＰＣＳ接続枚数計算ツール!$B$119:$P$149,12,FALSE))&lt;0),0,IF(ROUNDDOWN((標準電圧!K6*標準電圧!K$2-VLOOKUP(HUAWEI製ＰＣＳ接続枚数計算ツール!$C$9,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HUAWEI製ＰＣＳ接続枚数計算ツール!$B$119:$P$149,14,FALSE),0)/100&gt;=IF(過積載率!K6&gt;1,1,過積載率!K6),1,0))</f>
        <v>0</v>
      </c>
      <c r="L6">
        <f>IF(OR(過積載率!L6=0,(標準電圧!L6*標準電圧!L$2-VLOOKUP(HUAWEI製ＰＣＳ接続枚数計算ツール!$C$9, HUAWEI製ＰＣＳ接続枚数計算ツール!$B$119:$P$149,12,FALSE))&lt;0),0,IF(ROUNDDOWN((標準電圧!L6*標準電圧!L$2-VLOOKUP(HUAWEI製ＰＣＳ接続枚数計算ツール!$C$9,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HUAWEI製ＰＣＳ接続枚数計算ツール!$B$119:$P$149,14,FALSE),0)/100&gt;=IF(過積載率!L6&gt;1,1,過積載率!L6),1,0))</f>
        <v>0</v>
      </c>
      <c r="M6">
        <f>IF(OR(過積載率!M6=0,(標準電圧!M6*標準電圧!M$2-VLOOKUP(HUAWEI製ＰＣＳ接続枚数計算ツール!$C$9, HUAWEI製ＰＣＳ接続枚数計算ツール!$B$119:$P$149,12,FALSE))&lt;0),0,IF(ROUNDDOWN((標準電圧!M6*標準電圧!M$2-VLOOKUP(HUAWEI製ＰＣＳ接続枚数計算ツール!$C$9,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HUAWEI製ＰＣＳ接続枚数計算ツール!$B$119:$P$149,14,FALSE),0)/100&gt;=IF(過積載率!M6&gt;1,1,過積載率!M6),1,0))</f>
        <v>1</v>
      </c>
      <c r="N6">
        <f>IF(OR(過積載率!N6=0,(標準電圧!N6*標準電圧!N$2-VLOOKUP(HUAWEI製ＰＣＳ接続枚数計算ツール!$C$9, HUAWEI製ＰＣＳ接続枚数計算ツール!$B$119:$P$149,12,FALSE))&lt;0),0,IF(ROUNDDOWN((標準電圧!N6*標準電圧!N$2-VLOOKUP(HUAWEI製ＰＣＳ接続枚数計算ツール!$C$9,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HUAWEI製ＰＣＳ接続枚数計算ツール!$B$119:$P$149,14,FALSE),0)/100&gt;=IF(過積載率!N6&gt;1,1,過積載率!N6),1,0))</f>
        <v>1</v>
      </c>
      <c r="O6">
        <f>IF(OR(過積載率!O6=0,(標準電圧!O6*標準電圧!O$2-VLOOKUP(HUAWEI製ＰＣＳ接続枚数計算ツール!$C$9, HUAWEI製ＰＣＳ接続枚数計算ツール!$B$119:$P$149,12,FALSE))&lt;0),0,IF(ROUNDDOWN((標準電圧!O6*標準電圧!O$2-VLOOKUP(HUAWEI製ＰＣＳ接続枚数計算ツール!$C$9,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HUAWEI製ＰＣＳ接続枚数計算ツール!$B$119:$P$149,14,FALSE),0)/100&gt;=IF(過積載率!O6&gt;1,1,過積載率!O6),1,0))</f>
        <v>1</v>
      </c>
      <c r="P6">
        <f>IF(OR(過積載率!P6=0,(標準電圧!P6*標準電圧!P$2-VLOOKUP(HUAWEI製ＰＣＳ接続枚数計算ツール!$C$9, HUAWEI製ＰＣＳ接続枚数計算ツール!$B$119:$P$149,12,FALSE))&lt;0),0,IF(ROUNDDOWN((標準電圧!P6*標準電圧!P$2-VLOOKUP(HUAWEI製ＰＣＳ接続枚数計算ツール!$C$9,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HUAWEI製ＰＣＳ接続枚数計算ツール!$B$119:$P$149,14,FALSE),0)/100&gt;=IF(過積載率!P6&gt;1,1,過積載率!P6),1,0))</f>
        <v>1</v>
      </c>
      <c r="Q6">
        <f>IF(OR(過積載率!Q6=0,(標準電圧!Q6*標準電圧!Q$2-VLOOKUP(HUAWEI製ＰＣＳ接続枚数計算ツール!$C$9, HUAWEI製ＰＣＳ接続枚数計算ツール!$B$119:$P$149,12,FALSE))&lt;0),0,IF(ROUNDDOWN((標準電圧!Q6*標準電圧!Q$2-VLOOKUP(HUAWEI製ＰＣＳ接続枚数計算ツール!$C$9,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HUAWEI製ＰＣＳ接続枚数計算ツール!$B$119:$P$149,14,FALSE),0)/100&gt;=IF(過積載率!Q6&gt;1,1,過積載率!Q6),1,0))</f>
        <v>1</v>
      </c>
      <c r="R6">
        <f>IF(OR(過積載率!R6=0,(標準電圧!R6*標準電圧!R$2-VLOOKUP(HUAWEI製ＰＣＳ接続枚数計算ツール!$C$9, HUAWEI製ＰＣＳ接続枚数計算ツール!$B$119:$P$149,12,FALSE))&lt;0),0,IF(ROUNDDOWN((標準電圧!R6*標準電圧!R$2-VLOOKUP(HUAWEI製ＰＣＳ接続枚数計算ツール!$C$9,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HUAWEI製ＰＣＳ接続枚数計算ツール!$B$119:$P$149,14,FALSE),0)/100&gt;=IF(過積載率!R6&gt;1,1,過積載率!R6),1,0))</f>
        <v>1</v>
      </c>
      <c r="S6">
        <f>IF(OR(過積載率!S6=0,(標準電圧!S6*標準電圧!S$2-VLOOKUP(HUAWEI製ＰＣＳ接続枚数計算ツール!$C$9, HUAWEI製ＰＣＳ接続枚数計算ツール!$B$119:$P$149,12,FALSE))&lt;0),0,IF(ROUNDDOWN((標準電圧!S6*標準電圧!S$2-VLOOKUP(HUAWEI製ＰＣＳ接続枚数計算ツール!$C$9,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HUAWEI製ＰＣＳ接続枚数計算ツール!$B$119:$P$149,14,FALSE),0)/100&gt;=IF(過積載率!S6&gt;1,1,過積載率!S6),1,0))</f>
        <v>1</v>
      </c>
      <c r="T6">
        <f>IF(OR(過積載率!T6=0,(標準電圧!T6*標準電圧!T$2-VLOOKUP(HUAWEI製ＰＣＳ接続枚数計算ツール!$C$9, HUAWEI製ＰＣＳ接続枚数計算ツール!$B$119:$P$149,12,FALSE))&lt;0),0,IF(ROUNDDOWN((標準電圧!T6*標準電圧!T$2-VLOOKUP(HUAWEI製ＰＣＳ接続枚数計算ツール!$C$9,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HUAWEI製ＰＣＳ接続枚数計算ツール!$B$119:$P$149,14,FALSE),0)/100&gt;=IF(過積載率!T6&gt;1,1,過積載率!T6),1,0))</f>
        <v>1</v>
      </c>
      <c r="U6">
        <f>IF(OR(過積載率!U6=0,(標準電圧!U6*標準電圧!U$2-VLOOKUP(HUAWEI製ＰＣＳ接続枚数計算ツール!$C$9, HUAWEI製ＰＣＳ接続枚数計算ツール!$B$119:$P$149,12,FALSE))&lt;0),0,IF(ROUNDDOWN((標準電圧!U6*標準電圧!U$2-VLOOKUP(HUAWEI製ＰＣＳ接続枚数計算ツール!$C$9,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HUAWEI製ＰＣＳ接続枚数計算ツール!$B$119:$P$149,14,FALSE),0)/100&gt;=IF(過積載率!U6&gt;1,1,過積載率!U6),1,0))</f>
        <v>1</v>
      </c>
      <c r="V6">
        <f>IF(OR(過積載率!V6=0,(標準電圧!V6*標準電圧!V$2-VLOOKUP(HUAWEI製ＰＣＳ接続枚数計算ツール!$C$9, HUAWEI製ＰＣＳ接続枚数計算ツール!$B$119:$P$149,12,FALSE))&lt;0),0,IF(ROUNDDOWN((標準電圧!V6*標準電圧!V$2-VLOOKUP(HUAWEI製ＰＣＳ接続枚数計算ツール!$C$9,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HUAWEI製ＰＣＳ接続枚数計算ツール!$B$119:$P$149,14,FALSE),0)/100&gt;=IF(過積載率!V6&gt;1,1,過積載率!V6),1,0))</f>
        <v>1</v>
      </c>
      <c r="W6">
        <f>IF(OR(過積載率!W6=0,(標準電圧!W6*標準電圧!W$2-VLOOKUP(HUAWEI製ＰＣＳ接続枚数計算ツール!$C$9, HUAWEI製ＰＣＳ接続枚数計算ツール!$B$119:$P$149,12,FALSE))&lt;0),0,IF(ROUNDDOWN((標準電圧!W6*標準電圧!W$2-VLOOKUP(HUAWEI製ＰＣＳ接続枚数計算ツール!$C$9,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HUAWEI製ＰＣＳ接続枚数計算ツール!$B$119:$P$149,14,FALSE),0)/100&gt;=IF(過積載率!W6&gt;1,1,過積載率!W6),1,0))</f>
        <v>1</v>
      </c>
      <c r="X6">
        <f>IF(OR(過積載率!X6=0,(標準電圧!X6*標準電圧!X$2-VLOOKUP(HUAWEI製ＰＣＳ接続枚数計算ツール!$C$9, HUAWEI製ＰＣＳ接続枚数計算ツール!$B$119:$P$149,12,FALSE))&lt;0),0,IF(ROUNDDOWN((標準電圧!X6*標準電圧!X$2-VLOOKUP(HUAWEI製ＰＣＳ接続枚数計算ツール!$C$9,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HUAWEI製ＰＣＳ接続枚数計算ツール!$B$119:$P$149,14,FALSE),0)/100&gt;=IF(過積載率!X6&gt;1,1,過積載率!X6),1,0))</f>
        <v>1</v>
      </c>
      <c r="Y6">
        <f>IF(OR(過積載率!Y6=0,(標準電圧!Y6*標準電圧!Y$2-VLOOKUP(HUAWEI製ＰＣＳ接続枚数計算ツール!$C$9, HUAWEI製ＰＣＳ接続枚数計算ツール!$B$119:$P$149,12,FALSE))&lt;0),0,IF(ROUNDDOWN((標準電圧!Y6*標準電圧!Y$2-VLOOKUP(HUAWEI製ＰＣＳ接続枚数計算ツール!$C$9,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HUAWEI製ＰＣＳ接続枚数計算ツール!$B$119:$P$149,14,FALSE),0)/100&gt;=IF(過積載率!Y6&gt;1,1,過積載率!Y6),1,0))</f>
        <v>1</v>
      </c>
      <c r="Z6">
        <f>IF(OR(過積載率!Z6=0,(標準電圧!Z6*標準電圧!Z$2-VLOOKUP(HUAWEI製ＰＣＳ接続枚数計算ツール!$C$9, HUAWEI製ＰＣＳ接続枚数計算ツール!$B$119:$P$149,12,FALSE))&lt;0),0,IF(ROUNDDOWN((標準電圧!Z6*標準電圧!Z$2-VLOOKUP(HUAWEI製ＰＣＳ接続枚数計算ツール!$C$9,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HUAWEI製ＰＣＳ接続枚数計算ツール!$B$119:$P$149,14,FALSE),0)/100&gt;=IF(過積載率!Z6&gt;1,1,過積載率!Z6),1,0))</f>
        <v>1</v>
      </c>
      <c r="AA6">
        <f>IF(OR(過積載率!AA6=0,(標準電圧!AA6*標準電圧!AA$2-VLOOKUP(HUAWEI製ＰＣＳ接続枚数計算ツール!$C$9, HUAWEI製ＰＣＳ接続枚数計算ツール!$B$119:$P$149,12,FALSE))&lt;0),0,IF(ROUNDDOWN((標準電圧!AA6*標準電圧!AA$2-VLOOKUP(HUAWEI製ＰＣＳ接続枚数計算ツール!$C$9,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HUAWEI製ＰＣＳ接続枚数計算ツール!$B$119:$P$149,14,FALSE),0)/100&gt;=IF(過積載率!AA6&gt;1,1,過積載率!AA6),1,0))</f>
        <v>1</v>
      </c>
      <c r="AB6">
        <f>IF(OR(過積載率!AB6=0,(標準電圧!AB6*標準電圧!AB$2-VLOOKUP(HUAWEI製ＰＣＳ接続枚数計算ツール!$C$9, HUAWEI製ＰＣＳ接続枚数計算ツール!$B$119:$P$149,12,FALSE))&lt;0),0,IF(ROUNDDOWN((標準電圧!AB6*標準電圧!AB$2-VLOOKUP(HUAWEI製ＰＣＳ接続枚数計算ツール!$C$9,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HUAWEI製ＰＣＳ接続枚数計算ツール!$B$119:$P$149,14,FALSE),0)/100&gt;=IF(過積載率!AB6&gt;1,1,過積載率!AB6),1,0))</f>
        <v>1</v>
      </c>
      <c r="AC6">
        <f>IF(OR(過積載率!AC6=0,(標準電圧!AC6*標準電圧!AC$2-VLOOKUP(HUAWEI製ＰＣＳ接続枚数計算ツール!$C$9, HUAWEI製ＰＣＳ接続枚数計算ツール!$B$119:$P$149,12,FALSE))&lt;0),0,IF(ROUNDDOWN((標準電圧!AC6*標準電圧!AC$2-VLOOKUP(HUAWEI製ＰＣＳ接続枚数計算ツール!$C$9,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HUAWEI製ＰＣＳ接続枚数計算ツール!$B$119:$P$149,14,FALSE),0)/100&gt;=IF(過積載率!AC6&gt;1,1,過積載率!AC6),1,0))</f>
        <v>1</v>
      </c>
      <c r="AD6">
        <f>IF(OR(過積載率!AD6=0,(標準電圧!AD6*標準電圧!AD$2-VLOOKUP(HUAWEI製ＰＣＳ接続枚数計算ツール!$C$9, HUAWEI製ＰＣＳ接続枚数計算ツール!$B$119:$P$149,12,FALSE))&lt;0),0,IF(ROUNDDOWN((標準電圧!AD6*標準電圧!AD$2-VLOOKUP(HUAWEI製ＰＣＳ接続枚数計算ツール!$C$9,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HUAWEI製ＰＣＳ接続枚数計算ツール!$B$119:$P$149,14,FALSE),0)/100&gt;=IF(過積載率!AD6&gt;1,1,過積載率!AD6),1,0))</f>
        <v>1</v>
      </c>
      <c r="AE6">
        <f>IF(OR(過積載率!AE6=0,(標準電圧!AE6*標準電圧!AE$2-VLOOKUP(HUAWEI製ＰＣＳ接続枚数計算ツール!$C$9, HUAWEI製ＰＣＳ接続枚数計算ツール!$B$119:$P$149,12,FALSE))&lt;0),0,IF(ROUNDDOWN((標準電圧!AE6*標準電圧!AE$2-VLOOKUP(HUAWEI製ＰＣＳ接続枚数計算ツール!$C$9,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HUAWEI製ＰＣＳ接続枚数計算ツール!$B$119:$P$149,14,FALSE),0)/100&gt;=IF(過積載率!AE6&gt;1,1,過積載率!AE6),1,0))</f>
        <v>1</v>
      </c>
      <c r="AF6">
        <f>IF(OR(過積載率!AF6=0,(標準電圧!AF6*標準電圧!AF$2-VLOOKUP(HUAWEI製ＰＣＳ接続枚数計算ツール!$C$9, HUAWEI製ＰＣＳ接続枚数計算ツール!$B$119:$P$149,12,FALSE))&lt;0),0,IF(ROUNDDOWN((標準電圧!AF6*標準電圧!AF$2-VLOOKUP(HUAWEI製ＰＣＳ接続枚数計算ツール!$C$9,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HUAWEI製ＰＣＳ接続枚数計算ツール!$B$119:$P$149,14,FALSE),0)/100&gt;=IF(過積載率!AF6&gt;1,1,過積載率!AF6),1,0))</f>
        <v>1</v>
      </c>
      <c r="AG6">
        <f>IF(OR(過積載率!AG6=0,(標準電圧!AG6*標準電圧!AG$2-VLOOKUP(HUAWEI製ＰＣＳ接続枚数計算ツール!$C$9, HUAWEI製ＰＣＳ接続枚数計算ツール!$B$119:$P$149,12,FALSE))&lt;0),0,IF(ROUNDDOWN((標準電圧!AG6*標準電圧!AG$2-VLOOKUP(HUAWEI製ＰＣＳ接続枚数計算ツール!$C$9,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HUAWEI製ＰＣＳ接続枚数計算ツール!$B$119:$P$149,14,FALSE),0)/100&gt;=IF(過積載率!AG6&gt;1,1,過積載率!AG6),1,0))</f>
        <v>1</v>
      </c>
      <c r="AH6">
        <f>IF(OR(過積載率!AH6=0,(標準電圧!AH6*標準電圧!AH$2-VLOOKUP(HUAWEI製ＰＣＳ接続枚数計算ツール!$C$9, HUAWEI製ＰＣＳ接続枚数計算ツール!$B$119:$P$149,12,FALSE))&lt;0),0,IF(ROUNDDOWN((標準電圧!AH6*標準電圧!AH$2-VLOOKUP(HUAWEI製ＰＣＳ接続枚数計算ツール!$C$9,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HUAWEI製ＰＣＳ接続枚数計算ツール!$B$119:$P$149,14,FALSE),0)/100&gt;=IF(過積載率!AH6&gt;1,1,過積載率!AH6),1,0))</f>
        <v>1</v>
      </c>
      <c r="AI6">
        <f>IF(OR(過積載率!AI6=0,(標準電圧!AI6*標準電圧!AI$2-VLOOKUP(HUAWEI製ＰＣＳ接続枚数計算ツール!$C$9, HUAWEI製ＰＣＳ接続枚数計算ツール!$B$119:$P$149,12,FALSE))&lt;0),0,IF(ROUNDDOWN((標準電圧!AI6*標準電圧!AI$2-VLOOKUP(HUAWEI製ＰＣＳ接続枚数計算ツール!$C$9,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HUAWEI製ＰＣＳ接続枚数計算ツール!$B$119:$P$149,14,FALSE),0)/100&gt;=IF(過積載率!AI6&gt;1,1,過積載率!AI6),1,0))</f>
        <v>1</v>
      </c>
      <c r="AJ6">
        <f>IF(OR(過積載率!AJ6=0,(標準電圧!AJ6*標準電圧!AJ$2-VLOOKUP(HUAWEI製ＰＣＳ接続枚数計算ツール!$C$9, HUAWEI製ＰＣＳ接続枚数計算ツール!$B$119:$P$149,12,FALSE))&lt;0),0,IF(ROUNDDOWN((標準電圧!AJ6*標準電圧!AJ$2-VLOOKUP(HUAWEI製ＰＣＳ接続枚数計算ツール!$C$9,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HUAWEI製ＰＣＳ接続枚数計算ツール!$B$119:$P$149,14,FALSE),0)/100&gt;=IF(過積載率!AJ6&gt;1,1,過積載率!AJ6),1,0))</f>
        <v>1</v>
      </c>
      <c r="AK6">
        <f>IF(OR(過積載率!AK6=0,(標準電圧!AK6*標準電圧!AK$2-VLOOKUP(HUAWEI製ＰＣＳ接続枚数計算ツール!$C$9, HUAWEI製ＰＣＳ接続枚数計算ツール!$B$119:$P$149,12,FALSE))&lt;0),0,IF(ROUNDDOWN((標準電圧!AK6*標準電圧!AK$2-VLOOKUP(HUAWEI製ＰＣＳ接続枚数計算ツール!$C$9,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HUAWEI製ＰＣＳ接続枚数計算ツール!$B$119:$P$149,14,FALSE),0)/100&gt;=IF(過積載率!AK6&gt;1,1,過積載率!AK6),1,0))</f>
        <v>1</v>
      </c>
      <c r="AL6">
        <f>IF(OR(過積載率!AL6=0,(標準電圧!AL6*標準電圧!AL$2-VLOOKUP(HUAWEI製ＰＣＳ接続枚数計算ツール!$C$9, HUAWEI製ＰＣＳ接続枚数計算ツール!$B$119:$P$149,12,FALSE))&lt;0),0,IF(ROUNDDOWN((標準電圧!AL6*標準電圧!AL$2-VLOOKUP(HUAWEI製ＰＣＳ接続枚数計算ツール!$C$9,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HUAWEI製ＰＣＳ接続枚数計算ツール!$B$119:$P$149,14,FALSE),0)/100&gt;=IF(過積載率!AL6&gt;1,1,過積載率!AL6),1,0))</f>
        <v>1</v>
      </c>
      <c r="AM6">
        <f>IF(OR(過積載率!AM6=0,(標準電圧!AM6*標準電圧!AM$2-VLOOKUP(HUAWEI製ＰＣＳ接続枚数計算ツール!$C$9, HUAWEI製ＰＣＳ接続枚数計算ツール!$B$119:$P$149,12,FALSE))&lt;0),0,IF(ROUNDDOWN((標準電圧!AM6*標準電圧!AM$2-VLOOKUP(HUAWEI製ＰＣＳ接続枚数計算ツール!$C$9,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HUAWEI製ＰＣＳ接続枚数計算ツール!$B$119:$P$149,14,FALSE),0)/100&gt;=IF(過積載率!AM6&gt;1,1,過積載率!AM6),1,0))</f>
        <v>1</v>
      </c>
      <c r="AN6">
        <f>IF(OR(過積載率!AN6=0,(標準電圧!AN6*標準電圧!AN$2-VLOOKUP(HUAWEI製ＰＣＳ接続枚数計算ツール!$C$9, HUAWEI製ＰＣＳ接続枚数計算ツール!$B$119:$P$149,12,FALSE))&lt;0),0,IF(ROUNDDOWN((標準電圧!AN6*標準電圧!AN$2-VLOOKUP(HUAWEI製ＰＣＳ接続枚数計算ツール!$C$9,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HUAWEI製ＰＣＳ接続枚数計算ツール!$B$119:$P$149,14,FALSE),0)/100&gt;=IF(過積載率!AN6&gt;1,1,過積載率!AN6),1,0))</f>
        <v>1</v>
      </c>
      <c r="AO6">
        <f>IF(OR(過積載率!AO6=0,(標準電圧!AO6*標準電圧!AO$2-VLOOKUP(HUAWEI製ＰＣＳ接続枚数計算ツール!$C$9, HUAWEI製ＰＣＳ接続枚数計算ツール!$B$119:$P$149,12,FALSE))&lt;0),0,IF(ROUNDDOWN((標準電圧!AO6*標準電圧!AO$2-VLOOKUP(HUAWEI製ＰＣＳ接続枚数計算ツール!$C$9,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HUAWEI製ＰＣＳ接続枚数計算ツール!$B$119:$P$149,14,FALSE),0)/100&gt;=IF(過積載率!AO6&gt;1,1,過積載率!AO6),1,0))</f>
        <v>1</v>
      </c>
    </row>
    <row r="7" spans="1:41">
      <c r="A7">
        <v>5</v>
      </c>
      <c r="B7">
        <f>IF(OR(過積載率!B7=0,(標準電圧!B7*標準電圧!B$2-VLOOKUP(HUAWEI製ＰＣＳ接続枚数計算ツール!$C$9, HUAWEI製ＰＣＳ接続枚数計算ツール!$B$119:$P$149,12,FALSE))&lt;0),0,IF(ROUNDDOWN((標準電圧!B7*標準電圧!B$2-VLOOKUP(HUAWEI製ＰＣＳ接続枚数計算ツール!$C$9,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HUAWEI製ＰＣＳ接続枚数計算ツール!$B$119:$P$149,14,FALSE),0)/100&gt;=IF(過積載率!B7&gt;1,1,過積載率!B7),1,0))</f>
        <v>0</v>
      </c>
      <c r="C7">
        <f>IF(OR(過積載率!C7=0,(標準電圧!C7*標準電圧!C$2-VLOOKUP(HUAWEI製ＰＣＳ接続枚数計算ツール!$C$9, HUAWEI製ＰＣＳ接続枚数計算ツール!$B$119:$P$149,12,FALSE))&lt;0),0,IF(ROUNDDOWN((標準電圧!C7*標準電圧!C$2-VLOOKUP(HUAWEI製ＰＣＳ接続枚数計算ツール!$C$9,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HUAWEI製ＰＣＳ接続枚数計算ツール!$B$119:$P$149,14,FALSE),0)/100&gt;=IF(過積載率!C7&gt;1,1,過積載率!C7),1,0))</f>
        <v>0</v>
      </c>
      <c r="D7">
        <f>IF(OR(過積載率!D7=0,(標準電圧!D7*標準電圧!D$2-VLOOKUP(HUAWEI製ＰＣＳ接続枚数計算ツール!$C$9, HUAWEI製ＰＣＳ接続枚数計算ツール!$B$119:$P$149,12,FALSE))&lt;0),0,IF(ROUNDDOWN((標準電圧!D7*標準電圧!D$2-VLOOKUP(HUAWEI製ＰＣＳ接続枚数計算ツール!$C$9,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HUAWEI製ＰＣＳ接続枚数計算ツール!$B$119:$P$149,14,FALSE),0)/100&gt;=IF(過積載率!D7&gt;1,1,過積載率!D7),1,0))</f>
        <v>0</v>
      </c>
      <c r="E7">
        <f>IF(OR(過積載率!E7=0,(標準電圧!E7*標準電圧!E$2-VLOOKUP(HUAWEI製ＰＣＳ接続枚数計算ツール!$C$9, HUAWEI製ＰＣＳ接続枚数計算ツール!$B$119:$P$149,12,FALSE))&lt;0),0,IF(ROUNDDOWN((標準電圧!E7*標準電圧!E$2-VLOOKUP(HUAWEI製ＰＣＳ接続枚数計算ツール!$C$9,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HUAWEI製ＰＣＳ接続枚数計算ツール!$B$119:$P$149,14,FALSE),0)/100&gt;=IF(過積載率!E7&gt;1,1,過積載率!E7),1,0))</f>
        <v>0</v>
      </c>
      <c r="F7">
        <f>IF(OR(過積載率!F7=0,(標準電圧!F7*標準電圧!F$2-VLOOKUP(HUAWEI製ＰＣＳ接続枚数計算ツール!$C$9, HUAWEI製ＰＣＳ接続枚数計算ツール!$B$119:$P$149,12,FALSE))&lt;0),0,IF(ROUNDDOWN((標準電圧!F7*標準電圧!F$2-VLOOKUP(HUAWEI製ＰＣＳ接続枚数計算ツール!$C$9,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HUAWEI製ＰＣＳ接続枚数計算ツール!$B$119:$P$149,14,FALSE),0)/100&gt;=IF(過積載率!F7&gt;1,1,過積載率!F7),1,0))</f>
        <v>0</v>
      </c>
      <c r="G7">
        <f>IF(OR(過積載率!G7=0,(標準電圧!G7*標準電圧!G$2-VLOOKUP(HUAWEI製ＰＣＳ接続枚数計算ツール!$C$9, HUAWEI製ＰＣＳ接続枚数計算ツール!$B$119:$P$149,12,FALSE))&lt;0),0,IF(ROUNDDOWN((標準電圧!G7*標準電圧!G$2-VLOOKUP(HUAWEI製ＰＣＳ接続枚数計算ツール!$C$9,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HUAWEI製ＰＣＳ接続枚数計算ツール!$B$119:$P$149,14,FALSE),0)/100&gt;=IF(過積載率!G7&gt;1,1,過積載率!G7),1,0))</f>
        <v>0</v>
      </c>
      <c r="H7">
        <f>IF(OR(過積載率!H7=0,(標準電圧!H7*標準電圧!H$2-VLOOKUP(HUAWEI製ＰＣＳ接続枚数計算ツール!$C$9, HUAWEI製ＰＣＳ接続枚数計算ツール!$B$119:$P$149,12,FALSE))&lt;0),0,IF(ROUNDDOWN((標準電圧!H7*標準電圧!H$2-VLOOKUP(HUAWEI製ＰＣＳ接続枚数計算ツール!$C$9,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HUAWEI製ＰＣＳ接続枚数計算ツール!$B$119:$P$149,14,FALSE),0)/100&gt;=IF(過積載率!H7&gt;1,1,過積載率!H7),1,0))</f>
        <v>0</v>
      </c>
      <c r="I7">
        <f>IF(OR(過積載率!I7=0,(標準電圧!I7*標準電圧!I$2-VLOOKUP(HUAWEI製ＰＣＳ接続枚数計算ツール!$C$9, HUAWEI製ＰＣＳ接続枚数計算ツール!$B$119:$P$149,12,FALSE))&lt;0),0,IF(ROUNDDOWN((標準電圧!I7*標準電圧!I$2-VLOOKUP(HUAWEI製ＰＣＳ接続枚数計算ツール!$C$9,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HUAWEI製ＰＣＳ接続枚数計算ツール!$B$119:$P$149,14,FALSE),0)/100&gt;=IF(過積載率!I7&gt;1,1,過積載率!I7),1,0))</f>
        <v>0</v>
      </c>
      <c r="J7">
        <f>IF(OR(過積載率!J7=0,(標準電圧!J7*標準電圧!J$2-VLOOKUP(HUAWEI製ＰＣＳ接続枚数計算ツール!$C$9, HUAWEI製ＰＣＳ接続枚数計算ツール!$B$119:$P$149,12,FALSE))&lt;0),0,IF(ROUNDDOWN((標準電圧!J7*標準電圧!J$2-VLOOKUP(HUAWEI製ＰＣＳ接続枚数計算ツール!$C$9,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HUAWEI製ＰＣＳ接続枚数計算ツール!$B$119:$P$149,14,FALSE),0)/100&gt;=IF(過積載率!J7&gt;1,1,過積載率!J7),1,0))</f>
        <v>0</v>
      </c>
      <c r="K7">
        <f>IF(OR(過積載率!K7=0,(標準電圧!K7*標準電圧!K$2-VLOOKUP(HUAWEI製ＰＣＳ接続枚数計算ツール!$C$9, HUAWEI製ＰＣＳ接続枚数計算ツール!$B$119:$P$149,12,FALSE))&lt;0),0,IF(ROUNDDOWN((標準電圧!K7*標準電圧!K$2-VLOOKUP(HUAWEI製ＰＣＳ接続枚数計算ツール!$C$9,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HUAWEI製ＰＣＳ接続枚数計算ツール!$B$119:$P$149,14,FALSE),0)/100&gt;=IF(過積載率!K7&gt;1,1,過積載率!K7),1,0))</f>
        <v>0</v>
      </c>
      <c r="L7">
        <f>IF(OR(過積載率!L7=0,(標準電圧!L7*標準電圧!L$2-VLOOKUP(HUAWEI製ＰＣＳ接続枚数計算ツール!$C$9, HUAWEI製ＰＣＳ接続枚数計算ツール!$B$119:$P$149,12,FALSE))&lt;0),0,IF(ROUNDDOWN((標準電圧!L7*標準電圧!L$2-VLOOKUP(HUAWEI製ＰＣＳ接続枚数計算ツール!$C$9,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HUAWEI製ＰＣＳ接続枚数計算ツール!$B$119:$P$149,14,FALSE),0)/100&gt;=IF(過積載率!L7&gt;1,1,過積載率!L7),1,0))</f>
        <v>0</v>
      </c>
      <c r="M7">
        <f>IF(OR(過積載率!M7=0,(標準電圧!M7*標準電圧!M$2-VLOOKUP(HUAWEI製ＰＣＳ接続枚数計算ツール!$C$9, HUAWEI製ＰＣＳ接続枚数計算ツール!$B$119:$P$149,12,FALSE))&lt;0),0,IF(ROUNDDOWN((標準電圧!M7*標準電圧!M$2-VLOOKUP(HUAWEI製ＰＣＳ接続枚数計算ツール!$C$9,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HUAWEI製ＰＣＳ接続枚数計算ツール!$B$119:$P$149,14,FALSE),0)/100&gt;=IF(過積載率!M7&gt;1,1,過積載率!M7),1,0))</f>
        <v>1</v>
      </c>
      <c r="N7">
        <f>IF(OR(過積載率!N7=0,(標準電圧!N7*標準電圧!N$2-VLOOKUP(HUAWEI製ＰＣＳ接続枚数計算ツール!$C$9, HUAWEI製ＰＣＳ接続枚数計算ツール!$B$119:$P$149,12,FALSE))&lt;0),0,IF(ROUNDDOWN((標準電圧!N7*標準電圧!N$2-VLOOKUP(HUAWEI製ＰＣＳ接続枚数計算ツール!$C$9,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HUAWEI製ＰＣＳ接続枚数計算ツール!$B$119:$P$149,14,FALSE),0)/100&gt;=IF(過積載率!N7&gt;1,1,過積載率!N7),1,0))</f>
        <v>1</v>
      </c>
      <c r="O7">
        <f>IF(OR(過積載率!O7=0,(標準電圧!O7*標準電圧!O$2-VLOOKUP(HUAWEI製ＰＣＳ接続枚数計算ツール!$C$9, HUAWEI製ＰＣＳ接続枚数計算ツール!$B$119:$P$149,12,FALSE))&lt;0),0,IF(ROUNDDOWN((標準電圧!O7*標準電圧!O$2-VLOOKUP(HUAWEI製ＰＣＳ接続枚数計算ツール!$C$9,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HUAWEI製ＰＣＳ接続枚数計算ツール!$B$119:$P$149,14,FALSE),0)/100&gt;=IF(過積載率!O7&gt;1,1,過積載率!O7),1,0))</f>
        <v>1</v>
      </c>
      <c r="P7">
        <f>IF(OR(過積載率!P7=0,(標準電圧!P7*標準電圧!P$2-VLOOKUP(HUAWEI製ＰＣＳ接続枚数計算ツール!$C$9, HUAWEI製ＰＣＳ接続枚数計算ツール!$B$119:$P$149,12,FALSE))&lt;0),0,IF(ROUNDDOWN((標準電圧!P7*標準電圧!P$2-VLOOKUP(HUAWEI製ＰＣＳ接続枚数計算ツール!$C$9,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HUAWEI製ＰＣＳ接続枚数計算ツール!$B$119:$P$149,14,FALSE),0)/100&gt;=IF(過積載率!P7&gt;1,1,過積載率!P7),1,0))</f>
        <v>1</v>
      </c>
      <c r="Q7">
        <f>IF(OR(過積載率!Q7=0,(標準電圧!Q7*標準電圧!Q$2-VLOOKUP(HUAWEI製ＰＣＳ接続枚数計算ツール!$C$9, HUAWEI製ＰＣＳ接続枚数計算ツール!$B$119:$P$149,12,FALSE))&lt;0),0,IF(ROUNDDOWN((標準電圧!Q7*標準電圧!Q$2-VLOOKUP(HUAWEI製ＰＣＳ接続枚数計算ツール!$C$9,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HUAWEI製ＰＣＳ接続枚数計算ツール!$B$119:$P$149,14,FALSE),0)/100&gt;=IF(過積載率!Q7&gt;1,1,過積載率!Q7),1,0))</f>
        <v>1</v>
      </c>
      <c r="R7">
        <f>IF(OR(過積載率!R7=0,(標準電圧!R7*標準電圧!R$2-VLOOKUP(HUAWEI製ＰＣＳ接続枚数計算ツール!$C$9, HUAWEI製ＰＣＳ接続枚数計算ツール!$B$119:$P$149,12,FALSE))&lt;0),0,IF(ROUNDDOWN((標準電圧!R7*標準電圧!R$2-VLOOKUP(HUAWEI製ＰＣＳ接続枚数計算ツール!$C$9,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HUAWEI製ＰＣＳ接続枚数計算ツール!$B$119:$P$149,14,FALSE),0)/100&gt;=IF(過積載率!R7&gt;1,1,過積載率!R7),1,0))</f>
        <v>1</v>
      </c>
      <c r="S7">
        <f>IF(OR(過積載率!S7=0,(標準電圧!S7*標準電圧!S$2-VLOOKUP(HUAWEI製ＰＣＳ接続枚数計算ツール!$C$9, HUAWEI製ＰＣＳ接続枚数計算ツール!$B$119:$P$149,12,FALSE))&lt;0),0,IF(ROUNDDOWN((標準電圧!S7*標準電圧!S$2-VLOOKUP(HUAWEI製ＰＣＳ接続枚数計算ツール!$C$9,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HUAWEI製ＰＣＳ接続枚数計算ツール!$B$119:$P$149,14,FALSE),0)/100&gt;=IF(過積載率!S7&gt;1,1,過積載率!S7),1,0))</f>
        <v>1</v>
      </c>
      <c r="T7">
        <f>IF(OR(過積載率!T7=0,(標準電圧!T7*標準電圧!T$2-VLOOKUP(HUAWEI製ＰＣＳ接続枚数計算ツール!$C$9, HUAWEI製ＰＣＳ接続枚数計算ツール!$B$119:$P$149,12,FALSE))&lt;0),0,IF(ROUNDDOWN((標準電圧!T7*標準電圧!T$2-VLOOKUP(HUAWEI製ＰＣＳ接続枚数計算ツール!$C$9,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HUAWEI製ＰＣＳ接続枚数計算ツール!$B$119:$P$149,14,FALSE),0)/100&gt;=IF(過積載率!T7&gt;1,1,過積載率!T7),1,0))</f>
        <v>1</v>
      </c>
      <c r="U7">
        <f>IF(OR(過積載率!U7=0,(標準電圧!U7*標準電圧!U$2-VLOOKUP(HUAWEI製ＰＣＳ接続枚数計算ツール!$C$9, HUAWEI製ＰＣＳ接続枚数計算ツール!$B$119:$P$149,12,FALSE))&lt;0),0,IF(ROUNDDOWN((標準電圧!U7*標準電圧!U$2-VLOOKUP(HUAWEI製ＰＣＳ接続枚数計算ツール!$C$9,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HUAWEI製ＰＣＳ接続枚数計算ツール!$B$119:$P$149,14,FALSE),0)/100&gt;=IF(過積載率!U7&gt;1,1,過積載率!U7),1,0))</f>
        <v>1</v>
      </c>
      <c r="V7">
        <f>IF(OR(過積載率!V7=0,(標準電圧!V7*標準電圧!V$2-VLOOKUP(HUAWEI製ＰＣＳ接続枚数計算ツール!$C$9, HUAWEI製ＰＣＳ接続枚数計算ツール!$B$119:$P$149,12,FALSE))&lt;0),0,IF(ROUNDDOWN((標準電圧!V7*標準電圧!V$2-VLOOKUP(HUAWEI製ＰＣＳ接続枚数計算ツール!$C$9,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HUAWEI製ＰＣＳ接続枚数計算ツール!$B$119:$P$149,14,FALSE),0)/100&gt;=IF(過積載率!V7&gt;1,1,過積載率!V7),1,0))</f>
        <v>1</v>
      </c>
      <c r="W7">
        <f>IF(OR(過積載率!W7=0,(標準電圧!W7*標準電圧!W$2-VLOOKUP(HUAWEI製ＰＣＳ接続枚数計算ツール!$C$9, HUAWEI製ＰＣＳ接続枚数計算ツール!$B$119:$P$149,12,FALSE))&lt;0),0,IF(ROUNDDOWN((標準電圧!W7*標準電圧!W$2-VLOOKUP(HUAWEI製ＰＣＳ接続枚数計算ツール!$C$9,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HUAWEI製ＰＣＳ接続枚数計算ツール!$B$119:$P$149,14,FALSE),0)/100&gt;=IF(過積載率!W7&gt;1,1,過積載率!W7),1,0))</f>
        <v>1</v>
      </c>
      <c r="X7">
        <f>IF(OR(過積載率!X7=0,(標準電圧!X7*標準電圧!X$2-VLOOKUP(HUAWEI製ＰＣＳ接続枚数計算ツール!$C$9, HUAWEI製ＰＣＳ接続枚数計算ツール!$B$119:$P$149,12,FALSE))&lt;0),0,IF(ROUNDDOWN((標準電圧!X7*標準電圧!X$2-VLOOKUP(HUAWEI製ＰＣＳ接続枚数計算ツール!$C$9,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HUAWEI製ＰＣＳ接続枚数計算ツール!$B$119:$P$149,14,FALSE),0)/100&gt;=IF(過積載率!X7&gt;1,1,過積載率!X7),1,0))</f>
        <v>1</v>
      </c>
      <c r="Y7">
        <f>IF(OR(過積載率!Y7=0,(標準電圧!Y7*標準電圧!Y$2-VLOOKUP(HUAWEI製ＰＣＳ接続枚数計算ツール!$C$9, HUAWEI製ＰＣＳ接続枚数計算ツール!$B$119:$P$149,12,FALSE))&lt;0),0,IF(ROUNDDOWN((標準電圧!Y7*標準電圧!Y$2-VLOOKUP(HUAWEI製ＰＣＳ接続枚数計算ツール!$C$9,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HUAWEI製ＰＣＳ接続枚数計算ツール!$B$119:$P$149,14,FALSE),0)/100&gt;=IF(過積載率!Y7&gt;1,1,過積載率!Y7),1,0))</f>
        <v>1</v>
      </c>
      <c r="Z7">
        <f>IF(OR(過積載率!Z7=0,(標準電圧!Z7*標準電圧!Z$2-VLOOKUP(HUAWEI製ＰＣＳ接続枚数計算ツール!$C$9, HUAWEI製ＰＣＳ接続枚数計算ツール!$B$119:$P$149,12,FALSE))&lt;0),0,IF(ROUNDDOWN((標準電圧!Z7*標準電圧!Z$2-VLOOKUP(HUAWEI製ＰＣＳ接続枚数計算ツール!$C$9,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HUAWEI製ＰＣＳ接続枚数計算ツール!$B$119:$P$149,14,FALSE),0)/100&gt;=IF(過積載率!Z7&gt;1,1,過積載率!Z7),1,0))</f>
        <v>1</v>
      </c>
      <c r="AA7">
        <f>IF(OR(過積載率!AA7=0,(標準電圧!AA7*標準電圧!AA$2-VLOOKUP(HUAWEI製ＰＣＳ接続枚数計算ツール!$C$9, HUAWEI製ＰＣＳ接続枚数計算ツール!$B$119:$P$149,12,FALSE))&lt;0),0,IF(ROUNDDOWN((標準電圧!AA7*標準電圧!AA$2-VLOOKUP(HUAWEI製ＰＣＳ接続枚数計算ツール!$C$9,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HUAWEI製ＰＣＳ接続枚数計算ツール!$B$119:$P$149,14,FALSE),0)/100&gt;=IF(過積載率!AA7&gt;1,1,過積載率!AA7),1,0))</f>
        <v>1</v>
      </c>
      <c r="AB7">
        <f>IF(OR(過積載率!AB7=0,(標準電圧!AB7*標準電圧!AB$2-VLOOKUP(HUAWEI製ＰＣＳ接続枚数計算ツール!$C$9, HUAWEI製ＰＣＳ接続枚数計算ツール!$B$119:$P$149,12,FALSE))&lt;0),0,IF(ROUNDDOWN((標準電圧!AB7*標準電圧!AB$2-VLOOKUP(HUAWEI製ＰＣＳ接続枚数計算ツール!$C$9,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HUAWEI製ＰＣＳ接続枚数計算ツール!$B$119:$P$149,14,FALSE),0)/100&gt;=IF(過積載率!AB7&gt;1,1,過積載率!AB7),1,0))</f>
        <v>1</v>
      </c>
      <c r="AC7">
        <f>IF(OR(過積載率!AC7=0,(標準電圧!AC7*標準電圧!AC$2-VLOOKUP(HUAWEI製ＰＣＳ接続枚数計算ツール!$C$9, HUAWEI製ＰＣＳ接続枚数計算ツール!$B$119:$P$149,12,FALSE))&lt;0),0,IF(ROUNDDOWN((標準電圧!AC7*標準電圧!AC$2-VLOOKUP(HUAWEI製ＰＣＳ接続枚数計算ツール!$C$9,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HUAWEI製ＰＣＳ接続枚数計算ツール!$B$119:$P$149,14,FALSE),0)/100&gt;=IF(過積載率!AC7&gt;1,1,過積載率!AC7),1,0))</f>
        <v>1</v>
      </c>
      <c r="AD7">
        <f>IF(OR(過積載率!AD7=0,(標準電圧!AD7*標準電圧!AD$2-VLOOKUP(HUAWEI製ＰＣＳ接続枚数計算ツール!$C$9, HUAWEI製ＰＣＳ接続枚数計算ツール!$B$119:$P$149,12,FALSE))&lt;0),0,IF(ROUNDDOWN((標準電圧!AD7*標準電圧!AD$2-VLOOKUP(HUAWEI製ＰＣＳ接続枚数計算ツール!$C$9,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HUAWEI製ＰＣＳ接続枚数計算ツール!$B$119:$P$149,14,FALSE),0)/100&gt;=IF(過積載率!AD7&gt;1,1,過積載率!AD7),1,0))</f>
        <v>1</v>
      </c>
      <c r="AE7">
        <f>IF(OR(過積載率!AE7=0,(標準電圧!AE7*標準電圧!AE$2-VLOOKUP(HUAWEI製ＰＣＳ接続枚数計算ツール!$C$9, HUAWEI製ＰＣＳ接続枚数計算ツール!$B$119:$P$149,12,FALSE))&lt;0),0,IF(ROUNDDOWN((標準電圧!AE7*標準電圧!AE$2-VLOOKUP(HUAWEI製ＰＣＳ接続枚数計算ツール!$C$9,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HUAWEI製ＰＣＳ接続枚数計算ツール!$B$119:$P$149,14,FALSE),0)/100&gt;=IF(過積載率!AE7&gt;1,1,過積載率!AE7),1,0))</f>
        <v>1</v>
      </c>
      <c r="AF7">
        <f>IF(OR(過積載率!AF7=0,(標準電圧!AF7*標準電圧!AF$2-VLOOKUP(HUAWEI製ＰＣＳ接続枚数計算ツール!$C$9, HUAWEI製ＰＣＳ接続枚数計算ツール!$B$119:$P$149,12,FALSE))&lt;0),0,IF(ROUNDDOWN((標準電圧!AF7*標準電圧!AF$2-VLOOKUP(HUAWEI製ＰＣＳ接続枚数計算ツール!$C$9,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HUAWEI製ＰＣＳ接続枚数計算ツール!$B$119:$P$149,14,FALSE),0)/100&gt;=IF(過積載率!AF7&gt;1,1,過積載率!AF7),1,0))</f>
        <v>1</v>
      </c>
      <c r="AG7">
        <f>IF(OR(過積載率!AG7=0,(標準電圧!AG7*標準電圧!AG$2-VLOOKUP(HUAWEI製ＰＣＳ接続枚数計算ツール!$C$9, HUAWEI製ＰＣＳ接続枚数計算ツール!$B$119:$P$149,12,FALSE))&lt;0),0,IF(ROUNDDOWN((標準電圧!AG7*標準電圧!AG$2-VLOOKUP(HUAWEI製ＰＣＳ接続枚数計算ツール!$C$9,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HUAWEI製ＰＣＳ接続枚数計算ツール!$B$119:$P$149,14,FALSE),0)/100&gt;=IF(過積載率!AG7&gt;1,1,過積載率!AG7),1,0))</f>
        <v>1</v>
      </c>
      <c r="AH7">
        <f>IF(OR(過積載率!AH7=0,(標準電圧!AH7*標準電圧!AH$2-VLOOKUP(HUAWEI製ＰＣＳ接続枚数計算ツール!$C$9, HUAWEI製ＰＣＳ接続枚数計算ツール!$B$119:$P$149,12,FALSE))&lt;0),0,IF(ROUNDDOWN((標準電圧!AH7*標準電圧!AH$2-VLOOKUP(HUAWEI製ＰＣＳ接続枚数計算ツール!$C$9,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HUAWEI製ＰＣＳ接続枚数計算ツール!$B$119:$P$149,14,FALSE),0)/100&gt;=IF(過積載率!AH7&gt;1,1,過積載率!AH7),1,0))</f>
        <v>1</v>
      </c>
      <c r="AI7">
        <f>IF(OR(過積載率!AI7=0,(標準電圧!AI7*標準電圧!AI$2-VLOOKUP(HUAWEI製ＰＣＳ接続枚数計算ツール!$C$9, HUAWEI製ＰＣＳ接続枚数計算ツール!$B$119:$P$149,12,FALSE))&lt;0),0,IF(ROUNDDOWN((標準電圧!AI7*標準電圧!AI$2-VLOOKUP(HUAWEI製ＰＣＳ接続枚数計算ツール!$C$9,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HUAWEI製ＰＣＳ接続枚数計算ツール!$B$119:$P$149,14,FALSE),0)/100&gt;=IF(過積載率!AI7&gt;1,1,過積載率!AI7),1,0))</f>
        <v>1</v>
      </c>
      <c r="AJ7">
        <f>IF(OR(過積載率!AJ7=0,(標準電圧!AJ7*標準電圧!AJ$2-VLOOKUP(HUAWEI製ＰＣＳ接続枚数計算ツール!$C$9, HUAWEI製ＰＣＳ接続枚数計算ツール!$B$119:$P$149,12,FALSE))&lt;0),0,IF(ROUNDDOWN((標準電圧!AJ7*標準電圧!AJ$2-VLOOKUP(HUAWEI製ＰＣＳ接続枚数計算ツール!$C$9,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HUAWEI製ＰＣＳ接続枚数計算ツール!$B$119:$P$149,14,FALSE),0)/100&gt;=IF(過積載率!AJ7&gt;1,1,過積載率!AJ7),1,0))</f>
        <v>1</v>
      </c>
      <c r="AK7">
        <f>IF(OR(過積載率!AK7=0,(標準電圧!AK7*標準電圧!AK$2-VLOOKUP(HUAWEI製ＰＣＳ接続枚数計算ツール!$C$9, HUAWEI製ＰＣＳ接続枚数計算ツール!$B$119:$P$149,12,FALSE))&lt;0),0,IF(ROUNDDOWN((標準電圧!AK7*標準電圧!AK$2-VLOOKUP(HUAWEI製ＰＣＳ接続枚数計算ツール!$C$9,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HUAWEI製ＰＣＳ接続枚数計算ツール!$B$119:$P$149,14,FALSE),0)/100&gt;=IF(過積載率!AK7&gt;1,1,過積載率!AK7),1,0))</f>
        <v>1</v>
      </c>
      <c r="AL7">
        <f>IF(OR(過積載率!AL7=0,(標準電圧!AL7*標準電圧!AL$2-VLOOKUP(HUAWEI製ＰＣＳ接続枚数計算ツール!$C$9, HUAWEI製ＰＣＳ接続枚数計算ツール!$B$119:$P$149,12,FALSE))&lt;0),0,IF(ROUNDDOWN((標準電圧!AL7*標準電圧!AL$2-VLOOKUP(HUAWEI製ＰＣＳ接続枚数計算ツール!$C$9,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HUAWEI製ＰＣＳ接続枚数計算ツール!$B$119:$P$149,14,FALSE),0)/100&gt;=IF(過積載率!AL7&gt;1,1,過積載率!AL7),1,0))</f>
        <v>1</v>
      </c>
      <c r="AM7">
        <f>IF(OR(過積載率!AM7=0,(標準電圧!AM7*標準電圧!AM$2-VLOOKUP(HUAWEI製ＰＣＳ接続枚数計算ツール!$C$9, HUAWEI製ＰＣＳ接続枚数計算ツール!$B$119:$P$149,12,FALSE))&lt;0),0,IF(ROUNDDOWN((標準電圧!AM7*標準電圧!AM$2-VLOOKUP(HUAWEI製ＰＣＳ接続枚数計算ツール!$C$9,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HUAWEI製ＰＣＳ接続枚数計算ツール!$B$119:$P$149,14,FALSE),0)/100&gt;=IF(過積載率!AM7&gt;1,1,過積載率!AM7),1,0))</f>
        <v>1</v>
      </c>
      <c r="AN7">
        <f>IF(OR(過積載率!AN7=0,(標準電圧!AN7*標準電圧!AN$2-VLOOKUP(HUAWEI製ＰＣＳ接続枚数計算ツール!$C$9, HUAWEI製ＰＣＳ接続枚数計算ツール!$B$119:$P$149,12,FALSE))&lt;0),0,IF(ROUNDDOWN((標準電圧!AN7*標準電圧!AN$2-VLOOKUP(HUAWEI製ＰＣＳ接続枚数計算ツール!$C$9,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HUAWEI製ＰＣＳ接続枚数計算ツール!$B$119:$P$149,14,FALSE),0)/100&gt;=IF(過積載率!AN7&gt;1,1,過積載率!AN7),1,0))</f>
        <v>1</v>
      </c>
      <c r="AO7">
        <f>IF(OR(過積載率!AO7=0,(標準電圧!AO7*標準電圧!AO$2-VLOOKUP(HUAWEI製ＰＣＳ接続枚数計算ツール!$C$9, HUAWEI製ＰＣＳ接続枚数計算ツール!$B$119:$P$149,12,FALSE))&lt;0),0,IF(ROUNDDOWN((標準電圧!AO7*標準電圧!AO$2-VLOOKUP(HUAWEI製ＰＣＳ接続枚数計算ツール!$C$9,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HUAWEI製ＰＣＳ接続枚数計算ツール!$B$119:$P$149,14,FALSE),0)/100&gt;=IF(過積載率!AO7&gt;1,1,過積載率!AO7),1,0))</f>
        <v>1</v>
      </c>
    </row>
    <row r="8" spans="1:41">
      <c r="A8">
        <v>6</v>
      </c>
      <c r="B8">
        <f>IF(OR(過積載率!B8=0,(標準電圧!B8*標準電圧!B$2-VLOOKUP(HUAWEI製ＰＣＳ接続枚数計算ツール!$C$9, HUAWEI製ＰＣＳ接続枚数計算ツール!$B$119:$P$149,12,FALSE))&lt;0),0,IF(ROUNDDOWN((標準電圧!B8*標準電圧!B$2-VLOOKUP(HUAWEI製ＰＣＳ接続枚数計算ツール!$C$9,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HUAWEI製ＰＣＳ接続枚数計算ツール!$B$119:$P$149,14,FALSE),0)/100&gt;=IF(過積載率!B8&gt;1,1,過積載率!B8),1,0))</f>
        <v>0</v>
      </c>
      <c r="C8">
        <f>IF(OR(過積載率!C8=0,(標準電圧!C8*標準電圧!C$2-VLOOKUP(HUAWEI製ＰＣＳ接続枚数計算ツール!$C$9, HUAWEI製ＰＣＳ接続枚数計算ツール!$B$119:$P$149,12,FALSE))&lt;0),0,IF(ROUNDDOWN((標準電圧!C8*標準電圧!C$2-VLOOKUP(HUAWEI製ＰＣＳ接続枚数計算ツール!$C$9,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HUAWEI製ＰＣＳ接続枚数計算ツール!$B$119:$P$149,14,FALSE),0)/100&gt;=IF(過積載率!C8&gt;1,1,過積載率!C8),1,0))</f>
        <v>0</v>
      </c>
      <c r="D8">
        <f>IF(OR(過積載率!D8=0,(標準電圧!D8*標準電圧!D$2-VLOOKUP(HUAWEI製ＰＣＳ接続枚数計算ツール!$C$9, HUAWEI製ＰＣＳ接続枚数計算ツール!$B$119:$P$149,12,FALSE))&lt;0),0,IF(ROUNDDOWN((標準電圧!D8*標準電圧!D$2-VLOOKUP(HUAWEI製ＰＣＳ接続枚数計算ツール!$C$9,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HUAWEI製ＰＣＳ接続枚数計算ツール!$B$119:$P$149,14,FALSE),0)/100&gt;=IF(過積載率!D8&gt;1,1,過積載率!D8),1,0))</f>
        <v>0</v>
      </c>
      <c r="E8">
        <f>IF(OR(過積載率!E8=0,(標準電圧!E8*標準電圧!E$2-VLOOKUP(HUAWEI製ＰＣＳ接続枚数計算ツール!$C$9, HUAWEI製ＰＣＳ接続枚数計算ツール!$B$119:$P$149,12,FALSE))&lt;0),0,IF(ROUNDDOWN((標準電圧!E8*標準電圧!E$2-VLOOKUP(HUAWEI製ＰＣＳ接続枚数計算ツール!$C$9,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HUAWEI製ＰＣＳ接続枚数計算ツール!$B$119:$P$149,14,FALSE),0)/100&gt;=IF(過積載率!E8&gt;1,1,過積載率!E8),1,0))</f>
        <v>0</v>
      </c>
      <c r="F8">
        <f>IF(OR(過積載率!F8=0,(標準電圧!F8*標準電圧!F$2-VLOOKUP(HUAWEI製ＰＣＳ接続枚数計算ツール!$C$9, HUAWEI製ＰＣＳ接続枚数計算ツール!$B$119:$P$149,12,FALSE))&lt;0),0,IF(ROUNDDOWN((標準電圧!F8*標準電圧!F$2-VLOOKUP(HUAWEI製ＰＣＳ接続枚数計算ツール!$C$9,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HUAWEI製ＰＣＳ接続枚数計算ツール!$B$119:$P$149,14,FALSE),0)/100&gt;=IF(過積載率!F8&gt;1,1,過積載率!F8),1,0))</f>
        <v>0</v>
      </c>
      <c r="G8">
        <f>IF(OR(過積載率!G8=0,(標準電圧!G8*標準電圧!G$2-VLOOKUP(HUAWEI製ＰＣＳ接続枚数計算ツール!$C$9, HUAWEI製ＰＣＳ接続枚数計算ツール!$B$119:$P$149,12,FALSE))&lt;0),0,IF(ROUNDDOWN((標準電圧!G8*標準電圧!G$2-VLOOKUP(HUAWEI製ＰＣＳ接続枚数計算ツール!$C$9,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HUAWEI製ＰＣＳ接続枚数計算ツール!$B$119:$P$149,14,FALSE),0)/100&gt;=IF(過積載率!G8&gt;1,1,過積載率!G8),1,0))</f>
        <v>0</v>
      </c>
      <c r="H8">
        <f>IF(OR(過積載率!H8=0,(標準電圧!H8*標準電圧!H$2-VLOOKUP(HUAWEI製ＰＣＳ接続枚数計算ツール!$C$9, HUAWEI製ＰＣＳ接続枚数計算ツール!$B$119:$P$149,12,FALSE))&lt;0),0,IF(ROUNDDOWN((標準電圧!H8*標準電圧!H$2-VLOOKUP(HUAWEI製ＰＣＳ接続枚数計算ツール!$C$9,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HUAWEI製ＰＣＳ接続枚数計算ツール!$B$119:$P$149,14,FALSE),0)/100&gt;=IF(過積載率!H8&gt;1,1,過積載率!H8),1,0))</f>
        <v>0</v>
      </c>
      <c r="I8">
        <f>IF(OR(過積載率!I8=0,(標準電圧!I8*標準電圧!I$2-VLOOKUP(HUAWEI製ＰＣＳ接続枚数計算ツール!$C$9, HUAWEI製ＰＣＳ接続枚数計算ツール!$B$119:$P$149,12,FALSE))&lt;0),0,IF(ROUNDDOWN((標準電圧!I8*標準電圧!I$2-VLOOKUP(HUAWEI製ＰＣＳ接続枚数計算ツール!$C$9,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HUAWEI製ＰＣＳ接続枚数計算ツール!$B$119:$P$149,14,FALSE),0)/100&gt;=IF(過積載率!I8&gt;1,1,過積載率!I8),1,0))</f>
        <v>0</v>
      </c>
      <c r="J8">
        <f>IF(OR(過積載率!J8=0,(標準電圧!J8*標準電圧!J$2-VLOOKUP(HUAWEI製ＰＣＳ接続枚数計算ツール!$C$9, HUAWEI製ＰＣＳ接続枚数計算ツール!$B$119:$P$149,12,FALSE))&lt;0),0,IF(ROUNDDOWN((標準電圧!J8*標準電圧!J$2-VLOOKUP(HUAWEI製ＰＣＳ接続枚数計算ツール!$C$9,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HUAWEI製ＰＣＳ接続枚数計算ツール!$B$119:$P$149,14,FALSE),0)/100&gt;=IF(過積載率!J8&gt;1,1,過積載率!J8),1,0))</f>
        <v>0</v>
      </c>
      <c r="K8">
        <f>IF(OR(過積載率!K8=0,(標準電圧!K8*標準電圧!K$2-VLOOKUP(HUAWEI製ＰＣＳ接続枚数計算ツール!$C$9, HUAWEI製ＰＣＳ接続枚数計算ツール!$B$119:$P$149,12,FALSE))&lt;0),0,IF(ROUNDDOWN((標準電圧!K8*標準電圧!K$2-VLOOKUP(HUAWEI製ＰＣＳ接続枚数計算ツール!$C$9,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HUAWEI製ＰＣＳ接続枚数計算ツール!$B$119:$P$149,14,FALSE),0)/100&gt;=IF(過積載率!K8&gt;1,1,過積載率!K8),1,0))</f>
        <v>0</v>
      </c>
      <c r="L8">
        <f>IF(OR(過積載率!L8=0,(標準電圧!L8*標準電圧!L$2-VLOOKUP(HUAWEI製ＰＣＳ接続枚数計算ツール!$C$9, HUAWEI製ＰＣＳ接続枚数計算ツール!$B$119:$P$149,12,FALSE))&lt;0),0,IF(ROUNDDOWN((標準電圧!L8*標準電圧!L$2-VLOOKUP(HUAWEI製ＰＣＳ接続枚数計算ツール!$C$9,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HUAWEI製ＰＣＳ接続枚数計算ツール!$B$119:$P$149,14,FALSE),0)/100&gt;=IF(過積載率!L8&gt;1,1,過積載率!L8),1,0))</f>
        <v>0</v>
      </c>
      <c r="M8">
        <f>IF(OR(過積載率!M8=0,(標準電圧!M8*標準電圧!M$2-VLOOKUP(HUAWEI製ＰＣＳ接続枚数計算ツール!$C$9, HUAWEI製ＰＣＳ接続枚数計算ツール!$B$119:$P$149,12,FALSE))&lt;0),0,IF(ROUNDDOWN((標準電圧!M8*標準電圧!M$2-VLOOKUP(HUAWEI製ＰＣＳ接続枚数計算ツール!$C$9,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HUAWEI製ＰＣＳ接続枚数計算ツール!$B$119:$P$149,14,FALSE),0)/100&gt;=IF(過積載率!M8&gt;1,1,過積載率!M8),1,0))</f>
        <v>1</v>
      </c>
      <c r="N8">
        <f>IF(OR(過積載率!N8=0,(標準電圧!N8*標準電圧!N$2-VLOOKUP(HUAWEI製ＰＣＳ接続枚数計算ツール!$C$9, HUAWEI製ＰＣＳ接続枚数計算ツール!$B$119:$P$149,12,FALSE))&lt;0),0,IF(ROUNDDOWN((標準電圧!N8*標準電圧!N$2-VLOOKUP(HUAWEI製ＰＣＳ接続枚数計算ツール!$C$9,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HUAWEI製ＰＣＳ接続枚数計算ツール!$B$119:$P$149,14,FALSE),0)/100&gt;=IF(過積載率!N8&gt;1,1,過積載率!N8),1,0))</f>
        <v>1</v>
      </c>
      <c r="O8">
        <f>IF(OR(過積載率!O8=0,(標準電圧!O8*標準電圧!O$2-VLOOKUP(HUAWEI製ＰＣＳ接続枚数計算ツール!$C$9, HUAWEI製ＰＣＳ接続枚数計算ツール!$B$119:$P$149,12,FALSE))&lt;0),0,IF(ROUNDDOWN((標準電圧!O8*標準電圧!O$2-VLOOKUP(HUAWEI製ＰＣＳ接続枚数計算ツール!$C$9,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HUAWEI製ＰＣＳ接続枚数計算ツール!$B$119:$P$149,14,FALSE),0)/100&gt;=IF(過積載率!O8&gt;1,1,過積載率!O8),1,0))</f>
        <v>1</v>
      </c>
      <c r="P8">
        <f>IF(OR(過積載率!P8=0,(標準電圧!P8*標準電圧!P$2-VLOOKUP(HUAWEI製ＰＣＳ接続枚数計算ツール!$C$9, HUAWEI製ＰＣＳ接続枚数計算ツール!$B$119:$P$149,12,FALSE))&lt;0),0,IF(ROUNDDOWN((標準電圧!P8*標準電圧!P$2-VLOOKUP(HUAWEI製ＰＣＳ接続枚数計算ツール!$C$9,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HUAWEI製ＰＣＳ接続枚数計算ツール!$B$119:$P$149,14,FALSE),0)/100&gt;=IF(過積載率!P8&gt;1,1,過積載率!P8),1,0))</f>
        <v>1</v>
      </c>
      <c r="Q8">
        <f>IF(OR(過積載率!Q8=0,(標準電圧!Q8*標準電圧!Q$2-VLOOKUP(HUAWEI製ＰＣＳ接続枚数計算ツール!$C$9, HUAWEI製ＰＣＳ接続枚数計算ツール!$B$119:$P$149,12,FALSE))&lt;0),0,IF(ROUNDDOWN((標準電圧!Q8*標準電圧!Q$2-VLOOKUP(HUAWEI製ＰＣＳ接続枚数計算ツール!$C$9,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HUAWEI製ＰＣＳ接続枚数計算ツール!$B$119:$P$149,14,FALSE),0)/100&gt;=IF(過積載率!Q8&gt;1,1,過積載率!Q8),1,0))</f>
        <v>1</v>
      </c>
      <c r="R8">
        <f>IF(OR(過積載率!R8=0,(標準電圧!R8*標準電圧!R$2-VLOOKUP(HUAWEI製ＰＣＳ接続枚数計算ツール!$C$9, HUAWEI製ＰＣＳ接続枚数計算ツール!$B$119:$P$149,12,FALSE))&lt;0),0,IF(ROUNDDOWN((標準電圧!R8*標準電圧!R$2-VLOOKUP(HUAWEI製ＰＣＳ接続枚数計算ツール!$C$9,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HUAWEI製ＰＣＳ接続枚数計算ツール!$B$119:$P$149,14,FALSE),0)/100&gt;=IF(過積載率!R8&gt;1,1,過積載率!R8),1,0))</f>
        <v>1</v>
      </c>
      <c r="S8">
        <f>IF(OR(過積載率!S8=0,(標準電圧!S8*標準電圧!S$2-VLOOKUP(HUAWEI製ＰＣＳ接続枚数計算ツール!$C$9, HUAWEI製ＰＣＳ接続枚数計算ツール!$B$119:$P$149,12,FALSE))&lt;0),0,IF(ROUNDDOWN((標準電圧!S8*標準電圧!S$2-VLOOKUP(HUAWEI製ＰＣＳ接続枚数計算ツール!$C$9,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HUAWEI製ＰＣＳ接続枚数計算ツール!$B$119:$P$149,14,FALSE),0)/100&gt;=IF(過積載率!S8&gt;1,1,過積載率!S8),1,0))</f>
        <v>1</v>
      </c>
      <c r="T8">
        <f>IF(OR(過積載率!T8=0,(標準電圧!T8*標準電圧!T$2-VLOOKUP(HUAWEI製ＰＣＳ接続枚数計算ツール!$C$9, HUAWEI製ＰＣＳ接続枚数計算ツール!$B$119:$P$149,12,FALSE))&lt;0),0,IF(ROUNDDOWN((標準電圧!T8*標準電圧!T$2-VLOOKUP(HUAWEI製ＰＣＳ接続枚数計算ツール!$C$9,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HUAWEI製ＰＣＳ接続枚数計算ツール!$B$119:$P$149,14,FALSE),0)/100&gt;=IF(過積載率!T8&gt;1,1,過積載率!T8),1,0))</f>
        <v>1</v>
      </c>
      <c r="U8">
        <f>IF(OR(過積載率!U8=0,(標準電圧!U8*標準電圧!U$2-VLOOKUP(HUAWEI製ＰＣＳ接続枚数計算ツール!$C$9, HUAWEI製ＰＣＳ接続枚数計算ツール!$B$119:$P$149,12,FALSE))&lt;0),0,IF(ROUNDDOWN((標準電圧!U8*標準電圧!U$2-VLOOKUP(HUAWEI製ＰＣＳ接続枚数計算ツール!$C$9,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HUAWEI製ＰＣＳ接続枚数計算ツール!$B$119:$P$149,14,FALSE),0)/100&gt;=IF(過積載率!U8&gt;1,1,過積載率!U8),1,0))</f>
        <v>1</v>
      </c>
      <c r="V8">
        <f>IF(OR(過積載率!V8=0,(標準電圧!V8*標準電圧!V$2-VLOOKUP(HUAWEI製ＰＣＳ接続枚数計算ツール!$C$9, HUAWEI製ＰＣＳ接続枚数計算ツール!$B$119:$P$149,12,FALSE))&lt;0),0,IF(ROUNDDOWN((標準電圧!V8*標準電圧!V$2-VLOOKUP(HUAWEI製ＰＣＳ接続枚数計算ツール!$C$9,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HUAWEI製ＰＣＳ接続枚数計算ツール!$B$119:$P$149,14,FALSE),0)/100&gt;=IF(過積載率!V8&gt;1,1,過積載率!V8),1,0))</f>
        <v>1</v>
      </c>
      <c r="W8">
        <f>IF(OR(過積載率!W8=0,(標準電圧!W8*標準電圧!W$2-VLOOKUP(HUAWEI製ＰＣＳ接続枚数計算ツール!$C$9, HUAWEI製ＰＣＳ接続枚数計算ツール!$B$119:$P$149,12,FALSE))&lt;0),0,IF(ROUNDDOWN((標準電圧!W8*標準電圧!W$2-VLOOKUP(HUAWEI製ＰＣＳ接続枚数計算ツール!$C$9,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HUAWEI製ＰＣＳ接続枚数計算ツール!$B$119:$P$149,14,FALSE),0)/100&gt;=IF(過積載率!W8&gt;1,1,過積載率!W8),1,0))</f>
        <v>1</v>
      </c>
      <c r="X8">
        <f>IF(OR(過積載率!X8=0,(標準電圧!X8*標準電圧!X$2-VLOOKUP(HUAWEI製ＰＣＳ接続枚数計算ツール!$C$9, HUAWEI製ＰＣＳ接続枚数計算ツール!$B$119:$P$149,12,FALSE))&lt;0),0,IF(ROUNDDOWN((標準電圧!X8*標準電圧!X$2-VLOOKUP(HUAWEI製ＰＣＳ接続枚数計算ツール!$C$9,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HUAWEI製ＰＣＳ接続枚数計算ツール!$B$119:$P$149,14,FALSE),0)/100&gt;=IF(過積載率!X8&gt;1,1,過積載率!X8),1,0))</f>
        <v>1</v>
      </c>
      <c r="Y8">
        <f>IF(OR(過積載率!Y8=0,(標準電圧!Y8*標準電圧!Y$2-VLOOKUP(HUAWEI製ＰＣＳ接続枚数計算ツール!$C$9, HUAWEI製ＰＣＳ接続枚数計算ツール!$B$119:$P$149,12,FALSE))&lt;0),0,IF(ROUNDDOWN((標準電圧!Y8*標準電圧!Y$2-VLOOKUP(HUAWEI製ＰＣＳ接続枚数計算ツール!$C$9,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HUAWEI製ＰＣＳ接続枚数計算ツール!$B$119:$P$149,14,FALSE),0)/100&gt;=IF(過積載率!Y8&gt;1,1,過積載率!Y8),1,0))</f>
        <v>1</v>
      </c>
      <c r="Z8">
        <f>IF(OR(過積載率!Z8=0,(標準電圧!Z8*標準電圧!Z$2-VLOOKUP(HUAWEI製ＰＣＳ接続枚数計算ツール!$C$9, HUAWEI製ＰＣＳ接続枚数計算ツール!$B$119:$P$149,12,FALSE))&lt;0),0,IF(ROUNDDOWN((標準電圧!Z8*標準電圧!Z$2-VLOOKUP(HUAWEI製ＰＣＳ接続枚数計算ツール!$C$9,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HUAWEI製ＰＣＳ接続枚数計算ツール!$B$119:$P$149,14,FALSE),0)/100&gt;=IF(過積載率!Z8&gt;1,1,過積載率!Z8),1,0))</f>
        <v>1</v>
      </c>
      <c r="AA8">
        <f>IF(OR(過積載率!AA8=0,(標準電圧!AA8*標準電圧!AA$2-VLOOKUP(HUAWEI製ＰＣＳ接続枚数計算ツール!$C$9, HUAWEI製ＰＣＳ接続枚数計算ツール!$B$119:$P$149,12,FALSE))&lt;0),0,IF(ROUNDDOWN((標準電圧!AA8*標準電圧!AA$2-VLOOKUP(HUAWEI製ＰＣＳ接続枚数計算ツール!$C$9,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HUAWEI製ＰＣＳ接続枚数計算ツール!$B$119:$P$149,14,FALSE),0)/100&gt;=IF(過積載率!AA8&gt;1,1,過積載率!AA8),1,0))</f>
        <v>1</v>
      </c>
      <c r="AB8">
        <f>IF(OR(過積載率!AB8=0,(標準電圧!AB8*標準電圧!AB$2-VLOOKUP(HUAWEI製ＰＣＳ接続枚数計算ツール!$C$9, HUAWEI製ＰＣＳ接続枚数計算ツール!$B$119:$P$149,12,FALSE))&lt;0),0,IF(ROUNDDOWN((標準電圧!AB8*標準電圧!AB$2-VLOOKUP(HUAWEI製ＰＣＳ接続枚数計算ツール!$C$9,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HUAWEI製ＰＣＳ接続枚数計算ツール!$B$119:$P$149,14,FALSE),0)/100&gt;=IF(過積載率!AB8&gt;1,1,過積載率!AB8),1,0))</f>
        <v>1</v>
      </c>
      <c r="AC8">
        <f>IF(OR(過積載率!AC8=0,(標準電圧!AC8*標準電圧!AC$2-VLOOKUP(HUAWEI製ＰＣＳ接続枚数計算ツール!$C$9, HUAWEI製ＰＣＳ接続枚数計算ツール!$B$119:$P$149,12,FALSE))&lt;0),0,IF(ROUNDDOWN((標準電圧!AC8*標準電圧!AC$2-VLOOKUP(HUAWEI製ＰＣＳ接続枚数計算ツール!$C$9,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HUAWEI製ＰＣＳ接続枚数計算ツール!$B$119:$P$149,14,FALSE),0)/100&gt;=IF(過積載率!AC8&gt;1,1,過積載率!AC8),1,0))</f>
        <v>1</v>
      </c>
      <c r="AD8">
        <f>IF(OR(過積載率!AD8=0,(標準電圧!AD8*標準電圧!AD$2-VLOOKUP(HUAWEI製ＰＣＳ接続枚数計算ツール!$C$9, HUAWEI製ＰＣＳ接続枚数計算ツール!$B$119:$P$149,12,FALSE))&lt;0),0,IF(ROUNDDOWN((標準電圧!AD8*標準電圧!AD$2-VLOOKUP(HUAWEI製ＰＣＳ接続枚数計算ツール!$C$9,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HUAWEI製ＰＣＳ接続枚数計算ツール!$B$119:$P$149,14,FALSE),0)/100&gt;=IF(過積載率!AD8&gt;1,1,過積載率!AD8),1,0))</f>
        <v>1</v>
      </c>
      <c r="AE8">
        <f>IF(OR(過積載率!AE8=0,(標準電圧!AE8*標準電圧!AE$2-VLOOKUP(HUAWEI製ＰＣＳ接続枚数計算ツール!$C$9, HUAWEI製ＰＣＳ接続枚数計算ツール!$B$119:$P$149,12,FALSE))&lt;0),0,IF(ROUNDDOWN((標準電圧!AE8*標準電圧!AE$2-VLOOKUP(HUAWEI製ＰＣＳ接続枚数計算ツール!$C$9,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HUAWEI製ＰＣＳ接続枚数計算ツール!$B$119:$P$149,14,FALSE),0)/100&gt;=IF(過積載率!AE8&gt;1,1,過積載率!AE8),1,0))</f>
        <v>1</v>
      </c>
      <c r="AF8">
        <f>IF(OR(過積載率!AF8=0,(標準電圧!AF8*標準電圧!AF$2-VLOOKUP(HUAWEI製ＰＣＳ接続枚数計算ツール!$C$9, HUAWEI製ＰＣＳ接続枚数計算ツール!$B$119:$P$149,12,FALSE))&lt;0),0,IF(ROUNDDOWN((標準電圧!AF8*標準電圧!AF$2-VLOOKUP(HUAWEI製ＰＣＳ接続枚数計算ツール!$C$9,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HUAWEI製ＰＣＳ接続枚数計算ツール!$B$119:$P$149,14,FALSE),0)/100&gt;=IF(過積載率!AF8&gt;1,1,過積載率!AF8),1,0))</f>
        <v>1</v>
      </c>
      <c r="AG8">
        <f>IF(OR(過積載率!AG8=0,(標準電圧!AG8*標準電圧!AG$2-VLOOKUP(HUAWEI製ＰＣＳ接続枚数計算ツール!$C$9, HUAWEI製ＰＣＳ接続枚数計算ツール!$B$119:$P$149,12,FALSE))&lt;0),0,IF(ROUNDDOWN((標準電圧!AG8*標準電圧!AG$2-VLOOKUP(HUAWEI製ＰＣＳ接続枚数計算ツール!$C$9,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HUAWEI製ＰＣＳ接続枚数計算ツール!$B$119:$P$149,14,FALSE),0)/100&gt;=IF(過積載率!AG8&gt;1,1,過積載率!AG8),1,0))</f>
        <v>1</v>
      </c>
      <c r="AH8">
        <f>IF(OR(過積載率!AH8=0,(標準電圧!AH8*標準電圧!AH$2-VLOOKUP(HUAWEI製ＰＣＳ接続枚数計算ツール!$C$9, HUAWEI製ＰＣＳ接続枚数計算ツール!$B$119:$P$149,12,FALSE))&lt;0),0,IF(ROUNDDOWN((標準電圧!AH8*標準電圧!AH$2-VLOOKUP(HUAWEI製ＰＣＳ接続枚数計算ツール!$C$9,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HUAWEI製ＰＣＳ接続枚数計算ツール!$B$119:$P$149,14,FALSE),0)/100&gt;=IF(過積載率!AH8&gt;1,1,過積載率!AH8),1,0))</f>
        <v>1</v>
      </c>
      <c r="AI8">
        <f>IF(OR(過積載率!AI8=0,(標準電圧!AI8*標準電圧!AI$2-VLOOKUP(HUAWEI製ＰＣＳ接続枚数計算ツール!$C$9, HUAWEI製ＰＣＳ接続枚数計算ツール!$B$119:$P$149,12,FALSE))&lt;0),0,IF(ROUNDDOWN((標準電圧!AI8*標準電圧!AI$2-VLOOKUP(HUAWEI製ＰＣＳ接続枚数計算ツール!$C$9,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HUAWEI製ＰＣＳ接続枚数計算ツール!$B$119:$P$149,14,FALSE),0)/100&gt;=IF(過積載率!AI8&gt;1,1,過積載率!AI8),1,0))</f>
        <v>1</v>
      </c>
      <c r="AJ8">
        <f>IF(OR(過積載率!AJ8=0,(標準電圧!AJ8*標準電圧!AJ$2-VLOOKUP(HUAWEI製ＰＣＳ接続枚数計算ツール!$C$9, HUAWEI製ＰＣＳ接続枚数計算ツール!$B$119:$P$149,12,FALSE))&lt;0),0,IF(ROUNDDOWN((標準電圧!AJ8*標準電圧!AJ$2-VLOOKUP(HUAWEI製ＰＣＳ接続枚数計算ツール!$C$9,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HUAWEI製ＰＣＳ接続枚数計算ツール!$B$119:$P$149,14,FALSE),0)/100&gt;=IF(過積載率!AJ8&gt;1,1,過積載率!AJ8),1,0))</f>
        <v>1</v>
      </c>
      <c r="AK8">
        <f>IF(OR(過積載率!AK8=0,(標準電圧!AK8*標準電圧!AK$2-VLOOKUP(HUAWEI製ＰＣＳ接続枚数計算ツール!$C$9, HUAWEI製ＰＣＳ接続枚数計算ツール!$B$119:$P$149,12,FALSE))&lt;0),0,IF(ROUNDDOWN((標準電圧!AK8*標準電圧!AK$2-VLOOKUP(HUAWEI製ＰＣＳ接続枚数計算ツール!$C$9,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HUAWEI製ＰＣＳ接続枚数計算ツール!$B$119:$P$149,14,FALSE),0)/100&gt;=IF(過積載率!AK8&gt;1,1,過積載率!AK8),1,0))</f>
        <v>1</v>
      </c>
      <c r="AL8">
        <f>IF(OR(過積載率!AL8=0,(標準電圧!AL8*標準電圧!AL$2-VLOOKUP(HUAWEI製ＰＣＳ接続枚数計算ツール!$C$9, HUAWEI製ＰＣＳ接続枚数計算ツール!$B$119:$P$149,12,FALSE))&lt;0),0,IF(ROUNDDOWN((標準電圧!AL8*標準電圧!AL$2-VLOOKUP(HUAWEI製ＰＣＳ接続枚数計算ツール!$C$9,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HUAWEI製ＰＣＳ接続枚数計算ツール!$B$119:$P$149,14,FALSE),0)/100&gt;=IF(過積載率!AL8&gt;1,1,過積載率!AL8),1,0))</f>
        <v>1</v>
      </c>
      <c r="AM8">
        <f>IF(OR(過積載率!AM8=0,(標準電圧!AM8*標準電圧!AM$2-VLOOKUP(HUAWEI製ＰＣＳ接続枚数計算ツール!$C$9, HUAWEI製ＰＣＳ接続枚数計算ツール!$B$119:$P$149,12,FALSE))&lt;0),0,IF(ROUNDDOWN((標準電圧!AM8*標準電圧!AM$2-VLOOKUP(HUAWEI製ＰＣＳ接続枚数計算ツール!$C$9,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HUAWEI製ＰＣＳ接続枚数計算ツール!$B$119:$P$149,14,FALSE),0)/100&gt;=IF(過積載率!AM8&gt;1,1,過積載率!AM8),1,0))</f>
        <v>1</v>
      </c>
      <c r="AN8">
        <f>IF(OR(過積載率!AN8=0,(標準電圧!AN8*標準電圧!AN$2-VLOOKUP(HUAWEI製ＰＣＳ接続枚数計算ツール!$C$9, HUAWEI製ＰＣＳ接続枚数計算ツール!$B$119:$P$149,12,FALSE))&lt;0),0,IF(ROUNDDOWN((標準電圧!AN8*標準電圧!AN$2-VLOOKUP(HUAWEI製ＰＣＳ接続枚数計算ツール!$C$9,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HUAWEI製ＰＣＳ接続枚数計算ツール!$B$119:$P$149,14,FALSE),0)/100&gt;=IF(過積載率!AN8&gt;1,1,過積載率!AN8),1,0))</f>
        <v>1</v>
      </c>
      <c r="AO8">
        <f>IF(OR(過積載率!AO8=0,(標準電圧!AO8*標準電圧!AO$2-VLOOKUP(HUAWEI製ＰＣＳ接続枚数計算ツール!$C$9, HUAWEI製ＰＣＳ接続枚数計算ツール!$B$119:$P$149,12,FALSE))&lt;0),0,IF(ROUNDDOWN((標準電圧!AO8*標準電圧!AO$2-VLOOKUP(HUAWEI製ＰＣＳ接続枚数計算ツール!$C$9,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HUAWEI製ＰＣＳ接続枚数計算ツール!$B$119:$P$149,14,FALSE),0)/100&gt;=IF(過積載率!AO8&gt;1,1,過積載率!AO8),1,0))</f>
        <v>1</v>
      </c>
    </row>
    <row r="9" spans="1:41">
      <c r="A9">
        <v>7</v>
      </c>
      <c r="B9">
        <f>IF(OR(過積載率!B9=0,(標準電圧!B9*標準電圧!B$2-VLOOKUP(HUAWEI製ＰＣＳ接続枚数計算ツール!$C$9, HUAWEI製ＰＣＳ接続枚数計算ツール!$B$119:$P$149,12,FALSE))&lt;0),0,IF(ROUNDDOWN((標準電圧!B9*標準電圧!B$2-VLOOKUP(HUAWEI製ＰＣＳ接続枚数計算ツール!$C$9,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HUAWEI製ＰＣＳ接続枚数計算ツール!$B$119:$P$149,14,FALSE),0)/100&gt;=IF(過積載率!B9&gt;1,1,過積載率!B9),1,0))</f>
        <v>0</v>
      </c>
      <c r="C9">
        <f>IF(OR(過積載率!C9=0,(標準電圧!C9*標準電圧!C$2-VLOOKUP(HUAWEI製ＰＣＳ接続枚数計算ツール!$C$9, HUAWEI製ＰＣＳ接続枚数計算ツール!$B$119:$P$149,12,FALSE))&lt;0),0,IF(ROUNDDOWN((標準電圧!C9*標準電圧!C$2-VLOOKUP(HUAWEI製ＰＣＳ接続枚数計算ツール!$C$9,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HUAWEI製ＰＣＳ接続枚数計算ツール!$B$119:$P$149,14,FALSE),0)/100&gt;=IF(過積載率!C9&gt;1,1,過積載率!C9),1,0))</f>
        <v>0</v>
      </c>
      <c r="D9">
        <f>IF(OR(過積載率!D9=0,(標準電圧!D9*標準電圧!D$2-VLOOKUP(HUAWEI製ＰＣＳ接続枚数計算ツール!$C$9, HUAWEI製ＰＣＳ接続枚数計算ツール!$B$119:$P$149,12,FALSE))&lt;0),0,IF(ROUNDDOWN((標準電圧!D9*標準電圧!D$2-VLOOKUP(HUAWEI製ＰＣＳ接続枚数計算ツール!$C$9,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HUAWEI製ＰＣＳ接続枚数計算ツール!$B$119:$P$149,14,FALSE),0)/100&gt;=IF(過積載率!D9&gt;1,1,過積載率!D9),1,0))</f>
        <v>0</v>
      </c>
      <c r="E9">
        <f>IF(OR(過積載率!E9=0,(標準電圧!E9*標準電圧!E$2-VLOOKUP(HUAWEI製ＰＣＳ接続枚数計算ツール!$C$9, HUAWEI製ＰＣＳ接続枚数計算ツール!$B$119:$P$149,12,FALSE))&lt;0),0,IF(ROUNDDOWN((標準電圧!E9*標準電圧!E$2-VLOOKUP(HUAWEI製ＰＣＳ接続枚数計算ツール!$C$9,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HUAWEI製ＰＣＳ接続枚数計算ツール!$B$119:$P$149,14,FALSE),0)/100&gt;=IF(過積載率!E9&gt;1,1,過積載率!E9),1,0))</f>
        <v>0</v>
      </c>
      <c r="F9">
        <f>IF(OR(過積載率!F9=0,(標準電圧!F9*標準電圧!F$2-VLOOKUP(HUAWEI製ＰＣＳ接続枚数計算ツール!$C$9, HUAWEI製ＰＣＳ接続枚数計算ツール!$B$119:$P$149,12,FALSE))&lt;0),0,IF(ROUNDDOWN((標準電圧!F9*標準電圧!F$2-VLOOKUP(HUAWEI製ＰＣＳ接続枚数計算ツール!$C$9,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HUAWEI製ＰＣＳ接続枚数計算ツール!$B$119:$P$149,14,FALSE),0)/100&gt;=IF(過積載率!F9&gt;1,1,過積載率!F9),1,0))</f>
        <v>0</v>
      </c>
      <c r="G9">
        <f>IF(OR(過積載率!G9=0,(標準電圧!G9*標準電圧!G$2-VLOOKUP(HUAWEI製ＰＣＳ接続枚数計算ツール!$C$9, HUAWEI製ＰＣＳ接続枚数計算ツール!$B$119:$P$149,12,FALSE))&lt;0),0,IF(ROUNDDOWN((標準電圧!G9*標準電圧!G$2-VLOOKUP(HUAWEI製ＰＣＳ接続枚数計算ツール!$C$9,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HUAWEI製ＰＣＳ接続枚数計算ツール!$B$119:$P$149,14,FALSE),0)/100&gt;=IF(過積載率!G9&gt;1,1,過積載率!G9),1,0))</f>
        <v>0</v>
      </c>
      <c r="H9">
        <f>IF(OR(過積載率!H9=0,(標準電圧!H9*標準電圧!H$2-VLOOKUP(HUAWEI製ＰＣＳ接続枚数計算ツール!$C$9, HUAWEI製ＰＣＳ接続枚数計算ツール!$B$119:$P$149,12,FALSE))&lt;0),0,IF(ROUNDDOWN((標準電圧!H9*標準電圧!H$2-VLOOKUP(HUAWEI製ＰＣＳ接続枚数計算ツール!$C$9,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HUAWEI製ＰＣＳ接続枚数計算ツール!$B$119:$P$149,14,FALSE),0)/100&gt;=IF(過積載率!H9&gt;1,1,過積載率!H9),1,0))</f>
        <v>0</v>
      </c>
      <c r="I9">
        <f>IF(OR(過積載率!I9=0,(標準電圧!I9*標準電圧!I$2-VLOOKUP(HUAWEI製ＰＣＳ接続枚数計算ツール!$C$9, HUAWEI製ＰＣＳ接続枚数計算ツール!$B$119:$P$149,12,FALSE))&lt;0),0,IF(ROUNDDOWN((標準電圧!I9*標準電圧!I$2-VLOOKUP(HUAWEI製ＰＣＳ接続枚数計算ツール!$C$9,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HUAWEI製ＰＣＳ接続枚数計算ツール!$B$119:$P$149,14,FALSE),0)/100&gt;=IF(過積載率!I9&gt;1,1,過積載率!I9),1,0))</f>
        <v>0</v>
      </c>
      <c r="J9">
        <f>IF(OR(過積載率!J9=0,(標準電圧!J9*標準電圧!J$2-VLOOKUP(HUAWEI製ＰＣＳ接続枚数計算ツール!$C$9, HUAWEI製ＰＣＳ接続枚数計算ツール!$B$119:$P$149,12,FALSE))&lt;0),0,IF(ROUNDDOWN((標準電圧!J9*標準電圧!J$2-VLOOKUP(HUAWEI製ＰＣＳ接続枚数計算ツール!$C$9,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HUAWEI製ＰＣＳ接続枚数計算ツール!$B$119:$P$149,14,FALSE),0)/100&gt;=IF(過積載率!J9&gt;1,1,過積載率!J9),1,0))</f>
        <v>0</v>
      </c>
      <c r="K9">
        <f>IF(OR(過積載率!K9=0,(標準電圧!K9*標準電圧!K$2-VLOOKUP(HUAWEI製ＰＣＳ接続枚数計算ツール!$C$9, HUAWEI製ＰＣＳ接続枚数計算ツール!$B$119:$P$149,12,FALSE))&lt;0),0,IF(ROUNDDOWN((標準電圧!K9*標準電圧!K$2-VLOOKUP(HUAWEI製ＰＣＳ接続枚数計算ツール!$C$9,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HUAWEI製ＰＣＳ接続枚数計算ツール!$B$119:$P$149,14,FALSE),0)/100&gt;=IF(過積載率!K9&gt;1,1,過積載率!K9),1,0))</f>
        <v>0</v>
      </c>
      <c r="L9">
        <f>IF(OR(過積載率!L9=0,(標準電圧!L9*標準電圧!L$2-VLOOKUP(HUAWEI製ＰＣＳ接続枚数計算ツール!$C$9, HUAWEI製ＰＣＳ接続枚数計算ツール!$B$119:$P$149,12,FALSE))&lt;0),0,IF(ROUNDDOWN((標準電圧!L9*標準電圧!L$2-VLOOKUP(HUAWEI製ＰＣＳ接続枚数計算ツール!$C$9,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HUAWEI製ＰＣＳ接続枚数計算ツール!$B$119:$P$149,14,FALSE),0)/100&gt;=IF(過積載率!L9&gt;1,1,過積載率!L9),1,0))</f>
        <v>0</v>
      </c>
      <c r="M9">
        <f>IF(OR(過積載率!M9=0,(標準電圧!M9*標準電圧!M$2-VLOOKUP(HUAWEI製ＰＣＳ接続枚数計算ツール!$C$9, HUAWEI製ＰＣＳ接続枚数計算ツール!$B$119:$P$149,12,FALSE))&lt;0),0,IF(ROUNDDOWN((標準電圧!M9*標準電圧!M$2-VLOOKUP(HUAWEI製ＰＣＳ接続枚数計算ツール!$C$9,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HUAWEI製ＰＣＳ接続枚数計算ツール!$B$119:$P$149,14,FALSE),0)/100&gt;=IF(過積載率!M9&gt;1,1,過積載率!M9),1,0))</f>
        <v>1</v>
      </c>
      <c r="N9">
        <f>IF(OR(過積載率!N9=0,(標準電圧!N9*標準電圧!N$2-VLOOKUP(HUAWEI製ＰＣＳ接続枚数計算ツール!$C$9, HUAWEI製ＰＣＳ接続枚数計算ツール!$B$119:$P$149,12,FALSE))&lt;0),0,IF(ROUNDDOWN((標準電圧!N9*標準電圧!N$2-VLOOKUP(HUAWEI製ＰＣＳ接続枚数計算ツール!$C$9,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HUAWEI製ＰＣＳ接続枚数計算ツール!$B$119:$P$149,14,FALSE),0)/100&gt;=IF(過積載率!N9&gt;1,1,過積載率!N9),1,0))</f>
        <v>1</v>
      </c>
      <c r="O9">
        <f>IF(OR(過積載率!O9=0,(標準電圧!O9*標準電圧!O$2-VLOOKUP(HUAWEI製ＰＣＳ接続枚数計算ツール!$C$9, HUAWEI製ＰＣＳ接続枚数計算ツール!$B$119:$P$149,12,FALSE))&lt;0),0,IF(ROUNDDOWN((標準電圧!O9*標準電圧!O$2-VLOOKUP(HUAWEI製ＰＣＳ接続枚数計算ツール!$C$9,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HUAWEI製ＰＣＳ接続枚数計算ツール!$B$119:$P$149,14,FALSE),0)/100&gt;=IF(過積載率!O9&gt;1,1,過積載率!O9),1,0))</f>
        <v>1</v>
      </c>
      <c r="P9">
        <f>IF(OR(過積載率!P9=0,(標準電圧!P9*標準電圧!P$2-VLOOKUP(HUAWEI製ＰＣＳ接続枚数計算ツール!$C$9, HUAWEI製ＰＣＳ接続枚数計算ツール!$B$119:$P$149,12,FALSE))&lt;0),0,IF(ROUNDDOWN((標準電圧!P9*標準電圧!P$2-VLOOKUP(HUAWEI製ＰＣＳ接続枚数計算ツール!$C$9,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HUAWEI製ＰＣＳ接続枚数計算ツール!$B$119:$P$149,14,FALSE),0)/100&gt;=IF(過積載率!P9&gt;1,1,過積載率!P9),1,0))</f>
        <v>1</v>
      </c>
      <c r="Q9">
        <f>IF(OR(過積載率!Q9=0,(標準電圧!Q9*標準電圧!Q$2-VLOOKUP(HUAWEI製ＰＣＳ接続枚数計算ツール!$C$9, HUAWEI製ＰＣＳ接続枚数計算ツール!$B$119:$P$149,12,FALSE))&lt;0),0,IF(ROUNDDOWN((標準電圧!Q9*標準電圧!Q$2-VLOOKUP(HUAWEI製ＰＣＳ接続枚数計算ツール!$C$9,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HUAWEI製ＰＣＳ接続枚数計算ツール!$B$119:$P$149,14,FALSE),0)/100&gt;=IF(過積載率!Q9&gt;1,1,過積載率!Q9),1,0))</f>
        <v>1</v>
      </c>
      <c r="R9">
        <f>IF(OR(過積載率!R9=0,(標準電圧!R9*標準電圧!R$2-VLOOKUP(HUAWEI製ＰＣＳ接続枚数計算ツール!$C$9, HUAWEI製ＰＣＳ接続枚数計算ツール!$B$119:$P$149,12,FALSE))&lt;0),0,IF(ROUNDDOWN((標準電圧!R9*標準電圧!R$2-VLOOKUP(HUAWEI製ＰＣＳ接続枚数計算ツール!$C$9,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HUAWEI製ＰＣＳ接続枚数計算ツール!$B$119:$P$149,14,FALSE),0)/100&gt;=IF(過積載率!R9&gt;1,1,過積載率!R9),1,0))</f>
        <v>1</v>
      </c>
      <c r="S9">
        <f>IF(OR(過積載率!S9=0,(標準電圧!S9*標準電圧!S$2-VLOOKUP(HUAWEI製ＰＣＳ接続枚数計算ツール!$C$9, HUAWEI製ＰＣＳ接続枚数計算ツール!$B$119:$P$149,12,FALSE))&lt;0),0,IF(ROUNDDOWN((標準電圧!S9*標準電圧!S$2-VLOOKUP(HUAWEI製ＰＣＳ接続枚数計算ツール!$C$9,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HUAWEI製ＰＣＳ接続枚数計算ツール!$B$119:$P$149,14,FALSE),0)/100&gt;=IF(過積載率!S9&gt;1,1,過積載率!S9),1,0))</f>
        <v>1</v>
      </c>
      <c r="T9">
        <f>IF(OR(過積載率!T9=0,(標準電圧!T9*標準電圧!T$2-VLOOKUP(HUAWEI製ＰＣＳ接続枚数計算ツール!$C$9, HUAWEI製ＰＣＳ接続枚数計算ツール!$B$119:$P$149,12,FALSE))&lt;0),0,IF(ROUNDDOWN((標準電圧!T9*標準電圧!T$2-VLOOKUP(HUAWEI製ＰＣＳ接続枚数計算ツール!$C$9,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HUAWEI製ＰＣＳ接続枚数計算ツール!$B$119:$P$149,14,FALSE),0)/100&gt;=IF(過積載率!T9&gt;1,1,過積載率!T9),1,0))</f>
        <v>1</v>
      </c>
      <c r="U9">
        <f>IF(OR(過積載率!U9=0,(標準電圧!U9*標準電圧!U$2-VLOOKUP(HUAWEI製ＰＣＳ接続枚数計算ツール!$C$9, HUAWEI製ＰＣＳ接続枚数計算ツール!$B$119:$P$149,12,FALSE))&lt;0),0,IF(ROUNDDOWN((標準電圧!U9*標準電圧!U$2-VLOOKUP(HUAWEI製ＰＣＳ接続枚数計算ツール!$C$9,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HUAWEI製ＰＣＳ接続枚数計算ツール!$B$119:$P$149,14,FALSE),0)/100&gt;=IF(過積載率!U9&gt;1,1,過積載率!U9),1,0))</f>
        <v>1</v>
      </c>
      <c r="V9">
        <f>IF(OR(過積載率!V9=0,(標準電圧!V9*標準電圧!V$2-VLOOKUP(HUAWEI製ＰＣＳ接続枚数計算ツール!$C$9, HUAWEI製ＰＣＳ接続枚数計算ツール!$B$119:$P$149,12,FALSE))&lt;0),0,IF(ROUNDDOWN((標準電圧!V9*標準電圧!V$2-VLOOKUP(HUAWEI製ＰＣＳ接続枚数計算ツール!$C$9,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HUAWEI製ＰＣＳ接続枚数計算ツール!$B$119:$P$149,14,FALSE),0)/100&gt;=IF(過積載率!V9&gt;1,1,過積載率!V9),1,0))</f>
        <v>1</v>
      </c>
      <c r="W9">
        <f>IF(OR(過積載率!W9=0,(標準電圧!W9*標準電圧!W$2-VLOOKUP(HUAWEI製ＰＣＳ接続枚数計算ツール!$C$9, HUAWEI製ＰＣＳ接続枚数計算ツール!$B$119:$P$149,12,FALSE))&lt;0),0,IF(ROUNDDOWN((標準電圧!W9*標準電圧!W$2-VLOOKUP(HUAWEI製ＰＣＳ接続枚数計算ツール!$C$9,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HUAWEI製ＰＣＳ接続枚数計算ツール!$B$119:$P$149,14,FALSE),0)/100&gt;=IF(過積載率!W9&gt;1,1,過積載率!W9),1,0))</f>
        <v>1</v>
      </c>
      <c r="X9">
        <f>IF(OR(過積載率!X9=0,(標準電圧!X9*標準電圧!X$2-VLOOKUP(HUAWEI製ＰＣＳ接続枚数計算ツール!$C$9, HUAWEI製ＰＣＳ接続枚数計算ツール!$B$119:$P$149,12,FALSE))&lt;0),0,IF(ROUNDDOWN((標準電圧!X9*標準電圧!X$2-VLOOKUP(HUAWEI製ＰＣＳ接続枚数計算ツール!$C$9,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HUAWEI製ＰＣＳ接続枚数計算ツール!$B$119:$P$149,14,FALSE),0)/100&gt;=IF(過積載率!X9&gt;1,1,過積載率!X9),1,0))</f>
        <v>1</v>
      </c>
      <c r="Y9">
        <f>IF(OR(過積載率!Y9=0,(標準電圧!Y9*標準電圧!Y$2-VLOOKUP(HUAWEI製ＰＣＳ接続枚数計算ツール!$C$9, HUAWEI製ＰＣＳ接続枚数計算ツール!$B$119:$P$149,12,FALSE))&lt;0),0,IF(ROUNDDOWN((標準電圧!Y9*標準電圧!Y$2-VLOOKUP(HUAWEI製ＰＣＳ接続枚数計算ツール!$C$9,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HUAWEI製ＰＣＳ接続枚数計算ツール!$B$119:$P$149,14,FALSE),0)/100&gt;=IF(過積載率!Y9&gt;1,1,過積載率!Y9),1,0))</f>
        <v>1</v>
      </c>
      <c r="Z9">
        <f>IF(OR(過積載率!Z9=0,(標準電圧!Z9*標準電圧!Z$2-VLOOKUP(HUAWEI製ＰＣＳ接続枚数計算ツール!$C$9, HUAWEI製ＰＣＳ接続枚数計算ツール!$B$119:$P$149,12,FALSE))&lt;0),0,IF(ROUNDDOWN((標準電圧!Z9*標準電圧!Z$2-VLOOKUP(HUAWEI製ＰＣＳ接続枚数計算ツール!$C$9,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HUAWEI製ＰＣＳ接続枚数計算ツール!$B$119:$P$149,14,FALSE),0)/100&gt;=IF(過積載率!Z9&gt;1,1,過積載率!Z9),1,0))</f>
        <v>1</v>
      </c>
      <c r="AA9">
        <f>IF(OR(過積載率!AA9=0,(標準電圧!AA9*標準電圧!AA$2-VLOOKUP(HUAWEI製ＰＣＳ接続枚数計算ツール!$C$9, HUAWEI製ＰＣＳ接続枚数計算ツール!$B$119:$P$149,12,FALSE))&lt;0),0,IF(ROUNDDOWN((標準電圧!AA9*標準電圧!AA$2-VLOOKUP(HUAWEI製ＰＣＳ接続枚数計算ツール!$C$9,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HUAWEI製ＰＣＳ接続枚数計算ツール!$B$119:$P$149,14,FALSE),0)/100&gt;=IF(過積載率!AA9&gt;1,1,過積載率!AA9),1,0))</f>
        <v>1</v>
      </c>
      <c r="AB9">
        <f>IF(OR(過積載率!AB9=0,(標準電圧!AB9*標準電圧!AB$2-VLOOKUP(HUAWEI製ＰＣＳ接続枚数計算ツール!$C$9, HUAWEI製ＰＣＳ接続枚数計算ツール!$B$119:$P$149,12,FALSE))&lt;0),0,IF(ROUNDDOWN((標準電圧!AB9*標準電圧!AB$2-VLOOKUP(HUAWEI製ＰＣＳ接続枚数計算ツール!$C$9,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HUAWEI製ＰＣＳ接続枚数計算ツール!$B$119:$P$149,14,FALSE),0)/100&gt;=IF(過積載率!AB9&gt;1,1,過積載率!AB9),1,0))</f>
        <v>1</v>
      </c>
      <c r="AC9">
        <f>IF(OR(過積載率!AC9=0,(標準電圧!AC9*標準電圧!AC$2-VLOOKUP(HUAWEI製ＰＣＳ接続枚数計算ツール!$C$9, HUAWEI製ＰＣＳ接続枚数計算ツール!$B$119:$P$149,12,FALSE))&lt;0),0,IF(ROUNDDOWN((標準電圧!AC9*標準電圧!AC$2-VLOOKUP(HUAWEI製ＰＣＳ接続枚数計算ツール!$C$9,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HUAWEI製ＰＣＳ接続枚数計算ツール!$B$119:$P$149,14,FALSE),0)/100&gt;=IF(過積載率!AC9&gt;1,1,過積載率!AC9),1,0))</f>
        <v>1</v>
      </c>
      <c r="AD9">
        <f>IF(OR(過積載率!AD9=0,(標準電圧!AD9*標準電圧!AD$2-VLOOKUP(HUAWEI製ＰＣＳ接続枚数計算ツール!$C$9, HUAWEI製ＰＣＳ接続枚数計算ツール!$B$119:$P$149,12,FALSE))&lt;0),0,IF(ROUNDDOWN((標準電圧!AD9*標準電圧!AD$2-VLOOKUP(HUAWEI製ＰＣＳ接続枚数計算ツール!$C$9,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HUAWEI製ＰＣＳ接続枚数計算ツール!$B$119:$P$149,14,FALSE),0)/100&gt;=IF(過積載率!AD9&gt;1,1,過積載率!AD9),1,0))</f>
        <v>1</v>
      </c>
      <c r="AE9">
        <f>IF(OR(過積載率!AE9=0,(標準電圧!AE9*標準電圧!AE$2-VLOOKUP(HUAWEI製ＰＣＳ接続枚数計算ツール!$C$9, HUAWEI製ＰＣＳ接続枚数計算ツール!$B$119:$P$149,12,FALSE))&lt;0),0,IF(ROUNDDOWN((標準電圧!AE9*標準電圧!AE$2-VLOOKUP(HUAWEI製ＰＣＳ接続枚数計算ツール!$C$9,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HUAWEI製ＰＣＳ接続枚数計算ツール!$B$119:$P$149,14,FALSE),0)/100&gt;=IF(過積載率!AE9&gt;1,1,過積載率!AE9),1,0))</f>
        <v>1</v>
      </c>
      <c r="AF9">
        <f>IF(OR(過積載率!AF9=0,(標準電圧!AF9*標準電圧!AF$2-VLOOKUP(HUAWEI製ＰＣＳ接続枚数計算ツール!$C$9, HUAWEI製ＰＣＳ接続枚数計算ツール!$B$119:$P$149,12,FALSE))&lt;0),0,IF(ROUNDDOWN((標準電圧!AF9*標準電圧!AF$2-VLOOKUP(HUAWEI製ＰＣＳ接続枚数計算ツール!$C$9,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HUAWEI製ＰＣＳ接続枚数計算ツール!$B$119:$P$149,14,FALSE),0)/100&gt;=IF(過積載率!AF9&gt;1,1,過積載率!AF9),1,0))</f>
        <v>1</v>
      </c>
      <c r="AG9">
        <f>IF(OR(過積載率!AG9=0,(標準電圧!AG9*標準電圧!AG$2-VLOOKUP(HUAWEI製ＰＣＳ接続枚数計算ツール!$C$9, HUAWEI製ＰＣＳ接続枚数計算ツール!$B$119:$P$149,12,FALSE))&lt;0),0,IF(ROUNDDOWN((標準電圧!AG9*標準電圧!AG$2-VLOOKUP(HUAWEI製ＰＣＳ接続枚数計算ツール!$C$9,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HUAWEI製ＰＣＳ接続枚数計算ツール!$B$119:$P$149,14,FALSE),0)/100&gt;=IF(過積載率!AG9&gt;1,1,過積載率!AG9),1,0))</f>
        <v>1</v>
      </c>
      <c r="AH9">
        <f>IF(OR(過積載率!AH9=0,(標準電圧!AH9*標準電圧!AH$2-VLOOKUP(HUAWEI製ＰＣＳ接続枚数計算ツール!$C$9, HUAWEI製ＰＣＳ接続枚数計算ツール!$B$119:$P$149,12,FALSE))&lt;0),0,IF(ROUNDDOWN((標準電圧!AH9*標準電圧!AH$2-VLOOKUP(HUAWEI製ＰＣＳ接続枚数計算ツール!$C$9,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HUAWEI製ＰＣＳ接続枚数計算ツール!$B$119:$P$149,14,FALSE),0)/100&gt;=IF(過積載率!AH9&gt;1,1,過積載率!AH9),1,0))</f>
        <v>1</v>
      </c>
      <c r="AI9">
        <f>IF(OR(過積載率!AI9=0,(標準電圧!AI9*標準電圧!AI$2-VLOOKUP(HUAWEI製ＰＣＳ接続枚数計算ツール!$C$9, HUAWEI製ＰＣＳ接続枚数計算ツール!$B$119:$P$149,12,FALSE))&lt;0),0,IF(ROUNDDOWN((標準電圧!AI9*標準電圧!AI$2-VLOOKUP(HUAWEI製ＰＣＳ接続枚数計算ツール!$C$9,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HUAWEI製ＰＣＳ接続枚数計算ツール!$B$119:$P$149,14,FALSE),0)/100&gt;=IF(過積載率!AI9&gt;1,1,過積載率!AI9),1,0))</f>
        <v>1</v>
      </c>
      <c r="AJ9">
        <f>IF(OR(過積載率!AJ9=0,(標準電圧!AJ9*標準電圧!AJ$2-VLOOKUP(HUAWEI製ＰＣＳ接続枚数計算ツール!$C$9, HUAWEI製ＰＣＳ接続枚数計算ツール!$B$119:$P$149,12,FALSE))&lt;0),0,IF(ROUNDDOWN((標準電圧!AJ9*標準電圧!AJ$2-VLOOKUP(HUAWEI製ＰＣＳ接続枚数計算ツール!$C$9,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HUAWEI製ＰＣＳ接続枚数計算ツール!$B$119:$P$149,14,FALSE),0)/100&gt;=IF(過積載率!AJ9&gt;1,1,過積載率!AJ9),1,0))</f>
        <v>1</v>
      </c>
      <c r="AK9">
        <f>IF(OR(過積載率!AK9=0,(標準電圧!AK9*標準電圧!AK$2-VLOOKUP(HUAWEI製ＰＣＳ接続枚数計算ツール!$C$9, HUAWEI製ＰＣＳ接続枚数計算ツール!$B$119:$P$149,12,FALSE))&lt;0),0,IF(ROUNDDOWN((標準電圧!AK9*標準電圧!AK$2-VLOOKUP(HUAWEI製ＰＣＳ接続枚数計算ツール!$C$9,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HUAWEI製ＰＣＳ接続枚数計算ツール!$B$119:$P$149,14,FALSE),0)/100&gt;=IF(過積載率!AK9&gt;1,1,過積載率!AK9),1,0))</f>
        <v>1</v>
      </c>
      <c r="AL9">
        <f>IF(OR(過積載率!AL9=0,(標準電圧!AL9*標準電圧!AL$2-VLOOKUP(HUAWEI製ＰＣＳ接続枚数計算ツール!$C$9, HUAWEI製ＰＣＳ接続枚数計算ツール!$B$119:$P$149,12,FALSE))&lt;0),0,IF(ROUNDDOWN((標準電圧!AL9*標準電圧!AL$2-VLOOKUP(HUAWEI製ＰＣＳ接続枚数計算ツール!$C$9,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HUAWEI製ＰＣＳ接続枚数計算ツール!$B$119:$P$149,14,FALSE),0)/100&gt;=IF(過積載率!AL9&gt;1,1,過積載率!AL9),1,0))</f>
        <v>1</v>
      </c>
      <c r="AM9">
        <f>IF(OR(過積載率!AM9=0,(標準電圧!AM9*標準電圧!AM$2-VLOOKUP(HUAWEI製ＰＣＳ接続枚数計算ツール!$C$9, HUAWEI製ＰＣＳ接続枚数計算ツール!$B$119:$P$149,12,FALSE))&lt;0),0,IF(ROUNDDOWN((標準電圧!AM9*標準電圧!AM$2-VLOOKUP(HUAWEI製ＰＣＳ接続枚数計算ツール!$C$9,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HUAWEI製ＰＣＳ接続枚数計算ツール!$B$119:$P$149,14,FALSE),0)/100&gt;=IF(過積載率!AM9&gt;1,1,過積載率!AM9),1,0))</f>
        <v>1</v>
      </c>
      <c r="AN9">
        <f>IF(OR(過積載率!AN9=0,(標準電圧!AN9*標準電圧!AN$2-VLOOKUP(HUAWEI製ＰＣＳ接続枚数計算ツール!$C$9, HUAWEI製ＰＣＳ接続枚数計算ツール!$B$119:$P$149,12,FALSE))&lt;0),0,IF(ROUNDDOWN((標準電圧!AN9*標準電圧!AN$2-VLOOKUP(HUAWEI製ＰＣＳ接続枚数計算ツール!$C$9,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HUAWEI製ＰＣＳ接続枚数計算ツール!$B$119:$P$149,14,FALSE),0)/100&gt;=IF(過積載率!AN9&gt;1,1,過積載率!AN9),1,0))</f>
        <v>1</v>
      </c>
      <c r="AO9">
        <f>IF(OR(過積載率!AO9=0,(標準電圧!AO9*標準電圧!AO$2-VLOOKUP(HUAWEI製ＰＣＳ接続枚数計算ツール!$C$9, HUAWEI製ＰＣＳ接続枚数計算ツール!$B$119:$P$149,12,FALSE))&lt;0),0,IF(ROUNDDOWN((標準電圧!AO9*標準電圧!AO$2-VLOOKUP(HUAWEI製ＰＣＳ接続枚数計算ツール!$C$9,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HUAWEI製ＰＣＳ接続枚数計算ツール!$B$119:$P$149,14,FALSE),0)/100&gt;=IF(過積載率!AO9&gt;1,1,過積載率!AO9),1,0))</f>
        <v>1</v>
      </c>
    </row>
    <row r="10" spans="1:41">
      <c r="A10">
        <v>8</v>
      </c>
      <c r="B10">
        <f>IF(OR(過積載率!B10=0,(標準電圧!B10*標準電圧!B$2-VLOOKUP(HUAWEI製ＰＣＳ接続枚数計算ツール!$C$9, HUAWEI製ＰＣＳ接続枚数計算ツール!$B$119:$P$149,12,FALSE))&lt;0),0,IF(ROUNDDOWN((標準電圧!B10*標準電圧!B$2-VLOOKUP(HUAWEI製ＰＣＳ接続枚数計算ツール!$C$9,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HUAWEI製ＰＣＳ接続枚数計算ツール!$B$119:$P$149,14,FALSE),0)/100&gt;=IF(過積載率!B10&gt;1,1,過積載率!B10),1,0))</f>
        <v>0</v>
      </c>
      <c r="C10">
        <f>IF(OR(過積載率!C10=0,(標準電圧!C10*標準電圧!C$2-VLOOKUP(HUAWEI製ＰＣＳ接続枚数計算ツール!$C$9, HUAWEI製ＰＣＳ接続枚数計算ツール!$B$119:$P$149,12,FALSE))&lt;0),0,IF(ROUNDDOWN((標準電圧!C10*標準電圧!C$2-VLOOKUP(HUAWEI製ＰＣＳ接続枚数計算ツール!$C$9,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HUAWEI製ＰＣＳ接続枚数計算ツール!$B$119:$P$149,14,FALSE),0)/100&gt;=IF(過積載率!C10&gt;1,1,過積載率!C10),1,0))</f>
        <v>0</v>
      </c>
      <c r="D10">
        <f>IF(OR(過積載率!D10=0,(標準電圧!D10*標準電圧!D$2-VLOOKUP(HUAWEI製ＰＣＳ接続枚数計算ツール!$C$9, HUAWEI製ＰＣＳ接続枚数計算ツール!$B$119:$P$149,12,FALSE))&lt;0),0,IF(ROUNDDOWN((標準電圧!D10*標準電圧!D$2-VLOOKUP(HUAWEI製ＰＣＳ接続枚数計算ツール!$C$9,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HUAWEI製ＰＣＳ接続枚数計算ツール!$B$119:$P$149,14,FALSE),0)/100&gt;=IF(過積載率!D10&gt;1,1,過積載率!D10),1,0))</f>
        <v>0</v>
      </c>
      <c r="E10">
        <f>IF(OR(過積載率!E10=0,(標準電圧!E10*標準電圧!E$2-VLOOKUP(HUAWEI製ＰＣＳ接続枚数計算ツール!$C$9, HUAWEI製ＰＣＳ接続枚数計算ツール!$B$119:$P$149,12,FALSE))&lt;0),0,IF(ROUNDDOWN((標準電圧!E10*標準電圧!E$2-VLOOKUP(HUAWEI製ＰＣＳ接続枚数計算ツール!$C$9,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HUAWEI製ＰＣＳ接続枚数計算ツール!$B$119:$P$149,14,FALSE),0)/100&gt;=IF(過積載率!E10&gt;1,1,過積載率!E10),1,0))</f>
        <v>0</v>
      </c>
      <c r="F10">
        <f>IF(OR(過積載率!F10=0,(標準電圧!F10*標準電圧!F$2-VLOOKUP(HUAWEI製ＰＣＳ接続枚数計算ツール!$C$9, HUAWEI製ＰＣＳ接続枚数計算ツール!$B$119:$P$149,12,FALSE))&lt;0),0,IF(ROUNDDOWN((標準電圧!F10*標準電圧!F$2-VLOOKUP(HUAWEI製ＰＣＳ接続枚数計算ツール!$C$9,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HUAWEI製ＰＣＳ接続枚数計算ツール!$B$119:$P$149,14,FALSE),0)/100&gt;=IF(過積載率!F10&gt;1,1,過積載率!F10),1,0))</f>
        <v>0</v>
      </c>
      <c r="G10">
        <f>IF(OR(過積載率!G10=0,(標準電圧!G10*標準電圧!G$2-VLOOKUP(HUAWEI製ＰＣＳ接続枚数計算ツール!$C$9, HUAWEI製ＰＣＳ接続枚数計算ツール!$B$119:$P$149,12,FALSE))&lt;0),0,IF(ROUNDDOWN((標準電圧!G10*標準電圧!G$2-VLOOKUP(HUAWEI製ＰＣＳ接続枚数計算ツール!$C$9,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HUAWEI製ＰＣＳ接続枚数計算ツール!$B$119:$P$149,14,FALSE),0)/100&gt;=IF(過積載率!G10&gt;1,1,過積載率!G10),1,0))</f>
        <v>0</v>
      </c>
      <c r="H10">
        <f>IF(OR(過積載率!H10=0,(標準電圧!H10*標準電圧!H$2-VLOOKUP(HUAWEI製ＰＣＳ接続枚数計算ツール!$C$9, HUAWEI製ＰＣＳ接続枚数計算ツール!$B$119:$P$149,12,FALSE))&lt;0),0,IF(ROUNDDOWN((標準電圧!H10*標準電圧!H$2-VLOOKUP(HUAWEI製ＰＣＳ接続枚数計算ツール!$C$9,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HUAWEI製ＰＣＳ接続枚数計算ツール!$B$119:$P$149,14,FALSE),0)/100&gt;=IF(過積載率!H10&gt;1,1,過積載率!H10),1,0))</f>
        <v>0</v>
      </c>
      <c r="I10">
        <f>IF(OR(過積載率!I10=0,(標準電圧!I10*標準電圧!I$2-VLOOKUP(HUAWEI製ＰＣＳ接続枚数計算ツール!$C$9, HUAWEI製ＰＣＳ接続枚数計算ツール!$B$119:$P$149,12,FALSE))&lt;0),0,IF(ROUNDDOWN((標準電圧!I10*標準電圧!I$2-VLOOKUP(HUAWEI製ＰＣＳ接続枚数計算ツール!$C$9,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HUAWEI製ＰＣＳ接続枚数計算ツール!$B$119:$P$149,14,FALSE),0)/100&gt;=IF(過積載率!I10&gt;1,1,過積載率!I10),1,0))</f>
        <v>0</v>
      </c>
      <c r="J10">
        <f>IF(OR(過積載率!J10=0,(標準電圧!J10*標準電圧!J$2-VLOOKUP(HUAWEI製ＰＣＳ接続枚数計算ツール!$C$9, HUAWEI製ＰＣＳ接続枚数計算ツール!$B$119:$P$149,12,FALSE))&lt;0),0,IF(ROUNDDOWN((標準電圧!J10*標準電圧!J$2-VLOOKUP(HUAWEI製ＰＣＳ接続枚数計算ツール!$C$9,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HUAWEI製ＰＣＳ接続枚数計算ツール!$B$119:$P$149,14,FALSE),0)/100&gt;=IF(過積載率!J10&gt;1,1,過積載率!J10),1,0))</f>
        <v>0</v>
      </c>
      <c r="K10">
        <f>IF(OR(過積載率!K10=0,(標準電圧!K10*標準電圧!K$2-VLOOKUP(HUAWEI製ＰＣＳ接続枚数計算ツール!$C$9, HUAWEI製ＰＣＳ接続枚数計算ツール!$B$119:$P$149,12,FALSE))&lt;0),0,IF(ROUNDDOWN((標準電圧!K10*標準電圧!K$2-VLOOKUP(HUAWEI製ＰＣＳ接続枚数計算ツール!$C$9,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HUAWEI製ＰＣＳ接続枚数計算ツール!$B$119:$P$149,14,FALSE),0)/100&gt;=IF(過積載率!K10&gt;1,1,過積載率!K10),1,0))</f>
        <v>0</v>
      </c>
      <c r="L10">
        <f>IF(OR(過積載率!L10=0,(標準電圧!L10*標準電圧!L$2-VLOOKUP(HUAWEI製ＰＣＳ接続枚数計算ツール!$C$9, HUAWEI製ＰＣＳ接続枚数計算ツール!$B$119:$P$149,12,FALSE))&lt;0),0,IF(ROUNDDOWN((標準電圧!L10*標準電圧!L$2-VLOOKUP(HUAWEI製ＰＣＳ接続枚数計算ツール!$C$9,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HUAWEI製ＰＣＳ接続枚数計算ツール!$B$119:$P$149,14,FALSE),0)/100&gt;=IF(過積載率!L10&gt;1,1,過積載率!L10),1,0))</f>
        <v>0</v>
      </c>
      <c r="M10">
        <f>IF(OR(過積載率!M10=0,(標準電圧!M10*標準電圧!M$2-VLOOKUP(HUAWEI製ＰＣＳ接続枚数計算ツール!$C$9, HUAWEI製ＰＣＳ接続枚数計算ツール!$B$119:$P$149,12,FALSE))&lt;0),0,IF(ROUNDDOWN((標準電圧!M10*標準電圧!M$2-VLOOKUP(HUAWEI製ＰＣＳ接続枚数計算ツール!$C$9,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HUAWEI製ＰＣＳ接続枚数計算ツール!$B$119:$P$149,14,FALSE),0)/100&gt;=IF(過積載率!M10&gt;1,1,過積載率!M10),1,0))</f>
        <v>1</v>
      </c>
      <c r="N10">
        <f>IF(OR(過積載率!N10=0,(標準電圧!N10*標準電圧!N$2-VLOOKUP(HUAWEI製ＰＣＳ接続枚数計算ツール!$C$9, HUAWEI製ＰＣＳ接続枚数計算ツール!$B$119:$P$149,12,FALSE))&lt;0),0,IF(ROUNDDOWN((標準電圧!N10*標準電圧!N$2-VLOOKUP(HUAWEI製ＰＣＳ接続枚数計算ツール!$C$9,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HUAWEI製ＰＣＳ接続枚数計算ツール!$B$119:$P$149,14,FALSE),0)/100&gt;=IF(過積載率!N10&gt;1,1,過積載率!N10),1,0))</f>
        <v>1</v>
      </c>
      <c r="O10">
        <f>IF(OR(過積載率!O10=0,(標準電圧!O10*標準電圧!O$2-VLOOKUP(HUAWEI製ＰＣＳ接続枚数計算ツール!$C$9, HUAWEI製ＰＣＳ接続枚数計算ツール!$B$119:$P$149,12,FALSE))&lt;0),0,IF(ROUNDDOWN((標準電圧!O10*標準電圧!O$2-VLOOKUP(HUAWEI製ＰＣＳ接続枚数計算ツール!$C$9,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HUAWEI製ＰＣＳ接続枚数計算ツール!$B$119:$P$149,14,FALSE),0)/100&gt;=IF(過積載率!O10&gt;1,1,過積載率!O10),1,0))</f>
        <v>1</v>
      </c>
      <c r="P10">
        <f>IF(OR(過積載率!P10=0,(標準電圧!P10*標準電圧!P$2-VLOOKUP(HUAWEI製ＰＣＳ接続枚数計算ツール!$C$9, HUAWEI製ＰＣＳ接続枚数計算ツール!$B$119:$P$149,12,FALSE))&lt;0),0,IF(ROUNDDOWN((標準電圧!P10*標準電圧!P$2-VLOOKUP(HUAWEI製ＰＣＳ接続枚数計算ツール!$C$9,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HUAWEI製ＰＣＳ接続枚数計算ツール!$B$119:$P$149,14,FALSE),0)/100&gt;=IF(過積載率!P10&gt;1,1,過積載率!P10),1,0))</f>
        <v>1</v>
      </c>
      <c r="Q10">
        <f>IF(OR(過積載率!Q10=0,(標準電圧!Q10*標準電圧!Q$2-VLOOKUP(HUAWEI製ＰＣＳ接続枚数計算ツール!$C$9, HUAWEI製ＰＣＳ接続枚数計算ツール!$B$119:$P$149,12,FALSE))&lt;0),0,IF(ROUNDDOWN((標準電圧!Q10*標準電圧!Q$2-VLOOKUP(HUAWEI製ＰＣＳ接続枚数計算ツール!$C$9,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HUAWEI製ＰＣＳ接続枚数計算ツール!$B$119:$P$149,14,FALSE),0)/100&gt;=IF(過積載率!Q10&gt;1,1,過積載率!Q10),1,0))</f>
        <v>1</v>
      </c>
      <c r="R10">
        <f>IF(OR(過積載率!R10=0,(標準電圧!R10*標準電圧!R$2-VLOOKUP(HUAWEI製ＰＣＳ接続枚数計算ツール!$C$9, HUAWEI製ＰＣＳ接続枚数計算ツール!$B$119:$P$149,12,FALSE))&lt;0),0,IF(ROUNDDOWN((標準電圧!R10*標準電圧!R$2-VLOOKUP(HUAWEI製ＰＣＳ接続枚数計算ツール!$C$9,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HUAWEI製ＰＣＳ接続枚数計算ツール!$B$119:$P$149,14,FALSE),0)/100&gt;=IF(過積載率!R10&gt;1,1,過積載率!R10),1,0))</f>
        <v>1</v>
      </c>
      <c r="S10">
        <f>IF(OR(過積載率!S10=0,(標準電圧!S10*標準電圧!S$2-VLOOKUP(HUAWEI製ＰＣＳ接続枚数計算ツール!$C$9, HUAWEI製ＰＣＳ接続枚数計算ツール!$B$119:$P$149,12,FALSE))&lt;0),0,IF(ROUNDDOWN((標準電圧!S10*標準電圧!S$2-VLOOKUP(HUAWEI製ＰＣＳ接続枚数計算ツール!$C$9,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HUAWEI製ＰＣＳ接続枚数計算ツール!$B$119:$P$149,14,FALSE),0)/100&gt;=IF(過積載率!S10&gt;1,1,過積載率!S10),1,0))</f>
        <v>1</v>
      </c>
      <c r="T10">
        <f>IF(OR(過積載率!T10=0,(標準電圧!T10*標準電圧!T$2-VLOOKUP(HUAWEI製ＰＣＳ接続枚数計算ツール!$C$9, HUAWEI製ＰＣＳ接続枚数計算ツール!$B$119:$P$149,12,FALSE))&lt;0),0,IF(ROUNDDOWN((標準電圧!T10*標準電圧!T$2-VLOOKUP(HUAWEI製ＰＣＳ接続枚数計算ツール!$C$9,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HUAWEI製ＰＣＳ接続枚数計算ツール!$B$119:$P$149,14,FALSE),0)/100&gt;=IF(過積載率!T10&gt;1,1,過積載率!T10),1,0))</f>
        <v>1</v>
      </c>
      <c r="U10">
        <f>IF(OR(過積載率!U10=0,(標準電圧!U10*標準電圧!U$2-VLOOKUP(HUAWEI製ＰＣＳ接続枚数計算ツール!$C$9, HUAWEI製ＰＣＳ接続枚数計算ツール!$B$119:$P$149,12,FALSE))&lt;0),0,IF(ROUNDDOWN((標準電圧!U10*標準電圧!U$2-VLOOKUP(HUAWEI製ＰＣＳ接続枚数計算ツール!$C$9,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HUAWEI製ＰＣＳ接続枚数計算ツール!$B$119:$P$149,14,FALSE),0)/100&gt;=IF(過積載率!U10&gt;1,1,過積載率!U10),1,0))</f>
        <v>1</v>
      </c>
      <c r="V10">
        <f>IF(OR(過積載率!V10=0,(標準電圧!V10*標準電圧!V$2-VLOOKUP(HUAWEI製ＰＣＳ接続枚数計算ツール!$C$9, HUAWEI製ＰＣＳ接続枚数計算ツール!$B$119:$P$149,12,FALSE))&lt;0),0,IF(ROUNDDOWN((標準電圧!V10*標準電圧!V$2-VLOOKUP(HUAWEI製ＰＣＳ接続枚数計算ツール!$C$9,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HUAWEI製ＰＣＳ接続枚数計算ツール!$B$119:$P$149,14,FALSE),0)/100&gt;=IF(過積載率!V10&gt;1,1,過積載率!V10),1,0))</f>
        <v>1</v>
      </c>
      <c r="W10">
        <f>IF(OR(過積載率!W10=0,(標準電圧!W10*標準電圧!W$2-VLOOKUP(HUAWEI製ＰＣＳ接続枚数計算ツール!$C$9, HUAWEI製ＰＣＳ接続枚数計算ツール!$B$119:$P$149,12,FALSE))&lt;0),0,IF(ROUNDDOWN((標準電圧!W10*標準電圧!W$2-VLOOKUP(HUAWEI製ＰＣＳ接続枚数計算ツール!$C$9,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HUAWEI製ＰＣＳ接続枚数計算ツール!$B$119:$P$149,14,FALSE),0)/100&gt;=IF(過積載率!W10&gt;1,1,過積載率!W10),1,0))</f>
        <v>1</v>
      </c>
      <c r="X10">
        <f>IF(OR(過積載率!X10=0,(標準電圧!X10*標準電圧!X$2-VLOOKUP(HUAWEI製ＰＣＳ接続枚数計算ツール!$C$9, HUAWEI製ＰＣＳ接続枚数計算ツール!$B$119:$P$149,12,FALSE))&lt;0),0,IF(ROUNDDOWN((標準電圧!X10*標準電圧!X$2-VLOOKUP(HUAWEI製ＰＣＳ接続枚数計算ツール!$C$9,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HUAWEI製ＰＣＳ接続枚数計算ツール!$B$119:$P$149,14,FALSE),0)/100&gt;=IF(過積載率!X10&gt;1,1,過積載率!X10),1,0))</f>
        <v>1</v>
      </c>
      <c r="Y10">
        <f>IF(OR(過積載率!Y10=0,(標準電圧!Y10*標準電圧!Y$2-VLOOKUP(HUAWEI製ＰＣＳ接続枚数計算ツール!$C$9, HUAWEI製ＰＣＳ接続枚数計算ツール!$B$119:$P$149,12,FALSE))&lt;0),0,IF(ROUNDDOWN((標準電圧!Y10*標準電圧!Y$2-VLOOKUP(HUAWEI製ＰＣＳ接続枚数計算ツール!$C$9,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HUAWEI製ＰＣＳ接続枚数計算ツール!$B$119:$P$149,14,FALSE),0)/100&gt;=IF(過積載率!Y10&gt;1,1,過積載率!Y10),1,0))</f>
        <v>1</v>
      </c>
      <c r="Z10">
        <f>IF(OR(過積載率!Z10=0,(標準電圧!Z10*標準電圧!Z$2-VLOOKUP(HUAWEI製ＰＣＳ接続枚数計算ツール!$C$9, HUAWEI製ＰＣＳ接続枚数計算ツール!$B$119:$P$149,12,FALSE))&lt;0),0,IF(ROUNDDOWN((標準電圧!Z10*標準電圧!Z$2-VLOOKUP(HUAWEI製ＰＣＳ接続枚数計算ツール!$C$9,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HUAWEI製ＰＣＳ接続枚数計算ツール!$B$119:$P$149,14,FALSE),0)/100&gt;=IF(過積載率!Z10&gt;1,1,過積載率!Z10),1,0))</f>
        <v>1</v>
      </c>
      <c r="AA10">
        <f>IF(OR(過積載率!AA10=0,(標準電圧!AA10*標準電圧!AA$2-VLOOKUP(HUAWEI製ＰＣＳ接続枚数計算ツール!$C$9, HUAWEI製ＰＣＳ接続枚数計算ツール!$B$119:$P$149,12,FALSE))&lt;0),0,IF(ROUNDDOWN((標準電圧!AA10*標準電圧!AA$2-VLOOKUP(HUAWEI製ＰＣＳ接続枚数計算ツール!$C$9,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HUAWEI製ＰＣＳ接続枚数計算ツール!$B$119:$P$149,14,FALSE),0)/100&gt;=IF(過積載率!AA10&gt;1,1,過積載率!AA10),1,0))</f>
        <v>1</v>
      </c>
      <c r="AB10">
        <f>IF(OR(過積載率!AB10=0,(標準電圧!AB10*標準電圧!AB$2-VLOOKUP(HUAWEI製ＰＣＳ接続枚数計算ツール!$C$9, HUAWEI製ＰＣＳ接続枚数計算ツール!$B$119:$P$149,12,FALSE))&lt;0),0,IF(ROUNDDOWN((標準電圧!AB10*標準電圧!AB$2-VLOOKUP(HUAWEI製ＰＣＳ接続枚数計算ツール!$C$9,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HUAWEI製ＰＣＳ接続枚数計算ツール!$B$119:$P$149,14,FALSE),0)/100&gt;=IF(過積載率!AB10&gt;1,1,過積載率!AB10),1,0))</f>
        <v>1</v>
      </c>
      <c r="AC10">
        <f>IF(OR(過積載率!AC10=0,(標準電圧!AC10*標準電圧!AC$2-VLOOKUP(HUAWEI製ＰＣＳ接続枚数計算ツール!$C$9, HUAWEI製ＰＣＳ接続枚数計算ツール!$B$119:$P$149,12,FALSE))&lt;0),0,IF(ROUNDDOWN((標準電圧!AC10*標準電圧!AC$2-VLOOKUP(HUAWEI製ＰＣＳ接続枚数計算ツール!$C$9,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HUAWEI製ＰＣＳ接続枚数計算ツール!$B$119:$P$149,14,FALSE),0)/100&gt;=IF(過積載率!AC10&gt;1,1,過積載率!AC10),1,0))</f>
        <v>1</v>
      </c>
      <c r="AD10">
        <f>IF(OR(過積載率!AD10=0,(標準電圧!AD10*標準電圧!AD$2-VLOOKUP(HUAWEI製ＰＣＳ接続枚数計算ツール!$C$9, HUAWEI製ＰＣＳ接続枚数計算ツール!$B$119:$P$149,12,FALSE))&lt;0),0,IF(ROUNDDOWN((標準電圧!AD10*標準電圧!AD$2-VLOOKUP(HUAWEI製ＰＣＳ接続枚数計算ツール!$C$9,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HUAWEI製ＰＣＳ接続枚数計算ツール!$B$119:$P$149,14,FALSE),0)/100&gt;=IF(過積載率!AD10&gt;1,1,過積載率!AD10),1,0))</f>
        <v>1</v>
      </c>
      <c r="AE10">
        <f>IF(OR(過積載率!AE10=0,(標準電圧!AE10*標準電圧!AE$2-VLOOKUP(HUAWEI製ＰＣＳ接続枚数計算ツール!$C$9, HUAWEI製ＰＣＳ接続枚数計算ツール!$B$119:$P$149,12,FALSE))&lt;0),0,IF(ROUNDDOWN((標準電圧!AE10*標準電圧!AE$2-VLOOKUP(HUAWEI製ＰＣＳ接続枚数計算ツール!$C$9,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HUAWEI製ＰＣＳ接続枚数計算ツール!$B$119:$P$149,14,FALSE),0)/100&gt;=IF(過積載率!AE10&gt;1,1,過積載率!AE10),1,0))</f>
        <v>1</v>
      </c>
      <c r="AF10">
        <f>IF(OR(過積載率!AF10=0,(標準電圧!AF10*標準電圧!AF$2-VLOOKUP(HUAWEI製ＰＣＳ接続枚数計算ツール!$C$9, HUAWEI製ＰＣＳ接続枚数計算ツール!$B$119:$P$149,12,FALSE))&lt;0),0,IF(ROUNDDOWN((標準電圧!AF10*標準電圧!AF$2-VLOOKUP(HUAWEI製ＰＣＳ接続枚数計算ツール!$C$9,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HUAWEI製ＰＣＳ接続枚数計算ツール!$B$119:$P$149,14,FALSE),0)/100&gt;=IF(過積載率!AF10&gt;1,1,過積載率!AF10),1,0))</f>
        <v>1</v>
      </c>
      <c r="AG10">
        <f>IF(OR(過積載率!AG10=0,(標準電圧!AG10*標準電圧!AG$2-VLOOKUP(HUAWEI製ＰＣＳ接続枚数計算ツール!$C$9, HUAWEI製ＰＣＳ接続枚数計算ツール!$B$119:$P$149,12,FALSE))&lt;0),0,IF(ROUNDDOWN((標準電圧!AG10*標準電圧!AG$2-VLOOKUP(HUAWEI製ＰＣＳ接続枚数計算ツール!$C$9,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HUAWEI製ＰＣＳ接続枚数計算ツール!$B$119:$P$149,14,FALSE),0)/100&gt;=IF(過積載率!AG10&gt;1,1,過積載率!AG10),1,0))</f>
        <v>1</v>
      </c>
      <c r="AH10">
        <f>IF(OR(過積載率!AH10=0,(標準電圧!AH10*標準電圧!AH$2-VLOOKUP(HUAWEI製ＰＣＳ接続枚数計算ツール!$C$9, HUAWEI製ＰＣＳ接続枚数計算ツール!$B$119:$P$149,12,FALSE))&lt;0),0,IF(ROUNDDOWN((標準電圧!AH10*標準電圧!AH$2-VLOOKUP(HUAWEI製ＰＣＳ接続枚数計算ツール!$C$9,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HUAWEI製ＰＣＳ接続枚数計算ツール!$B$119:$P$149,14,FALSE),0)/100&gt;=IF(過積載率!AH10&gt;1,1,過積載率!AH10),1,0))</f>
        <v>1</v>
      </c>
      <c r="AI10">
        <f>IF(OR(過積載率!AI10=0,(標準電圧!AI10*標準電圧!AI$2-VLOOKUP(HUAWEI製ＰＣＳ接続枚数計算ツール!$C$9, HUAWEI製ＰＣＳ接続枚数計算ツール!$B$119:$P$149,12,FALSE))&lt;0),0,IF(ROUNDDOWN((標準電圧!AI10*標準電圧!AI$2-VLOOKUP(HUAWEI製ＰＣＳ接続枚数計算ツール!$C$9,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HUAWEI製ＰＣＳ接続枚数計算ツール!$B$119:$P$149,14,FALSE),0)/100&gt;=IF(過積載率!AI10&gt;1,1,過積載率!AI10),1,0))</f>
        <v>1</v>
      </c>
      <c r="AJ10">
        <f>IF(OR(過積載率!AJ10=0,(標準電圧!AJ10*標準電圧!AJ$2-VLOOKUP(HUAWEI製ＰＣＳ接続枚数計算ツール!$C$9, HUAWEI製ＰＣＳ接続枚数計算ツール!$B$119:$P$149,12,FALSE))&lt;0),0,IF(ROUNDDOWN((標準電圧!AJ10*標準電圧!AJ$2-VLOOKUP(HUAWEI製ＰＣＳ接続枚数計算ツール!$C$9,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HUAWEI製ＰＣＳ接続枚数計算ツール!$B$119:$P$149,14,FALSE),0)/100&gt;=IF(過積載率!AJ10&gt;1,1,過積載率!AJ10),1,0))</f>
        <v>1</v>
      </c>
      <c r="AK10">
        <f>IF(OR(過積載率!AK10=0,(標準電圧!AK10*標準電圧!AK$2-VLOOKUP(HUAWEI製ＰＣＳ接続枚数計算ツール!$C$9, HUAWEI製ＰＣＳ接続枚数計算ツール!$B$119:$P$149,12,FALSE))&lt;0),0,IF(ROUNDDOWN((標準電圧!AK10*標準電圧!AK$2-VLOOKUP(HUAWEI製ＰＣＳ接続枚数計算ツール!$C$9,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HUAWEI製ＰＣＳ接続枚数計算ツール!$B$119:$P$149,14,FALSE),0)/100&gt;=IF(過積載率!AK10&gt;1,1,過積載率!AK10),1,0))</f>
        <v>1</v>
      </c>
      <c r="AL10">
        <f>IF(OR(過積載率!AL10=0,(標準電圧!AL10*標準電圧!AL$2-VLOOKUP(HUAWEI製ＰＣＳ接続枚数計算ツール!$C$9, HUAWEI製ＰＣＳ接続枚数計算ツール!$B$119:$P$149,12,FALSE))&lt;0),0,IF(ROUNDDOWN((標準電圧!AL10*標準電圧!AL$2-VLOOKUP(HUAWEI製ＰＣＳ接続枚数計算ツール!$C$9,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HUAWEI製ＰＣＳ接続枚数計算ツール!$B$119:$P$149,14,FALSE),0)/100&gt;=IF(過積載率!AL10&gt;1,1,過積載率!AL10),1,0))</f>
        <v>1</v>
      </c>
      <c r="AM10">
        <f>IF(OR(過積載率!AM10=0,(標準電圧!AM10*標準電圧!AM$2-VLOOKUP(HUAWEI製ＰＣＳ接続枚数計算ツール!$C$9, HUAWEI製ＰＣＳ接続枚数計算ツール!$B$119:$P$149,12,FALSE))&lt;0),0,IF(ROUNDDOWN((標準電圧!AM10*標準電圧!AM$2-VLOOKUP(HUAWEI製ＰＣＳ接続枚数計算ツール!$C$9,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HUAWEI製ＰＣＳ接続枚数計算ツール!$B$119:$P$149,14,FALSE),0)/100&gt;=IF(過積載率!AM10&gt;1,1,過積載率!AM10),1,0))</f>
        <v>1</v>
      </c>
      <c r="AN10">
        <f>IF(OR(過積載率!AN10=0,(標準電圧!AN10*標準電圧!AN$2-VLOOKUP(HUAWEI製ＰＣＳ接続枚数計算ツール!$C$9, HUAWEI製ＰＣＳ接続枚数計算ツール!$B$119:$P$149,12,FALSE))&lt;0),0,IF(ROUNDDOWN((標準電圧!AN10*標準電圧!AN$2-VLOOKUP(HUAWEI製ＰＣＳ接続枚数計算ツール!$C$9,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HUAWEI製ＰＣＳ接続枚数計算ツール!$B$119:$P$149,14,FALSE),0)/100&gt;=IF(過積載率!AN10&gt;1,1,過積載率!AN10),1,0))</f>
        <v>1</v>
      </c>
      <c r="AO10">
        <f>IF(OR(過積載率!AO10=0,(標準電圧!AO10*標準電圧!AO$2-VLOOKUP(HUAWEI製ＰＣＳ接続枚数計算ツール!$C$9, HUAWEI製ＰＣＳ接続枚数計算ツール!$B$119:$P$149,12,FALSE))&lt;0),0,IF(ROUNDDOWN((標準電圧!AO10*標準電圧!AO$2-VLOOKUP(HUAWEI製ＰＣＳ接続枚数計算ツール!$C$9,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HUAWEI製ＰＣＳ接続枚数計算ツール!$B$119:$P$149,14,FALSE),0)/100&gt;=IF(過積載率!AO10&gt;1,1,過積載率!AO10),1,0))</f>
        <v>1</v>
      </c>
    </row>
    <row r="11" spans="1:41">
      <c r="A11">
        <v>9</v>
      </c>
      <c r="B11">
        <f>IF(OR(過積載率!B11=0,(標準電圧!B11*標準電圧!B$2-VLOOKUP(HUAWEI製ＰＣＳ接続枚数計算ツール!$C$9, HUAWEI製ＰＣＳ接続枚数計算ツール!$B$119:$P$149,12,FALSE))&lt;0),0,IF(ROUNDDOWN((標準電圧!B11*標準電圧!B$2-VLOOKUP(HUAWEI製ＰＣＳ接続枚数計算ツール!$C$9,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HUAWEI製ＰＣＳ接続枚数計算ツール!$B$119:$P$149,14,FALSE),0)/100&gt;=IF(過積載率!B11&gt;1,1,過積載率!B11),1,0))</f>
        <v>0</v>
      </c>
      <c r="C11">
        <f>IF(OR(過積載率!C11=0,(標準電圧!C11*標準電圧!C$2-VLOOKUP(HUAWEI製ＰＣＳ接続枚数計算ツール!$C$9, HUAWEI製ＰＣＳ接続枚数計算ツール!$B$119:$P$149,12,FALSE))&lt;0),0,IF(ROUNDDOWN((標準電圧!C11*標準電圧!C$2-VLOOKUP(HUAWEI製ＰＣＳ接続枚数計算ツール!$C$9,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HUAWEI製ＰＣＳ接続枚数計算ツール!$B$119:$P$149,14,FALSE),0)/100&gt;=IF(過積載率!C11&gt;1,1,過積載率!C11),1,0))</f>
        <v>0</v>
      </c>
      <c r="D11">
        <f>IF(OR(過積載率!D11=0,(標準電圧!D11*標準電圧!D$2-VLOOKUP(HUAWEI製ＰＣＳ接続枚数計算ツール!$C$9, HUAWEI製ＰＣＳ接続枚数計算ツール!$B$119:$P$149,12,FALSE))&lt;0),0,IF(ROUNDDOWN((標準電圧!D11*標準電圧!D$2-VLOOKUP(HUAWEI製ＰＣＳ接続枚数計算ツール!$C$9,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HUAWEI製ＰＣＳ接続枚数計算ツール!$B$119:$P$149,14,FALSE),0)/100&gt;=IF(過積載率!D11&gt;1,1,過積載率!D11),1,0))</f>
        <v>0</v>
      </c>
      <c r="E11">
        <f>IF(OR(過積載率!E11=0,(標準電圧!E11*標準電圧!E$2-VLOOKUP(HUAWEI製ＰＣＳ接続枚数計算ツール!$C$9, HUAWEI製ＰＣＳ接続枚数計算ツール!$B$119:$P$149,12,FALSE))&lt;0),0,IF(ROUNDDOWN((標準電圧!E11*標準電圧!E$2-VLOOKUP(HUAWEI製ＰＣＳ接続枚数計算ツール!$C$9,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HUAWEI製ＰＣＳ接続枚数計算ツール!$B$119:$P$149,14,FALSE),0)/100&gt;=IF(過積載率!E11&gt;1,1,過積載率!E11),1,0))</f>
        <v>0</v>
      </c>
      <c r="F11">
        <f>IF(OR(過積載率!F11=0,(標準電圧!F11*標準電圧!F$2-VLOOKUP(HUAWEI製ＰＣＳ接続枚数計算ツール!$C$9, HUAWEI製ＰＣＳ接続枚数計算ツール!$B$119:$P$149,12,FALSE))&lt;0),0,IF(ROUNDDOWN((標準電圧!F11*標準電圧!F$2-VLOOKUP(HUAWEI製ＰＣＳ接続枚数計算ツール!$C$9,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HUAWEI製ＰＣＳ接続枚数計算ツール!$B$119:$P$149,14,FALSE),0)/100&gt;=IF(過積載率!F11&gt;1,1,過積載率!F11),1,0))</f>
        <v>0</v>
      </c>
      <c r="G11">
        <f>IF(OR(過積載率!G11=0,(標準電圧!G11*標準電圧!G$2-VLOOKUP(HUAWEI製ＰＣＳ接続枚数計算ツール!$C$9, HUAWEI製ＰＣＳ接続枚数計算ツール!$B$119:$P$149,12,FALSE))&lt;0),0,IF(ROUNDDOWN((標準電圧!G11*標準電圧!G$2-VLOOKUP(HUAWEI製ＰＣＳ接続枚数計算ツール!$C$9,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HUAWEI製ＰＣＳ接続枚数計算ツール!$B$119:$P$149,14,FALSE),0)/100&gt;=IF(過積載率!G11&gt;1,1,過積載率!G11),1,0))</f>
        <v>0</v>
      </c>
      <c r="H11">
        <f>IF(OR(過積載率!H11=0,(標準電圧!H11*標準電圧!H$2-VLOOKUP(HUAWEI製ＰＣＳ接続枚数計算ツール!$C$9, HUAWEI製ＰＣＳ接続枚数計算ツール!$B$119:$P$149,12,FALSE))&lt;0),0,IF(ROUNDDOWN((標準電圧!H11*標準電圧!H$2-VLOOKUP(HUAWEI製ＰＣＳ接続枚数計算ツール!$C$9,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HUAWEI製ＰＣＳ接続枚数計算ツール!$B$119:$P$149,14,FALSE),0)/100&gt;=IF(過積載率!H11&gt;1,1,過積載率!H11),1,0))</f>
        <v>0</v>
      </c>
      <c r="I11">
        <f>IF(OR(過積載率!I11=0,(標準電圧!I11*標準電圧!I$2-VLOOKUP(HUAWEI製ＰＣＳ接続枚数計算ツール!$C$9, HUAWEI製ＰＣＳ接続枚数計算ツール!$B$119:$P$149,12,FALSE))&lt;0),0,IF(ROUNDDOWN((標準電圧!I11*標準電圧!I$2-VLOOKUP(HUAWEI製ＰＣＳ接続枚数計算ツール!$C$9,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HUAWEI製ＰＣＳ接続枚数計算ツール!$B$119:$P$149,14,FALSE),0)/100&gt;=IF(過積載率!I11&gt;1,1,過積載率!I11),1,0))</f>
        <v>0</v>
      </c>
      <c r="J11">
        <f>IF(OR(過積載率!J11=0,(標準電圧!J11*標準電圧!J$2-VLOOKUP(HUAWEI製ＰＣＳ接続枚数計算ツール!$C$9, HUAWEI製ＰＣＳ接続枚数計算ツール!$B$119:$P$149,12,FALSE))&lt;0),0,IF(ROUNDDOWN((標準電圧!J11*標準電圧!J$2-VLOOKUP(HUAWEI製ＰＣＳ接続枚数計算ツール!$C$9,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HUAWEI製ＰＣＳ接続枚数計算ツール!$B$119:$P$149,14,FALSE),0)/100&gt;=IF(過積載率!J11&gt;1,1,過積載率!J11),1,0))</f>
        <v>0</v>
      </c>
      <c r="K11">
        <f>IF(OR(過積載率!K11=0,(標準電圧!K11*標準電圧!K$2-VLOOKUP(HUAWEI製ＰＣＳ接続枚数計算ツール!$C$9, HUAWEI製ＰＣＳ接続枚数計算ツール!$B$119:$P$149,12,FALSE))&lt;0),0,IF(ROUNDDOWN((標準電圧!K11*標準電圧!K$2-VLOOKUP(HUAWEI製ＰＣＳ接続枚数計算ツール!$C$9,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HUAWEI製ＰＣＳ接続枚数計算ツール!$B$119:$P$149,14,FALSE),0)/100&gt;=IF(過積載率!K11&gt;1,1,過積載率!K11),1,0))</f>
        <v>0</v>
      </c>
      <c r="L11">
        <f>IF(OR(過積載率!L11=0,(標準電圧!L11*標準電圧!L$2-VLOOKUP(HUAWEI製ＰＣＳ接続枚数計算ツール!$C$9, HUAWEI製ＰＣＳ接続枚数計算ツール!$B$119:$P$149,12,FALSE))&lt;0),0,IF(ROUNDDOWN((標準電圧!L11*標準電圧!L$2-VLOOKUP(HUAWEI製ＰＣＳ接続枚数計算ツール!$C$9,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HUAWEI製ＰＣＳ接続枚数計算ツール!$B$119:$P$149,14,FALSE),0)/100&gt;=IF(過積載率!L11&gt;1,1,過積載率!L11),1,0))</f>
        <v>0</v>
      </c>
      <c r="M11">
        <f>IF(OR(過積載率!M11=0,(標準電圧!M11*標準電圧!M$2-VLOOKUP(HUAWEI製ＰＣＳ接続枚数計算ツール!$C$9, HUAWEI製ＰＣＳ接続枚数計算ツール!$B$119:$P$149,12,FALSE))&lt;0),0,IF(ROUNDDOWN((標準電圧!M11*標準電圧!M$2-VLOOKUP(HUAWEI製ＰＣＳ接続枚数計算ツール!$C$9,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HUAWEI製ＰＣＳ接続枚数計算ツール!$B$119:$P$149,14,FALSE),0)/100&gt;=IF(過積載率!M11&gt;1,1,過積載率!M11),1,0))</f>
        <v>1</v>
      </c>
      <c r="N11">
        <f>IF(OR(過積載率!N11=0,(標準電圧!N11*標準電圧!N$2-VLOOKUP(HUAWEI製ＰＣＳ接続枚数計算ツール!$C$9, HUAWEI製ＰＣＳ接続枚数計算ツール!$B$119:$P$149,12,FALSE))&lt;0),0,IF(ROUNDDOWN((標準電圧!N11*標準電圧!N$2-VLOOKUP(HUAWEI製ＰＣＳ接続枚数計算ツール!$C$9,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HUAWEI製ＰＣＳ接続枚数計算ツール!$B$119:$P$149,14,FALSE),0)/100&gt;=IF(過積載率!N11&gt;1,1,過積載率!N11),1,0))</f>
        <v>1</v>
      </c>
      <c r="O11">
        <f>IF(OR(過積載率!O11=0,(標準電圧!O11*標準電圧!O$2-VLOOKUP(HUAWEI製ＰＣＳ接続枚数計算ツール!$C$9, HUAWEI製ＰＣＳ接続枚数計算ツール!$B$119:$P$149,12,FALSE))&lt;0),0,IF(ROUNDDOWN((標準電圧!O11*標準電圧!O$2-VLOOKUP(HUAWEI製ＰＣＳ接続枚数計算ツール!$C$9,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HUAWEI製ＰＣＳ接続枚数計算ツール!$B$119:$P$149,14,FALSE),0)/100&gt;=IF(過積載率!O11&gt;1,1,過積載率!O11),1,0))</f>
        <v>1</v>
      </c>
      <c r="P11">
        <f>IF(OR(過積載率!P11=0,(標準電圧!P11*標準電圧!P$2-VLOOKUP(HUAWEI製ＰＣＳ接続枚数計算ツール!$C$9, HUAWEI製ＰＣＳ接続枚数計算ツール!$B$119:$P$149,12,FALSE))&lt;0),0,IF(ROUNDDOWN((標準電圧!P11*標準電圧!P$2-VLOOKUP(HUAWEI製ＰＣＳ接続枚数計算ツール!$C$9,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HUAWEI製ＰＣＳ接続枚数計算ツール!$B$119:$P$149,14,FALSE),0)/100&gt;=IF(過積載率!P11&gt;1,1,過積載率!P11),1,0))</f>
        <v>1</v>
      </c>
      <c r="Q11">
        <f>IF(OR(過積載率!Q11=0,(標準電圧!Q11*標準電圧!Q$2-VLOOKUP(HUAWEI製ＰＣＳ接続枚数計算ツール!$C$9, HUAWEI製ＰＣＳ接続枚数計算ツール!$B$119:$P$149,12,FALSE))&lt;0),0,IF(ROUNDDOWN((標準電圧!Q11*標準電圧!Q$2-VLOOKUP(HUAWEI製ＰＣＳ接続枚数計算ツール!$C$9,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HUAWEI製ＰＣＳ接続枚数計算ツール!$B$119:$P$149,14,FALSE),0)/100&gt;=IF(過積載率!Q11&gt;1,1,過積載率!Q11),1,0))</f>
        <v>1</v>
      </c>
      <c r="R11">
        <f>IF(OR(過積載率!R11=0,(標準電圧!R11*標準電圧!R$2-VLOOKUP(HUAWEI製ＰＣＳ接続枚数計算ツール!$C$9, HUAWEI製ＰＣＳ接続枚数計算ツール!$B$119:$P$149,12,FALSE))&lt;0),0,IF(ROUNDDOWN((標準電圧!R11*標準電圧!R$2-VLOOKUP(HUAWEI製ＰＣＳ接続枚数計算ツール!$C$9,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HUAWEI製ＰＣＳ接続枚数計算ツール!$B$119:$P$149,14,FALSE),0)/100&gt;=IF(過積載率!R11&gt;1,1,過積載率!R11),1,0))</f>
        <v>1</v>
      </c>
      <c r="S11">
        <f>IF(OR(過積載率!S11=0,(標準電圧!S11*標準電圧!S$2-VLOOKUP(HUAWEI製ＰＣＳ接続枚数計算ツール!$C$9, HUAWEI製ＰＣＳ接続枚数計算ツール!$B$119:$P$149,12,FALSE))&lt;0),0,IF(ROUNDDOWN((標準電圧!S11*標準電圧!S$2-VLOOKUP(HUAWEI製ＰＣＳ接続枚数計算ツール!$C$9,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HUAWEI製ＰＣＳ接続枚数計算ツール!$B$119:$P$149,14,FALSE),0)/100&gt;=IF(過積載率!S11&gt;1,1,過積載率!S11),1,0))</f>
        <v>1</v>
      </c>
      <c r="T11">
        <f>IF(OR(過積載率!T11=0,(標準電圧!T11*標準電圧!T$2-VLOOKUP(HUAWEI製ＰＣＳ接続枚数計算ツール!$C$9, HUAWEI製ＰＣＳ接続枚数計算ツール!$B$119:$P$149,12,FALSE))&lt;0),0,IF(ROUNDDOWN((標準電圧!T11*標準電圧!T$2-VLOOKUP(HUAWEI製ＰＣＳ接続枚数計算ツール!$C$9,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HUAWEI製ＰＣＳ接続枚数計算ツール!$B$119:$P$149,14,FALSE),0)/100&gt;=IF(過積載率!T11&gt;1,1,過積載率!T11),1,0))</f>
        <v>1</v>
      </c>
      <c r="U11">
        <f>IF(OR(過積載率!U11=0,(標準電圧!U11*標準電圧!U$2-VLOOKUP(HUAWEI製ＰＣＳ接続枚数計算ツール!$C$9, HUAWEI製ＰＣＳ接続枚数計算ツール!$B$119:$P$149,12,FALSE))&lt;0),0,IF(ROUNDDOWN((標準電圧!U11*標準電圧!U$2-VLOOKUP(HUAWEI製ＰＣＳ接続枚数計算ツール!$C$9,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HUAWEI製ＰＣＳ接続枚数計算ツール!$B$119:$P$149,14,FALSE),0)/100&gt;=IF(過積載率!U11&gt;1,1,過積載率!U11),1,0))</f>
        <v>1</v>
      </c>
      <c r="V11">
        <f>IF(OR(過積載率!V11=0,(標準電圧!V11*標準電圧!V$2-VLOOKUP(HUAWEI製ＰＣＳ接続枚数計算ツール!$C$9, HUAWEI製ＰＣＳ接続枚数計算ツール!$B$119:$P$149,12,FALSE))&lt;0),0,IF(ROUNDDOWN((標準電圧!V11*標準電圧!V$2-VLOOKUP(HUAWEI製ＰＣＳ接続枚数計算ツール!$C$9,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HUAWEI製ＰＣＳ接続枚数計算ツール!$B$119:$P$149,14,FALSE),0)/100&gt;=IF(過積載率!V11&gt;1,1,過積載率!V11),1,0))</f>
        <v>1</v>
      </c>
      <c r="W11">
        <f>IF(OR(過積載率!W11=0,(標準電圧!W11*標準電圧!W$2-VLOOKUP(HUAWEI製ＰＣＳ接続枚数計算ツール!$C$9, HUAWEI製ＰＣＳ接続枚数計算ツール!$B$119:$P$149,12,FALSE))&lt;0),0,IF(ROUNDDOWN((標準電圧!W11*標準電圧!W$2-VLOOKUP(HUAWEI製ＰＣＳ接続枚数計算ツール!$C$9,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HUAWEI製ＰＣＳ接続枚数計算ツール!$B$119:$P$149,14,FALSE),0)/100&gt;=IF(過積載率!W11&gt;1,1,過積載率!W11),1,0))</f>
        <v>1</v>
      </c>
      <c r="X11">
        <f>IF(OR(過積載率!X11=0,(標準電圧!X11*標準電圧!X$2-VLOOKUP(HUAWEI製ＰＣＳ接続枚数計算ツール!$C$9, HUAWEI製ＰＣＳ接続枚数計算ツール!$B$119:$P$149,12,FALSE))&lt;0),0,IF(ROUNDDOWN((標準電圧!X11*標準電圧!X$2-VLOOKUP(HUAWEI製ＰＣＳ接続枚数計算ツール!$C$9,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HUAWEI製ＰＣＳ接続枚数計算ツール!$B$119:$P$149,14,FALSE),0)/100&gt;=IF(過積載率!X11&gt;1,1,過積載率!X11),1,0))</f>
        <v>1</v>
      </c>
      <c r="Y11">
        <f>IF(OR(過積載率!Y11=0,(標準電圧!Y11*標準電圧!Y$2-VLOOKUP(HUAWEI製ＰＣＳ接続枚数計算ツール!$C$9, HUAWEI製ＰＣＳ接続枚数計算ツール!$B$119:$P$149,12,FALSE))&lt;0),0,IF(ROUNDDOWN((標準電圧!Y11*標準電圧!Y$2-VLOOKUP(HUAWEI製ＰＣＳ接続枚数計算ツール!$C$9,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HUAWEI製ＰＣＳ接続枚数計算ツール!$B$119:$P$149,14,FALSE),0)/100&gt;=IF(過積載率!Y11&gt;1,1,過積載率!Y11),1,0))</f>
        <v>1</v>
      </c>
      <c r="Z11">
        <f>IF(OR(過積載率!Z11=0,(標準電圧!Z11*標準電圧!Z$2-VLOOKUP(HUAWEI製ＰＣＳ接続枚数計算ツール!$C$9, HUAWEI製ＰＣＳ接続枚数計算ツール!$B$119:$P$149,12,FALSE))&lt;0),0,IF(ROUNDDOWN((標準電圧!Z11*標準電圧!Z$2-VLOOKUP(HUAWEI製ＰＣＳ接続枚数計算ツール!$C$9,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HUAWEI製ＰＣＳ接続枚数計算ツール!$B$119:$P$149,14,FALSE),0)/100&gt;=IF(過積載率!Z11&gt;1,1,過積載率!Z11),1,0))</f>
        <v>1</v>
      </c>
      <c r="AA11">
        <f>IF(OR(過積載率!AA11=0,(標準電圧!AA11*標準電圧!AA$2-VLOOKUP(HUAWEI製ＰＣＳ接続枚数計算ツール!$C$9, HUAWEI製ＰＣＳ接続枚数計算ツール!$B$119:$P$149,12,FALSE))&lt;0),0,IF(ROUNDDOWN((標準電圧!AA11*標準電圧!AA$2-VLOOKUP(HUAWEI製ＰＣＳ接続枚数計算ツール!$C$9,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HUAWEI製ＰＣＳ接続枚数計算ツール!$B$119:$P$149,14,FALSE),0)/100&gt;=IF(過積載率!AA11&gt;1,1,過積載率!AA11),1,0))</f>
        <v>1</v>
      </c>
      <c r="AB11">
        <f>IF(OR(過積載率!AB11=0,(標準電圧!AB11*標準電圧!AB$2-VLOOKUP(HUAWEI製ＰＣＳ接続枚数計算ツール!$C$9, HUAWEI製ＰＣＳ接続枚数計算ツール!$B$119:$P$149,12,FALSE))&lt;0),0,IF(ROUNDDOWN((標準電圧!AB11*標準電圧!AB$2-VLOOKUP(HUAWEI製ＰＣＳ接続枚数計算ツール!$C$9,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HUAWEI製ＰＣＳ接続枚数計算ツール!$B$119:$P$149,14,FALSE),0)/100&gt;=IF(過積載率!AB11&gt;1,1,過積載率!AB11),1,0))</f>
        <v>1</v>
      </c>
      <c r="AC11">
        <f>IF(OR(過積載率!AC11=0,(標準電圧!AC11*標準電圧!AC$2-VLOOKUP(HUAWEI製ＰＣＳ接続枚数計算ツール!$C$9, HUAWEI製ＰＣＳ接続枚数計算ツール!$B$119:$P$149,12,FALSE))&lt;0),0,IF(ROUNDDOWN((標準電圧!AC11*標準電圧!AC$2-VLOOKUP(HUAWEI製ＰＣＳ接続枚数計算ツール!$C$9,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HUAWEI製ＰＣＳ接続枚数計算ツール!$B$119:$P$149,14,FALSE),0)/100&gt;=IF(過積載率!AC11&gt;1,1,過積載率!AC11),1,0))</f>
        <v>1</v>
      </c>
      <c r="AD11">
        <f>IF(OR(過積載率!AD11=0,(標準電圧!AD11*標準電圧!AD$2-VLOOKUP(HUAWEI製ＰＣＳ接続枚数計算ツール!$C$9, HUAWEI製ＰＣＳ接続枚数計算ツール!$B$119:$P$149,12,FALSE))&lt;0),0,IF(ROUNDDOWN((標準電圧!AD11*標準電圧!AD$2-VLOOKUP(HUAWEI製ＰＣＳ接続枚数計算ツール!$C$9,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HUAWEI製ＰＣＳ接続枚数計算ツール!$B$119:$P$149,14,FALSE),0)/100&gt;=IF(過積載率!AD11&gt;1,1,過積載率!AD11),1,0))</f>
        <v>1</v>
      </c>
      <c r="AE11">
        <f>IF(OR(過積載率!AE11=0,(標準電圧!AE11*標準電圧!AE$2-VLOOKUP(HUAWEI製ＰＣＳ接続枚数計算ツール!$C$9, HUAWEI製ＰＣＳ接続枚数計算ツール!$B$119:$P$149,12,FALSE))&lt;0),0,IF(ROUNDDOWN((標準電圧!AE11*標準電圧!AE$2-VLOOKUP(HUAWEI製ＰＣＳ接続枚数計算ツール!$C$9,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HUAWEI製ＰＣＳ接続枚数計算ツール!$B$119:$P$149,14,FALSE),0)/100&gt;=IF(過積載率!AE11&gt;1,1,過積載率!AE11),1,0))</f>
        <v>1</v>
      </c>
      <c r="AF11">
        <f>IF(OR(過積載率!AF11=0,(標準電圧!AF11*標準電圧!AF$2-VLOOKUP(HUAWEI製ＰＣＳ接続枚数計算ツール!$C$9, HUAWEI製ＰＣＳ接続枚数計算ツール!$B$119:$P$149,12,FALSE))&lt;0),0,IF(ROUNDDOWN((標準電圧!AF11*標準電圧!AF$2-VLOOKUP(HUAWEI製ＰＣＳ接続枚数計算ツール!$C$9,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HUAWEI製ＰＣＳ接続枚数計算ツール!$B$119:$P$149,14,FALSE),0)/100&gt;=IF(過積載率!AF11&gt;1,1,過積載率!AF11),1,0))</f>
        <v>1</v>
      </c>
      <c r="AG11">
        <f>IF(OR(過積載率!AG11=0,(標準電圧!AG11*標準電圧!AG$2-VLOOKUP(HUAWEI製ＰＣＳ接続枚数計算ツール!$C$9, HUAWEI製ＰＣＳ接続枚数計算ツール!$B$119:$P$149,12,FALSE))&lt;0),0,IF(ROUNDDOWN((標準電圧!AG11*標準電圧!AG$2-VLOOKUP(HUAWEI製ＰＣＳ接続枚数計算ツール!$C$9,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HUAWEI製ＰＣＳ接続枚数計算ツール!$B$119:$P$149,14,FALSE),0)/100&gt;=IF(過積載率!AG11&gt;1,1,過積載率!AG11),1,0))</f>
        <v>1</v>
      </c>
      <c r="AH11">
        <f>IF(OR(過積載率!AH11=0,(標準電圧!AH11*標準電圧!AH$2-VLOOKUP(HUAWEI製ＰＣＳ接続枚数計算ツール!$C$9, HUAWEI製ＰＣＳ接続枚数計算ツール!$B$119:$P$149,12,FALSE))&lt;0),0,IF(ROUNDDOWN((標準電圧!AH11*標準電圧!AH$2-VLOOKUP(HUAWEI製ＰＣＳ接続枚数計算ツール!$C$9,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HUAWEI製ＰＣＳ接続枚数計算ツール!$B$119:$P$149,14,FALSE),0)/100&gt;=IF(過積載率!AH11&gt;1,1,過積載率!AH11),1,0))</f>
        <v>1</v>
      </c>
      <c r="AI11">
        <f>IF(OR(過積載率!AI11=0,(標準電圧!AI11*標準電圧!AI$2-VLOOKUP(HUAWEI製ＰＣＳ接続枚数計算ツール!$C$9, HUAWEI製ＰＣＳ接続枚数計算ツール!$B$119:$P$149,12,FALSE))&lt;0),0,IF(ROUNDDOWN((標準電圧!AI11*標準電圧!AI$2-VLOOKUP(HUAWEI製ＰＣＳ接続枚数計算ツール!$C$9,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HUAWEI製ＰＣＳ接続枚数計算ツール!$B$119:$P$149,14,FALSE),0)/100&gt;=IF(過積載率!AI11&gt;1,1,過積載率!AI11),1,0))</f>
        <v>1</v>
      </c>
      <c r="AJ11">
        <f>IF(OR(過積載率!AJ11=0,(標準電圧!AJ11*標準電圧!AJ$2-VLOOKUP(HUAWEI製ＰＣＳ接続枚数計算ツール!$C$9, HUAWEI製ＰＣＳ接続枚数計算ツール!$B$119:$P$149,12,FALSE))&lt;0),0,IF(ROUNDDOWN((標準電圧!AJ11*標準電圧!AJ$2-VLOOKUP(HUAWEI製ＰＣＳ接続枚数計算ツール!$C$9,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HUAWEI製ＰＣＳ接続枚数計算ツール!$B$119:$P$149,14,FALSE),0)/100&gt;=IF(過積載率!AJ11&gt;1,1,過積載率!AJ11),1,0))</f>
        <v>1</v>
      </c>
      <c r="AK11">
        <f>IF(OR(過積載率!AK11=0,(標準電圧!AK11*標準電圧!AK$2-VLOOKUP(HUAWEI製ＰＣＳ接続枚数計算ツール!$C$9, HUAWEI製ＰＣＳ接続枚数計算ツール!$B$119:$P$149,12,FALSE))&lt;0),0,IF(ROUNDDOWN((標準電圧!AK11*標準電圧!AK$2-VLOOKUP(HUAWEI製ＰＣＳ接続枚数計算ツール!$C$9,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HUAWEI製ＰＣＳ接続枚数計算ツール!$B$119:$P$149,14,FALSE),0)/100&gt;=IF(過積載率!AK11&gt;1,1,過積載率!AK11),1,0))</f>
        <v>1</v>
      </c>
      <c r="AL11">
        <f>IF(OR(過積載率!AL11=0,(標準電圧!AL11*標準電圧!AL$2-VLOOKUP(HUAWEI製ＰＣＳ接続枚数計算ツール!$C$9, HUAWEI製ＰＣＳ接続枚数計算ツール!$B$119:$P$149,12,FALSE))&lt;0),0,IF(ROUNDDOWN((標準電圧!AL11*標準電圧!AL$2-VLOOKUP(HUAWEI製ＰＣＳ接続枚数計算ツール!$C$9,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HUAWEI製ＰＣＳ接続枚数計算ツール!$B$119:$P$149,14,FALSE),0)/100&gt;=IF(過積載率!AL11&gt;1,1,過積載率!AL11),1,0))</f>
        <v>1</v>
      </c>
      <c r="AM11">
        <f>IF(OR(過積載率!AM11=0,(標準電圧!AM11*標準電圧!AM$2-VLOOKUP(HUAWEI製ＰＣＳ接続枚数計算ツール!$C$9, HUAWEI製ＰＣＳ接続枚数計算ツール!$B$119:$P$149,12,FALSE))&lt;0),0,IF(ROUNDDOWN((標準電圧!AM11*標準電圧!AM$2-VLOOKUP(HUAWEI製ＰＣＳ接続枚数計算ツール!$C$9,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HUAWEI製ＰＣＳ接続枚数計算ツール!$B$119:$P$149,14,FALSE),0)/100&gt;=IF(過積載率!AM11&gt;1,1,過積載率!AM11),1,0))</f>
        <v>1</v>
      </c>
      <c r="AN11">
        <f>IF(OR(過積載率!AN11=0,(標準電圧!AN11*標準電圧!AN$2-VLOOKUP(HUAWEI製ＰＣＳ接続枚数計算ツール!$C$9, HUAWEI製ＰＣＳ接続枚数計算ツール!$B$119:$P$149,12,FALSE))&lt;0),0,IF(ROUNDDOWN((標準電圧!AN11*標準電圧!AN$2-VLOOKUP(HUAWEI製ＰＣＳ接続枚数計算ツール!$C$9,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HUAWEI製ＰＣＳ接続枚数計算ツール!$B$119:$P$149,14,FALSE),0)/100&gt;=IF(過積載率!AN11&gt;1,1,過積載率!AN11),1,0))</f>
        <v>1</v>
      </c>
      <c r="AO11">
        <f>IF(OR(過積載率!AO11=0,(標準電圧!AO11*標準電圧!AO$2-VLOOKUP(HUAWEI製ＰＣＳ接続枚数計算ツール!$C$9, HUAWEI製ＰＣＳ接続枚数計算ツール!$B$119:$P$149,12,FALSE))&lt;0),0,IF(ROUNDDOWN((標準電圧!AO11*標準電圧!AO$2-VLOOKUP(HUAWEI製ＰＣＳ接続枚数計算ツール!$C$9,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HUAWEI製ＰＣＳ接続枚数計算ツール!$B$119:$P$149,14,FALSE),0)/100&gt;=IF(過積載率!AO11&gt;1,1,過積載率!AO11),1,0))</f>
        <v>1</v>
      </c>
    </row>
    <row r="12" spans="1:41">
      <c r="A12">
        <v>10</v>
      </c>
      <c r="B12">
        <f>IF(OR(過積載率!B12=0,(標準電圧!B12*標準電圧!B$2-VLOOKUP(HUAWEI製ＰＣＳ接続枚数計算ツール!$C$9, HUAWEI製ＰＣＳ接続枚数計算ツール!$B$119:$P$149,12,FALSE))&lt;0),0,IF(ROUNDDOWN((標準電圧!B12*標準電圧!B$2-VLOOKUP(HUAWEI製ＰＣＳ接続枚数計算ツール!$C$9,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HUAWEI製ＰＣＳ接続枚数計算ツール!$B$119:$P$149,14,FALSE),0)/100&gt;=IF(過積載率!B12&gt;1,1,過積載率!B12),1,0))</f>
        <v>0</v>
      </c>
      <c r="C12">
        <f>IF(OR(過積載率!C12=0,(標準電圧!C12*標準電圧!C$2-VLOOKUP(HUAWEI製ＰＣＳ接続枚数計算ツール!$C$9, HUAWEI製ＰＣＳ接続枚数計算ツール!$B$119:$P$149,12,FALSE))&lt;0),0,IF(ROUNDDOWN((標準電圧!C12*標準電圧!C$2-VLOOKUP(HUAWEI製ＰＣＳ接続枚数計算ツール!$C$9,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HUAWEI製ＰＣＳ接続枚数計算ツール!$B$119:$P$149,14,FALSE),0)/100&gt;=IF(過積載率!C12&gt;1,1,過積載率!C12),1,0))</f>
        <v>0</v>
      </c>
      <c r="D12">
        <f>IF(OR(過積載率!D12=0,(標準電圧!D12*標準電圧!D$2-VLOOKUP(HUAWEI製ＰＣＳ接続枚数計算ツール!$C$9, HUAWEI製ＰＣＳ接続枚数計算ツール!$B$119:$P$149,12,FALSE))&lt;0),0,IF(ROUNDDOWN((標準電圧!D12*標準電圧!D$2-VLOOKUP(HUAWEI製ＰＣＳ接続枚数計算ツール!$C$9,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HUAWEI製ＰＣＳ接続枚数計算ツール!$B$119:$P$149,14,FALSE),0)/100&gt;=IF(過積載率!D12&gt;1,1,過積載率!D12),1,0))</f>
        <v>0</v>
      </c>
      <c r="E12">
        <f>IF(OR(過積載率!E12=0,(標準電圧!E12*標準電圧!E$2-VLOOKUP(HUAWEI製ＰＣＳ接続枚数計算ツール!$C$9, HUAWEI製ＰＣＳ接続枚数計算ツール!$B$119:$P$149,12,FALSE))&lt;0),0,IF(ROUNDDOWN((標準電圧!E12*標準電圧!E$2-VLOOKUP(HUAWEI製ＰＣＳ接続枚数計算ツール!$C$9,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HUAWEI製ＰＣＳ接続枚数計算ツール!$B$119:$P$149,14,FALSE),0)/100&gt;=IF(過積載率!E12&gt;1,1,過積載率!E12),1,0))</f>
        <v>0</v>
      </c>
      <c r="F12">
        <f>IF(OR(過積載率!F12=0,(標準電圧!F12*標準電圧!F$2-VLOOKUP(HUAWEI製ＰＣＳ接続枚数計算ツール!$C$9, HUAWEI製ＰＣＳ接続枚数計算ツール!$B$119:$P$149,12,FALSE))&lt;0),0,IF(ROUNDDOWN((標準電圧!F12*標準電圧!F$2-VLOOKUP(HUAWEI製ＰＣＳ接続枚数計算ツール!$C$9,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HUAWEI製ＰＣＳ接続枚数計算ツール!$B$119:$P$149,14,FALSE),0)/100&gt;=IF(過積載率!F12&gt;1,1,過積載率!F12),1,0))</f>
        <v>0</v>
      </c>
      <c r="G12">
        <f>IF(OR(過積載率!G12=0,(標準電圧!G12*標準電圧!G$2-VLOOKUP(HUAWEI製ＰＣＳ接続枚数計算ツール!$C$9, HUAWEI製ＰＣＳ接続枚数計算ツール!$B$119:$P$149,12,FALSE))&lt;0),0,IF(ROUNDDOWN((標準電圧!G12*標準電圧!G$2-VLOOKUP(HUAWEI製ＰＣＳ接続枚数計算ツール!$C$9,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HUAWEI製ＰＣＳ接続枚数計算ツール!$B$119:$P$149,14,FALSE),0)/100&gt;=IF(過積載率!G12&gt;1,1,過積載率!G12),1,0))</f>
        <v>0</v>
      </c>
      <c r="H12">
        <f>IF(OR(過積載率!H12=0,(標準電圧!H12*標準電圧!H$2-VLOOKUP(HUAWEI製ＰＣＳ接続枚数計算ツール!$C$9, HUAWEI製ＰＣＳ接続枚数計算ツール!$B$119:$P$149,12,FALSE))&lt;0),0,IF(ROUNDDOWN((標準電圧!H12*標準電圧!H$2-VLOOKUP(HUAWEI製ＰＣＳ接続枚数計算ツール!$C$9,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HUAWEI製ＰＣＳ接続枚数計算ツール!$B$119:$P$149,14,FALSE),0)/100&gt;=IF(過積載率!H12&gt;1,1,過積載率!H12),1,0))</f>
        <v>0</v>
      </c>
      <c r="I12">
        <f>IF(OR(過積載率!I12=0,(標準電圧!I12*標準電圧!I$2-VLOOKUP(HUAWEI製ＰＣＳ接続枚数計算ツール!$C$9, HUAWEI製ＰＣＳ接続枚数計算ツール!$B$119:$P$149,12,FALSE))&lt;0),0,IF(ROUNDDOWN((標準電圧!I12*標準電圧!I$2-VLOOKUP(HUAWEI製ＰＣＳ接続枚数計算ツール!$C$9,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HUAWEI製ＰＣＳ接続枚数計算ツール!$B$119:$P$149,14,FALSE),0)/100&gt;=IF(過積載率!I12&gt;1,1,過積載率!I12),1,0))</f>
        <v>0</v>
      </c>
      <c r="J12">
        <f>IF(OR(過積載率!J12=0,(標準電圧!J12*標準電圧!J$2-VLOOKUP(HUAWEI製ＰＣＳ接続枚数計算ツール!$C$9, HUAWEI製ＰＣＳ接続枚数計算ツール!$B$119:$P$149,12,FALSE))&lt;0),0,IF(ROUNDDOWN((標準電圧!J12*標準電圧!J$2-VLOOKUP(HUAWEI製ＰＣＳ接続枚数計算ツール!$C$9,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HUAWEI製ＰＣＳ接続枚数計算ツール!$B$119:$P$149,14,FALSE),0)/100&gt;=IF(過積載率!J12&gt;1,1,過積載率!J12),1,0))</f>
        <v>0</v>
      </c>
      <c r="K12">
        <f>IF(OR(過積載率!K12=0,(標準電圧!K12*標準電圧!K$2-VLOOKUP(HUAWEI製ＰＣＳ接続枚数計算ツール!$C$9, HUAWEI製ＰＣＳ接続枚数計算ツール!$B$119:$P$149,12,FALSE))&lt;0),0,IF(ROUNDDOWN((標準電圧!K12*標準電圧!K$2-VLOOKUP(HUAWEI製ＰＣＳ接続枚数計算ツール!$C$9,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HUAWEI製ＰＣＳ接続枚数計算ツール!$B$119:$P$149,14,FALSE),0)/100&gt;=IF(過積載率!K12&gt;1,1,過積載率!K12),1,0))</f>
        <v>0</v>
      </c>
      <c r="L12">
        <f>IF(OR(過積載率!L12=0,(標準電圧!L12*標準電圧!L$2-VLOOKUP(HUAWEI製ＰＣＳ接続枚数計算ツール!$C$9, HUAWEI製ＰＣＳ接続枚数計算ツール!$B$119:$P$149,12,FALSE))&lt;0),0,IF(ROUNDDOWN((標準電圧!L12*標準電圧!L$2-VLOOKUP(HUAWEI製ＰＣＳ接続枚数計算ツール!$C$9,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HUAWEI製ＰＣＳ接続枚数計算ツール!$B$119:$P$149,14,FALSE),0)/100&gt;=IF(過積載率!L12&gt;1,1,過積載率!L12),1,0))</f>
        <v>0</v>
      </c>
      <c r="M12">
        <f>IF(OR(過積載率!M12=0,(標準電圧!M12*標準電圧!M$2-VLOOKUP(HUAWEI製ＰＣＳ接続枚数計算ツール!$C$9, HUAWEI製ＰＣＳ接続枚数計算ツール!$B$119:$P$149,12,FALSE))&lt;0),0,IF(ROUNDDOWN((標準電圧!M12*標準電圧!M$2-VLOOKUP(HUAWEI製ＰＣＳ接続枚数計算ツール!$C$9,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HUAWEI製ＰＣＳ接続枚数計算ツール!$B$119:$P$149,14,FALSE),0)/100&gt;=IF(過積載率!M12&gt;1,1,過積載率!M12),1,0))</f>
        <v>1</v>
      </c>
      <c r="N12">
        <f>IF(OR(過積載率!N12=0,(標準電圧!N12*標準電圧!N$2-VLOOKUP(HUAWEI製ＰＣＳ接続枚数計算ツール!$C$9, HUAWEI製ＰＣＳ接続枚数計算ツール!$B$119:$P$149,12,FALSE))&lt;0),0,IF(ROUNDDOWN((標準電圧!N12*標準電圧!N$2-VLOOKUP(HUAWEI製ＰＣＳ接続枚数計算ツール!$C$9,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HUAWEI製ＰＣＳ接続枚数計算ツール!$B$119:$P$149,14,FALSE),0)/100&gt;=IF(過積載率!N12&gt;1,1,過積載率!N12),1,0))</f>
        <v>1</v>
      </c>
      <c r="O12">
        <f>IF(OR(過積載率!O12=0,(標準電圧!O12*標準電圧!O$2-VLOOKUP(HUAWEI製ＰＣＳ接続枚数計算ツール!$C$9, HUAWEI製ＰＣＳ接続枚数計算ツール!$B$119:$P$149,12,FALSE))&lt;0),0,IF(ROUNDDOWN((標準電圧!O12*標準電圧!O$2-VLOOKUP(HUAWEI製ＰＣＳ接続枚数計算ツール!$C$9,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HUAWEI製ＰＣＳ接続枚数計算ツール!$B$119:$P$149,14,FALSE),0)/100&gt;=IF(過積載率!O12&gt;1,1,過積載率!O12),1,0))</f>
        <v>1</v>
      </c>
      <c r="P12">
        <f>IF(OR(過積載率!P12=0,(標準電圧!P12*標準電圧!P$2-VLOOKUP(HUAWEI製ＰＣＳ接続枚数計算ツール!$C$9, HUAWEI製ＰＣＳ接続枚数計算ツール!$B$119:$P$149,12,FALSE))&lt;0),0,IF(ROUNDDOWN((標準電圧!P12*標準電圧!P$2-VLOOKUP(HUAWEI製ＰＣＳ接続枚数計算ツール!$C$9,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HUAWEI製ＰＣＳ接続枚数計算ツール!$B$119:$P$149,14,FALSE),0)/100&gt;=IF(過積載率!P12&gt;1,1,過積載率!P12),1,0))</f>
        <v>1</v>
      </c>
      <c r="Q12">
        <f>IF(OR(過積載率!Q12=0,(標準電圧!Q12*標準電圧!Q$2-VLOOKUP(HUAWEI製ＰＣＳ接続枚数計算ツール!$C$9, HUAWEI製ＰＣＳ接続枚数計算ツール!$B$119:$P$149,12,FALSE))&lt;0),0,IF(ROUNDDOWN((標準電圧!Q12*標準電圧!Q$2-VLOOKUP(HUAWEI製ＰＣＳ接続枚数計算ツール!$C$9,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HUAWEI製ＰＣＳ接続枚数計算ツール!$B$119:$P$149,14,FALSE),0)/100&gt;=IF(過積載率!Q12&gt;1,1,過積載率!Q12),1,0))</f>
        <v>1</v>
      </c>
      <c r="R12">
        <f>IF(OR(過積載率!R12=0,(標準電圧!R12*標準電圧!R$2-VLOOKUP(HUAWEI製ＰＣＳ接続枚数計算ツール!$C$9, HUAWEI製ＰＣＳ接続枚数計算ツール!$B$119:$P$149,12,FALSE))&lt;0),0,IF(ROUNDDOWN((標準電圧!R12*標準電圧!R$2-VLOOKUP(HUAWEI製ＰＣＳ接続枚数計算ツール!$C$9,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HUAWEI製ＰＣＳ接続枚数計算ツール!$B$119:$P$149,14,FALSE),0)/100&gt;=IF(過積載率!R12&gt;1,1,過積載率!R12),1,0))</f>
        <v>1</v>
      </c>
      <c r="S12">
        <f>IF(OR(過積載率!S12=0,(標準電圧!S12*標準電圧!S$2-VLOOKUP(HUAWEI製ＰＣＳ接続枚数計算ツール!$C$9, HUAWEI製ＰＣＳ接続枚数計算ツール!$B$119:$P$149,12,FALSE))&lt;0),0,IF(ROUNDDOWN((標準電圧!S12*標準電圧!S$2-VLOOKUP(HUAWEI製ＰＣＳ接続枚数計算ツール!$C$9,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HUAWEI製ＰＣＳ接続枚数計算ツール!$B$119:$P$149,14,FALSE),0)/100&gt;=IF(過積載率!S12&gt;1,1,過積載率!S12),1,0))</f>
        <v>1</v>
      </c>
      <c r="T12">
        <f>IF(OR(過積載率!T12=0,(標準電圧!T12*標準電圧!T$2-VLOOKUP(HUAWEI製ＰＣＳ接続枚数計算ツール!$C$9, HUAWEI製ＰＣＳ接続枚数計算ツール!$B$119:$P$149,12,FALSE))&lt;0),0,IF(ROUNDDOWN((標準電圧!T12*標準電圧!T$2-VLOOKUP(HUAWEI製ＰＣＳ接続枚数計算ツール!$C$9,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HUAWEI製ＰＣＳ接続枚数計算ツール!$B$119:$P$149,14,FALSE),0)/100&gt;=IF(過積載率!T12&gt;1,1,過積載率!T12),1,0))</f>
        <v>1</v>
      </c>
      <c r="U12">
        <f>IF(OR(過積載率!U12=0,(標準電圧!U12*標準電圧!U$2-VLOOKUP(HUAWEI製ＰＣＳ接続枚数計算ツール!$C$9, HUAWEI製ＰＣＳ接続枚数計算ツール!$B$119:$P$149,12,FALSE))&lt;0),0,IF(ROUNDDOWN((標準電圧!U12*標準電圧!U$2-VLOOKUP(HUAWEI製ＰＣＳ接続枚数計算ツール!$C$9,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HUAWEI製ＰＣＳ接続枚数計算ツール!$B$119:$P$149,14,FALSE),0)/100&gt;=IF(過積載率!U12&gt;1,1,過積載率!U12),1,0))</f>
        <v>1</v>
      </c>
      <c r="V12">
        <f>IF(OR(過積載率!V12=0,(標準電圧!V12*標準電圧!V$2-VLOOKUP(HUAWEI製ＰＣＳ接続枚数計算ツール!$C$9, HUAWEI製ＰＣＳ接続枚数計算ツール!$B$119:$P$149,12,FALSE))&lt;0),0,IF(ROUNDDOWN((標準電圧!V12*標準電圧!V$2-VLOOKUP(HUAWEI製ＰＣＳ接続枚数計算ツール!$C$9,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HUAWEI製ＰＣＳ接続枚数計算ツール!$B$119:$P$149,14,FALSE),0)/100&gt;=IF(過積載率!V12&gt;1,1,過積載率!V12),1,0))</f>
        <v>1</v>
      </c>
      <c r="W12">
        <f>IF(OR(過積載率!W12=0,(標準電圧!W12*標準電圧!W$2-VLOOKUP(HUAWEI製ＰＣＳ接続枚数計算ツール!$C$9, HUAWEI製ＰＣＳ接続枚数計算ツール!$B$119:$P$149,12,FALSE))&lt;0),0,IF(ROUNDDOWN((標準電圧!W12*標準電圧!W$2-VLOOKUP(HUAWEI製ＰＣＳ接続枚数計算ツール!$C$9,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HUAWEI製ＰＣＳ接続枚数計算ツール!$B$119:$P$149,14,FALSE),0)/100&gt;=IF(過積載率!W12&gt;1,1,過積載率!W12),1,0))</f>
        <v>1</v>
      </c>
      <c r="X12">
        <f>IF(OR(過積載率!X12=0,(標準電圧!X12*標準電圧!X$2-VLOOKUP(HUAWEI製ＰＣＳ接続枚数計算ツール!$C$9, HUAWEI製ＰＣＳ接続枚数計算ツール!$B$119:$P$149,12,FALSE))&lt;0),0,IF(ROUNDDOWN((標準電圧!X12*標準電圧!X$2-VLOOKUP(HUAWEI製ＰＣＳ接続枚数計算ツール!$C$9,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HUAWEI製ＰＣＳ接続枚数計算ツール!$B$119:$P$149,14,FALSE),0)/100&gt;=IF(過積載率!X12&gt;1,1,過積載率!X12),1,0))</f>
        <v>1</v>
      </c>
      <c r="Y12">
        <f>IF(OR(過積載率!Y12=0,(標準電圧!Y12*標準電圧!Y$2-VLOOKUP(HUAWEI製ＰＣＳ接続枚数計算ツール!$C$9, HUAWEI製ＰＣＳ接続枚数計算ツール!$B$119:$P$149,12,FALSE))&lt;0),0,IF(ROUNDDOWN((標準電圧!Y12*標準電圧!Y$2-VLOOKUP(HUAWEI製ＰＣＳ接続枚数計算ツール!$C$9,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HUAWEI製ＰＣＳ接続枚数計算ツール!$B$119:$P$149,14,FALSE),0)/100&gt;=IF(過積載率!Y12&gt;1,1,過積載率!Y12),1,0))</f>
        <v>1</v>
      </c>
      <c r="Z12">
        <f>IF(OR(過積載率!Z12=0,(標準電圧!Z12*標準電圧!Z$2-VLOOKUP(HUAWEI製ＰＣＳ接続枚数計算ツール!$C$9, HUAWEI製ＰＣＳ接続枚数計算ツール!$B$119:$P$149,12,FALSE))&lt;0),0,IF(ROUNDDOWN((標準電圧!Z12*標準電圧!Z$2-VLOOKUP(HUAWEI製ＰＣＳ接続枚数計算ツール!$C$9,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HUAWEI製ＰＣＳ接続枚数計算ツール!$B$119:$P$149,14,FALSE),0)/100&gt;=IF(過積載率!Z12&gt;1,1,過積載率!Z12),1,0))</f>
        <v>1</v>
      </c>
      <c r="AA12">
        <f>IF(OR(過積載率!AA12=0,(標準電圧!AA12*標準電圧!AA$2-VLOOKUP(HUAWEI製ＰＣＳ接続枚数計算ツール!$C$9, HUAWEI製ＰＣＳ接続枚数計算ツール!$B$119:$P$149,12,FALSE))&lt;0),0,IF(ROUNDDOWN((標準電圧!AA12*標準電圧!AA$2-VLOOKUP(HUAWEI製ＰＣＳ接続枚数計算ツール!$C$9,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HUAWEI製ＰＣＳ接続枚数計算ツール!$B$119:$P$149,14,FALSE),0)/100&gt;=IF(過積載率!AA12&gt;1,1,過積載率!AA12),1,0))</f>
        <v>1</v>
      </c>
      <c r="AB12">
        <f>IF(OR(過積載率!AB12=0,(標準電圧!AB12*標準電圧!AB$2-VLOOKUP(HUAWEI製ＰＣＳ接続枚数計算ツール!$C$9, HUAWEI製ＰＣＳ接続枚数計算ツール!$B$119:$P$149,12,FALSE))&lt;0),0,IF(ROUNDDOWN((標準電圧!AB12*標準電圧!AB$2-VLOOKUP(HUAWEI製ＰＣＳ接続枚数計算ツール!$C$9,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HUAWEI製ＰＣＳ接続枚数計算ツール!$B$119:$P$149,14,FALSE),0)/100&gt;=IF(過積載率!AB12&gt;1,1,過積載率!AB12),1,0))</f>
        <v>1</v>
      </c>
      <c r="AC12">
        <f>IF(OR(過積載率!AC12=0,(標準電圧!AC12*標準電圧!AC$2-VLOOKUP(HUAWEI製ＰＣＳ接続枚数計算ツール!$C$9, HUAWEI製ＰＣＳ接続枚数計算ツール!$B$119:$P$149,12,FALSE))&lt;0),0,IF(ROUNDDOWN((標準電圧!AC12*標準電圧!AC$2-VLOOKUP(HUAWEI製ＰＣＳ接続枚数計算ツール!$C$9,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HUAWEI製ＰＣＳ接続枚数計算ツール!$B$119:$P$149,14,FALSE),0)/100&gt;=IF(過積載率!AC12&gt;1,1,過積載率!AC12),1,0))</f>
        <v>1</v>
      </c>
      <c r="AD12">
        <f>IF(OR(過積載率!AD12=0,(標準電圧!AD12*標準電圧!AD$2-VLOOKUP(HUAWEI製ＰＣＳ接続枚数計算ツール!$C$9, HUAWEI製ＰＣＳ接続枚数計算ツール!$B$119:$P$149,12,FALSE))&lt;0),0,IF(ROUNDDOWN((標準電圧!AD12*標準電圧!AD$2-VLOOKUP(HUAWEI製ＰＣＳ接続枚数計算ツール!$C$9,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HUAWEI製ＰＣＳ接続枚数計算ツール!$B$119:$P$149,14,FALSE),0)/100&gt;=IF(過積載率!AD12&gt;1,1,過積載率!AD12),1,0))</f>
        <v>1</v>
      </c>
      <c r="AE12">
        <f>IF(OR(過積載率!AE12=0,(標準電圧!AE12*標準電圧!AE$2-VLOOKUP(HUAWEI製ＰＣＳ接続枚数計算ツール!$C$9, HUAWEI製ＰＣＳ接続枚数計算ツール!$B$119:$P$149,12,FALSE))&lt;0),0,IF(ROUNDDOWN((標準電圧!AE12*標準電圧!AE$2-VLOOKUP(HUAWEI製ＰＣＳ接続枚数計算ツール!$C$9,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HUAWEI製ＰＣＳ接続枚数計算ツール!$B$119:$P$149,14,FALSE),0)/100&gt;=IF(過積載率!AE12&gt;1,1,過積載率!AE12),1,0))</f>
        <v>1</v>
      </c>
      <c r="AF12">
        <f>IF(OR(過積載率!AF12=0,(標準電圧!AF12*標準電圧!AF$2-VLOOKUP(HUAWEI製ＰＣＳ接続枚数計算ツール!$C$9, HUAWEI製ＰＣＳ接続枚数計算ツール!$B$119:$P$149,12,FALSE))&lt;0),0,IF(ROUNDDOWN((標準電圧!AF12*標準電圧!AF$2-VLOOKUP(HUAWEI製ＰＣＳ接続枚数計算ツール!$C$9,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HUAWEI製ＰＣＳ接続枚数計算ツール!$B$119:$P$149,14,FALSE),0)/100&gt;=IF(過積載率!AF12&gt;1,1,過積載率!AF12),1,0))</f>
        <v>1</v>
      </c>
      <c r="AG12">
        <f>IF(OR(過積載率!AG12=0,(標準電圧!AG12*標準電圧!AG$2-VLOOKUP(HUAWEI製ＰＣＳ接続枚数計算ツール!$C$9, HUAWEI製ＰＣＳ接続枚数計算ツール!$B$119:$P$149,12,FALSE))&lt;0),0,IF(ROUNDDOWN((標準電圧!AG12*標準電圧!AG$2-VLOOKUP(HUAWEI製ＰＣＳ接続枚数計算ツール!$C$9,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HUAWEI製ＰＣＳ接続枚数計算ツール!$B$119:$P$149,14,FALSE),0)/100&gt;=IF(過積載率!AG12&gt;1,1,過積載率!AG12),1,0))</f>
        <v>1</v>
      </c>
      <c r="AH12">
        <f>IF(OR(過積載率!AH12=0,(標準電圧!AH12*標準電圧!AH$2-VLOOKUP(HUAWEI製ＰＣＳ接続枚数計算ツール!$C$9, HUAWEI製ＰＣＳ接続枚数計算ツール!$B$119:$P$149,12,FALSE))&lt;0),0,IF(ROUNDDOWN((標準電圧!AH12*標準電圧!AH$2-VLOOKUP(HUAWEI製ＰＣＳ接続枚数計算ツール!$C$9,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HUAWEI製ＰＣＳ接続枚数計算ツール!$B$119:$P$149,14,FALSE),0)/100&gt;=IF(過積載率!AH12&gt;1,1,過積載率!AH12),1,0))</f>
        <v>1</v>
      </c>
      <c r="AI12">
        <f>IF(OR(過積載率!AI12=0,(標準電圧!AI12*標準電圧!AI$2-VLOOKUP(HUAWEI製ＰＣＳ接続枚数計算ツール!$C$9, HUAWEI製ＰＣＳ接続枚数計算ツール!$B$119:$P$149,12,FALSE))&lt;0),0,IF(ROUNDDOWN((標準電圧!AI12*標準電圧!AI$2-VLOOKUP(HUAWEI製ＰＣＳ接続枚数計算ツール!$C$9,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HUAWEI製ＰＣＳ接続枚数計算ツール!$B$119:$P$149,14,FALSE),0)/100&gt;=IF(過積載率!AI12&gt;1,1,過積載率!AI12),1,0))</f>
        <v>1</v>
      </c>
      <c r="AJ12">
        <f>IF(OR(過積載率!AJ12=0,(標準電圧!AJ12*標準電圧!AJ$2-VLOOKUP(HUAWEI製ＰＣＳ接続枚数計算ツール!$C$9, HUAWEI製ＰＣＳ接続枚数計算ツール!$B$119:$P$149,12,FALSE))&lt;0),0,IF(ROUNDDOWN((標準電圧!AJ12*標準電圧!AJ$2-VLOOKUP(HUAWEI製ＰＣＳ接続枚数計算ツール!$C$9,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HUAWEI製ＰＣＳ接続枚数計算ツール!$B$119:$P$149,14,FALSE),0)/100&gt;=IF(過積載率!AJ12&gt;1,1,過積載率!AJ12),1,0))</f>
        <v>1</v>
      </c>
      <c r="AK12">
        <f>IF(OR(過積載率!AK12=0,(標準電圧!AK12*標準電圧!AK$2-VLOOKUP(HUAWEI製ＰＣＳ接続枚数計算ツール!$C$9, HUAWEI製ＰＣＳ接続枚数計算ツール!$B$119:$P$149,12,FALSE))&lt;0),0,IF(ROUNDDOWN((標準電圧!AK12*標準電圧!AK$2-VLOOKUP(HUAWEI製ＰＣＳ接続枚数計算ツール!$C$9,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HUAWEI製ＰＣＳ接続枚数計算ツール!$B$119:$P$149,14,FALSE),0)/100&gt;=IF(過積載率!AK12&gt;1,1,過積載率!AK12),1,0))</f>
        <v>1</v>
      </c>
      <c r="AL12">
        <f>IF(OR(過積載率!AL12=0,(標準電圧!AL12*標準電圧!AL$2-VLOOKUP(HUAWEI製ＰＣＳ接続枚数計算ツール!$C$9, HUAWEI製ＰＣＳ接続枚数計算ツール!$B$119:$P$149,12,FALSE))&lt;0),0,IF(ROUNDDOWN((標準電圧!AL12*標準電圧!AL$2-VLOOKUP(HUAWEI製ＰＣＳ接続枚数計算ツール!$C$9,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HUAWEI製ＰＣＳ接続枚数計算ツール!$B$119:$P$149,14,FALSE),0)/100&gt;=IF(過積載率!AL12&gt;1,1,過積載率!AL12),1,0))</f>
        <v>1</v>
      </c>
      <c r="AM12">
        <f>IF(OR(過積載率!AM12=0,(標準電圧!AM12*標準電圧!AM$2-VLOOKUP(HUAWEI製ＰＣＳ接続枚数計算ツール!$C$9, HUAWEI製ＰＣＳ接続枚数計算ツール!$B$119:$P$149,12,FALSE))&lt;0),0,IF(ROUNDDOWN((標準電圧!AM12*標準電圧!AM$2-VLOOKUP(HUAWEI製ＰＣＳ接続枚数計算ツール!$C$9,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HUAWEI製ＰＣＳ接続枚数計算ツール!$B$119:$P$149,14,FALSE),0)/100&gt;=IF(過積載率!AM12&gt;1,1,過積載率!AM12),1,0))</f>
        <v>1</v>
      </c>
      <c r="AN12">
        <f>IF(OR(過積載率!AN12=0,(標準電圧!AN12*標準電圧!AN$2-VLOOKUP(HUAWEI製ＰＣＳ接続枚数計算ツール!$C$9, HUAWEI製ＰＣＳ接続枚数計算ツール!$B$119:$P$149,12,FALSE))&lt;0),0,IF(ROUNDDOWN((標準電圧!AN12*標準電圧!AN$2-VLOOKUP(HUAWEI製ＰＣＳ接続枚数計算ツール!$C$9,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HUAWEI製ＰＣＳ接続枚数計算ツール!$B$119:$P$149,14,FALSE),0)/100&gt;=IF(過積載率!AN12&gt;1,1,過積載率!AN12),1,0))</f>
        <v>1</v>
      </c>
      <c r="AO12">
        <f>IF(OR(過積載率!AO12=0,(標準電圧!AO12*標準電圧!AO$2-VLOOKUP(HUAWEI製ＰＣＳ接続枚数計算ツール!$C$9, HUAWEI製ＰＣＳ接続枚数計算ツール!$B$119:$P$149,12,FALSE))&lt;0),0,IF(ROUNDDOWN((標準電圧!AO12*標準電圧!AO$2-VLOOKUP(HUAWEI製ＰＣＳ接続枚数計算ツール!$C$9,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HUAWEI製ＰＣＳ接続枚数計算ツール!$B$119:$P$149,14,FALSE),0)/100&gt;=IF(過積載率!AO12&gt;1,1,過積載率!AO12),1,0))</f>
        <v>1</v>
      </c>
    </row>
    <row r="13" spans="1:41">
      <c r="A13">
        <v>11</v>
      </c>
      <c r="B13">
        <f>IF(OR(過積載率!B13=0,(標準電圧!B13*標準電圧!B$2-VLOOKUP(HUAWEI製ＰＣＳ接続枚数計算ツール!$C$9, HUAWEI製ＰＣＳ接続枚数計算ツール!$B$119:$P$149,12,FALSE))&lt;0),0,IF(ROUNDDOWN((標準電圧!B13*標準電圧!B$2-VLOOKUP(HUAWEI製ＰＣＳ接続枚数計算ツール!$C$9,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HUAWEI製ＰＣＳ接続枚数計算ツール!$B$119:$P$149,14,FALSE),0)/100&gt;=IF(過積載率!B13&gt;1,1,過積載率!B13),1,0))</f>
        <v>0</v>
      </c>
      <c r="C13">
        <f>IF(OR(過積載率!C13=0,(標準電圧!C13*標準電圧!C$2-VLOOKUP(HUAWEI製ＰＣＳ接続枚数計算ツール!$C$9, HUAWEI製ＰＣＳ接続枚数計算ツール!$B$119:$P$149,12,FALSE))&lt;0),0,IF(ROUNDDOWN((標準電圧!C13*標準電圧!C$2-VLOOKUP(HUAWEI製ＰＣＳ接続枚数計算ツール!$C$9,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HUAWEI製ＰＣＳ接続枚数計算ツール!$B$119:$P$149,14,FALSE),0)/100&gt;=IF(過積載率!C13&gt;1,1,過積載率!C13),1,0))</f>
        <v>0</v>
      </c>
      <c r="D13">
        <f>IF(OR(過積載率!D13=0,(標準電圧!D13*標準電圧!D$2-VLOOKUP(HUAWEI製ＰＣＳ接続枚数計算ツール!$C$9, HUAWEI製ＰＣＳ接続枚数計算ツール!$B$119:$P$149,12,FALSE))&lt;0),0,IF(ROUNDDOWN((標準電圧!D13*標準電圧!D$2-VLOOKUP(HUAWEI製ＰＣＳ接続枚数計算ツール!$C$9,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HUAWEI製ＰＣＳ接続枚数計算ツール!$B$119:$P$149,14,FALSE),0)/100&gt;=IF(過積載率!D13&gt;1,1,過積載率!D13),1,0))</f>
        <v>0</v>
      </c>
      <c r="E13">
        <f>IF(OR(過積載率!E13=0,(標準電圧!E13*標準電圧!E$2-VLOOKUP(HUAWEI製ＰＣＳ接続枚数計算ツール!$C$9, HUAWEI製ＰＣＳ接続枚数計算ツール!$B$119:$P$149,12,FALSE))&lt;0),0,IF(ROUNDDOWN((標準電圧!E13*標準電圧!E$2-VLOOKUP(HUAWEI製ＰＣＳ接続枚数計算ツール!$C$9,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HUAWEI製ＰＣＳ接続枚数計算ツール!$B$119:$P$149,14,FALSE),0)/100&gt;=IF(過積載率!E13&gt;1,1,過積載率!E13),1,0))</f>
        <v>0</v>
      </c>
      <c r="F13">
        <f>IF(OR(過積載率!F13=0,(標準電圧!F13*標準電圧!F$2-VLOOKUP(HUAWEI製ＰＣＳ接続枚数計算ツール!$C$9, HUAWEI製ＰＣＳ接続枚数計算ツール!$B$119:$P$149,12,FALSE))&lt;0),0,IF(ROUNDDOWN((標準電圧!F13*標準電圧!F$2-VLOOKUP(HUAWEI製ＰＣＳ接続枚数計算ツール!$C$9,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HUAWEI製ＰＣＳ接続枚数計算ツール!$B$119:$P$149,14,FALSE),0)/100&gt;=IF(過積載率!F13&gt;1,1,過積載率!F13),1,0))</f>
        <v>0</v>
      </c>
      <c r="G13">
        <f>IF(OR(過積載率!G13=0,(標準電圧!G13*標準電圧!G$2-VLOOKUP(HUAWEI製ＰＣＳ接続枚数計算ツール!$C$9, HUAWEI製ＰＣＳ接続枚数計算ツール!$B$119:$P$149,12,FALSE))&lt;0),0,IF(ROUNDDOWN((標準電圧!G13*標準電圧!G$2-VLOOKUP(HUAWEI製ＰＣＳ接続枚数計算ツール!$C$9,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HUAWEI製ＰＣＳ接続枚数計算ツール!$B$119:$P$149,14,FALSE),0)/100&gt;=IF(過積載率!G13&gt;1,1,過積載率!G13),1,0))</f>
        <v>0</v>
      </c>
      <c r="H13">
        <f>IF(OR(過積載率!H13=0,(標準電圧!H13*標準電圧!H$2-VLOOKUP(HUAWEI製ＰＣＳ接続枚数計算ツール!$C$9, HUAWEI製ＰＣＳ接続枚数計算ツール!$B$119:$P$149,12,FALSE))&lt;0),0,IF(ROUNDDOWN((標準電圧!H13*標準電圧!H$2-VLOOKUP(HUAWEI製ＰＣＳ接続枚数計算ツール!$C$9,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HUAWEI製ＰＣＳ接続枚数計算ツール!$B$119:$P$149,14,FALSE),0)/100&gt;=IF(過積載率!H13&gt;1,1,過積載率!H13),1,0))</f>
        <v>0</v>
      </c>
      <c r="I13">
        <f>IF(OR(過積載率!I13=0,(標準電圧!I13*標準電圧!I$2-VLOOKUP(HUAWEI製ＰＣＳ接続枚数計算ツール!$C$9, HUAWEI製ＰＣＳ接続枚数計算ツール!$B$119:$P$149,12,FALSE))&lt;0),0,IF(ROUNDDOWN((標準電圧!I13*標準電圧!I$2-VLOOKUP(HUAWEI製ＰＣＳ接続枚数計算ツール!$C$9,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HUAWEI製ＰＣＳ接続枚数計算ツール!$B$119:$P$149,14,FALSE),0)/100&gt;=IF(過積載率!I13&gt;1,1,過積載率!I13),1,0))</f>
        <v>0</v>
      </c>
      <c r="J13">
        <f>IF(OR(過積載率!J13=0,(標準電圧!J13*標準電圧!J$2-VLOOKUP(HUAWEI製ＰＣＳ接続枚数計算ツール!$C$9, HUAWEI製ＰＣＳ接続枚数計算ツール!$B$119:$P$149,12,FALSE))&lt;0),0,IF(ROUNDDOWN((標準電圧!J13*標準電圧!J$2-VLOOKUP(HUAWEI製ＰＣＳ接続枚数計算ツール!$C$9,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HUAWEI製ＰＣＳ接続枚数計算ツール!$B$119:$P$149,14,FALSE),0)/100&gt;=IF(過積載率!J13&gt;1,1,過積載率!J13),1,0))</f>
        <v>0</v>
      </c>
      <c r="K13">
        <f>IF(OR(過積載率!K13=0,(標準電圧!K13*標準電圧!K$2-VLOOKUP(HUAWEI製ＰＣＳ接続枚数計算ツール!$C$9, HUAWEI製ＰＣＳ接続枚数計算ツール!$B$119:$P$149,12,FALSE))&lt;0),0,IF(ROUNDDOWN((標準電圧!K13*標準電圧!K$2-VLOOKUP(HUAWEI製ＰＣＳ接続枚数計算ツール!$C$9,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HUAWEI製ＰＣＳ接続枚数計算ツール!$B$119:$P$149,14,FALSE),0)/100&gt;=IF(過積載率!K13&gt;1,1,過積載率!K13),1,0))</f>
        <v>0</v>
      </c>
      <c r="L13">
        <f>IF(OR(過積載率!L13=0,(標準電圧!L13*標準電圧!L$2-VLOOKUP(HUAWEI製ＰＣＳ接続枚数計算ツール!$C$9, HUAWEI製ＰＣＳ接続枚数計算ツール!$B$119:$P$149,12,FALSE))&lt;0),0,IF(ROUNDDOWN((標準電圧!L13*標準電圧!L$2-VLOOKUP(HUAWEI製ＰＣＳ接続枚数計算ツール!$C$9,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HUAWEI製ＰＣＳ接続枚数計算ツール!$B$119:$P$149,14,FALSE),0)/100&gt;=IF(過積載率!L13&gt;1,1,過積載率!L13),1,0))</f>
        <v>0</v>
      </c>
      <c r="M13">
        <f>IF(OR(過積載率!M13=0,(標準電圧!M13*標準電圧!M$2-VLOOKUP(HUAWEI製ＰＣＳ接続枚数計算ツール!$C$9, HUAWEI製ＰＣＳ接続枚数計算ツール!$B$119:$P$149,12,FALSE))&lt;0),0,IF(ROUNDDOWN((標準電圧!M13*標準電圧!M$2-VLOOKUP(HUAWEI製ＰＣＳ接続枚数計算ツール!$C$9,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HUAWEI製ＰＣＳ接続枚数計算ツール!$B$119:$P$149,14,FALSE),0)/100&gt;=IF(過積載率!M13&gt;1,1,過積載率!M13),1,0))</f>
        <v>0</v>
      </c>
      <c r="N13">
        <f>IF(OR(過積載率!N13=0,(標準電圧!N13*標準電圧!N$2-VLOOKUP(HUAWEI製ＰＣＳ接続枚数計算ツール!$C$9, HUAWEI製ＰＣＳ接続枚数計算ツール!$B$119:$P$149,12,FALSE))&lt;0),0,IF(ROUNDDOWN((標準電圧!N13*標準電圧!N$2-VLOOKUP(HUAWEI製ＰＣＳ接続枚数計算ツール!$C$9,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HUAWEI製ＰＣＳ接続枚数計算ツール!$B$119:$P$149,14,FALSE),0)/100&gt;=IF(過積載率!N13&gt;1,1,過積載率!N13),1,0))</f>
        <v>1</v>
      </c>
      <c r="O13">
        <f>IF(OR(過積載率!O13=0,(標準電圧!O13*標準電圧!O$2-VLOOKUP(HUAWEI製ＰＣＳ接続枚数計算ツール!$C$9, HUAWEI製ＰＣＳ接続枚数計算ツール!$B$119:$P$149,12,FALSE))&lt;0),0,IF(ROUNDDOWN((標準電圧!O13*標準電圧!O$2-VLOOKUP(HUAWEI製ＰＣＳ接続枚数計算ツール!$C$9,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HUAWEI製ＰＣＳ接続枚数計算ツール!$B$119:$P$149,14,FALSE),0)/100&gt;=IF(過積載率!O13&gt;1,1,過積載率!O13),1,0))</f>
        <v>1</v>
      </c>
      <c r="P13">
        <f>IF(OR(過積載率!P13=0,(標準電圧!P13*標準電圧!P$2-VLOOKUP(HUAWEI製ＰＣＳ接続枚数計算ツール!$C$9, HUAWEI製ＰＣＳ接続枚数計算ツール!$B$119:$P$149,12,FALSE))&lt;0),0,IF(ROUNDDOWN((標準電圧!P13*標準電圧!P$2-VLOOKUP(HUAWEI製ＰＣＳ接続枚数計算ツール!$C$9,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HUAWEI製ＰＣＳ接続枚数計算ツール!$B$119:$P$149,14,FALSE),0)/100&gt;=IF(過積載率!P13&gt;1,1,過積載率!P13),1,0))</f>
        <v>1</v>
      </c>
      <c r="Q13">
        <f>IF(OR(過積載率!Q13=0,(標準電圧!Q13*標準電圧!Q$2-VLOOKUP(HUAWEI製ＰＣＳ接続枚数計算ツール!$C$9, HUAWEI製ＰＣＳ接続枚数計算ツール!$B$119:$P$149,12,FALSE))&lt;0),0,IF(ROUNDDOWN((標準電圧!Q13*標準電圧!Q$2-VLOOKUP(HUAWEI製ＰＣＳ接続枚数計算ツール!$C$9,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HUAWEI製ＰＣＳ接続枚数計算ツール!$B$119:$P$149,14,FALSE),0)/100&gt;=IF(過積載率!Q13&gt;1,1,過積載率!Q13),1,0))</f>
        <v>1</v>
      </c>
      <c r="R13">
        <f>IF(OR(過積載率!R13=0,(標準電圧!R13*標準電圧!R$2-VLOOKUP(HUAWEI製ＰＣＳ接続枚数計算ツール!$C$9, HUAWEI製ＰＣＳ接続枚数計算ツール!$B$119:$P$149,12,FALSE))&lt;0),0,IF(ROUNDDOWN((標準電圧!R13*標準電圧!R$2-VLOOKUP(HUAWEI製ＰＣＳ接続枚数計算ツール!$C$9,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HUAWEI製ＰＣＳ接続枚数計算ツール!$B$119:$P$149,14,FALSE),0)/100&gt;=IF(過積載率!R13&gt;1,1,過積載率!R13),1,0))</f>
        <v>1</v>
      </c>
      <c r="S13">
        <f>IF(OR(過積載率!S13=0,(標準電圧!S13*標準電圧!S$2-VLOOKUP(HUAWEI製ＰＣＳ接続枚数計算ツール!$C$9, HUAWEI製ＰＣＳ接続枚数計算ツール!$B$119:$P$149,12,FALSE))&lt;0),0,IF(ROUNDDOWN((標準電圧!S13*標準電圧!S$2-VLOOKUP(HUAWEI製ＰＣＳ接続枚数計算ツール!$C$9,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HUAWEI製ＰＣＳ接続枚数計算ツール!$B$119:$P$149,14,FALSE),0)/100&gt;=IF(過積載率!S13&gt;1,1,過積載率!S13),1,0))</f>
        <v>1</v>
      </c>
      <c r="T13">
        <f>IF(OR(過積載率!T13=0,(標準電圧!T13*標準電圧!T$2-VLOOKUP(HUAWEI製ＰＣＳ接続枚数計算ツール!$C$9, HUAWEI製ＰＣＳ接続枚数計算ツール!$B$119:$P$149,12,FALSE))&lt;0),0,IF(ROUNDDOWN((標準電圧!T13*標準電圧!T$2-VLOOKUP(HUAWEI製ＰＣＳ接続枚数計算ツール!$C$9,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HUAWEI製ＰＣＳ接続枚数計算ツール!$B$119:$P$149,14,FALSE),0)/100&gt;=IF(過積載率!T13&gt;1,1,過積載率!T13),1,0))</f>
        <v>1</v>
      </c>
      <c r="U13">
        <f>IF(OR(過積載率!U13=0,(標準電圧!U13*標準電圧!U$2-VLOOKUP(HUAWEI製ＰＣＳ接続枚数計算ツール!$C$9, HUAWEI製ＰＣＳ接続枚数計算ツール!$B$119:$P$149,12,FALSE))&lt;0),0,IF(ROUNDDOWN((標準電圧!U13*標準電圧!U$2-VLOOKUP(HUAWEI製ＰＣＳ接続枚数計算ツール!$C$9,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HUAWEI製ＰＣＳ接続枚数計算ツール!$B$119:$P$149,14,FALSE),0)/100&gt;=IF(過積載率!U13&gt;1,1,過積載率!U13),1,0))</f>
        <v>1</v>
      </c>
      <c r="V13">
        <f>IF(OR(過積載率!V13=0,(標準電圧!V13*標準電圧!V$2-VLOOKUP(HUAWEI製ＰＣＳ接続枚数計算ツール!$C$9, HUAWEI製ＰＣＳ接続枚数計算ツール!$B$119:$P$149,12,FALSE))&lt;0),0,IF(ROUNDDOWN((標準電圧!V13*標準電圧!V$2-VLOOKUP(HUAWEI製ＰＣＳ接続枚数計算ツール!$C$9,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HUAWEI製ＰＣＳ接続枚数計算ツール!$B$119:$P$149,14,FALSE),0)/100&gt;=IF(過積載率!V13&gt;1,1,過積載率!V13),1,0))</f>
        <v>1</v>
      </c>
      <c r="W13">
        <f>IF(OR(過積載率!W13=0,(標準電圧!W13*標準電圧!W$2-VLOOKUP(HUAWEI製ＰＣＳ接続枚数計算ツール!$C$9, HUAWEI製ＰＣＳ接続枚数計算ツール!$B$119:$P$149,12,FALSE))&lt;0),0,IF(ROUNDDOWN((標準電圧!W13*標準電圧!W$2-VLOOKUP(HUAWEI製ＰＣＳ接続枚数計算ツール!$C$9,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HUAWEI製ＰＣＳ接続枚数計算ツール!$B$119:$P$149,14,FALSE),0)/100&gt;=IF(過積載率!W13&gt;1,1,過積載率!W13),1,0))</f>
        <v>1</v>
      </c>
      <c r="X13">
        <f>IF(OR(過積載率!X13=0,(標準電圧!X13*標準電圧!X$2-VLOOKUP(HUAWEI製ＰＣＳ接続枚数計算ツール!$C$9, HUAWEI製ＰＣＳ接続枚数計算ツール!$B$119:$P$149,12,FALSE))&lt;0),0,IF(ROUNDDOWN((標準電圧!X13*標準電圧!X$2-VLOOKUP(HUAWEI製ＰＣＳ接続枚数計算ツール!$C$9,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HUAWEI製ＰＣＳ接続枚数計算ツール!$B$119:$P$149,14,FALSE),0)/100&gt;=IF(過積載率!X13&gt;1,1,過積載率!X13),1,0))</f>
        <v>1</v>
      </c>
      <c r="Y13">
        <f>IF(OR(過積載率!Y13=0,(標準電圧!Y13*標準電圧!Y$2-VLOOKUP(HUAWEI製ＰＣＳ接続枚数計算ツール!$C$9, HUAWEI製ＰＣＳ接続枚数計算ツール!$B$119:$P$149,12,FALSE))&lt;0),0,IF(ROUNDDOWN((標準電圧!Y13*標準電圧!Y$2-VLOOKUP(HUAWEI製ＰＣＳ接続枚数計算ツール!$C$9,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HUAWEI製ＰＣＳ接続枚数計算ツール!$B$119:$P$149,14,FALSE),0)/100&gt;=IF(過積載率!Y13&gt;1,1,過積載率!Y13),1,0))</f>
        <v>1</v>
      </c>
      <c r="Z13">
        <f>IF(OR(過積載率!Z13=0,(標準電圧!Z13*標準電圧!Z$2-VLOOKUP(HUAWEI製ＰＣＳ接続枚数計算ツール!$C$9, HUAWEI製ＰＣＳ接続枚数計算ツール!$B$119:$P$149,12,FALSE))&lt;0),0,IF(ROUNDDOWN((標準電圧!Z13*標準電圧!Z$2-VLOOKUP(HUAWEI製ＰＣＳ接続枚数計算ツール!$C$9,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HUAWEI製ＰＣＳ接続枚数計算ツール!$B$119:$P$149,14,FALSE),0)/100&gt;=IF(過積載率!Z13&gt;1,1,過積載率!Z13),1,0))</f>
        <v>1</v>
      </c>
      <c r="AA13">
        <f>IF(OR(過積載率!AA13=0,(標準電圧!AA13*標準電圧!AA$2-VLOOKUP(HUAWEI製ＰＣＳ接続枚数計算ツール!$C$9, HUAWEI製ＰＣＳ接続枚数計算ツール!$B$119:$P$149,12,FALSE))&lt;0),0,IF(ROUNDDOWN((標準電圧!AA13*標準電圧!AA$2-VLOOKUP(HUAWEI製ＰＣＳ接続枚数計算ツール!$C$9,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HUAWEI製ＰＣＳ接続枚数計算ツール!$B$119:$P$149,14,FALSE),0)/100&gt;=IF(過積載率!AA13&gt;1,1,過積載率!AA13),1,0))</f>
        <v>1</v>
      </c>
      <c r="AB13">
        <f>IF(OR(過積載率!AB13=0,(標準電圧!AB13*標準電圧!AB$2-VLOOKUP(HUAWEI製ＰＣＳ接続枚数計算ツール!$C$9, HUAWEI製ＰＣＳ接続枚数計算ツール!$B$119:$P$149,12,FALSE))&lt;0),0,IF(ROUNDDOWN((標準電圧!AB13*標準電圧!AB$2-VLOOKUP(HUAWEI製ＰＣＳ接続枚数計算ツール!$C$9,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HUAWEI製ＰＣＳ接続枚数計算ツール!$B$119:$P$149,14,FALSE),0)/100&gt;=IF(過積載率!AB13&gt;1,1,過積載率!AB13),1,0))</f>
        <v>1</v>
      </c>
      <c r="AC13">
        <f>IF(OR(過積載率!AC13=0,(標準電圧!AC13*標準電圧!AC$2-VLOOKUP(HUAWEI製ＰＣＳ接続枚数計算ツール!$C$9, HUAWEI製ＰＣＳ接続枚数計算ツール!$B$119:$P$149,12,FALSE))&lt;0),0,IF(ROUNDDOWN((標準電圧!AC13*標準電圧!AC$2-VLOOKUP(HUAWEI製ＰＣＳ接続枚数計算ツール!$C$9,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HUAWEI製ＰＣＳ接続枚数計算ツール!$B$119:$P$149,14,FALSE),0)/100&gt;=IF(過積載率!AC13&gt;1,1,過積載率!AC13),1,0))</f>
        <v>1</v>
      </c>
      <c r="AD13">
        <f>IF(OR(過積載率!AD13=0,(標準電圧!AD13*標準電圧!AD$2-VLOOKUP(HUAWEI製ＰＣＳ接続枚数計算ツール!$C$9, HUAWEI製ＰＣＳ接続枚数計算ツール!$B$119:$P$149,12,FALSE))&lt;0),0,IF(ROUNDDOWN((標準電圧!AD13*標準電圧!AD$2-VLOOKUP(HUAWEI製ＰＣＳ接続枚数計算ツール!$C$9,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HUAWEI製ＰＣＳ接続枚数計算ツール!$B$119:$P$149,14,FALSE),0)/100&gt;=IF(過積載率!AD13&gt;1,1,過積載率!AD13),1,0))</f>
        <v>1</v>
      </c>
      <c r="AE13">
        <f>IF(OR(過積載率!AE13=0,(標準電圧!AE13*標準電圧!AE$2-VLOOKUP(HUAWEI製ＰＣＳ接続枚数計算ツール!$C$9, HUAWEI製ＰＣＳ接続枚数計算ツール!$B$119:$P$149,12,FALSE))&lt;0),0,IF(ROUNDDOWN((標準電圧!AE13*標準電圧!AE$2-VLOOKUP(HUAWEI製ＰＣＳ接続枚数計算ツール!$C$9,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HUAWEI製ＰＣＳ接続枚数計算ツール!$B$119:$P$149,14,FALSE),0)/100&gt;=IF(過積載率!AE13&gt;1,1,過積載率!AE13),1,0))</f>
        <v>1</v>
      </c>
      <c r="AF13">
        <f>IF(OR(過積載率!AF13=0,(標準電圧!AF13*標準電圧!AF$2-VLOOKUP(HUAWEI製ＰＣＳ接続枚数計算ツール!$C$9, HUAWEI製ＰＣＳ接続枚数計算ツール!$B$119:$P$149,12,FALSE))&lt;0),0,IF(ROUNDDOWN((標準電圧!AF13*標準電圧!AF$2-VLOOKUP(HUAWEI製ＰＣＳ接続枚数計算ツール!$C$9,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HUAWEI製ＰＣＳ接続枚数計算ツール!$B$119:$P$149,14,FALSE),0)/100&gt;=IF(過積載率!AF13&gt;1,1,過積載率!AF13),1,0))</f>
        <v>1</v>
      </c>
      <c r="AG13">
        <f>IF(OR(過積載率!AG13=0,(標準電圧!AG13*標準電圧!AG$2-VLOOKUP(HUAWEI製ＰＣＳ接続枚数計算ツール!$C$9, HUAWEI製ＰＣＳ接続枚数計算ツール!$B$119:$P$149,12,FALSE))&lt;0),0,IF(ROUNDDOWN((標準電圧!AG13*標準電圧!AG$2-VLOOKUP(HUAWEI製ＰＣＳ接続枚数計算ツール!$C$9,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HUAWEI製ＰＣＳ接続枚数計算ツール!$B$119:$P$149,14,FALSE),0)/100&gt;=IF(過積載率!AG13&gt;1,1,過積載率!AG13),1,0))</f>
        <v>1</v>
      </c>
      <c r="AH13">
        <f>IF(OR(過積載率!AH13=0,(標準電圧!AH13*標準電圧!AH$2-VLOOKUP(HUAWEI製ＰＣＳ接続枚数計算ツール!$C$9, HUAWEI製ＰＣＳ接続枚数計算ツール!$B$119:$P$149,12,FALSE))&lt;0),0,IF(ROUNDDOWN((標準電圧!AH13*標準電圧!AH$2-VLOOKUP(HUAWEI製ＰＣＳ接続枚数計算ツール!$C$9,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HUAWEI製ＰＣＳ接続枚数計算ツール!$B$119:$P$149,14,FALSE),0)/100&gt;=IF(過積載率!AH13&gt;1,1,過積載率!AH13),1,0))</f>
        <v>1</v>
      </c>
      <c r="AI13">
        <f>IF(OR(過積載率!AI13=0,(標準電圧!AI13*標準電圧!AI$2-VLOOKUP(HUAWEI製ＰＣＳ接続枚数計算ツール!$C$9, HUAWEI製ＰＣＳ接続枚数計算ツール!$B$119:$P$149,12,FALSE))&lt;0),0,IF(ROUNDDOWN((標準電圧!AI13*標準電圧!AI$2-VLOOKUP(HUAWEI製ＰＣＳ接続枚数計算ツール!$C$9,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HUAWEI製ＰＣＳ接続枚数計算ツール!$B$119:$P$149,14,FALSE),0)/100&gt;=IF(過積載率!AI13&gt;1,1,過積載率!AI13),1,0))</f>
        <v>1</v>
      </c>
      <c r="AJ13">
        <f>IF(OR(過積載率!AJ13=0,(標準電圧!AJ13*標準電圧!AJ$2-VLOOKUP(HUAWEI製ＰＣＳ接続枚数計算ツール!$C$9, HUAWEI製ＰＣＳ接続枚数計算ツール!$B$119:$P$149,12,FALSE))&lt;0),0,IF(ROUNDDOWN((標準電圧!AJ13*標準電圧!AJ$2-VLOOKUP(HUAWEI製ＰＣＳ接続枚数計算ツール!$C$9,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HUAWEI製ＰＣＳ接続枚数計算ツール!$B$119:$P$149,14,FALSE),0)/100&gt;=IF(過積載率!AJ13&gt;1,1,過積載率!AJ13),1,0))</f>
        <v>1</v>
      </c>
      <c r="AK13">
        <f>IF(OR(過積載率!AK13=0,(標準電圧!AK13*標準電圧!AK$2-VLOOKUP(HUAWEI製ＰＣＳ接続枚数計算ツール!$C$9, HUAWEI製ＰＣＳ接続枚数計算ツール!$B$119:$P$149,12,FALSE))&lt;0),0,IF(ROUNDDOWN((標準電圧!AK13*標準電圧!AK$2-VLOOKUP(HUAWEI製ＰＣＳ接続枚数計算ツール!$C$9,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HUAWEI製ＰＣＳ接続枚数計算ツール!$B$119:$P$149,14,FALSE),0)/100&gt;=IF(過積載率!AK13&gt;1,1,過積載率!AK13),1,0))</f>
        <v>1</v>
      </c>
      <c r="AL13">
        <f>IF(OR(過積載率!AL13=0,(標準電圧!AL13*標準電圧!AL$2-VLOOKUP(HUAWEI製ＰＣＳ接続枚数計算ツール!$C$9, HUAWEI製ＰＣＳ接続枚数計算ツール!$B$119:$P$149,12,FALSE))&lt;0),0,IF(ROUNDDOWN((標準電圧!AL13*標準電圧!AL$2-VLOOKUP(HUAWEI製ＰＣＳ接続枚数計算ツール!$C$9,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HUAWEI製ＰＣＳ接続枚数計算ツール!$B$119:$P$149,14,FALSE),0)/100&gt;=IF(過積載率!AL13&gt;1,1,過積載率!AL13),1,0))</f>
        <v>1</v>
      </c>
      <c r="AM13">
        <f>IF(OR(過積載率!AM13=0,(標準電圧!AM13*標準電圧!AM$2-VLOOKUP(HUAWEI製ＰＣＳ接続枚数計算ツール!$C$9, HUAWEI製ＰＣＳ接続枚数計算ツール!$B$119:$P$149,12,FALSE))&lt;0),0,IF(ROUNDDOWN((標準電圧!AM13*標準電圧!AM$2-VLOOKUP(HUAWEI製ＰＣＳ接続枚数計算ツール!$C$9,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HUAWEI製ＰＣＳ接続枚数計算ツール!$B$119:$P$149,14,FALSE),0)/100&gt;=IF(過積載率!AM13&gt;1,1,過積載率!AM13),1,0))</f>
        <v>1</v>
      </c>
      <c r="AN13">
        <f>IF(OR(過積載率!AN13=0,(標準電圧!AN13*標準電圧!AN$2-VLOOKUP(HUAWEI製ＰＣＳ接続枚数計算ツール!$C$9, HUAWEI製ＰＣＳ接続枚数計算ツール!$B$119:$P$149,12,FALSE))&lt;0),0,IF(ROUNDDOWN((標準電圧!AN13*標準電圧!AN$2-VLOOKUP(HUAWEI製ＰＣＳ接続枚数計算ツール!$C$9,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HUAWEI製ＰＣＳ接続枚数計算ツール!$B$119:$P$149,14,FALSE),0)/100&gt;=IF(過積載率!AN13&gt;1,1,過積載率!AN13),1,0))</f>
        <v>1</v>
      </c>
      <c r="AO13">
        <f>IF(OR(過積載率!AO13=0,(標準電圧!AO13*標準電圧!AO$2-VLOOKUP(HUAWEI製ＰＣＳ接続枚数計算ツール!$C$9, HUAWEI製ＰＣＳ接続枚数計算ツール!$B$119:$P$149,12,FALSE))&lt;0),0,IF(ROUNDDOWN((標準電圧!AO13*標準電圧!AO$2-VLOOKUP(HUAWEI製ＰＣＳ接続枚数計算ツール!$C$9,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HUAWEI製ＰＣＳ接続枚数計算ツール!$B$119:$P$149,14,FALSE),0)/100&gt;=IF(過積載率!AO13&gt;1,1,過積載率!AO13),1,0))</f>
        <v>1</v>
      </c>
    </row>
    <row r="14" spans="1:41">
      <c r="A14">
        <v>12</v>
      </c>
      <c r="B14">
        <f>IF(OR(過積載率!B14=0,(標準電圧!B14*標準電圧!B$2-VLOOKUP(HUAWEI製ＰＣＳ接続枚数計算ツール!$C$9, HUAWEI製ＰＣＳ接続枚数計算ツール!$B$119:$P$149,12,FALSE))&lt;0),0,IF(ROUNDDOWN((標準電圧!B14*標準電圧!B$2-VLOOKUP(HUAWEI製ＰＣＳ接続枚数計算ツール!$C$9,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HUAWEI製ＰＣＳ接続枚数計算ツール!$B$119:$P$149,14,FALSE),0)/100&gt;=IF(過積載率!B14&gt;1,1,過積載率!B14),1,0))</f>
        <v>0</v>
      </c>
      <c r="C14">
        <f>IF(OR(過積載率!C14=0,(標準電圧!C14*標準電圧!C$2-VLOOKUP(HUAWEI製ＰＣＳ接続枚数計算ツール!$C$9, HUAWEI製ＰＣＳ接続枚数計算ツール!$B$119:$P$149,12,FALSE))&lt;0),0,IF(ROUNDDOWN((標準電圧!C14*標準電圧!C$2-VLOOKUP(HUAWEI製ＰＣＳ接続枚数計算ツール!$C$9,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HUAWEI製ＰＣＳ接続枚数計算ツール!$B$119:$P$149,14,FALSE),0)/100&gt;=IF(過積載率!C14&gt;1,1,過積載率!C14),1,0))</f>
        <v>0</v>
      </c>
      <c r="D14">
        <f>IF(OR(過積載率!D14=0,(標準電圧!D14*標準電圧!D$2-VLOOKUP(HUAWEI製ＰＣＳ接続枚数計算ツール!$C$9, HUAWEI製ＰＣＳ接続枚数計算ツール!$B$119:$P$149,12,FALSE))&lt;0),0,IF(ROUNDDOWN((標準電圧!D14*標準電圧!D$2-VLOOKUP(HUAWEI製ＰＣＳ接続枚数計算ツール!$C$9,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HUAWEI製ＰＣＳ接続枚数計算ツール!$B$119:$P$149,14,FALSE),0)/100&gt;=IF(過積載率!D14&gt;1,1,過積載率!D14),1,0))</f>
        <v>0</v>
      </c>
      <c r="E14">
        <f>IF(OR(過積載率!E14=0,(標準電圧!E14*標準電圧!E$2-VLOOKUP(HUAWEI製ＰＣＳ接続枚数計算ツール!$C$9, HUAWEI製ＰＣＳ接続枚数計算ツール!$B$119:$P$149,12,FALSE))&lt;0),0,IF(ROUNDDOWN((標準電圧!E14*標準電圧!E$2-VLOOKUP(HUAWEI製ＰＣＳ接続枚数計算ツール!$C$9,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HUAWEI製ＰＣＳ接続枚数計算ツール!$B$119:$P$149,14,FALSE),0)/100&gt;=IF(過積載率!E14&gt;1,1,過積載率!E14),1,0))</f>
        <v>0</v>
      </c>
      <c r="F14">
        <f>IF(OR(過積載率!F14=0,(標準電圧!F14*標準電圧!F$2-VLOOKUP(HUAWEI製ＰＣＳ接続枚数計算ツール!$C$9, HUAWEI製ＰＣＳ接続枚数計算ツール!$B$119:$P$149,12,FALSE))&lt;0),0,IF(ROUNDDOWN((標準電圧!F14*標準電圧!F$2-VLOOKUP(HUAWEI製ＰＣＳ接続枚数計算ツール!$C$9,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HUAWEI製ＰＣＳ接続枚数計算ツール!$B$119:$P$149,14,FALSE),0)/100&gt;=IF(過積載率!F14&gt;1,1,過積載率!F14),1,0))</f>
        <v>0</v>
      </c>
      <c r="G14">
        <f>IF(OR(過積載率!G14=0,(標準電圧!G14*標準電圧!G$2-VLOOKUP(HUAWEI製ＰＣＳ接続枚数計算ツール!$C$9, HUAWEI製ＰＣＳ接続枚数計算ツール!$B$119:$P$149,12,FALSE))&lt;0),0,IF(ROUNDDOWN((標準電圧!G14*標準電圧!G$2-VLOOKUP(HUAWEI製ＰＣＳ接続枚数計算ツール!$C$9,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HUAWEI製ＰＣＳ接続枚数計算ツール!$B$119:$P$149,14,FALSE),0)/100&gt;=IF(過積載率!G14&gt;1,1,過積載率!G14),1,0))</f>
        <v>0</v>
      </c>
      <c r="H14">
        <f>IF(OR(過積載率!H14=0,(標準電圧!H14*標準電圧!H$2-VLOOKUP(HUAWEI製ＰＣＳ接続枚数計算ツール!$C$9, HUAWEI製ＰＣＳ接続枚数計算ツール!$B$119:$P$149,12,FALSE))&lt;0),0,IF(ROUNDDOWN((標準電圧!H14*標準電圧!H$2-VLOOKUP(HUAWEI製ＰＣＳ接続枚数計算ツール!$C$9,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HUAWEI製ＰＣＳ接続枚数計算ツール!$B$119:$P$149,14,FALSE),0)/100&gt;=IF(過積載率!H14&gt;1,1,過積載率!H14),1,0))</f>
        <v>0</v>
      </c>
      <c r="I14">
        <f>IF(OR(過積載率!I14=0,(標準電圧!I14*標準電圧!I$2-VLOOKUP(HUAWEI製ＰＣＳ接続枚数計算ツール!$C$9, HUAWEI製ＰＣＳ接続枚数計算ツール!$B$119:$P$149,12,FALSE))&lt;0),0,IF(ROUNDDOWN((標準電圧!I14*標準電圧!I$2-VLOOKUP(HUAWEI製ＰＣＳ接続枚数計算ツール!$C$9,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HUAWEI製ＰＣＳ接続枚数計算ツール!$B$119:$P$149,14,FALSE),0)/100&gt;=IF(過積載率!I14&gt;1,1,過積載率!I14),1,0))</f>
        <v>0</v>
      </c>
      <c r="J14">
        <f>IF(OR(過積載率!J14=0,(標準電圧!J14*標準電圧!J$2-VLOOKUP(HUAWEI製ＰＣＳ接続枚数計算ツール!$C$9, HUAWEI製ＰＣＳ接続枚数計算ツール!$B$119:$P$149,12,FALSE))&lt;0),0,IF(ROUNDDOWN((標準電圧!J14*標準電圧!J$2-VLOOKUP(HUAWEI製ＰＣＳ接続枚数計算ツール!$C$9,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HUAWEI製ＰＣＳ接続枚数計算ツール!$B$119:$P$149,14,FALSE),0)/100&gt;=IF(過積載率!J14&gt;1,1,過積載率!J14),1,0))</f>
        <v>0</v>
      </c>
      <c r="K14">
        <f>IF(OR(過積載率!K14=0,(標準電圧!K14*標準電圧!K$2-VLOOKUP(HUAWEI製ＰＣＳ接続枚数計算ツール!$C$9, HUAWEI製ＰＣＳ接続枚数計算ツール!$B$119:$P$149,12,FALSE))&lt;0),0,IF(ROUNDDOWN((標準電圧!K14*標準電圧!K$2-VLOOKUP(HUAWEI製ＰＣＳ接続枚数計算ツール!$C$9,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HUAWEI製ＰＣＳ接続枚数計算ツール!$B$119:$P$149,14,FALSE),0)/100&gt;=IF(過積載率!K14&gt;1,1,過積載率!K14),1,0))</f>
        <v>0</v>
      </c>
      <c r="L14">
        <f>IF(OR(過積載率!L14=0,(標準電圧!L14*標準電圧!L$2-VLOOKUP(HUAWEI製ＰＣＳ接続枚数計算ツール!$C$9, HUAWEI製ＰＣＳ接続枚数計算ツール!$B$119:$P$149,12,FALSE))&lt;0),0,IF(ROUNDDOWN((標準電圧!L14*標準電圧!L$2-VLOOKUP(HUAWEI製ＰＣＳ接続枚数計算ツール!$C$9,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HUAWEI製ＰＣＳ接続枚数計算ツール!$B$119:$P$149,14,FALSE),0)/100&gt;=IF(過積載率!L14&gt;1,1,過積載率!L14),1,0))</f>
        <v>0</v>
      </c>
      <c r="M14">
        <f>IF(OR(過積載率!M14=0,(標準電圧!M14*標準電圧!M$2-VLOOKUP(HUAWEI製ＰＣＳ接続枚数計算ツール!$C$9, HUAWEI製ＰＣＳ接続枚数計算ツール!$B$119:$P$149,12,FALSE))&lt;0),0,IF(ROUNDDOWN((標準電圧!M14*標準電圧!M$2-VLOOKUP(HUAWEI製ＰＣＳ接続枚数計算ツール!$C$9,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HUAWEI製ＰＣＳ接続枚数計算ツール!$B$119:$P$149,14,FALSE),0)/100&gt;=IF(過積載率!M14&gt;1,1,過積載率!M14),1,0))</f>
        <v>0</v>
      </c>
      <c r="N14">
        <f>IF(OR(過積載率!N14=0,(標準電圧!N14*標準電圧!N$2-VLOOKUP(HUAWEI製ＰＣＳ接続枚数計算ツール!$C$9, HUAWEI製ＰＣＳ接続枚数計算ツール!$B$119:$P$149,12,FALSE))&lt;0),0,IF(ROUNDDOWN((標準電圧!N14*標準電圧!N$2-VLOOKUP(HUAWEI製ＰＣＳ接続枚数計算ツール!$C$9,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HUAWEI製ＰＣＳ接続枚数計算ツール!$B$119:$P$149,14,FALSE),0)/100&gt;=IF(過積載率!N14&gt;1,1,過積載率!N14),1,0))</f>
        <v>0</v>
      </c>
      <c r="O14">
        <f>IF(OR(過積載率!O14=0,(標準電圧!O14*標準電圧!O$2-VLOOKUP(HUAWEI製ＰＣＳ接続枚数計算ツール!$C$9, HUAWEI製ＰＣＳ接続枚数計算ツール!$B$119:$P$149,12,FALSE))&lt;0),0,IF(ROUNDDOWN((標準電圧!O14*標準電圧!O$2-VLOOKUP(HUAWEI製ＰＣＳ接続枚数計算ツール!$C$9,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HUAWEI製ＰＣＳ接続枚数計算ツール!$B$119:$P$149,14,FALSE),0)/100&gt;=IF(過積載率!O14&gt;1,1,過積載率!O14),1,0))</f>
        <v>0</v>
      </c>
      <c r="P14">
        <f>IF(OR(過積載率!P14=0,(標準電圧!P14*標準電圧!P$2-VLOOKUP(HUAWEI製ＰＣＳ接続枚数計算ツール!$C$9, HUAWEI製ＰＣＳ接続枚数計算ツール!$B$119:$P$149,12,FALSE))&lt;0),0,IF(ROUNDDOWN((標準電圧!P14*標準電圧!P$2-VLOOKUP(HUAWEI製ＰＣＳ接続枚数計算ツール!$C$9,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HUAWEI製ＰＣＳ接続枚数計算ツール!$B$119:$P$149,14,FALSE),0)/100&gt;=IF(過積載率!P14&gt;1,1,過積載率!P14),1,0))</f>
        <v>0</v>
      </c>
      <c r="Q14">
        <f>IF(OR(過積載率!Q14=0,(標準電圧!Q14*標準電圧!Q$2-VLOOKUP(HUAWEI製ＰＣＳ接続枚数計算ツール!$C$9, HUAWEI製ＰＣＳ接続枚数計算ツール!$B$119:$P$149,12,FALSE))&lt;0),0,IF(ROUNDDOWN((標準電圧!Q14*標準電圧!Q$2-VLOOKUP(HUAWEI製ＰＣＳ接続枚数計算ツール!$C$9,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HUAWEI製ＰＣＳ接続枚数計算ツール!$B$119:$P$149,14,FALSE),0)/100&gt;=IF(過積載率!Q14&gt;1,1,過積載率!Q14),1,0))</f>
        <v>0</v>
      </c>
      <c r="R14">
        <f>IF(OR(過積載率!R14=0,(標準電圧!R14*標準電圧!R$2-VLOOKUP(HUAWEI製ＰＣＳ接続枚数計算ツール!$C$9, HUAWEI製ＰＣＳ接続枚数計算ツール!$B$119:$P$149,12,FALSE))&lt;0),0,IF(ROUNDDOWN((標準電圧!R14*標準電圧!R$2-VLOOKUP(HUAWEI製ＰＣＳ接続枚数計算ツール!$C$9,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HUAWEI製ＰＣＳ接続枚数計算ツール!$B$119:$P$149,14,FALSE),0)/100&gt;=IF(過積載率!R14&gt;1,1,過積載率!R14),1,0))</f>
        <v>0</v>
      </c>
      <c r="S14">
        <f>IF(OR(過積載率!S14=0,(標準電圧!S14*標準電圧!S$2-VLOOKUP(HUAWEI製ＰＣＳ接続枚数計算ツール!$C$9, HUAWEI製ＰＣＳ接続枚数計算ツール!$B$119:$P$149,12,FALSE))&lt;0),0,IF(ROUNDDOWN((標準電圧!S14*標準電圧!S$2-VLOOKUP(HUAWEI製ＰＣＳ接続枚数計算ツール!$C$9,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HUAWEI製ＰＣＳ接続枚数計算ツール!$B$119:$P$149,14,FALSE),0)/100&gt;=IF(過積載率!S14&gt;1,1,過積載率!S14),1,0))</f>
        <v>1</v>
      </c>
      <c r="T14">
        <f>IF(OR(過積載率!T14=0,(標準電圧!T14*標準電圧!T$2-VLOOKUP(HUAWEI製ＰＣＳ接続枚数計算ツール!$C$9, HUAWEI製ＰＣＳ接続枚数計算ツール!$B$119:$P$149,12,FALSE))&lt;0),0,IF(ROUNDDOWN((標準電圧!T14*標準電圧!T$2-VLOOKUP(HUAWEI製ＰＣＳ接続枚数計算ツール!$C$9,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HUAWEI製ＰＣＳ接続枚数計算ツール!$B$119:$P$149,14,FALSE),0)/100&gt;=IF(過積載率!T14&gt;1,1,過積載率!T14),1,0))</f>
        <v>1</v>
      </c>
      <c r="U14">
        <f>IF(OR(過積載率!U14=0,(標準電圧!U14*標準電圧!U$2-VLOOKUP(HUAWEI製ＰＣＳ接続枚数計算ツール!$C$9, HUAWEI製ＰＣＳ接続枚数計算ツール!$B$119:$P$149,12,FALSE))&lt;0),0,IF(ROUNDDOWN((標準電圧!U14*標準電圧!U$2-VLOOKUP(HUAWEI製ＰＣＳ接続枚数計算ツール!$C$9,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HUAWEI製ＰＣＳ接続枚数計算ツール!$B$119:$P$149,14,FALSE),0)/100&gt;=IF(過積載率!U14&gt;1,1,過積載率!U14),1,0))</f>
        <v>1</v>
      </c>
      <c r="V14">
        <f>IF(OR(過積載率!V14=0,(標準電圧!V14*標準電圧!V$2-VLOOKUP(HUAWEI製ＰＣＳ接続枚数計算ツール!$C$9, HUAWEI製ＰＣＳ接続枚数計算ツール!$B$119:$P$149,12,FALSE))&lt;0),0,IF(ROUNDDOWN((標準電圧!V14*標準電圧!V$2-VLOOKUP(HUAWEI製ＰＣＳ接続枚数計算ツール!$C$9,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HUAWEI製ＰＣＳ接続枚数計算ツール!$B$119:$P$149,14,FALSE),0)/100&gt;=IF(過積載率!V14&gt;1,1,過積載率!V14),1,0))</f>
        <v>1</v>
      </c>
      <c r="W14">
        <f>IF(OR(過積載率!W14=0,(標準電圧!W14*標準電圧!W$2-VLOOKUP(HUAWEI製ＰＣＳ接続枚数計算ツール!$C$9, HUAWEI製ＰＣＳ接続枚数計算ツール!$B$119:$P$149,12,FALSE))&lt;0),0,IF(ROUNDDOWN((標準電圧!W14*標準電圧!W$2-VLOOKUP(HUAWEI製ＰＣＳ接続枚数計算ツール!$C$9,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HUAWEI製ＰＣＳ接続枚数計算ツール!$B$119:$P$149,14,FALSE),0)/100&gt;=IF(過積載率!W14&gt;1,1,過積載率!W14),1,0))</f>
        <v>1</v>
      </c>
      <c r="X14">
        <f>IF(OR(過積載率!X14=0,(標準電圧!X14*標準電圧!X$2-VLOOKUP(HUAWEI製ＰＣＳ接続枚数計算ツール!$C$9, HUAWEI製ＰＣＳ接続枚数計算ツール!$B$119:$P$149,12,FALSE))&lt;0),0,IF(ROUNDDOWN((標準電圧!X14*標準電圧!X$2-VLOOKUP(HUAWEI製ＰＣＳ接続枚数計算ツール!$C$9,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HUAWEI製ＰＣＳ接続枚数計算ツール!$B$119:$P$149,14,FALSE),0)/100&gt;=IF(過積載率!X14&gt;1,1,過積載率!X14),1,0))</f>
        <v>1</v>
      </c>
      <c r="Y14">
        <f>IF(OR(過積載率!Y14=0,(標準電圧!Y14*標準電圧!Y$2-VLOOKUP(HUAWEI製ＰＣＳ接続枚数計算ツール!$C$9, HUAWEI製ＰＣＳ接続枚数計算ツール!$B$119:$P$149,12,FALSE))&lt;0),0,IF(ROUNDDOWN((標準電圧!Y14*標準電圧!Y$2-VLOOKUP(HUAWEI製ＰＣＳ接続枚数計算ツール!$C$9,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HUAWEI製ＰＣＳ接続枚数計算ツール!$B$119:$P$149,14,FALSE),0)/100&gt;=IF(過積載率!Y14&gt;1,1,過積載率!Y14),1,0))</f>
        <v>1</v>
      </c>
      <c r="Z14">
        <f>IF(OR(過積載率!Z14=0,(標準電圧!Z14*標準電圧!Z$2-VLOOKUP(HUAWEI製ＰＣＳ接続枚数計算ツール!$C$9, HUAWEI製ＰＣＳ接続枚数計算ツール!$B$119:$P$149,12,FALSE))&lt;0),0,IF(ROUNDDOWN((標準電圧!Z14*標準電圧!Z$2-VLOOKUP(HUAWEI製ＰＣＳ接続枚数計算ツール!$C$9,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HUAWEI製ＰＣＳ接続枚数計算ツール!$B$119:$P$149,14,FALSE),0)/100&gt;=IF(過積載率!Z14&gt;1,1,過積載率!Z14),1,0))</f>
        <v>1</v>
      </c>
      <c r="AA14">
        <f>IF(OR(過積載率!AA14=0,(標準電圧!AA14*標準電圧!AA$2-VLOOKUP(HUAWEI製ＰＣＳ接続枚数計算ツール!$C$9, HUAWEI製ＰＣＳ接続枚数計算ツール!$B$119:$P$149,12,FALSE))&lt;0),0,IF(ROUNDDOWN((標準電圧!AA14*標準電圧!AA$2-VLOOKUP(HUAWEI製ＰＣＳ接続枚数計算ツール!$C$9,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HUAWEI製ＰＣＳ接続枚数計算ツール!$B$119:$P$149,14,FALSE),0)/100&gt;=IF(過積載率!AA14&gt;1,1,過積載率!AA14),1,0))</f>
        <v>1</v>
      </c>
      <c r="AB14">
        <f>IF(OR(過積載率!AB14=0,(標準電圧!AB14*標準電圧!AB$2-VLOOKUP(HUAWEI製ＰＣＳ接続枚数計算ツール!$C$9, HUAWEI製ＰＣＳ接続枚数計算ツール!$B$119:$P$149,12,FALSE))&lt;0),0,IF(ROUNDDOWN((標準電圧!AB14*標準電圧!AB$2-VLOOKUP(HUAWEI製ＰＣＳ接続枚数計算ツール!$C$9,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HUAWEI製ＰＣＳ接続枚数計算ツール!$B$119:$P$149,14,FALSE),0)/100&gt;=IF(過積載率!AB14&gt;1,1,過積載率!AB14),1,0))</f>
        <v>1</v>
      </c>
      <c r="AC14">
        <f>IF(OR(過積載率!AC14=0,(標準電圧!AC14*標準電圧!AC$2-VLOOKUP(HUAWEI製ＰＣＳ接続枚数計算ツール!$C$9, HUAWEI製ＰＣＳ接続枚数計算ツール!$B$119:$P$149,12,FALSE))&lt;0),0,IF(ROUNDDOWN((標準電圧!AC14*標準電圧!AC$2-VLOOKUP(HUAWEI製ＰＣＳ接続枚数計算ツール!$C$9,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HUAWEI製ＰＣＳ接続枚数計算ツール!$B$119:$P$149,14,FALSE),0)/100&gt;=IF(過積載率!AC14&gt;1,1,過積載率!AC14),1,0))</f>
        <v>1</v>
      </c>
      <c r="AD14">
        <f>IF(OR(過積載率!AD14=0,(標準電圧!AD14*標準電圧!AD$2-VLOOKUP(HUAWEI製ＰＣＳ接続枚数計算ツール!$C$9, HUAWEI製ＰＣＳ接続枚数計算ツール!$B$119:$P$149,12,FALSE))&lt;0),0,IF(ROUNDDOWN((標準電圧!AD14*標準電圧!AD$2-VLOOKUP(HUAWEI製ＰＣＳ接続枚数計算ツール!$C$9,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HUAWEI製ＰＣＳ接続枚数計算ツール!$B$119:$P$149,14,FALSE),0)/100&gt;=IF(過積載率!AD14&gt;1,1,過積載率!AD14),1,0))</f>
        <v>1</v>
      </c>
      <c r="AE14">
        <f>IF(OR(過積載率!AE14=0,(標準電圧!AE14*標準電圧!AE$2-VLOOKUP(HUAWEI製ＰＣＳ接続枚数計算ツール!$C$9, HUAWEI製ＰＣＳ接続枚数計算ツール!$B$119:$P$149,12,FALSE))&lt;0),0,IF(ROUNDDOWN((標準電圧!AE14*標準電圧!AE$2-VLOOKUP(HUAWEI製ＰＣＳ接続枚数計算ツール!$C$9,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HUAWEI製ＰＣＳ接続枚数計算ツール!$B$119:$P$149,14,FALSE),0)/100&gt;=IF(過積載率!AE14&gt;1,1,過積載率!AE14),1,0))</f>
        <v>1</v>
      </c>
      <c r="AF14">
        <f>IF(OR(過積載率!AF14=0,(標準電圧!AF14*標準電圧!AF$2-VLOOKUP(HUAWEI製ＰＣＳ接続枚数計算ツール!$C$9, HUAWEI製ＰＣＳ接続枚数計算ツール!$B$119:$P$149,12,FALSE))&lt;0),0,IF(ROUNDDOWN((標準電圧!AF14*標準電圧!AF$2-VLOOKUP(HUAWEI製ＰＣＳ接続枚数計算ツール!$C$9,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HUAWEI製ＰＣＳ接続枚数計算ツール!$B$119:$P$149,14,FALSE),0)/100&gt;=IF(過積載率!AF14&gt;1,1,過積載率!AF14),1,0))</f>
        <v>1</v>
      </c>
      <c r="AG14">
        <f>IF(OR(過積載率!AG14=0,(標準電圧!AG14*標準電圧!AG$2-VLOOKUP(HUAWEI製ＰＣＳ接続枚数計算ツール!$C$9, HUAWEI製ＰＣＳ接続枚数計算ツール!$B$119:$P$149,12,FALSE))&lt;0),0,IF(ROUNDDOWN((標準電圧!AG14*標準電圧!AG$2-VLOOKUP(HUAWEI製ＰＣＳ接続枚数計算ツール!$C$9,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HUAWEI製ＰＣＳ接続枚数計算ツール!$B$119:$P$149,14,FALSE),0)/100&gt;=IF(過積載率!AG14&gt;1,1,過積載率!AG14),1,0))</f>
        <v>1</v>
      </c>
      <c r="AH14">
        <f>IF(OR(過積載率!AH14=0,(標準電圧!AH14*標準電圧!AH$2-VLOOKUP(HUAWEI製ＰＣＳ接続枚数計算ツール!$C$9, HUAWEI製ＰＣＳ接続枚数計算ツール!$B$119:$P$149,12,FALSE))&lt;0),0,IF(ROUNDDOWN((標準電圧!AH14*標準電圧!AH$2-VLOOKUP(HUAWEI製ＰＣＳ接続枚数計算ツール!$C$9,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HUAWEI製ＰＣＳ接続枚数計算ツール!$B$119:$P$149,14,FALSE),0)/100&gt;=IF(過積載率!AH14&gt;1,1,過積載率!AH14),1,0))</f>
        <v>1</v>
      </c>
      <c r="AI14">
        <f>IF(OR(過積載率!AI14=0,(標準電圧!AI14*標準電圧!AI$2-VLOOKUP(HUAWEI製ＰＣＳ接続枚数計算ツール!$C$9, HUAWEI製ＰＣＳ接続枚数計算ツール!$B$119:$P$149,12,FALSE))&lt;0),0,IF(ROUNDDOWN((標準電圧!AI14*標準電圧!AI$2-VLOOKUP(HUAWEI製ＰＣＳ接続枚数計算ツール!$C$9,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HUAWEI製ＰＣＳ接続枚数計算ツール!$B$119:$P$149,14,FALSE),0)/100&gt;=IF(過積載率!AI14&gt;1,1,過積載率!AI14),1,0))</f>
        <v>1</v>
      </c>
      <c r="AJ14">
        <f>IF(OR(過積載率!AJ14=0,(標準電圧!AJ14*標準電圧!AJ$2-VLOOKUP(HUAWEI製ＰＣＳ接続枚数計算ツール!$C$9, HUAWEI製ＰＣＳ接続枚数計算ツール!$B$119:$P$149,12,FALSE))&lt;0),0,IF(ROUNDDOWN((標準電圧!AJ14*標準電圧!AJ$2-VLOOKUP(HUAWEI製ＰＣＳ接続枚数計算ツール!$C$9,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HUAWEI製ＰＣＳ接続枚数計算ツール!$B$119:$P$149,14,FALSE),0)/100&gt;=IF(過積載率!AJ14&gt;1,1,過積載率!AJ14),1,0))</f>
        <v>1</v>
      </c>
      <c r="AK14">
        <f>IF(OR(過積載率!AK14=0,(標準電圧!AK14*標準電圧!AK$2-VLOOKUP(HUAWEI製ＰＣＳ接続枚数計算ツール!$C$9, HUAWEI製ＰＣＳ接続枚数計算ツール!$B$119:$P$149,12,FALSE))&lt;0),0,IF(ROUNDDOWN((標準電圧!AK14*標準電圧!AK$2-VLOOKUP(HUAWEI製ＰＣＳ接続枚数計算ツール!$C$9,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HUAWEI製ＰＣＳ接続枚数計算ツール!$B$119:$P$149,14,FALSE),0)/100&gt;=IF(過積載率!AK14&gt;1,1,過積載率!AK14),1,0))</f>
        <v>1</v>
      </c>
      <c r="AL14">
        <f>IF(OR(過積載率!AL14=0,(標準電圧!AL14*標準電圧!AL$2-VLOOKUP(HUAWEI製ＰＣＳ接続枚数計算ツール!$C$9, HUAWEI製ＰＣＳ接続枚数計算ツール!$B$119:$P$149,12,FALSE))&lt;0),0,IF(ROUNDDOWN((標準電圧!AL14*標準電圧!AL$2-VLOOKUP(HUAWEI製ＰＣＳ接続枚数計算ツール!$C$9,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HUAWEI製ＰＣＳ接続枚数計算ツール!$B$119:$P$149,14,FALSE),0)/100&gt;=IF(過積載率!AL14&gt;1,1,過積載率!AL14),1,0))</f>
        <v>1</v>
      </c>
      <c r="AM14">
        <f>IF(OR(過積載率!AM14=0,(標準電圧!AM14*標準電圧!AM$2-VLOOKUP(HUAWEI製ＰＣＳ接続枚数計算ツール!$C$9, HUAWEI製ＰＣＳ接続枚数計算ツール!$B$119:$P$149,12,FALSE))&lt;0),0,IF(ROUNDDOWN((標準電圧!AM14*標準電圧!AM$2-VLOOKUP(HUAWEI製ＰＣＳ接続枚数計算ツール!$C$9,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HUAWEI製ＰＣＳ接続枚数計算ツール!$B$119:$P$149,14,FALSE),0)/100&gt;=IF(過積載率!AM14&gt;1,1,過積載率!AM14),1,0))</f>
        <v>1</v>
      </c>
      <c r="AN14">
        <f>IF(OR(過積載率!AN14=0,(標準電圧!AN14*標準電圧!AN$2-VLOOKUP(HUAWEI製ＰＣＳ接続枚数計算ツール!$C$9, HUAWEI製ＰＣＳ接続枚数計算ツール!$B$119:$P$149,12,FALSE))&lt;0),0,IF(ROUNDDOWN((標準電圧!AN14*標準電圧!AN$2-VLOOKUP(HUAWEI製ＰＣＳ接続枚数計算ツール!$C$9,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HUAWEI製ＰＣＳ接続枚数計算ツール!$B$119:$P$149,14,FALSE),0)/100&gt;=IF(過積載率!AN14&gt;1,1,過積載率!AN14),1,0))</f>
        <v>1</v>
      </c>
      <c r="AO14">
        <f>IF(OR(過積載率!AO14=0,(標準電圧!AO14*標準電圧!AO$2-VLOOKUP(HUAWEI製ＰＣＳ接続枚数計算ツール!$C$9, HUAWEI製ＰＣＳ接続枚数計算ツール!$B$119:$P$149,12,FALSE))&lt;0),0,IF(ROUNDDOWN((標準電圧!AO14*標準電圧!AO$2-VLOOKUP(HUAWEI製ＰＣＳ接続枚数計算ツール!$C$9,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HUAWEI製ＰＣＳ接続枚数計算ツール!$B$119:$P$149,14,FALSE),0)/100&gt;=IF(過積載率!AO14&gt;1,1,過積載率!AO14),1,0))</f>
        <v>1</v>
      </c>
    </row>
    <row r="15" spans="1:41">
      <c r="A15">
        <v>13</v>
      </c>
      <c r="B15">
        <f>IF(OR(過積載率!B15=0,(標準電圧!B15*標準電圧!B$2-VLOOKUP(HUAWEI製ＰＣＳ接続枚数計算ツール!$C$9, HUAWEI製ＰＣＳ接続枚数計算ツール!$B$119:$P$149,12,FALSE))&lt;0),0,IF(ROUNDDOWN((標準電圧!B15*標準電圧!B$2-VLOOKUP(HUAWEI製ＰＣＳ接続枚数計算ツール!$C$9,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HUAWEI製ＰＣＳ接続枚数計算ツール!$B$119:$P$149,14,FALSE),0)/100&gt;=IF(過積載率!B15&gt;1,1,過積載率!B15),1,0))</f>
        <v>0</v>
      </c>
      <c r="C15">
        <f>IF(OR(過積載率!C15=0,(標準電圧!C15*標準電圧!C$2-VLOOKUP(HUAWEI製ＰＣＳ接続枚数計算ツール!$C$9, HUAWEI製ＰＣＳ接続枚数計算ツール!$B$119:$P$149,12,FALSE))&lt;0),0,IF(ROUNDDOWN((標準電圧!C15*標準電圧!C$2-VLOOKUP(HUAWEI製ＰＣＳ接続枚数計算ツール!$C$9,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HUAWEI製ＰＣＳ接続枚数計算ツール!$B$119:$P$149,14,FALSE),0)/100&gt;=IF(過積載率!C15&gt;1,1,過積載率!C15),1,0))</f>
        <v>0</v>
      </c>
      <c r="D15">
        <f>IF(OR(過積載率!D15=0,(標準電圧!D15*標準電圧!D$2-VLOOKUP(HUAWEI製ＰＣＳ接続枚数計算ツール!$C$9, HUAWEI製ＰＣＳ接続枚数計算ツール!$B$119:$P$149,12,FALSE))&lt;0),0,IF(ROUNDDOWN((標準電圧!D15*標準電圧!D$2-VLOOKUP(HUAWEI製ＰＣＳ接続枚数計算ツール!$C$9,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HUAWEI製ＰＣＳ接続枚数計算ツール!$B$119:$P$149,14,FALSE),0)/100&gt;=IF(過積載率!D15&gt;1,1,過積載率!D15),1,0))</f>
        <v>0</v>
      </c>
      <c r="E15">
        <f>IF(OR(過積載率!E15=0,(標準電圧!E15*標準電圧!E$2-VLOOKUP(HUAWEI製ＰＣＳ接続枚数計算ツール!$C$9, HUAWEI製ＰＣＳ接続枚数計算ツール!$B$119:$P$149,12,FALSE))&lt;0),0,IF(ROUNDDOWN((標準電圧!E15*標準電圧!E$2-VLOOKUP(HUAWEI製ＰＣＳ接続枚数計算ツール!$C$9,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HUAWEI製ＰＣＳ接続枚数計算ツール!$B$119:$P$149,14,FALSE),0)/100&gt;=IF(過積載率!E15&gt;1,1,過積載率!E15),1,0))</f>
        <v>0</v>
      </c>
      <c r="F15">
        <f>IF(OR(過積載率!F15=0,(標準電圧!F15*標準電圧!F$2-VLOOKUP(HUAWEI製ＰＣＳ接続枚数計算ツール!$C$9, HUAWEI製ＰＣＳ接続枚数計算ツール!$B$119:$P$149,12,FALSE))&lt;0),0,IF(ROUNDDOWN((標準電圧!F15*標準電圧!F$2-VLOOKUP(HUAWEI製ＰＣＳ接続枚数計算ツール!$C$9,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HUAWEI製ＰＣＳ接続枚数計算ツール!$B$119:$P$149,14,FALSE),0)/100&gt;=IF(過積載率!F15&gt;1,1,過積載率!F15),1,0))</f>
        <v>0</v>
      </c>
      <c r="G15">
        <f>IF(OR(過積載率!G15=0,(標準電圧!G15*標準電圧!G$2-VLOOKUP(HUAWEI製ＰＣＳ接続枚数計算ツール!$C$9, HUAWEI製ＰＣＳ接続枚数計算ツール!$B$119:$P$149,12,FALSE))&lt;0),0,IF(ROUNDDOWN((標準電圧!G15*標準電圧!G$2-VLOOKUP(HUAWEI製ＰＣＳ接続枚数計算ツール!$C$9,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HUAWEI製ＰＣＳ接続枚数計算ツール!$B$119:$P$149,14,FALSE),0)/100&gt;=IF(過積載率!G15&gt;1,1,過積載率!G15),1,0))</f>
        <v>0</v>
      </c>
      <c r="H15">
        <f>IF(OR(過積載率!H15=0,(標準電圧!H15*標準電圧!H$2-VLOOKUP(HUAWEI製ＰＣＳ接続枚数計算ツール!$C$9, HUAWEI製ＰＣＳ接続枚数計算ツール!$B$119:$P$149,12,FALSE))&lt;0),0,IF(ROUNDDOWN((標準電圧!H15*標準電圧!H$2-VLOOKUP(HUAWEI製ＰＣＳ接続枚数計算ツール!$C$9,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HUAWEI製ＰＣＳ接続枚数計算ツール!$B$119:$P$149,14,FALSE),0)/100&gt;=IF(過積載率!H15&gt;1,1,過積載率!H15),1,0))</f>
        <v>0</v>
      </c>
      <c r="I15">
        <f>IF(OR(過積載率!I15=0,(標準電圧!I15*標準電圧!I$2-VLOOKUP(HUAWEI製ＰＣＳ接続枚数計算ツール!$C$9, HUAWEI製ＰＣＳ接続枚数計算ツール!$B$119:$P$149,12,FALSE))&lt;0),0,IF(ROUNDDOWN((標準電圧!I15*標準電圧!I$2-VLOOKUP(HUAWEI製ＰＣＳ接続枚数計算ツール!$C$9,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HUAWEI製ＰＣＳ接続枚数計算ツール!$B$119:$P$149,14,FALSE),0)/100&gt;=IF(過積載率!I15&gt;1,1,過積載率!I15),1,0))</f>
        <v>0</v>
      </c>
      <c r="J15">
        <f>IF(OR(過積載率!J15=0,(標準電圧!J15*標準電圧!J$2-VLOOKUP(HUAWEI製ＰＣＳ接続枚数計算ツール!$C$9, HUAWEI製ＰＣＳ接続枚数計算ツール!$B$119:$P$149,12,FALSE))&lt;0),0,IF(ROUNDDOWN((標準電圧!J15*標準電圧!J$2-VLOOKUP(HUAWEI製ＰＣＳ接続枚数計算ツール!$C$9,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HUAWEI製ＰＣＳ接続枚数計算ツール!$B$119:$P$149,14,FALSE),0)/100&gt;=IF(過積載率!J15&gt;1,1,過積載率!J15),1,0))</f>
        <v>0</v>
      </c>
      <c r="K15">
        <f>IF(OR(過積載率!K15=0,(標準電圧!K15*標準電圧!K$2-VLOOKUP(HUAWEI製ＰＣＳ接続枚数計算ツール!$C$9, HUAWEI製ＰＣＳ接続枚数計算ツール!$B$119:$P$149,12,FALSE))&lt;0),0,IF(ROUNDDOWN((標準電圧!K15*標準電圧!K$2-VLOOKUP(HUAWEI製ＰＣＳ接続枚数計算ツール!$C$9,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HUAWEI製ＰＣＳ接続枚数計算ツール!$B$119:$P$149,14,FALSE),0)/100&gt;=IF(過積載率!K15&gt;1,1,過積載率!K15),1,0))</f>
        <v>0</v>
      </c>
      <c r="L15">
        <f>IF(OR(過積載率!L15=0,(標準電圧!L15*標準電圧!L$2-VLOOKUP(HUAWEI製ＰＣＳ接続枚数計算ツール!$C$9, HUAWEI製ＰＣＳ接続枚数計算ツール!$B$119:$P$149,12,FALSE))&lt;0),0,IF(ROUNDDOWN((標準電圧!L15*標準電圧!L$2-VLOOKUP(HUAWEI製ＰＣＳ接続枚数計算ツール!$C$9,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HUAWEI製ＰＣＳ接続枚数計算ツール!$B$119:$P$149,14,FALSE),0)/100&gt;=IF(過積載率!L15&gt;1,1,過積載率!L15),1,0))</f>
        <v>0</v>
      </c>
      <c r="M15">
        <f>IF(OR(過積載率!M15=0,(標準電圧!M15*標準電圧!M$2-VLOOKUP(HUAWEI製ＰＣＳ接続枚数計算ツール!$C$9, HUAWEI製ＰＣＳ接続枚数計算ツール!$B$119:$P$149,12,FALSE))&lt;0),0,IF(ROUNDDOWN((標準電圧!M15*標準電圧!M$2-VLOOKUP(HUAWEI製ＰＣＳ接続枚数計算ツール!$C$9,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HUAWEI製ＰＣＳ接続枚数計算ツール!$B$119:$P$149,14,FALSE),0)/100&gt;=IF(過積載率!M15&gt;1,1,過積載率!M15),1,0))</f>
        <v>0</v>
      </c>
      <c r="N15">
        <f>IF(OR(過積載率!N15=0,(標準電圧!N15*標準電圧!N$2-VLOOKUP(HUAWEI製ＰＣＳ接続枚数計算ツール!$C$9, HUAWEI製ＰＣＳ接続枚数計算ツール!$B$119:$P$149,12,FALSE))&lt;0),0,IF(ROUNDDOWN((標準電圧!N15*標準電圧!N$2-VLOOKUP(HUAWEI製ＰＣＳ接続枚数計算ツール!$C$9,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HUAWEI製ＰＣＳ接続枚数計算ツール!$B$119:$P$149,14,FALSE),0)/100&gt;=IF(過積載率!N15&gt;1,1,過積載率!N15),1,0))</f>
        <v>0</v>
      </c>
      <c r="O15">
        <f>IF(OR(過積載率!O15=0,(標準電圧!O15*標準電圧!O$2-VLOOKUP(HUAWEI製ＰＣＳ接続枚数計算ツール!$C$9, HUAWEI製ＰＣＳ接続枚数計算ツール!$B$119:$P$149,12,FALSE))&lt;0),0,IF(ROUNDDOWN((標準電圧!O15*標準電圧!O$2-VLOOKUP(HUAWEI製ＰＣＳ接続枚数計算ツール!$C$9,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HUAWEI製ＰＣＳ接続枚数計算ツール!$B$119:$P$149,14,FALSE),0)/100&gt;=IF(過積載率!O15&gt;1,1,過積載率!O15),1,0))</f>
        <v>0</v>
      </c>
      <c r="P15">
        <f>IF(OR(過積載率!P15=0,(標準電圧!P15*標準電圧!P$2-VLOOKUP(HUAWEI製ＰＣＳ接続枚数計算ツール!$C$9, HUAWEI製ＰＣＳ接続枚数計算ツール!$B$119:$P$149,12,FALSE))&lt;0),0,IF(ROUNDDOWN((標準電圧!P15*標準電圧!P$2-VLOOKUP(HUAWEI製ＰＣＳ接続枚数計算ツール!$C$9,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HUAWEI製ＰＣＳ接続枚数計算ツール!$B$119:$P$149,14,FALSE),0)/100&gt;=IF(過積載率!P15&gt;1,1,過積載率!P15),1,0))</f>
        <v>0</v>
      </c>
      <c r="Q15">
        <f>IF(OR(過積載率!Q15=0,(標準電圧!Q15*標準電圧!Q$2-VLOOKUP(HUAWEI製ＰＣＳ接続枚数計算ツール!$C$9, HUAWEI製ＰＣＳ接続枚数計算ツール!$B$119:$P$149,12,FALSE))&lt;0),0,IF(ROUNDDOWN((標準電圧!Q15*標準電圧!Q$2-VLOOKUP(HUAWEI製ＰＣＳ接続枚数計算ツール!$C$9,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HUAWEI製ＰＣＳ接続枚数計算ツール!$B$119:$P$149,14,FALSE),0)/100&gt;=IF(過積載率!Q15&gt;1,1,過積載率!Q15),1,0))</f>
        <v>0</v>
      </c>
      <c r="R15">
        <f>IF(OR(過積載率!R15=0,(標準電圧!R15*標準電圧!R$2-VLOOKUP(HUAWEI製ＰＣＳ接続枚数計算ツール!$C$9, HUAWEI製ＰＣＳ接続枚数計算ツール!$B$119:$P$149,12,FALSE))&lt;0),0,IF(ROUNDDOWN((標準電圧!R15*標準電圧!R$2-VLOOKUP(HUAWEI製ＰＣＳ接続枚数計算ツール!$C$9,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HUAWEI製ＰＣＳ接続枚数計算ツール!$B$119:$P$149,14,FALSE),0)/100&gt;=IF(過積載率!R15&gt;1,1,過積載率!R15),1,0))</f>
        <v>1</v>
      </c>
      <c r="S15">
        <f>IF(OR(過積載率!S15=0,(標準電圧!S15*標準電圧!S$2-VLOOKUP(HUAWEI製ＰＣＳ接続枚数計算ツール!$C$9, HUAWEI製ＰＣＳ接続枚数計算ツール!$B$119:$P$149,12,FALSE))&lt;0),0,IF(ROUNDDOWN((標準電圧!S15*標準電圧!S$2-VLOOKUP(HUAWEI製ＰＣＳ接続枚数計算ツール!$C$9,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HUAWEI製ＰＣＳ接続枚数計算ツール!$B$119:$P$149,14,FALSE),0)/100&gt;=IF(過積載率!S15&gt;1,1,過積載率!S15),1,0))</f>
        <v>1</v>
      </c>
      <c r="T15">
        <f>IF(OR(過積載率!T15=0,(標準電圧!T15*標準電圧!T$2-VLOOKUP(HUAWEI製ＰＣＳ接続枚数計算ツール!$C$9, HUAWEI製ＰＣＳ接続枚数計算ツール!$B$119:$P$149,12,FALSE))&lt;0),0,IF(ROUNDDOWN((標準電圧!T15*標準電圧!T$2-VLOOKUP(HUAWEI製ＰＣＳ接続枚数計算ツール!$C$9,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HUAWEI製ＰＣＳ接続枚数計算ツール!$B$119:$P$149,14,FALSE),0)/100&gt;=IF(過積載率!T15&gt;1,1,過積載率!T15),1,0))</f>
        <v>1</v>
      </c>
      <c r="U15">
        <f>IF(OR(過積載率!U15=0,(標準電圧!U15*標準電圧!U$2-VLOOKUP(HUAWEI製ＰＣＳ接続枚数計算ツール!$C$9, HUAWEI製ＰＣＳ接続枚数計算ツール!$B$119:$P$149,12,FALSE))&lt;0),0,IF(ROUNDDOWN((標準電圧!U15*標準電圧!U$2-VLOOKUP(HUAWEI製ＰＣＳ接続枚数計算ツール!$C$9,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HUAWEI製ＰＣＳ接続枚数計算ツール!$B$119:$P$149,14,FALSE),0)/100&gt;=IF(過積載率!U15&gt;1,1,過積載率!U15),1,0))</f>
        <v>1</v>
      </c>
      <c r="V15">
        <f>IF(OR(過積載率!V15=0,(標準電圧!V15*標準電圧!V$2-VLOOKUP(HUAWEI製ＰＣＳ接続枚数計算ツール!$C$9, HUAWEI製ＰＣＳ接続枚数計算ツール!$B$119:$P$149,12,FALSE))&lt;0),0,IF(ROUNDDOWN((標準電圧!V15*標準電圧!V$2-VLOOKUP(HUAWEI製ＰＣＳ接続枚数計算ツール!$C$9,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HUAWEI製ＰＣＳ接続枚数計算ツール!$B$119:$P$149,14,FALSE),0)/100&gt;=IF(過積載率!V15&gt;1,1,過積載率!V15),1,0))</f>
        <v>1</v>
      </c>
      <c r="W15">
        <f>IF(OR(過積載率!W15=0,(標準電圧!W15*標準電圧!W$2-VLOOKUP(HUAWEI製ＰＣＳ接続枚数計算ツール!$C$9, HUAWEI製ＰＣＳ接続枚数計算ツール!$B$119:$P$149,12,FALSE))&lt;0),0,IF(ROUNDDOWN((標準電圧!W15*標準電圧!W$2-VLOOKUP(HUAWEI製ＰＣＳ接続枚数計算ツール!$C$9,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HUAWEI製ＰＣＳ接続枚数計算ツール!$B$119:$P$149,14,FALSE),0)/100&gt;=IF(過積載率!W15&gt;1,1,過積載率!W15),1,0))</f>
        <v>1</v>
      </c>
      <c r="X15">
        <f>IF(OR(過積載率!X15=0,(標準電圧!X15*標準電圧!X$2-VLOOKUP(HUAWEI製ＰＣＳ接続枚数計算ツール!$C$9, HUAWEI製ＰＣＳ接続枚数計算ツール!$B$119:$P$149,12,FALSE))&lt;0),0,IF(ROUNDDOWN((標準電圧!X15*標準電圧!X$2-VLOOKUP(HUAWEI製ＰＣＳ接続枚数計算ツール!$C$9,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HUAWEI製ＰＣＳ接続枚数計算ツール!$B$119:$P$149,14,FALSE),0)/100&gt;=IF(過積載率!X15&gt;1,1,過積載率!X15),1,0))</f>
        <v>1</v>
      </c>
      <c r="Y15">
        <f>IF(OR(過積載率!Y15=0,(標準電圧!Y15*標準電圧!Y$2-VLOOKUP(HUAWEI製ＰＣＳ接続枚数計算ツール!$C$9, HUAWEI製ＰＣＳ接続枚数計算ツール!$B$119:$P$149,12,FALSE))&lt;0),0,IF(ROUNDDOWN((標準電圧!Y15*標準電圧!Y$2-VLOOKUP(HUAWEI製ＰＣＳ接続枚数計算ツール!$C$9,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HUAWEI製ＰＣＳ接続枚数計算ツール!$B$119:$P$149,14,FALSE),0)/100&gt;=IF(過積載率!Y15&gt;1,1,過積載率!Y15),1,0))</f>
        <v>1</v>
      </c>
      <c r="Z15">
        <f>IF(OR(過積載率!Z15=0,(標準電圧!Z15*標準電圧!Z$2-VLOOKUP(HUAWEI製ＰＣＳ接続枚数計算ツール!$C$9, HUAWEI製ＰＣＳ接続枚数計算ツール!$B$119:$P$149,12,FALSE))&lt;0),0,IF(ROUNDDOWN((標準電圧!Z15*標準電圧!Z$2-VLOOKUP(HUAWEI製ＰＣＳ接続枚数計算ツール!$C$9,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HUAWEI製ＰＣＳ接続枚数計算ツール!$B$119:$P$149,14,FALSE),0)/100&gt;=IF(過積載率!Z15&gt;1,1,過積載率!Z15),1,0))</f>
        <v>1</v>
      </c>
      <c r="AA15">
        <f>IF(OR(過積載率!AA15=0,(標準電圧!AA15*標準電圧!AA$2-VLOOKUP(HUAWEI製ＰＣＳ接続枚数計算ツール!$C$9, HUAWEI製ＰＣＳ接続枚数計算ツール!$B$119:$P$149,12,FALSE))&lt;0),0,IF(ROUNDDOWN((標準電圧!AA15*標準電圧!AA$2-VLOOKUP(HUAWEI製ＰＣＳ接続枚数計算ツール!$C$9,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HUAWEI製ＰＣＳ接続枚数計算ツール!$B$119:$P$149,14,FALSE),0)/100&gt;=IF(過積載率!AA15&gt;1,1,過積載率!AA15),1,0))</f>
        <v>1</v>
      </c>
      <c r="AB15">
        <f>IF(OR(過積載率!AB15=0,(標準電圧!AB15*標準電圧!AB$2-VLOOKUP(HUAWEI製ＰＣＳ接続枚数計算ツール!$C$9, HUAWEI製ＰＣＳ接続枚数計算ツール!$B$119:$P$149,12,FALSE))&lt;0),0,IF(ROUNDDOWN((標準電圧!AB15*標準電圧!AB$2-VLOOKUP(HUAWEI製ＰＣＳ接続枚数計算ツール!$C$9,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HUAWEI製ＰＣＳ接続枚数計算ツール!$B$119:$P$149,14,FALSE),0)/100&gt;=IF(過積載率!AB15&gt;1,1,過積載率!AB15),1,0))</f>
        <v>1</v>
      </c>
      <c r="AC15">
        <f>IF(OR(過積載率!AC15=0,(標準電圧!AC15*標準電圧!AC$2-VLOOKUP(HUAWEI製ＰＣＳ接続枚数計算ツール!$C$9, HUAWEI製ＰＣＳ接続枚数計算ツール!$B$119:$P$149,12,FALSE))&lt;0),0,IF(ROUNDDOWN((標準電圧!AC15*標準電圧!AC$2-VLOOKUP(HUAWEI製ＰＣＳ接続枚数計算ツール!$C$9,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HUAWEI製ＰＣＳ接続枚数計算ツール!$B$119:$P$149,14,FALSE),0)/100&gt;=IF(過積載率!AC15&gt;1,1,過積載率!AC15),1,0))</f>
        <v>1</v>
      </c>
      <c r="AD15">
        <f>IF(OR(過積載率!AD15=0,(標準電圧!AD15*標準電圧!AD$2-VLOOKUP(HUAWEI製ＰＣＳ接続枚数計算ツール!$C$9, HUAWEI製ＰＣＳ接続枚数計算ツール!$B$119:$P$149,12,FALSE))&lt;0),0,IF(ROUNDDOWN((標準電圧!AD15*標準電圧!AD$2-VLOOKUP(HUAWEI製ＰＣＳ接続枚数計算ツール!$C$9,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HUAWEI製ＰＣＳ接続枚数計算ツール!$B$119:$P$149,14,FALSE),0)/100&gt;=IF(過積載率!AD15&gt;1,1,過積載率!AD15),1,0))</f>
        <v>1</v>
      </c>
      <c r="AE15">
        <f>IF(OR(過積載率!AE15=0,(標準電圧!AE15*標準電圧!AE$2-VLOOKUP(HUAWEI製ＰＣＳ接続枚数計算ツール!$C$9, HUAWEI製ＰＣＳ接続枚数計算ツール!$B$119:$P$149,12,FALSE))&lt;0),0,IF(ROUNDDOWN((標準電圧!AE15*標準電圧!AE$2-VLOOKUP(HUAWEI製ＰＣＳ接続枚数計算ツール!$C$9,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HUAWEI製ＰＣＳ接続枚数計算ツール!$B$119:$P$149,14,FALSE),0)/100&gt;=IF(過積載率!AE15&gt;1,1,過積載率!AE15),1,0))</f>
        <v>1</v>
      </c>
      <c r="AF15">
        <f>IF(OR(過積載率!AF15=0,(標準電圧!AF15*標準電圧!AF$2-VLOOKUP(HUAWEI製ＰＣＳ接続枚数計算ツール!$C$9, HUAWEI製ＰＣＳ接続枚数計算ツール!$B$119:$P$149,12,FALSE))&lt;0),0,IF(ROUNDDOWN((標準電圧!AF15*標準電圧!AF$2-VLOOKUP(HUAWEI製ＰＣＳ接続枚数計算ツール!$C$9,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HUAWEI製ＰＣＳ接続枚数計算ツール!$B$119:$P$149,14,FALSE),0)/100&gt;=IF(過積載率!AF15&gt;1,1,過積載率!AF15),1,0))</f>
        <v>1</v>
      </c>
      <c r="AG15">
        <f>IF(OR(過積載率!AG15=0,(標準電圧!AG15*標準電圧!AG$2-VLOOKUP(HUAWEI製ＰＣＳ接続枚数計算ツール!$C$9, HUAWEI製ＰＣＳ接続枚数計算ツール!$B$119:$P$149,12,FALSE))&lt;0),0,IF(ROUNDDOWN((標準電圧!AG15*標準電圧!AG$2-VLOOKUP(HUAWEI製ＰＣＳ接続枚数計算ツール!$C$9,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HUAWEI製ＰＣＳ接続枚数計算ツール!$B$119:$P$149,14,FALSE),0)/100&gt;=IF(過積載率!AG15&gt;1,1,過積載率!AG15),1,0))</f>
        <v>1</v>
      </c>
      <c r="AH15">
        <f>IF(OR(過積載率!AH15=0,(標準電圧!AH15*標準電圧!AH$2-VLOOKUP(HUAWEI製ＰＣＳ接続枚数計算ツール!$C$9, HUAWEI製ＰＣＳ接続枚数計算ツール!$B$119:$P$149,12,FALSE))&lt;0),0,IF(ROUNDDOWN((標準電圧!AH15*標準電圧!AH$2-VLOOKUP(HUAWEI製ＰＣＳ接続枚数計算ツール!$C$9,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HUAWEI製ＰＣＳ接続枚数計算ツール!$B$119:$P$149,14,FALSE),0)/100&gt;=IF(過積載率!AH15&gt;1,1,過積載率!AH15),1,0))</f>
        <v>1</v>
      </c>
      <c r="AI15">
        <f>IF(OR(過積載率!AI15=0,(標準電圧!AI15*標準電圧!AI$2-VLOOKUP(HUAWEI製ＰＣＳ接続枚数計算ツール!$C$9, HUAWEI製ＰＣＳ接続枚数計算ツール!$B$119:$P$149,12,FALSE))&lt;0),0,IF(ROUNDDOWN((標準電圧!AI15*標準電圧!AI$2-VLOOKUP(HUAWEI製ＰＣＳ接続枚数計算ツール!$C$9,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HUAWEI製ＰＣＳ接続枚数計算ツール!$B$119:$P$149,14,FALSE),0)/100&gt;=IF(過積載率!AI15&gt;1,1,過積載率!AI15),1,0))</f>
        <v>1</v>
      </c>
      <c r="AJ15">
        <f>IF(OR(過積載率!AJ15=0,(標準電圧!AJ15*標準電圧!AJ$2-VLOOKUP(HUAWEI製ＰＣＳ接続枚数計算ツール!$C$9, HUAWEI製ＰＣＳ接続枚数計算ツール!$B$119:$P$149,12,FALSE))&lt;0),0,IF(ROUNDDOWN((標準電圧!AJ15*標準電圧!AJ$2-VLOOKUP(HUAWEI製ＰＣＳ接続枚数計算ツール!$C$9,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HUAWEI製ＰＣＳ接続枚数計算ツール!$B$119:$P$149,14,FALSE),0)/100&gt;=IF(過積載率!AJ15&gt;1,1,過積載率!AJ15),1,0))</f>
        <v>1</v>
      </c>
      <c r="AK15">
        <f>IF(OR(過積載率!AK15=0,(標準電圧!AK15*標準電圧!AK$2-VLOOKUP(HUAWEI製ＰＣＳ接続枚数計算ツール!$C$9, HUAWEI製ＰＣＳ接続枚数計算ツール!$B$119:$P$149,12,FALSE))&lt;0),0,IF(ROUNDDOWN((標準電圧!AK15*標準電圧!AK$2-VLOOKUP(HUAWEI製ＰＣＳ接続枚数計算ツール!$C$9,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HUAWEI製ＰＣＳ接続枚数計算ツール!$B$119:$P$149,14,FALSE),0)/100&gt;=IF(過積載率!AK15&gt;1,1,過積載率!AK15),1,0))</f>
        <v>1</v>
      </c>
      <c r="AL15">
        <f>IF(OR(過積載率!AL15=0,(標準電圧!AL15*標準電圧!AL$2-VLOOKUP(HUAWEI製ＰＣＳ接続枚数計算ツール!$C$9, HUAWEI製ＰＣＳ接続枚数計算ツール!$B$119:$P$149,12,FALSE))&lt;0),0,IF(ROUNDDOWN((標準電圧!AL15*標準電圧!AL$2-VLOOKUP(HUAWEI製ＰＣＳ接続枚数計算ツール!$C$9,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HUAWEI製ＰＣＳ接続枚数計算ツール!$B$119:$P$149,14,FALSE),0)/100&gt;=IF(過積載率!AL15&gt;1,1,過積載率!AL15),1,0))</f>
        <v>1</v>
      </c>
      <c r="AM15">
        <f>IF(OR(過積載率!AM15=0,(標準電圧!AM15*標準電圧!AM$2-VLOOKUP(HUAWEI製ＰＣＳ接続枚数計算ツール!$C$9, HUAWEI製ＰＣＳ接続枚数計算ツール!$B$119:$P$149,12,FALSE))&lt;0),0,IF(ROUNDDOWN((標準電圧!AM15*標準電圧!AM$2-VLOOKUP(HUAWEI製ＰＣＳ接続枚数計算ツール!$C$9,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HUAWEI製ＰＣＳ接続枚数計算ツール!$B$119:$P$149,14,FALSE),0)/100&gt;=IF(過積載率!AM15&gt;1,1,過積載率!AM15),1,0))</f>
        <v>1</v>
      </c>
      <c r="AN15">
        <f>IF(OR(過積載率!AN15=0,(標準電圧!AN15*標準電圧!AN$2-VLOOKUP(HUAWEI製ＰＣＳ接続枚数計算ツール!$C$9, HUAWEI製ＰＣＳ接続枚数計算ツール!$B$119:$P$149,12,FALSE))&lt;0),0,IF(ROUNDDOWN((標準電圧!AN15*標準電圧!AN$2-VLOOKUP(HUAWEI製ＰＣＳ接続枚数計算ツール!$C$9,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HUAWEI製ＰＣＳ接続枚数計算ツール!$B$119:$P$149,14,FALSE),0)/100&gt;=IF(過積載率!AN15&gt;1,1,過積載率!AN15),1,0))</f>
        <v>1</v>
      </c>
      <c r="AO15">
        <f>IF(OR(過積載率!AO15=0,(標準電圧!AO15*標準電圧!AO$2-VLOOKUP(HUAWEI製ＰＣＳ接続枚数計算ツール!$C$9, HUAWEI製ＰＣＳ接続枚数計算ツール!$B$119:$P$149,12,FALSE))&lt;0),0,IF(ROUNDDOWN((標準電圧!AO15*標準電圧!AO$2-VLOOKUP(HUAWEI製ＰＣＳ接続枚数計算ツール!$C$9,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HUAWEI製ＰＣＳ接続枚数計算ツール!$B$119:$P$149,14,FALSE),0)/100&gt;=IF(過積載率!AO15&gt;1,1,過積載率!AO15),1,0))</f>
        <v>1</v>
      </c>
    </row>
    <row r="16" spans="1:41">
      <c r="A16">
        <v>14</v>
      </c>
      <c r="B16">
        <f>IF(OR(過積載率!B16=0,(標準電圧!B16*標準電圧!B$2-VLOOKUP(HUAWEI製ＰＣＳ接続枚数計算ツール!$C$9, HUAWEI製ＰＣＳ接続枚数計算ツール!$B$119:$P$149,12,FALSE))&lt;0),0,IF(ROUNDDOWN((標準電圧!B16*標準電圧!B$2-VLOOKUP(HUAWEI製ＰＣＳ接続枚数計算ツール!$C$9,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HUAWEI製ＰＣＳ接続枚数計算ツール!$B$119:$P$149,14,FALSE),0)/100&gt;=IF(過積載率!B16&gt;1,1,過積載率!B16),1,0))</f>
        <v>0</v>
      </c>
      <c r="C16">
        <f>IF(OR(過積載率!C16=0,(標準電圧!C16*標準電圧!C$2-VLOOKUP(HUAWEI製ＰＣＳ接続枚数計算ツール!$C$9, HUAWEI製ＰＣＳ接続枚数計算ツール!$B$119:$P$149,12,FALSE))&lt;0),0,IF(ROUNDDOWN((標準電圧!C16*標準電圧!C$2-VLOOKUP(HUAWEI製ＰＣＳ接続枚数計算ツール!$C$9,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HUAWEI製ＰＣＳ接続枚数計算ツール!$B$119:$P$149,14,FALSE),0)/100&gt;=IF(過積載率!C16&gt;1,1,過積載率!C16),1,0))</f>
        <v>0</v>
      </c>
      <c r="D16">
        <f>IF(OR(過積載率!D16=0,(標準電圧!D16*標準電圧!D$2-VLOOKUP(HUAWEI製ＰＣＳ接続枚数計算ツール!$C$9, HUAWEI製ＰＣＳ接続枚数計算ツール!$B$119:$P$149,12,FALSE))&lt;0),0,IF(ROUNDDOWN((標準電圧!D16*標準電圧!D$2-VLOOKUP(HUAWEI製ＰＣＳ接続枚数計算ツール!$C$9,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HUAWEI製ＰＣＳ接続枚数計算ツール!$B$119:$P$149,14,FALSE),0)/100&gt;=IF(過積載率!D16&gt;1,1,過積載率!D16),1,0))</f>
        <v>0</v>
      </c>
      <c r="E16">
        <f>IF(OR(過積載率!E16=0,(標準電圧!E16*標準電圧!E$2-VLOOKUP(HUAWEI製ＰＣＳ接続枚数計算ツール!$C$9, HUAWEI製ＰＣＳ接続枚数計算ツール!$B$119:$P$149,12,FALSE))&lt;0),0,IF(ROUNDDOWN((標準電圧!E16*標準電圧!E$2-VLOOKUP(HUAWEI製ＰＣＳ接続枚数計算ツール!$C$9,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HUAWEI製ＰＣＳ接続枚数計算ツール!$B$119:$P$149,14,FALSE),0)/100&gt;=IF(過積載率!E16&gt;1,1,過積載率!E16),1,0))</f>
        <v>0</v>
      </c>
      <c r="F16">
        <f>IF(OR(過積載率!F16=0,(標準電圧!F16*標準電圧!F$2-VLOOKUP(HUAWEI製ＰＣＳ接続枚数計算ツール!$C$9, HUAWEI製ＰＣＳ接続枚数計算ツール!$B$119:$P$149,12,FALSE))&lt;0),0,IF(ROUNDDOWN((標準電圧!F16*標準電圧!F$2-VLOOKUP(HUAWEI製ＰＣＳ接続枚数計算ツール!$C$9,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HUAWEI製ＰＣＳ接続枚数計算ツール!$B$119:$P$149,14,FALSE),0)/100&gt;=IF(過積載率!F16&gt;1,1,過積載率!F16),1,0))</f>
        <v>0</v>
      </c>
      <c r="G16">
        <f>IF(OR(過積載率!G16=0,(標準電圧!G16*標準電圧!G$2-VLOOKUP(HUAWEI製ＰＣＳ接続枚数計算ツール!$C$9, HUAWEI製ＰＣＳ接続枚数計算ツール!$B$119:$P$149,12,FALSE))&lt;0),0,IF(ROUNDDOWN((標準電圧!G16*標準電圧!G$2-VLOOKUP(HUAWEI製ＰＣＳ接続枚数計算ツール!$C$9,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HUAWEI製ＰＣＳ接続枚数計算ツール!$B$119:$P$149,14,FALSE),0)/100&gt;=IF(過積載率!G16&gt;1,1,過積載率!G16),1,0))</f>
        <v>0</v>
      </c>
      <c r="H16">
        <f>IF(OR(過積載率!H16=0,(標準電圧!H16*標準電圧!H$2-VLOOKUP(HUAWEI製ＰＣＳ接続枚数計算ツール!$C$9, HUAWEI製ＰＣＳ接続枚数計算ツール!$B$119:$P$149,12,FALSE))&lt;0),0,IF(ROUNDDOWN((標準電圧!H16*標準電圧!H$2-VLOOKUP(HUAWEI製ＰＣＳ接続枚数計算ツール!$C$9,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HUAWEI製ＰＣＳ接続枚数計算ツール!$B$119:$P$149,14,FALSE),0)/100&gt;=IF(過積載率!H16&gt;1,1,過積載率!H16),1,0))</f>
        <v>0</v>
      </c>
      <c r="I16">
        <f>IF(OR(過積載率!I16=0,(標準電圧!I16*標準電圧!I$2-VLOOKUP(HUAWEI製ＰＣＳ接続枚数計算ツール!$C$9, HUAWEI製ＰＣＳ接続枚数計算ツール!$B$119:$P$149,12,FALSE))&lt;0),0,IF(ROUNDDOWN((標準電圧!I16*標準電圧!I$2-VLOOKUP(HUAWEI製ＰＣＳ接続枚数計算ツール!$C$9,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HUAWEI製ＰＣＳ接続枚数計算ツール!$B$119:$P$149,14,FALSE),0)/100&gt;=IF(過積載率!I16&gt;1,1,過積載率!I16),1,0))</f>
        <v>0</v>
      </c>
      <c r="J16">
        <f>IF(OR(過積載率!J16=0,(標準電圧!J16*標準電圧!J$2-VLOOKUP(HUAWEI製ＰＣＳ接続枚数計算ツール!$C$9, HUAWEI製ＰＣＳ接続枚数計算ツール!$B$119:$P$149,12,FALSE))&lt;0),0,IF(ROUNDDOWN((標準電圧!J16*標準電圧!J$2-VLOOKUP(HUAWEI製ＰＣＳ接続枚数計算ツール!$C$9,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HUAWEI製ＰＣＳ接続枚数計算ツール!$B$119:$P$149,14,FALSE),0)/100&gt;=IF(過積載率!J16&gt;1,1,過積載率!J16),1,0))</f>
        <v>0</v>
      </c>
      <c r="K16">
        <f>IF(OR(過積載率!K16=0,(標準電圧!K16*標準電圧!K$2-VLOOKUP(HUAWEI製ＰＣＳ接続枚数計算ツール!$C$9, HUAWEI製ＰＣＳ接続枚数計算ツール!$B$119:$P$149,12,FALSE))&lt;0),0,IF(ROUNDDOWN((標準電圧!K16*標準電圧!K$2-VLOOKUP(HUAWEI製ＰＣＳ接続枚数計算ツール!$C$9,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HUAWEI製ＰＣＳ接続枚数計算ツール!$B$119:$P$149,14,FALSE),0)/100&gt;=IF(過積載率!K16&gt;1,1,過積載率!K16),1,0))</f>
        <v>0</v>
      </c>
      <c r="L16">
        <f>IF(OR(過積載率!L16=0,(標準電圧!L16*標準電圧!L$2-VLOOKUP(HUAWEI製ＰＣＳ接続枚数計算ツール!$C$9, HUAWEI製ＰＣＳ接続枚数計算ツール!$B$119:$P$149,12,FALSE))&lt;0),0,IF(ROUNDDOWN((標準電圧!L16*標準電圧!L$2-VLOOKUP(HUAWEI製ＰＣＳ接続枚数計算ツール!$C$9,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HUAWEI製ＰＣＳ接続枚数計算ツール!$B$119:$P$149,14,FALSE),0)/100&gt;=IF(過積載率!L16&gt;1,1,過積載率!L16),1,0))</f>
        <v>0</v>
      </c>
      <c r="M16">
        <f>IF(OR(過積載率!M16=0,(標準電圧!M16*標準電圧!M$2-VLOOKUP(HUAWEI製ＰＣＳ接続枚数計算ツール!$C$9, HUAWEI製ＰＣＳ接続枚数計算ツール!$B$119:$P$149,12,FALSE))&lt;0),0,IF(ROUNDDOWN((標準電圧!M16*標準電圧!M$2-VLOOKUP(HUAWEI製ＰＣＳ接続枚数計算ツール!$C$9,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HUAWEI製ＰＣＳ接続枚数計算ツール!$B$119:$P$149,14,FALSE),0)/100&gt;=IF(過積載率!M16&gt;1,1,過積載率!M16),1,0))</f>
        <v>0</v>
      </c>
      <c r="N16">
        <f>IF(OR(過積載率!N16=0,(標準電圧!N16*標準電圧!N$2-VLOOKUP(HUAWEI製ＰＣＳ接続枚数計算ツール!$C$9, HUAWEI製ＰＣＳ接続枚数計算ツール!$B$119:$P$149,12,FALSE))&lt;0),0,IF(ROUNDDOWN((標準電圧!N16*標準電圧!N$2-VLOOKUP(HUAWEI製ＰＣＳ接続枚数計算ツール!$C$9,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HUAWEI製ＰＣＳ接続枚数計算ツール!$B$119:$P$149,14,FALSE),0)/100&gt;=IF(過積載率!N16&gt;1,1,過積載率!N16),1,0))</f>
        <v>0</v>
      </c>
      <c r="O16">
        <f>IF(OR(過積載率!O16=0,(標準電圧!O16*標準電圧!O$2-VLOOKUP(HUAWEI製ＰＣＳ接続枚数計算ツール!$C$9, HUAWEI製ＰＣＳ接続枚数計算ツール!$B$119:$P$149,12,FALSE))&lt;0),0,IF(ROUNDDOWN((標準電圧!O16*標準電圧!O$2-VLOOKUP(HUAWEI製ＰＣＳ接続枚数計算ツール!$C$9,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HUAWEI製ＰＣＳ接続枚数計算ツール!$B$119:$P$149,14,FALSE),0)/100&gt;=IF(過積載率!O16&gt;1,1,過積載率!O16),1,0))</f>
        <v>0</v>
      </c>
      <c r="P16">
        <f>IF(OR(過積載率!P16=0,(標準電圧!P16*標準電圧!P$2-VLOOKUP(HUAWEI製ＰＣＳ接続枚数計算ツール!$C$9, HUAWEI製ＰＣＳ接続枚数計算ツール!$B$119:$P$149,12,FALSE))&lt;0),0,IF(ROUNDDOWN((標準電圧!P16*標準電圧!P$2-VLOOKUP(HUAWEI製ＰＣＳ接続枚数計算ツール!$C$9,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HUAWEI製ＰＣＳ接続枚数計算ツール!$B$119:$P$149,14,FALSE),0)/100&gt;=IF(過積載率!P16&gt;1,1,過積載率!P16),1,0))</f>
        <v>0</v>
      </c>
      <c r="Q16">
        <f>IF(OR(過積載率!Q16=0,(標準電圧!Q16*標準電圧!Q$2-VLOOKUP(HUAWEI製ＰＣＳ接続枚数計算ツール!$C$9, HUAWEI製ＰＣＳ接続枚数計算ツール!$B$119:$P$149,12,FALSE))&lt;0),0,IF(ROUNDDOWN((標準電圧!Q16*標準電圧!Q$2-VLOOKUP(HUAWEI製ＰＣＳ接続枚数計算ツール!$C$9,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HUAWEI製ＰＣＳ接続枚数計算ツール!$B$119:$P$149,14,FALSE),0)/100&gt;=IF(過積載率!Q16&gt;1,1,過積載率!Q16),1,0))</f>
        <v>0</v>
      </c>
      <c r="R16">
        <f>IF(OR(過積載率!R16=0,(標準電圧!R16*標準電圧!R$2-VLOOKUP(HUAWEI製ＰＣＳ接続枚数計算ツール!$C$9, HUAWEI製ＰＣＳ接続枚数計算ツール!$B$119:$P$149,12,FALSE))&lt;0),0,IF(ROUNDDOWN((標準電圧!R16*標準電圧!R$2-VLOOKUP(HUAWEI製ＰＣＳ接続枚数計算ツール!$C$9,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HUAWEI製ＰＣＳ接続枚数計算ツール!$B$119:$P$149,14,FALSE),0)/100&gt;=IF(過積載率!R16&gt;1,1,過積載率!R16),1,0))</f>
        <v>1</v>
      </c>
      <c r="S16">
        <f>IF(OR(過積載率!S16=0,(標準電圧!S16*標準電圧!S$2-VLOOKUP(HUAWEI製ＰＣＳ接続枚数計算ツール!$C$9, HUAWEI製ＰＣＳ接続枚数計算ツール!$B$119:$P$149,12,FALSE))&lt;0),0,IF(ROUNDDOWN((標準電圧!S16*標準電圧!S$2-VLOOKUP(HUAWEI製ＰＣＳ接続枚数計算ツール!$C$9,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HUAWEI製ＰＣＳ接続枚数計算ツール!$B$119:$P$149,14,FALSE),0)/100&gt;=IF(過積載率!S16&gt;1,1,過積載率!S16),1,0))</f>
        <v>1</v>
      </c>
      <c r="T16">
        <f>IF(OR(過積載率!T16=0,(標準電圧!T16*標準電圧!T$2-VLOOKUP(HUAWEI製ＰＣＳ接続枚数計算ツール!$C$9, HUAWEI製ＰＣＳ接続枚数計算ツール!$B$119:$P$149,12,FALSE))&lt;0),0,IF(ROUNDDOWN((標準電圧!T16*標準電圧!T$2-VLOOKUP(HUAWEI製ＰＣＳ接続枚数計算ツール!$C$9,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HUAWEI製ＰＣＳ接続枚数計算ツール!$B$119:$P$149,14,FALSE),0)/100&gt;=IF(過積載率!T16&gt;1,1,過積載率!T16),1,0))</f>
        <v>1</v>
      </c>
      <c r="U16">
        <f>IF(OR(過積載率!U16=0,(標準電圧!U16*標準電圧!U$2-VLOOKUP(HUAWEI製ＰＣＳ接続枚数計算ツール!$C$9, HUAWEI製ＰＣＳ接続枚数計算ツール!$B$119:$P$149,12,FALSE))&lt;0),0,IF(ROUNDDOWN((標準電圧!U16*標準電圧!U$2-VLOOKUP(HUAWEI製ＰＣＳ接続枚数計算ツール!$C$9,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HUAWEI製ＰＣＳ接続枚数計算ツール!$B$119:$P$149,14,FALSE),0)/100&gt;=IF(過積載率!U16&gt;1,1,過積載率!U16),1,0))</f>
        <v>1</v>
      </c>
      <c r="V16">
        <f>IF(OR(過積載率!V16=0,(標準電圧!V16*標準電圧!V$2-VLOOKUP(HUAWEI製ＰＣＳ接続枚数計算ツール!$C$9, HUAWEI製ＰＣＳ接続枚数計算ツール!$B$119:$P$149,12,FALSE))&lt;0),0,IF(ROUNDDOWN((標準電圧!V16*標準電圧!V$2-VLOOKUP(HUAWEI製ＰＣＳ接続枚数計算ツール!$C$9,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HUAWEI製ＰＣＳ接続枚数計算ツール!$B$119:$P$149,14,FALSE),0)/100&gt;=IF(過積載率!V16&gt;1,1,過積載率!V16),1,0))</f>
        <v>1</v>
      </c>
      <c r="W16">
        <f>IF(OR(過積載率!W16=0,(標準電圧!W16*標準電圧!W$2-VLOOKUP(HUAWEI製ＰＣＳ接続枚数計算ツール!$C$9, HUAWEI製ＰＣＳ接続枚数計算ツール!$B$119:$P$149,12,FALSE))&lt;0),0,IF(ROUNDDOWN((標準電圧!W16*標準電圧!W$2-VLOOKUP(HUAWEI製ＰＣＳ接続枚数計算ツール!$C$9,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HUAWEI製ＰＣＳ接続枚数計算ツール!$B$119:$P$149,14,FALSE),0)/100&gt;=IF(過積載率!W16&gt;1,1,過積載率!W16),1,0))</f>
        <v>1</v>
      </c>
      <c r="X16">
        <f>IF(OR(過積載率!X16=0,(標準電圧!X16*標準電圧!X$2-VLOOKUP(HUAWEI製ＰＣＳ接続枚数計算ツール!$C$9, HUAWEI製ＰＣＳ接続枚数計算ツール!$B$119:$P$149,12,FALSE))&lt;0),0,IF(ROUNDDOWN((標準電圧!X16*標準電圧!X$2-VLOOKUP(HUAWEI製ＰＣＳ接続枚数計算ツール!$C$9,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HUAWEI製ＰＣＳ接続枚数計算ツール!$B$119:$P$149,14,FALSE),0)/100&gt;=IF(過積載率!X16&gt;1,1,過積載率!X16),1,0))</f>
        <v>1</v>
      </c>
      <c r="Y16">
        <f>IF(OR(過積載率!Y16=0,(標準電圧!Y16*標準電圧!Y$2-VLOOKUP(HUAWEI製ＰＣＳ接続枚数計算ツール!$C$9, HUAWEI製ＰＣＳ接続枚数計算ツール!$B$119:$P$149,12,FALSE))&lt;0),0,IF(ROUNDDOWN((標準電圧!Y16*標準電圧!Y$2-VLOOKUP(HUAWEI製ＰＣＳ接続枚数計算ツール!$C$9,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HUAWEI製ＰＣＳ接続枚数計算ツール!$B$119:$P$149,14,FALSE),0)/100&gt;=IF(過積載率!Y16&gt;1,1,過積載率!Y16),1,0))</f>
        <v>1</v>
      </c>
      <c r="Z16">
        <f>IF(OR(過積載率!Z16=0,(標準電圧!Z16*標準電圧!Z$2-VLOOKUP(HUAWEI製ＰＣＳ接続枚数計算ツール!$C$9, HUAWEI製ＰＣＳ接続枚数計算ツール!$B$119:$P$149,12,FALSE))&lt;0),0,IF(ROUNDDOWN((標準電圧!Z16*標準電圧!Z$2-VLOOKUP(HUAWEI製ＰＣＳ接続枚数計算ツール!$C$9,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HUAWEI製ＰＣＳ接続枚数計算ツール!$B$119:$P$149,14,FALSE),0)/100&gt;=IF(過積載率!Z16&gt;1,1,過積載率!Z16),1,0))</f>
        <v>1</v>
      </c>
      <c r="AA16">
        <f>IF(OR(過積載率!AA16=0,(標準電圧!AA16*標準電圧!AA$2-VLOOKUP(HUAWEI製ＰＣＳ接続枚数計算ツール!$C$9, HUAWEI製ＰＣＳ接続枚数計算ツール!$B$119:$P$149,12,FALSE))&lt;0),0,IF(ROUNDDOWN((標準電圧!AA16*標準電圧!AA$2-VLOOKUP(HUAWEI製ＰＣＳ接続枚数計算ツール!$C$9,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HUAWEI製ＰＣＳ接続枚数計算ツール!$B$119:$P$149,14,FALSE),0)/100&gt;=IF(過積載率!AA16&gt;1,1,過積載率!AA16),1,0))</f>
        <v>1</v>
      </c>
      <c r="AB16">
        <f>IF(OR(過積載率!AB16=0,(標準電圧!AB16*標準電圧!AB$2-VLOOKUP(HUAWEI製ＰＣＳ接続枚数計算ツール!$C$9, HUAWEI製ＰＣＳ接続枚数計算ツール!$B$119:$P$149,12,FALSE))&lt;0),0,IF(ROUNDDOWN((標準電圧!AB16*標準電圧!AB$2-VLOOKUP(HUAWEI製ＰＣＳ接続枚数計算ツール!$C$9,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HUAWEI製ＰＣＳ接続枚数計算ツール!$B$119:$P$149,14,FALSE),0)/100&gt;=IF(過積載率!AB16&gt;1,1,過積載率!AB16),1,0))</f>
        <v>1</v>
      </c>
      <c r="AC16">
        <f>IF(OR(過積載率!AC16=0,(標準電圧!AC16*標準電圧!AC$2-VLOOKUP(HUAWEI製ＰＣＳ接続枚数計算ツール!$C$9, HUAWEI製ＰＣＳ接続枚数計算ツール!$B$119:$P$149,12,FALSE))&lt;0),0,IF(ROUNDDOWN((標準電圧!AC16*標準電圧!AC$2-VLOOKUP(HUAWEI製ＰＣＳ接続枚数計算ツール!$C$9,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HUAWEI製ＰＣＳ接続枚数計算ツール!$B$119:$P$149,14,FALSE),0)/100&gt;=IF(過積載率!AC16&gt;1,1,過積載率!AC16),1,0))</f>
        <v>1</v>
      </c>
      <c r="AD16">
        <f>IF(OR(過積載率!AD16=0,(標準電圧!AD16*標準電圧!AD$2-VLOOKUP(HUAWEI製ＰＣＳ接続枚数計算ツール!$C$9, HUAWEI製ＰＣＳ接続枚数計算ツール!$B$119:$P$149,12,FALSE))&lt;0),0,IF(ROUNDDOWN((標準電圧!AD16*標準電圧!AD$2-VLOOKUP(HUAWEI製ＰＣＳ接続枚数計算ツール!$C$9,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HUAWEI製ＰＣＳ接続枚数計算ツール!$B$119:$P$149,14,FALSE),0)/100&gt;=IF(過積載率!AD16&gt;1,1,過積載率!AD16),1,0))</f>
        <v>1</v>
      </c>
      <c r="AE16">
        <f>IF(OR(過積載率!AE16=0,(標準電圧!AE16*標準電圧!AE$2-VLOOKUP(HUAWEI製ＰＣＳ接続枚数計算ツール!$C$9, HUAWEI製ＰＣＳ接続枚数計算ツール!$B$119:$P$149,12,FALSE))&lt;0),0,IF(ROUNDDOWN((標準電圧!AE16*標準電圧!AE$2-VLOOKUP(HUAWEI製ＰＣＳ接続枚数計算ツール!$C$9,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HUAWEI製ＰＣＳ接続枚数計算ツール!$B$119:$P$149,14,FALSE),0)/100&gt;=IF(過積載率!AE16&gt;1,1,過積載率!AE16),1,0))</f>
        <v>1</v>
      </c>
      <c r="AF16">
        <f>IF(OR(過積載率!AF16=0,(標準電圧!AF16*標準電圧!AF$2-VLOOKUP(HUAWEI製ＰＣＳ接続枚数計算ツール!$C$9, HUAWEI製ＰＣＳ接続枚数計算ツール!$B$119:$P$149,12,FALSE))&lt;0),0,IF(ROUNDDOWN((標準電圧!AF16*標準電圧!AF$2-VLOOKUP(HUAWEI製ＰＣＳ接続枚数計算ツール!$C$9,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HUAWEI製ＰＣＳ接続枚数計算ツール!$B$119:$P$149,14,FALSE),0)/100&gt;=IF(過積載率!AF16&gt;1,1,過積載率!AF16),1,0))</f>
        <v>1</v>
      </c>
      <c r="AG16">
        <f>IF(OR(過積載率!AG16=0,(標準電圧!AG16*標準電圧!AG$2-VLOOKUP(HUAWEI製ＰＣＳ接続枚数計算ツール!$C$9, HUAWEI製ＰＣＳ接続枚数計算ツール!$B$119:$P$149,12,FALSE))&lt;0),0,IF(ROUNDDOWN((標準電圧!AG16*標準電圧!AG$2-VLOOKUP(HUAWEI製ＰＣＳ接続枚数計算ツール!$C$9,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HUAWEI製ＰＣＳ接続枚数計算ツール!$B$119:$P$149,14,FALSE),0)/100&gt;=IF(過積載率!AG16&gt;1,1,過積載率!AG16),1,0))</f>
        <v>1</v>
      </c>
      <c r="AH16">
        <f>IF(OR(過積載率!AH16=0,(標準電圧!AH16*標準電圧!AH$2-VLOOKUP(HUAWEI製ＰＣＳ接続枚数計算ツール!$C$9, HUAWEI製ＰＣＳ接続枚数計算ツール!$B$119:$P$149,12,FALSE))&lt;0),0,IF(ROUNDDOWN((標準電圧!AH16*標準電圧!AH$2-VLOOKUP(HUAWEI製ＰＣＳ接続枚数計算ツール!$C$9,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HUAWEI製ＰＣＳ接続枚数計算ツール!$B$119:$P$149,14,FALSE),0)/100&gt;=IF(過積載率!AH16&gt;1,1,過積載率!AH16),1,0))</f>
        <v>1</v>
      </c>
      <c r="AI16">
        <f>IF(OR(過積載率!AI16=0,(標準電圧!AI16*標準電圧!AI$2-VLOOKUP(HUAWEI製ＰＣＳ接続枚数計算ツール!$C$9, HUAWEI製ＰＣＳ接続枚数計算ツール!$B$119:$P$149,12,FALSE))&lt;0),0,IF(ROUNDDOWN((標準電圧!AI16*標準電圧!AI$2-VLOOKUP(HUAWEI製ＰＣＳ接続枚数計算ツール!$C$9,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HUAWEI製ＰＣＳ接続枚数計算ツール!$B$119:$P$149,14,FALSE),0)/100&gt;=IF(過積載率!AI16&gt;1,1,過積載率!AI16),1,0))</f>
        <v>1</v>
      </c>
      <c r="AJ16">
        <f>IF(OR(過積載率!AJ16=0,(標準電圧!AJ16*標準電圧!AJ$2-VLOOKUP(HUAWEI製ＰＣＳ接続枚数計算ツール!$C$9, HUAWEI製ＰＣＳ接続枚数計算ツール!$B$119:$P$149,12,FALSE))&lt;0),0,IF(ROUNDDOWN((標準電圧!AJ16*標準電圧!AJ$2-VLOOKUP(HUAWEI製ＰＣＳ接続枚数計算ツール!$C$9,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HUAWEI製ＰＣＳ接続枚数計算ツール!$B$119:$P$149,14,FALSE),0)/100&gt;=IF(過積載率!AJ16&gt;1,1,過積載率!AJ16),1,0))</f>
        <v>1</v>
      </c>
      <c r="AK16">
        <f>IF(OR(過積載率!AK16=0,(標準電圧!AK16*標準電圧!AK$2-VLOOKUP(HUAWEI製ＰＣＳ接続枚数計算ツール!$C$9, HUAWEI製ＰＣＳ接続枚数計算ツール!$B$119:$P$149,12,FALSE))&lt;0),0,IF(ROUNDDOWN((標準電圧!AK16*標準電圧!AK$2-VLOOKUP(HUAWEI製ＰＣＳ接続枚数計算ツール!$C$9,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HUAWEI製ＰＣＳ接続枚数計算ツール!$B$119:$P$149,14,FALSE),0)/100&gt;=IF(過積載率!AK16&gt;1,1,過積載率!AK16),1,0))</f>
        <v>1</v>
      </c>
      <c r="AL16">
        <f>IF(OR(過積載率!AL16=0,(標準電圧!AL16*標準電圧!AL$2-VLOOKUP(HUAWEI製ＰＣＳ接続枚数計算ツール!$C$9, HUAWEI製ＰＣＳ接続枚数計算ツール!$B$119:$P$149,12,FALSE))&lt;0),0,IF(ROUNDDOWN((標準電圧!AL16*標準電圧!AL$2-VLOOKUP(HUAWEI製ＰＣＳ接続枚数計算ツール!$C$9,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HUAWEI製ＰＣＳ接続枚数計算ツール!$B$119:$P$149,14,FALSE),0)/100&gt;=IF(過積載率!AL16&gt;1,1,過積載率!AL16),1,0))</f>
        <v>1</v>
      </c>
      <c r="AM16">
        <f>IF(OR(過積載率!AM16=0,(標準電圧!AM16*標準電圧!AM$2-VLOOKUP(HUAWEI製ＰＣＳ接続枚数計算ツール!$C$9, HUAWEI製ＰＣＳ接続枚数計算ツール!$B$119:$P$149,12,FALSE))&lt;0),0,IF(ROUNDDOWN((標準電圧!AM16*標準電圧!AM$2-VLOOKUP(HUAWEI製ＰＣＳ接続枚数計算ツール!$C$9,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HUAWEI製ＰＣＳ接続枚数計算ツール!$B$119:$P$149,14,FALSE),0)/100&gt;=IF(過積載率!AM16&gt;1,1,過積載率!AM16),1,0))</f>
        <v>1</v>
      </c>
      <c r="AN16">
        <f>IF(OR(過積載率!AN16=0,(標準電圧!AN16*標準電圧!AN$2-VLOOKUP(HUAWEI製ＰＣＳ接続枚数計算ツール!$C$9, HUAWEI製ＰＣＳ接続枚数計算ツール!$B$119:$P$149,12,FALSE))&lt;0),0,IF(ROUNDDOWN((標準電圧!AN16*標準電圧!AN$2-VLOOKUP(HUAWEI製ＰＣＳ接続枚数計算ツール!$C$9,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HUAWEI製ＰＣＳ接続枚数計算ツール!$B$119:$P$149,14,FALSE),0)/100&gt;=IF(過積載率!AN16&gt;1,1,過積載率!AN16),1,0))</f>
        <v>1</v>
      </c>
      <c r="AO16">
        <f>IF(OR(過積載率!AO16=0,(標準電圧!AO16*標準電圧!AO$2-VLOOKUP(HUAWEI製ＰＣＳ接続枚数計算ツール!$C$9, HUAWEI製ＰＣＳ接続枚数計算ツール!$B$119:$P$149,12,FALSE))&lt;0),0,IF(ROUNDDOWN((標準電圧!AO16*標準電圧!AO$2-VLOOKUP(HUAWEI製ＰＣＳ接続枚数計算ツール!$C$9,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HUAWEI製ＰＣＳ接続枚数計算ツール!$B$119:$P$149,14,FALSE),0)/100&gt;=IF(過積載率!AO16&gt;1,1,過積載率!AO16),1,0))</f>
        <v>1</v>
      </c>
    </row>
    <row r="17" spans="1:41">
      <c r="A17">
        <v>15</v>
      </c>
      <c r="B17">
        <f>IF(OR(過積載率!B17=0,(標準電圧!B17*標準電圧!B$2-VLOOKUP(HUAWEI製ＰＣＳ接続枚数計算ツール!$C$9, HUAWEI製ＰＣＳ接続枚数計算ツール!$B$119:$P$149,12,FALSE))&lt;0),0,IF(ROUNDDOWN((標準電圧!B17*標準電圧!B$2-VLOOKUP(HUAWEI製ＰＣＳ接続枚数計算ツール!$C$9,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HUAWEI製ＰＣＳ接続枚数計算ツール!$B$119:$P$149,14,FALSE),0)/100&gt;=IF(過積載率!B17&gt;1,1,過積載率!B17),1,0))</f>
        <v>0</v>
      </c>
      <c r="C17">
        <f>IF(OR(過積載率!C17=0,(標準電圧!C17*標準電圧!C$2-VLOOKUP(HUAWEI製ＰＣＳ接続枚数計算ツール!$C$9, HUAWEI製ＰＣＳ接続枚数計算ツール!$B$119:$P$149,12,FALSE))&lt;0),0,IF(ROUNDDOWN((標準電圧!C17*標準電圧!C$2-VLOOKUP(HUAWEI製ＰＣＳ接続枚数計算ツール!$C$9,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HUAWEI製ＰＣＳ接続枚数計算ツール!$B$119:$P$149,14,FALSE),0)/100&gt;=IF(過積載率!C17&gt;1,1,過積載率!C17),1,0))</f>
        <v>0</v>
      </c>
      <c r="D17">
        <f>IF(OR(過積載率!D17=0,(標準電圧!D17*標準電圧!D$2-VLOOKUP(HUAWEI製ＰＣＳ接続枚数計算ツール!$C$9, HUAWEI製ＰＣＳ接続枚数計算ツール!$B$119:$P$149,12,FALSE))&lt;0),0,IF(ROUNDDOWN((標準電圧!D17*標準電圧!D$2-VLOOKUP(HUAWEI製ＰＣＳ接続枚数計算ツール!$C$9,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HUAWEI製ＰＣＳ接続枚数計算ツール!$B$119:$P$149,14,FALSE),0)/100&gt;=IF(過積載率!D17&gt;1,1,過積載率!D17),1,0))</f>
        <v>0</v>
      </c>
      <c r="E17">
        <f>IF(OR(過積載率!E17=0,(標準電圧!E17*標準電圧!E$2-VLOOKUP(HUAWEI製ＰＣＳ接続枚数計算ツール!$C$9, HUAWEI製ＰＣＳ接続枚数計算ツール!$B$119:$P$149,12,FALSE))&lt;0),0,IF(ROUNDDOWN((標準電圧!E17*標準電圧!E$2-VLOOKUP(HUAWEI製ＰＣＳ接続枚数計算ツール!$C$9,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HUAWEI製ＰＣＳ接続枚数計算ツール!$B$119:$P$149,14,FALSE),0)/100&gt;=IF(過積載率!E17&gt;1,1,過積載率!E17),1,0))</f>
        <v>0</v>
      </c>
      <c r="F17">
        <f>IF(OR(過積載率!F17=0,(標準電圧!F17*標準電圧!F$2-VLOOKUP(HUAWEI製ＰＣＳ接続枚数計算ツール!$C$9, HUAWEI製ＰＣＳ接続枚数計算ツール!$B$119:$P$149,12,FALSE))&lt;0),0,IF(ROUNDDOWN((標準電圧!F17*標準電圧!F$2-VLOOKUP(HUAWEI製ＰＣＳ接続枚数計算ツール!$C$9,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HUAWEI製ＰＣＳ接続枚数計算ツール!$B$119:$P$149,14,FALSE),0)/100&gt;=IF(過積載率!F17&gt;1,1,過積載率!F17),1,0))</f>
        <v>0</v>
      </c>
      <c r="G17">
        <f>IF(OR(過積載率!G17=0,(標準電圧!G17*標準電圧!G$2-VLOOKUP(HUAWEI製ＰＣＳ接続枚数計算ツール!$C$9, HUAWEI製ＰＣＳ接続枚数計算ツール!$B$119:$P$149,12,FALSE))&lt;0),0,IF(ROUNDDOWN((標準電圧!G17*標準電圧!G$2-VLOOKUP(HUAWEI製ＰＣＳ接続枚数計算ツール!$C$9,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HUAWEI製ＰＣＳ接続枚数計算ツール!$B$119:$P$149,14,FALSE),0)/100&gt;=IF(過積載率!G17&gt;1,1,過積載率!G17),1,0))</f>
        <v>0</v>
      </c>
      <c r="H17">
        <f>IF(OR(過積載率!H17=0,(標準電圧!H17*標準電圧!H$2-VLOOKUP(HUAWEI製ＰＣＳ接続枚数計算ツール!$C$9, HUAWEI製ＰＣＳ接続枚数計算ツール!$B$119:$P$149,12,FALSE))&lt;0),0,IF(ROUNDDOWN((標準電圧!H17*標準電圧!H$2-VLOOKUP(HUAWEI製ＰＣＳ接続枚数計算ツール!$C$9,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HUAWEI製ＰＣＳ接続枚数計算ツール!$B$119:$P$149,14,FALSE),0)/100&gt;=IF(過積載率!H17&gt;1,1,過積載率!H17),1,0))</f>
        <v>0</v>
      </c>
      <c r="I17">
        <f>IF(OR(過積載率!I17=0,(標準電圧!I17*標準電圧!I$2-VLOOKUP(HUAWEI製ＰＣＳ接続枚数計算ツール!$C$9, HUAWEI製ＰＣＳ接続枚数計算ツール!$B$119:$P$149,12,FALSE))&lt;0),0,IF(ROUNDDOWN((標準電圧!I17*標準電圧!I$2-VLOOKUP(HUAWEI製ＰＣＳ接続枚数計算ツール!$C$9,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HUAWEI製ＰＣＳ接続枚数計算ツール!$B$119:$P$149,14,FALSE),0)/100&gt;=IF(過積載率!I17&gt;1,1,過積載率!I17),1,0))</f>
        <v>0</v>
      </c>
      <c r="J17">
        <f>IF(OR(過積載率!J17=0,(標準電圧!J17*標準電圧!J$2-VLOOKUP(HUAWEI製ＰＣＳ接続枚数計算ツール!$C$9, HUAWEI製ＰＣＳ接続枚数計算ツール!$B$119:$P$149,12,FALSE))&lt;0),0,IF(ROUNDDOWN((標準電圧!J17*標準電圧!J$2-VLOOKUP(HUAWEI製ＰＣＳ接続枚数計算ツール!$C$9,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HUAWEI製ＰＣＳ接続枚数計算ツール!$B$119:$P$149,14,FALSE),0)/100&gt;=IF(過積載率!J17&gt;1,1,過積載率!J17),1,0))</f>
        <v>0</v>
      </c>
      <c r="K17">
        <f>IF(OR(過積載率!K17=0,(標準電圧!K17*標準電圧!K$2-VLOOKUP(HUAWEI製ＰＣＳ接続枚数計算ツール!$C$9, HUAWEI製ＰＣＳ接続枚数計算ツール!$B$119:$P$149,12,FALSE))&lt;0),0,IF(ROUNDDOWN((標準電圧!K17*標準電圧!K$2-VLOOKUP(HUAWEI製ＰＣＳ接続枚数計算ツール!$C$9,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HUAWEI製ＰＣＳ接続枚数計算ツール!$B$119:$P$149,14,FALSE),0)/100&gt;=IF(過積載率!K17&gt;1,1,過積載率!K17),1,0))</f>
        <v>0</v>
      </c>
      <c r="L17">
        <f>IF(OR(過積載率!L17=0,(標準電圧!L17*標準電圧!L$2-VLOOKUP(HUAWEI製ＰＣＳ接続枚数計算ツール!$C$9, HUAWEI製ＰＣＳ接続枚数計算ツール!$B$119:$P$149,12,FALSE))&lt;0),0,IF(ROUNDDOWN((標準電圧!L17*標準電圧!L$2-VLOOKUP(HUAWEI製ＰＣＳ接続枚数計算ツール!$C$9,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HUAWEI製ＰＣＳ接続枚数計算ツール!$B$119:$P$149,14,FALSE),0)/100&gt;=IF(過積載率!L17&gt;1,1,過積載率!L17),1,0))</f>
        <v>0</v>
      </c>
      <c r="M17">
        <f>IF(OR(過積載率!M17=0,(標準電圧!M17*標準電圧!M$2-VLOOKUP(HUAWEI製ＰＣＳ接続枚数計算ツール!$C$9, HUAWEI製ＰＣＳ接続枚数計算ツール!$B$119:$P$149,12,FALSE))&lt;0),0,IF(ROUNDDOWN((標準電圧!M17*標準電圧!M$2-VLOOKUP(HUAWEI製ＰＣＳ接続枚数計算ツール!$C$9,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HUAWEI製ＰＣＳ接続枚数計算ツール!$B$119:$P$149,14,FALSE),0)/100&gt;=IF(過積載率!M17&gt;1,1,過積載率!M17),1,0))</f>
        <v>0</v>
      </c>
      <c r="N17">
        <f>IF(OR(過積載率!N17=0,(標準電圧!N17*標準電圧!N$2-VLOOKUP(HUAWEI製ＰＣＳ接続枚数計算ツール!$C$9, HUAWEI製ＰＣＳ接続枚数計算ツール!$B$119:$P$149,12,FALSE))&lt;0),0,IF(ROUNDDOWN((標準電圧!N17*標準電圧!N$2-VLOOKUP(HUAWEI製ＰＣＳ接続枚数計算ツール!$C$9,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HUAWEI製ＰＣＳ接続枚数計算ツール!$B$119:$P$149,14,FALSE),0)/100&gt;=IF(過積載率!N17&gt;1,1,過積載率!N17),1,0))</f>
        <v>0</v>
      </c>
      <c r="O17">
        <f>IF(OR(過積載率!O17=0,(標準電圧!O17*標準電圧!O$2-VLOOKUP(HUAWEI製ＰＣＳ接続枚数計算ツール!$C$9, HUAWEI製ＰＣＳ接続枚数計算ツール!$B$119:$P$149,12,FALSE))&lt;0),0,IF(ROUNDDOWN((標準電圧!O17*標準電圧!O$2-VLOOKUP(HUAWEI製ＰＣＳ接続枚数計算ツール!$C$9,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HUAWEI製ＰＣＳ接続枚数計算ツール!$B$119:$P$149,14,FALSE),0)/100&gt;=IF(過積載率!O17&gt;1,1,過積載率!O17),1,0))</f>
        <v>0</v>
      </c>
      <c r="P17">
        <f>IF(OR(過積載率!P17=0,(標準電圧!P17*標準電圧!P$2-VLOOKUP(HUAWEI製ＰＣＳ接続枚数計算ツール!$C$9, HUAWEI製ＰＣＳ接続枚数計算ツール!$B$119:$P$149,12,FALSE))&lt;0),0,IF(ROUNDDOWN((標準電圧!P17*標準電圧!P$2-VLOOKUP(HUAWEI製ＰＣＳ接続枚数計算ツール!$C$9,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HUAWEI製ＰＣＳ接続枚数計算ツール!$B$119:$P$149,14,FALSE),0)/100&gt;=IF(過積載率!P17&gt;1,1,過積載率!P17),1,0))</f>
        <v>0</v>
      </c>
      <c r="Q17">
        <f>IF(OR(過積載率!Q17=0,(標準電圧!Q17*標準電圧!Q$2-VLOOKUP(HUAWEI製ＰＣＳ接続枚数計算ツール!$C$9, HUAWEI製ＰＣＳ接続枚数計算ツール!$B$119:$P$149,12,FALSE))&lt;0),0,IF(ROUNDDOWN((標準電圧!Q17*標準電圧!Q$2-VLOOKUP(HUAWEI製ＰＣＳ接続枚数計算ツール!$C$9,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HUAWEI製ＰＣＳ接続枚数計算ツール!$B$119:$P$149,14,FALSE),0)/100&gt;=IF(過積載率!Q17&gt;1,1,過積載率!Q17),1,0))</f>
        <v>0</v>
      </c>
      <c r="R17">
        <f>IF(OR(過積載率!R17=0,(標準電圧!R17*標準電圧!R$2-VLOOKUP(HUAWEI製ＰＣＳ接続枚数計算ツール!$C$9, HUAWEI製ＰＣＳ接続枚数計算ツール!$B$119:$P$149,12,FALSE))&lt;0),0,IF(ROUNDDOWN((標準電圧!R17*標準電圧!R$2-VLOOKUP(HUAWEI製ＰＣＳ接続枚数計算ツール!$C$9,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HUAWEI製ＰＣＳ接続枚数計算ツール!$B$119:$P$149,14,FALSE),0)/100&gt;=IF(過積載率!R17&gt;1,1,過積載率!R17),1,0))</f>
        <v>1</v>
      </c>
      <c r="S17">
        <f>IF(OR(過積載率!S17=0,(標準電圧!S17*標準電圧!S$2-VLOOKUP(HUAWEI製ＰＣＳ接続枚数計算ツール!$C$9, HUAWEI製ＰＣＳ接続枚数計算ツール!$B$119:$P$149,12,FALSE))&lt;0),0,IF(ROUNDDOWN((標準電圧!S17*標準電圧!S$2-VLOOKUP(HUAWEI製ＰＣＳ接続枚数計算ツール!$C$9,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HUAWEI製ＰＣＳ接続枚数計算ツール!$B$119:$P$149,14,FALSE),0)/100&gt;=IF(過積載率!S17&gt;1,1,過積載率!S17),1,0))</f>
        <v>1</v>
      </c>
      <c r="T17">
        <f>IF(OR(過積載率!T17=0,(標準電圧!T17*標準電圧!T$2-VLOOKUP(HUAWEI製ＰＣＳ接続枚数計算ツール!$C$9, HUAWEI製ＰＣＳ接続枚数計算ツール!$B$119:$P$149,12,FALSE))&lt;0),0,IF(ROUNDDOWN((標準電圧!T17*標準電圧!T$2-VLOOKUP(HUAWEI製ＰＣＳ接続枚数計算ツール!$C$9,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HUAWEI製ＰＣＳ接続枚数計算ツール!$B$119:$P$149,14,FALSE),0)/100&gt;=IF(過積載率!T17&gt;1,1,過積載率!T17),1,0))</f>
        <v>1</v>
      </c>
      <c r="U17">
        <f>IF(OR(過積載率!U17=0,(標準電圧!U17*標準電圧!U$2-VLOOKUP(HUAWEI製ＰＣＳ接続枚数計算ツール!$C$9, HUAWEI製ＰＣＳ接続枚数計算ツール!$B$119:$P$149,12,FALSE))&lt;0),0,IF(ROUNDDOWN((標準電圧!U17*標準電圧!U$2-VLOOKUP(HUAWEI製ＰＣＳ接続枚数計算ツール!$C$9,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HUAWEI製ＰＣＳ接続枚数計算ツール!$B$119:$P$149,14,FALSE),0)/100&gt;=IF(過積載率!U17&gt;1,1,過積載率!U17),1,0))</f>
        <v>1</v>
      </c>
      <c r="V17">
        <f>IF(OR(過積載率!V17=0,(標準電圧!V17*標準電圧!V$2-VLOOKUP(HUAWEI製ＰＣＳ接続枚数計算ツール!$C$9, HUAWEI製ＰＣＳ接続枚数計算ツール!$B$119:$P$149,12,FALSE))&lt;0),0,IF(ROUNDDOWN((標準電圧!V17*標準電圧!V$2-VLOOKUP(HUAWEI製ＰＣＳ接続枚数計算ツール!$C$9,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HUAWEI製ＰＣＳ接続枚数計算ツール!$B$119:$P$149,14,FALSE),0)/100&gt;=IF(過積載率!V17&gt;1,1,過積載率!V17),1,0))</f>
        <v>1</v>
      </c>
      <c r="W17">
        <f>IF(OR(過積載率!W17=0,(標準電圧!W17*標準電圧!W$2-VLOOKUP(HUAWEI製ＰＣＳ接続枚数計算ツール!$C$9, HUAWEI製ＰＣＳ接続枚数計算ツール!$B$119:$P$149,12,FALSE))&lt;0),0,IF(ROUNDDOWN((標準電圧!W17*標準電圧!W$2-VLOOKUP(HUAWEI製ＰＣＳ接続枚数計算ツール!$C$9,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HUAWEI製ＰＣＳ接続枚数計算ツール!$B$119:$P$149,14,FALSE),0)/100&gt;=IF(過積載率!W17&gt;1,1,過積載率!W17),1,0))</f>
        <v>1</v>
      </c>
      <c r="X17">
        <f>IF(OR(過積載率!X17=0,(標準電圧!X17*標準電圧!X$2-VLOOKUP(HUAWEI製ＰＣＳ接続枚数計算ツール!$C$9, HUAWEI製ＰＣＳ接続枚数計算ツール!$B$119:$P$149,12,FALSE))&lt;0),0,IF(ROUNDDOWN((標準電圧!X17*標準電圧!X$2-VLOOKUP(HUAWEI製ＰＣＳ接続枚数計算ツール!$C$9,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HUAWEI製ＰＣＳ接続枚数計算ツール!$B$119:$P$149,14,FALSE),0)/100&gt;=IF(過積載率!X17&gt;1,1,過積載率!X17),1,0))</f>
        <v>1</v>
      </c>
      <c r="Y17">
        <f>IF(OR(過積載率!Y17=0,(標準電圧!Y17*標準電圧!Y$2-VLOOKUP(HUAWEI製ＰＣＳ接続枚数計算ツール!$C$9, HUAWEI製ＰＣＳ接続枚数計算ツール!$B$119:$P$149,12,FALSE))&lt;0),0,IF(ROUNDDOWN((標準電圧!Y17*標準電圧!Y$2-VLOOKUP(HUAWEI製ＰＣＳ接続枚数計算ツール!$C$9,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HUAWEI製ＰＣＳ接続枚数計算ツール!$B$119:$P$149,14,FALSE),0)/100&gt;=IF(過積載率!Y17&gt;1,1,過積載率!Y17),1,0))</f>
        <v>1</v>
      </c>
      <c r="Z17">
        <f>IF(OR(過積載率!Z17=0,(標準電圧!Z17*標準電圧!Z$2-VLOOKUP(HUAWEI製ＰＣＳ接続枚数計算ツール!$C$9, HUAWEI製ＰＣＳ接続枚数計算ツール!$B$119:$P$149,12,FALSE))&lt;0),0,IF(ROUNDDOWN((標準電圧!Z17*標準電圧!Z$2-VLOOKUP(HUAWEI製ＰＣＳ接続枚数計算ツール!$C$9,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HUAWEI製ＰＣＳ接続枚数計算ツール!$B$119:$P$149,14,FALSE),0)/100&gt;=IF(過積載率!Z17&gt;1,1,過積載率!Z17),1,0))</f>
        <v>1</v>
      </c>
      <c r="AA17">
        <f>IF(OR(過積載率!AA17=0,(標準電圧!AA17*標準電圧!AA$2-VLOOKUP(HUAWEI製ＰＣＳ接続枚数計算ツール!$C$9, HUAWEI製ＰＣＳ接続枚数計算ツール!$B$119:$P$149,12,FALSE))&lt;0),0,IF(ROUNDDOWN((標準電圧!AA17*標準電圧!AA$2-VLOOKUP(HUAWEI製ＰＣＳ接続枚数計算ツール!$C$9,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HUAWEI製ＰＣＳ接続枚数計算ツール!$B$119:$P$149,14,FALSE),0)/100&gt;=IF(過積載率!AA17&gt;1,1,過積載率!AA17),1,0))</f>
        <v>1</v>
      </c>
      <c r="AB17">
        <f>IF(OR(過積載率!AB17=0,(標準電圧!AB17*標準電圧!AB$2-VLOOKUP(HUAWEI製ＰＣＳ接続枚数計算ツール!$C$9, HUAWEI製ＰＣＳ接続枚数計算ツール!$B$119:$P$149,12,FALSE))&lt;0),0,IF(ROUNDDOWN((標準電圧!AB17*標準電圧!AB$2-VLOOKUP(HUAWEI製ＰＣＳ接続枚数計算ツール!$C$9,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HUAWEI製ＰＣＳ接続枚数計算ツール!$B$119:$P$149,14,FALSE),0)/100&gt;=IF(過積載率!AB17&gt;1,1,過積載率!AB17),1,0))</f>
        <v>1</v>
      </c>
      <c r="AC17">
        <f>IF(OR(過積載率!AC17=0,(標準電圧!AC17*標準電圧!AC$2-VLOOKUP(HUAWEI製ＰＣＳ接続枚数計算ツール!$C$9, HUAWEI製ＰＣＳ接続枚数計算ツール!$B$119:$P$149,12,FALSE))&lt;0),0,IF(ROUNDDOWN((標準電圧!AC17*標準電圧!AC$2-VLOOKUP(HUAWEI製ＰＣＳ接続枚数計算ツール!$C$9,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HUAWEI製ＰＣＳ接続枚数計算ツール!$B$119:$P$149,14,FALSE),0)/100&gt;=IF(過積載率!AC17&gt;1,1,過積載率!AC17),1,0))</f>
        <v>1</v>
      </c>
      <c r="AD17">
        <f>IF(OR(過積載率!AD17=0,(標準電圧!AD17*標準電圧!AD$2-VLOOKUP(HUAWEI製ＰＣＳ接続枚数計算ツール!$C$9, HUAWEI製ＰＣＳ接続枚数計算ツール!$B$119:$P$149,12,FALSE))&lt;0),0,IF(ROUNDDOWN((標準電圧!AD17*標準電圧!AD$2-VLOOKUP(HUAWEI製ＰＣＳ接続枚数計算ツール!$C$9,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HUAWEI製ＰＣＳ接続枚数計算ツール!$B$119:$P$149,14,FALSE),0)/100&gt;=IF(過積載率!AD17&gt;1,1,過積載率!AD17),1,0))</f>
        <v>1</v>
      </c>
      <c r="AE17">
        <f>IF(OR(過積載率!AE17=0,(標準電圧!AE17*標準電圧!AE$2-VLOOKUP(HUAWEI製ＰＣＳ接続枚数計算ツール!$C$9, HUAWEI製ＰＣＳ接続枚数計算ツール!$B$119:$P$149,12,FALSE))&lt;0),0,IF(ROUNDDOWN((標準電圧!AE17*標準電圧!AE$2-VLOOKUP(HUAWEI製ＰＣＳ接続枚数計算ツール!$C$9,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HUAWEI製ＰＣＳ接続枚数計算ツール!$B$119:$P$149,14,FALSE),0)/100&gt;=IF(過積載率!AE17&gt;1,1,過積載率!AE17),1,0))</f>
        <v>1</v>
      </c>
      <c r="AF17">
        <f>IF(OR(過積載率!AF17=0,(標準電圧!AF17*標準電圧!AF$2-VLOOKUP(HUAWEI製ＰＣＳ接続枚数計算ツール!$C$9, HUAWEI製ＰＣＳ接続枚数計算ツール!$B$119:$P$149,12,FALSE))&lt;0),0,IF(ROUNDDOWN((標準電圧!AF17*標準電圧!AF$2-VLOOKUP(HUAWEI製ＰＣＳ接続枚数計算ツール!$C$9,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HUAWEI製ＰＣＳ接続枚数計算ツール!$B$119:$P$149,14,FALSE),0)/100&gt;=IF(過積載率!AF17&gt;1,1,過積載率!AF17),1,0))</f>
        <v>1</v>
      </c>
      <c r="AG17">
        <f>IF(OR(過積載率!AG17=0,(標準電圧!AG17*標準電圧!AG$2-VLOOKUP(HUAWEI製ＰＣＳ接続枚数計算ツール!$C$9, HUAWEI製ＰＣＳ接続枚数計算ツール!$B$119:$P$149,12,FALSE))&lt;0),0,IF(ROUNDDOWN((標準電圧!AG17*標準電圧!AG$2-VLOOKUP(HUAWEI製ＰＣＳ接続枚数計算ツール!$C$9,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HUAWEI製ＰＣＳ接続枚数計算ツール!$B$119:$P$149,14,FALSE),0)/100&gt;=IF(過積載率!AG17&gt;1,1,過積載率!AG17),1,0))</f>
        <v>1</v>
      </c>
      <c r="AH17">
        <f>IF(OR(過積載率!AH17=0,(標準電圧!AH17*標準電圧!AH$2-VLOOKUP(HUAWEI製ＰＣＳ接続枚数計算ツール!$C$9, HUAWEI製ＰＣＳ接続枚数計算ツール!$B$119:$P$149,12,FALSE))&lt;0),0,IF(ROUNDDOWN((標準電圧!AH17*標準電圧!AH$2-VLOOKUP(HUAWEI製ＰＣＳ接続枚数計算ツール!$C$9,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HUAWEI製ＰＣＳ接続枚数計算ツール!$B$119:$P$149,14,FALSE),0)/100&gt;=IF(過積載率!AH17&gt;1,1,過積載率!AH17),1,0))</f>
        <v>1</v>
      </c>
      <c r="AI17">
        <f>IF(OR(過積載率!AI17=0,(標準電圧!AI17*標準電圧!AI$2-VLOOKUP(HUAWEI製ＰＣＳ接続枚数計算ツール!$C$9, HUAWEI製ＰＣＳ接続枚数計算ツール!$B$119:$P$149,12,FALSE))&lt;0),0,IF(ROUNDDOWN((標準電圧!AI17*標準電圧!AI$2-VLOOKUP(HUAWEI製ＰＣＳ接続枚数計算ツール!$C$9,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HUAWEI製ＰＣＳ接続枚数計算ツール!$B$119:$P$149,14,FALSE),0)/100&gt;=IF(過積載率!AI17&gt;1,1,過積載率!AI17),1,0))</f>
        <v>1</v>
      </c>
      <c r="AJ17">
        <f>IF(OR(過積載率!AJ17=0,(標準電圧!AJ17*標準電圧!AJ$2-VLOOKUP(HUAWEI製ＰＣＳ接続枚数計算ツール!$C$9, HUAWEI製ＰＣＳ接続枚数計算ツール!$B$119:$P$149,12,FALSE))&lt;0),0,IF(ROUNDDOWN((標準電圧!AJ17*標準電圧!AJ$2-VLOOKUP(HUAWEI製ＰＣＳ接続枚数計算ツール!$C$9,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HUAWEI製ＰＣＳ接続枚数計算ツール!$B$119:$P$149,14,FALSE),0)/100&gt;=IF(過積載率!AJ17&gt;1,1,過積載率!AJ17),1,0))</f>
        <v>1</v>
      </c>
      <c r="AK17">
        <f>IF(OR(過積載率!AK17=0,(標準電圧!AK17*標準電圧!AK$2-VLOOKUP(HUAWEI製ＰＣＳ接続枚数計算ツール!$C$9, HUAWEI製ＰＣＳ接続枚数計算ツール!$B$119:$P$149,12,FALSE))&lt;0),0,IF(ROUNDDOWN((標準電圧!AK17*標準電圧!AK$2-VLOOKUP(HUAWEI製ＰＣＳ接続枚数計算ツール!$C$9,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HUAWEI製ＰＣＳ接続枚数計算ツール!$B$119:$P$149,14,FALSE),0)/100&gt;=IF(過積載率!AK17&gt;1,1,過積載率!AK17),1,0))</f>
        <v>1</v>
      </c>
      <c r="AL17">
        <f>IF(OR(過積載率!AL17=0,(標準電圧!AL17*標準電圧!AL$2-VLOOKUP(HUAWEI製ＰＣＳ接続枚数計算ツール!$C$9, HUAWEI製ＰＣＳ接続枚数計算ツール!$B$119:$P$149,12,FALSE))&lt;0),0,IF(ROUNDDOWN((標準電圧!AL17*標準電圧!AL$2-VLOOKUP(HUAWEI製ＰＣＳ接続枚数計算ツール!$C$9,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HUAWEI製ＰＣＳ接続枚数計算ツール!$B$119:$P$149,14,FALSE),0)/100&gt;=IF(過積載率!AL17&gt;1,1,過積載率!AL17),1,0))</f>
        <v>1</v>
      </c>
      <c r="AM17">
        <f>IF(OR(過積載率!AM17=0,(標準電圧!AM17*標準電圧!AM$2-VLOOKUP(HUAWEI製ＰＣＳ接続枚数計算ツール!$C$9, HUAWEI製ＰＣＳ接続枚数計算ツール!$B$119:$P$149,12,FALSE))&lt;0),0,IF(ROUNDDOWN((標準電圧!AM17*標準電圧!AM$2-VLOOKUP(HUAWEI製ＰＣＳ接続枚数計算ツール!$C$9,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HUAWEI製ＰＣＳ接続枚数計算ツール!$B$119:$P$149,14,FALSE),0)/100&gt;=IF(過積載率!AM17&gt;1,1,過積載率!AM17),1,0))</f>
        <v>1</v>
      </c>
      <c r="AN17">
        <f>IF(OR(過積載率!AN17=0,(標準電圧!AN17*標準電圧!AN$2-VLOOKUP(HUAWEI製ＰＣＳ接続枚数計算ツール!$C$9, HUAWEI製ＰＣＳ接続枚数計算ツール!$B$119:$P$149,12,FALSE))&lt;0),0,IF(ROUNDDOWN((標準電圧!AN17*標準電圧!AN$2-VLOOKUP(HUAWEI製ＰＣＳ接続枚数計算ツール!$C$9,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HUAWEI製ＰＣＳ接続枚数計算ツール!$B$119:$P$149,14,FALSE),0)/100&gt;=IF(過積載率!AN17&gt;1,1,過積載率!AN17),1,0))</f>
        <v>1</v>
      </c>
      <c r="AO17">
        <f>IF(OR(過積載率!AO17=0,(標準電圧!AO17*標準電圧!AO$2-VLOOKUP(HUAWEI製ＰＣＳ接続枚数計算ツール!$C$9, HUAWEI製ＰＣＳ接続枚数計算ツール!$B$119:$P$149,12,FALSE))&lt;0),0,IF(ROUNDDOWN((標準電圧!AO17*標準電圧!AO$2-VLOOKUP(HUAWEI製ＰＣＳ接続枚数計算ツール!$C$9,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HUAWEI製ＰＣＳ接続枚数計算ツール!$B$119:$P$149,14,FALSE),0)/100&gt;=IF(過積載率!AO17&gt;1,1,過積載率!AO17),1,0))</f>
        <v>1</v>
      </c>
    </row>
    <row r="18" spans="1:41">
      <c r="A18">
        <v>16</v>
      </c>
      <c r="B18">
        <f>IF(OR(過積載率!B18=0,(標準電圧!B18*標準電圧!B$2-VLOOKUP(HUAWEI製ＰＣＳ接続枚数計算ツール!$C$9, HUAWEI製ＰＣＳ接続枚数計算ツール!$B$119:$P$149,12,FALSE))&lt;0),0,IF(ROUNDDOWN((標準電圧!B18*標準電圧!B$2-VLOOKUP(HUAWEI製ＰＣＳ接続枚数計算ツール!$C$9,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HUAWEI製ＰＣＳ接続枚数計算ツール!$B$119:$P$149,14,FALSE),0)/100&gt;=IF(過積載率!B18&gt;1,1,過積載率!B18),1,0))</f>
        <v>0</v>
      </c>
      <c r="C18">
        <f>IF(OR(過積載率!C18=0,(標準電圧!C18*標準電圧!C$2-VLOOKUP(HUAWEI製ＰＣＳ接続枚数計算ツール!$C$9, HUAWEI製ＰＣＳ接続枚数計算ツール!$B$119:$P$149,12,FALSE))&lt;0),0,IF(ROUNDDOWN((標準電圧!C18*標準電圧!C$2-VLOOKUP(HUAWEI製ＰＣＳ接続枚数計算ツール!$C$9,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HUAWEI製ＰＣＳ接続枚数計算ツール!$B$119:$P$149,14,FALSE),0)/100&gt;=IF(過積載率!C18&gt;1,1,過積載率!C18),1,0))</f>
        <v>0</v>
      </c>
      <c r="D18">
        <f>IF(OR(過積載率!D18=0,(標準電圧!D18*標準電圧!D$2-VLOOKUP(HUAWEI製ＰＣＳ接続枚数計算ツール!$C$9, HUAWEI製ＰＣＳ接続枚数計算ツール!$B$119:$P$149,12,FALSE))&lt;0),0,IF(ROUNDDOWN((標準電圧!D18*標準電圧!D$2-VLOOKUP(HUAWEI製ＰＣＳ接続枚数計算ツール!$C$9,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HUAWEI製ＰＣＳ接続枚数計算ツール!$B$119:$P$149,14,FALSE),0)/100&gt;=IF(過積載率!D18&gt;1,1,過積載率!D18),1,0))</f>
        <v>0</v>
      </c>
      <c r="E18">
        <f>IF(OR(過積載率!E18=0,(標準電圧!E18*標準電圧!E$2-VLOOKUP(HUAWEI製ＰＣＳ接続枚数計算ツール!$C$9, HUAWEI製ＰＣＳ接続枚数計算ツール!$B$119:$P$149,12,FALSE))&lt;0),0,IF(ROUNDDOWN((標準電圧!E18*標準電圧!E$2-VLOOKUP(HUAWEI製ＰＣＳ接続枚数計算ツール!$C$9,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HUAWEI製ＰＣＳ接続枚数計算ツール!$B$119:$P$149,14,FALSE),0)/100&gt;=IF(過積載率!E18&gt;1,1,過積載率!E18),1,0))</f>
        <v>0</v>
      </c>
      <c r="F18">
        <f>IF(OR(過積載率!F18=0,(標準電圧!F18*標準電圧!F$2-VLOOKUP(HUAWEI製ＰＣＳ接続枚数計算ツール!$C$9, HUAWEI製ＰＣＳ接続枚数計算ツール!$B$119:$P$149,12,FALSE))&lt;0),0,IF(ROUNDDOWN((標準電圧!F18*標準電圧!F$2-VLOOKUP(HUAWEI製ＰＣＳ接続枚数計算ツール!$C$9,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HUAWEI製ＰＣＳ接続枚数計算ツール!$B$119:$P$149,14,FALSE),0)/100&gt;=IF(過積載率!F18&gt;1,1,過積載率!F18),1,0))</f>
        <v>0</v>
      </c>
      <c r="G18">
        <f>IF(OR(過積載率!G18=0,(標準電圧!G18*標準電圧!G$2-VLOOKUP(HUAWEI製ＰＣＳ接続枚数計算ツール!$C$9, HUAWEI製ＰＣＳ接続枚数計算ツール!$B$119:$P$149,12,FALSE))&lt;0),0,IF(ROUNDDOWN((標準電圧!G18*標準電圧!G$2-VLOOKUP(HUAWEI製ＰＣＳ接続枚数計算ツール!$C$9,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HUAWEI製ＰＣＳ接続枚数計算ツール!$B$119:$P$149,14,FALSE),0)/100&gt;=IF(過積載率!G18&gt;1,1,過積載率!G18),1,0))</f>
        <v>0</v>
      </c>
      <c r="H18">
        <f>IF(OR(過積載率!H18=0,(標準電圧!H18*標準電圧!H$2-VLOOKUP(HUAWEI製ＰＣＳ接続枚数計算ツール!$C$9, HUAWEI製ＰＣＳ接続枚数計算ツール!$B$119:$P$149,12,FALSE))&lt;0),0,IF(ROUNDDOWN((標準電圧!H18*標準電圧!H$2-VLOOKUP(HUAWEI製ＰＣＳ接続枚数計算ツール!$C$9,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HUAWEI製ＰＣＳ接続枚数計算ツール!$B$119:$P$149,14,FALSE),0)/100&gt;=IF(過積載率!H18&gt;1,1,過積載率!H18),1,0))</f>
        <v>0</v>
      </c>
      <c r="I18">
        <f>IF(OR(過積載率!I18=0,(標準電圧!I18*標準電圧!I$2-VLOOKUP(HUAWEI製ＰＣＳ接続枚数計算ツール!$C$9, HUAWEI製ＰＣＳ接続枚数計算ツール!$B$119:$P$149,12,FALSE))&lt;0),0,IF(ROUNDDOWN((標準電圧!I18*標準電圧!I$2-VLOOKUP(HUAWEI製ＰＣＳ接続枚数計算ツール!$C$9,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HUAWEI製ＰＣＳ接続枚数計算ツール!$B$119:$P$149,14,FALSE),0)/100&gt;=IF(過積載率!I18&gt;1,1,過積載率!I18),1,0))</f>
        <v>0</v>
      </c>
      <c r="J18">
        <f>IF(OR(過積載率!J18=0,(標準電圧!J18*標準電圧!J$2-VLOOKUP(HUAWEI製ＰＣＳ接続枚数計算ツール!$C$9, HUAWEI製ＰＣＳ接続枚数計算ツール!$B$119:$P$149,12,FALSE))&lt;0),0,IF(ROUNDDOWN((標準電圧!J18*標準電圧!J$2-VLOOKUP(HUAWEI製ＰＣＳ接続枚数計算ツール!$C$9,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HUAWEI製ＰＣＳ接続枚数計算ツール!$B$119:$P$149,14,FALSE),0)/100&gt;=IF(過積載率!J18&gt;1,1,過積載率!J18),1,0))</f>
        <v>0</v>
      </c>
      <c r="K18">
        <f>IF(OR(過積載率!K18=0,(標準電圧!K18*標準電圧!K$2-VLOOKUP(HUAWEI製ＰＣＳ接続枚数計算ツール!$C$9, HUAWEI製ＰＣＳ接続枚数計算ツール!$B$119:$P$149,12,FALSE))&lt;0),0,IF(ROUNDDOWN((標準電圧!K18*標準電圧!K$2-VLOOKUP(HUAWEI製ＰＣＳ接続枚数計算ツール!$C$9,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HUAWEI製ＰＣＳ接続枚数計算ツール!$B$119:$P$149,14,FALSE),0)/100&gt;=IF(過積載率!K18&gt;1,1,過積載率!K18),1,0))</f>
        <v>0</v>
      </c>
      <c r="L18">
        <f>IF(OR(過積載率!L18=0,(標準電圧!L18*標準電圧!L$2-VLOOKUP(HUAWEI製ＰＣＳ接続枚数計算ツール!$C$9, HUAWEI製ＰＣＳ接続枚数計算ツール!$B$119:$P$149,12,FALSE))&lt;0),0,IF(ROUNDDOWN((標準電圧!L18*標準電圧!L$2-VLOOKUP(HUAWEI製ＰＣＳ接続枚数計算ツール!$C$9,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HUAWEI製ＰＣＳ接続枚数計算ツール!$B$119:$P$149,14,FALSE),0)/100&gt;=IF(過積載率!L18&gt;1,1,過積載率!L18),1,0))</f>
        <v>0</v>
      </c>
      <c r="M18">
        <f>IF(OR(過積載率!M18=0,(標準電圧!M18*標準電圧!M$2-VLOOKUP(HUAWEI製ＰＣＳ接続枚数計算ツール!$C$9, HUAWEI製ＰＣＳ接続枚数計算ツール!$B$119:$P$149,12,FALSE))&lt;0),0,IF(ROUNDDOWN((標準電圧!M18*標準電圧!M$2-VLOOKUP(HUAWEI製ＰＣＳ接続枚数計算ツール!$C$9,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HUAWEI製ＰＣＳ接続枚数計算ツール!$B$119:$P$149,14,FALSE),0)/100&gt;=IF(過積載率!M18&gt;1,1,過積載率!M18),1,0))</f>
        <v>0</v>
      </c>
      <c r="N18">
        <f>IF(OR(過積載率!N18=0,(標準電圧!N18*標準電圧!N$2-VLOOKUP(HUAWEI製ＰＣＳ接続枚数計算ツール!$C$9, HUAWEI製ＰＣＳ接続枚数計算ツール!$B$119:$P$149,12,FALSE))&lt;0),0,IF(ROUNDDOWN((標準電圧!N18*標準電圧!N$2-VLOOKUP(HUAWEI製ＰＣＳ接続枚数計算ツール!$C$9,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HUAWEI製ＰＣＳ接続枚数計算ツール!$B$119:$P$149,14,FALSE),0)/100&gt;=IF(過積載率!N18&gt;1,1,過積載率!N18),1,0))</f>
        <v>0</v>
      </c>
      <c r="O18">
        <f>IF(OR(過積載率!O18=0,(標準電圧!O18*標準電圧!O$2-VLOOKUP(HUAWEI製ＰＣＳ接続枚数計算ツール!$C$9, HUAWEI製ＰＣＳ接続枚数計算ツール!$B$119:$P$149,12,FALSE))&lt;0),0,IF(ROUNDDOWN((標準電圧!O18*標準電圧!O$2-VLOOKUP(HUAWEI製ＰＣＳ接続枚数計算ツール!$C$9,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HUAWEI製ＰＣＳ接続枚数計算ツール!$B$119:$P$149,14,FALSE),0)/100&gt;=IF(過積載率!O18&gt;1,1,過積載率!O18),1,0))</f>
        <v>0</v>
      </c>
      <c r="P18">
        <f>IF(OR(過積載率!P18=0,(標準電圧!P18*標準電圧!P$2-VLOOKUP(HUAWEI製ＰＣＳ接続枚数計算ツール!$C$9, HUAWEI製ＰＣＳ接続枚数計算ツール!$B$119:$P$149,12,FALSE))&lt;0),0,IF(ROUNDDOWN((標準電圧!P18*標準電圧!P$2-VLOOKUP(HUAWEI製ＰＣＳ接続枚数計算ツール!$C$9,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HUAWEI製ＰＣＳ接続枚数計算ツール!$B$119:$P$149,14,FALSE),0)/100&gt;=IF(過積載率!P18&gt;1,1,過積載率!P18),1,0))</f>
        <v>0</v>
      </c>
      <c r="Q18">
        <f>IF(OR(過積載率!Q18=0,(標準電圧!Q18*標準電圧!Q$2-VLOOKUP(HUAWEI製ＰＣＳ接続枚数計算ツール!$C$9, HUAWEI製ＰＣＳ接続枚数計算ツール!$B$119:$P$149,12,FALSE))&lt;0),0,IF(ROUNDDOWN((標準電圧!Q18*標準電圧!Q$2-VLOOKUP(HUAWEI製ＰＣＳ接続枚数計算ツール!$C$9,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HUAWEI製ＰＣＳ接続枚数計算ツール!$B$119:$P$149,14,FALSE),0)/100&gt;=IF(過積載率!Q18&gt;1,1,過積載率!Q18),1,0))</f>
        <v>0</v>
      </c>
      <c r="R18">
        <f>IF(OR(過積載率!R18=0,(標準電圧!R18*標準電圧!R$2-VLOOKUP(HUAWEI製ＰＣＳ接続枚数計算ツール!$C$9, HUAWEI製ＰＣＳ接続枚数計算ツール!$B$119:$P$149,12,FALSE))&lt;0),0,IF(ROUNDDOWN((標準電圧!R18*標準電圧!R$2-VLOOKUP(HUAWEI製ＰＣＳ接続枚数計算ツール!$C$9,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HUAWEI製ＰＣＳ接続枚数計算ツール!$B$119:$P$149,14,FALSE),0)/100&gt;=IF(過積載率!R18&gt;1,1,過積載率!R18),1,0))</f>
        <v>1</v>
      </c>
      <c r="S18">
        <f>IF(OR(過積載率!S18=0,(標準電圧!S18*標準電圧!S$2-VLOOKUP(HUAWEI製ＰＣＳ接続枚数計算ツール!$C$9, HUAWEI製ＰＣＳ接続枚数計算ツール!$B$119:$P$149,12,FALSE))&lt;0),0,IF(ROUNDDOWN((標準電圧!S18*標準電圧!S$2-VLOOKUP(HUAWEI製ＰＣＳ接続枚数計算ツール!$C$9,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HUAWEI製ＰＣＳ接続枚数計算ツール!$B$119:$P$149,14,FALSE),0)/100&gt;=IF(過積載率!S18&gt;1,1,過積載率!S18),1,0))</f>
        <v>1</v>
      </c>
      <c r="T18">
        <f>IF(OR(過積載率!T18=0,(標準電圧!T18*標準電圧!T$2-VLOOKUP(HUAWEI製ＰＣＳ接続枚数計算ツール!$C$9, HUAWEI製ＰＣＳ接続枚数計算ツール!$B$119:$P$149,12,FALSE))&lt;0),0,IF(ROUNDDOWN((標準電圧!T18*標準電圧!T$2-VLOOKUP(HUAWEI製ＰＣＳ接続枚数計算ツール!$C$9,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HUAWEI製ＰＣＳ接続枚数計算ツール!$B$119:$P$149,14,FALSE),0)/100&gt;=IF(過積載率!T18&gt;1,1,過積載率!T18),1,0))</f>
        <v>1</v>
      </c>
      <c r="U18">
        <f>IF(OR(過積載率!U18=0,(標準電圧!U18*標準電圧!U$2-VLOOKUP(HUAWEI製ＰＣＳ接続枚数計算ツール!$C$9, HUAWEI製ＰＣＳ接続枚数計算ツール!$B$119:$P$149,12,FALSE))&lt;0),0,IF(ROUNDDOWN((標準電圧!U18*標準電圧!U$2-VLOOKUP(HUAWEI製ＰＣＳ接続枚数計算ツール!$C$9,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HUAWEI製ＰＣＳ接続枚数計算ツール!$B$119:$P$149,14,FALSE),0)/100&gt;=IF(過積載率!U18&gt;1,1,過積載率!U18),1,0))</f>
        <v>1</v>
      </c>
      <c r="V18">
        <f>IF(OR(過積載率!V18=0,(標準電圧!V18*標準電圧!V$2-VLOOKUP(HUAWEI製ＰＣＳ接続枚数計算ツール!$C$9, HUAWEI製ＰＣＳ接続枚数計算ツール!$B$119:$P$149,12,FALSE))&lt;0),0,IF(ROUNDDOWN((標準電圧!V18*標準電圧!V$2-VLOOKUP(HUAWEI製ＰＣＳ接続枚数計算ツール!$C$9,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HUAWEI製ＰＣＳ接続枚数計算ツール!$B$119:$P$149,14,FALSE),0)/100&gt;=IF(過積載率!V18&gt;1,1,過積載率!V18),1,0))</f>
        <v>1</v>
      </c>
      <c r="W18">
        <f>IF(OR(過積載率!W18=0,(標準電圧!W18*標準電圧!W$2-VLOOKUP(HUAWEI製ＰＣＳ接続枚数計算ツール!$C$9, HUAWEI製ＰＣＳ接続枚数計算ツール!$B$119:$P$149,12,FALSE))&lt;0),0,IF(ROUNDDOWN((標準電圧!W18*標準電圧!W$2-VLOOKUP(HUAWEI製ＰＣＳ接続枚数計算ツール!$C$9,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HUAWEI製ＰＣＳ接続枚数計算ツール!$B$119:$P$149,14,FALSE),0)/100&gt;=IF(過積載率!W18&gt;1,1,過積載率!W18),1,0))</f>
        <v>1</v>
      </c>
      <c r="X18">
        <f>IF(OR(過積載率!X18=0,(標準電圧!X18*標準電圧!X$2-VLOOKUP(HUAWEI製ＰＣＳ接続枚数計算ツール!$C$9, HUAWEI製ＰＣＳ接続枚数計算ツール!$B$119:$P$149,12,FALSE))&lt;0),0,IF(ROUNDDOWN((標準電圧!X18*標準電圧!X$2-VLOOKUP(HUAWEI製ＰＣＳ接続枚数計算ツール!$C$9,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HUAWEI製ＰＣＳ接続枚数計算ツール!$B$119:$P$149,14,FALSE),0)/100&gt;=IF(過積載率!X18&gt;1,1,過積載率!X18),1,0))</f>
        <v>1</v>
      </c>
      <c r="Y18">
        <f>IF(OR(過積載率!Y18=0,(標準電圧!Y18*標準電圧!Y$2-VLOOKUP(HUAWEI製ＰＣＳ接続枚数計算ツール!$C$9, HUAWEI製ＰＣＳ接続枚数計算ツール!$B$119:$P$149,12,FALSE))&lt;0),0,IF(ROUNDDOWN((標準電圧!Y18*標準電圧!Y$2-VLOOKUP(HUAWEI製ＰＣＳ接続枚数計算ツール!$C$9,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HUAWEI製ＰＣＳ接続枚数計算ツール!$B$119:$P$149,14,FALSE),0)/100&gt;=IF(過積載率!Y18&gt;1,1,過積載率!Y18),1,0))</f>
        <v>1</v>
      </c>
      <c r="Z18">
        <f>IF(OR(過積載率!Z18=0,(標準電圧!Z18*標準電圧!Z$2-VLOOKUP(HUAWEI製ＰＣＳ接続枚数計算ツール!$C$9, HUAWEI製ＰＣＳ接続枚数計算ツール!$B$119:$P$149,12,FALSE))&lt;0),0,IF(ROUNDDOWN((標準電圧!Z18*標準電圧!Z$2-VLOOKUP(HUAWEI製ＰＣＳ接続枚数計算ツール!$C$9,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HUAWEI製ＰＣＳ接続枚数計算ツール!$B$119:$P$149,14,FALSE),0)/100&gt;=IF(過積載率!Z18&gt;1,1,過積載率!Z18),1,0))</f>
        <v>1</v>
      </c>
      <c r="AA18">
        <f>IF(OR(過積載率!AA18=0,(標準電圧!AA18*標準電圧!AA$2-VLOOKUP(HUAWEI製ＰＣＳ接続枚数計算ツール!$C$9, HUAWEI製ＰＣＳ接続枚数計算ツール!$B$119:$P$149,12,FALSE))&lt;0),0,IF(ROUNDDOWN((標準電圧!AA18*標準電圧!AA$2-VLOOKUP(HUAWEI製ＰＣＳ接続枚数計算ツール!$C$9,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HUAWEI製ＰＣＳ接続枚数計算ツール!$B$119:$P$149,14,FALSE),0)/100&gt;=IF(過積載率!AA18&gt;1,1,過積載率!AA18),1,0))</f>
        <v>1</v>
      </c>
      <c r="AB18">
        <f>IF(OR(過積載率!AB18=0,(標準電圧!AB18*標準電圧!AB$2-VLOOKUP(HUAWEI製ＰＣＳ接続枚数計算ツール!$C$9, HUAWEI製ＰＣＳ接続枚数計算ツール!$B$119:$P$149,12,FALSE))&lt;0),0,IF(ROUNDDOWN((標準電圧!AB18*標準電圧!AB$2-VLOOKUP(HUAWEI製ＰＣＳ接続枚数計算ツール!$C$9,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HUAWEI製ＰＣＳ接続枚数計算ツール!$B$119:$P$149,14,FALSE),0)/100&gt;=IF(過積載率!AB18&gt;1,1,過積載率!AB18),1,0))</f>
        <v>1</v>
      </c>
      <c r="AC18">
        <f>IF(OR(過積載率!AC18=0,(標準電圧!AC18*標準電圧!AC$2-VLOOKUP(HUAWEI製ＰＣＳ接続枚数計算ツール!$C$9, HUAWEI製ＰＣＳ接続枚数計算ツール!$B$119:$P$149,12,FALSE))&lt;0),0,IF(ROUNDDOWN((標準電圧!AC18*標準電圧!AC$2-VLOOKUP(HUAWEI製ＰＣＳ接続枚数計算ツール!$C$9,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HUAWEI製ＰＣＳ接続枚数計算ツール!$B$119:$P$149,14,FALSE),0)/100&gt;=IF(過積載率!AC18&gt;1,1,過積載率!AC18),1,0))</f>
        <v>1</v>
      </c>
      <c r="AD18">
        <f>IF(OR(過積載率!AD18=0,(標準電圧!AD18*標準電圧!AD$2-VLOOKUP(HUAWEI製ＰＣＳ接続枚数計算ツール!$C$9, HUAWEI製ＰＣＳ接続枚数計算ツール!$B$119:$P$149,12,FALSE))&lt;0),0,IF(ROUNDDOWN((標準電圧!AD18*標準電圧!AD$2-VLOOKUP(HUAWEI製ＰＣＳ接続枚数計算ツール!$C$9,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HUAWEI製ＰＣＳ接続枚数計算ツール!$B$119:$P$149,14,FALSE),0)/100&gt;=IF(過積載率!AD18&gt;1,1,過積載率!AD18),1,0))</f>
        <v>1</v>
      </c>
      <c r="AE18">
        <f>IF(OR(過積載率!AE18=0,(標準電圧!AE18*標準電圧!AE$2-VLOOKUP(HUAWEI製ＰＣＳ接続枚数計算ツール!$C$9, HUAWEI製ＰＣＳ接続枚数計算ツール!$B$119:$P$149,12,FALSE))&lt;0),0,IF(ROUNDDOWN((標準電圧!AE18*標準電圧!AE$2-VLOOKUP(HUAWEI製ＰＣＳ接続枚数計算ツール!$C$9,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HUAWEI製ＰＣＳ接続枚数計算ツール!$B$119:$P$149,14,FALSE),0)/100&gt;=IF(過積載率!AE18&gt;1,1,過積載率!AE18),1,0))</f>
        <v>1</v>
      </c>
      <c r="AF18">
        <f>IF(OR(過積載率!AF18=0,(標準電圧!AF18*標準電圧!AF$2-VLOOKUP(HUAWEI製ＰＣＳ接続枚数計算ツール!$C$9, HUAWEI製ＰＣＳ接続枚数計算ツール!$B$119:$P$149,12,FALSE))&lt;0),0,IF(ROUNDDOWN((標準電圧!AF18*標準電圧!AF$2-VLOOKUP(HUAWEI製ＰＣＳ接続枚数計算ツール!$C$9,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HUAWEI製ＰＣＳ接続枚数計算ツール!$B$119:$P$149,14,FALSE),0)/100&gt;=IF(過積載率!AF18&gt;1,1,過積載率!AF18),1,0))</f>
        <v>1</v>
      </c>
      <c r="AG18">
        <f>IF(OR(過積載率!AG18=0,(標準電圧!AG18*標準電圧!AG$2-VLOOKUP(HUAWEI製ＰＣＳ接続枚数計算ツール!$C$9, HUAWEI製ＰＣＳ接続枚数計算ツール!$B$119:$P$149,12,FALSE))&lt;0),0,IF(ROUNDDOWN((標準電圧!AG18*標準電圧!AG$2-VLOOKUP(HUAWEI製ＰＣＳ接続枚数計算ツール!$C$9,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HUAWEI製ＰＣＳ接続枚数計算ツール!$B$119:$P$149,14,FALSE),0)/100&gt;=IF(過積載率!AG18&gt;1,1,過積載率!AG18),1,0))</f>
        <v>1</v>
      </c>
      <c r="AH18">
        <f>IF(OR(過積載率!AH18=0,(標準電圧!AH18*標準電圧!AH$2-VLOOKUP(HUAWEI製ＰＣＳ接続枚数計算ツール!$C$9, HUAWEI製ＰＣＳ接続枚数計算ツール!$B$119:$P$149,12,FALSE))&lt;0),0,IF(ROUNDDOWN((標準電圧!AH18*標準電圧!AH$2-VLOOKUP(HUAWEI製ＰＣＳ接続枚数計算ツール!$C$9,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HUAWEI製ＰＣＳ接続枚数計算ツール!$B$119:$P$149,14,FALSE),0)/100&gt;=IF(過積載率!AH18&gt;1,1,過積載率!AH18),1,0))</f>
        <v>1</v>
      </c>
      <c r="AI18">
        <f>IF(OR(過積載率!AI18=0,(標準電圧!AI18*標準電圧!AI$2-VLOOKUP(HUAWEI製ＰＣＳ接続枚数計算ツール!$C$9, HUAWEI製ＰＣＳ接続枚数計算ツール!$B$119:$P$149,12,FALSE))&lt;0),0,IF(ROUNDDOWN((標準電圧!AI18*標準電圧!AI$2-VLOOKUP(HUAWEI製ＰＣＳ接続枚数計算ツール!$C$9,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HUAWEI製ＰＣＳ接続枚数計算ツール!$B$119:$P$149,14,FALSE),0)/100&gt;=IF(過積載率!AI18&gt;1,1,過積載率!AI18),1,0))</f>
        <v>1</v>
      </c>
      <c r="AJ18">
        <f>IF(OR(過積載率!AJ18=0,(標準電圧!AJ18*標準電圧!AJ$2-VLOOKUP(HUAWEI製ＰＣＳ接続枚数計算ツール!$C$9, HUAWEI製ＰＣＳ接続枚数計算ツール!$B$119:$P$149,12,FALSE))&lt;0),0,IF(ROUNDDOWN((標準電圧!AJ18*標準電圧!AJ$2-VLOOKUP(HUAWEI製ＰＣＳ接続枚数計算ツール!$C$9,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HUAWEI製ＰＣＳ接続枚数計算ツール!$B$119:$P$149,14,FALSE),0)/100&gt;=IF(過積載率!AJ18&gt;1,1,過積載率!AJ18),1,0))</f>
        <v>1</v>
      </c>
      <c r="AK18">
        <f>IF(OR(過積載率!AK18=0,(標準電圧!AK18*標準電圧!AK$2-VLOOKUP(HUAWEI製ＰＣＳ接続枚数計算ツール!$C$9, HUAWEI製ＰＣＳ接続枚数計算ツール!$B$119:$P$149,12,FALSE))&lt;0),0,IF(ROUNDDOWN((標準電圧!AK18*標準電圧!AK$2-VLOOKUP(HUAWEI製ＰＣＳ接続枚数計算ツール!$C$9,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HUAWEI製ＰＣＳ接続枚数計算ツール!$B$119:$P$149,14,FALSE),0)/100&gt;=IF(過積載率!AK18&gt;1,1,過積載率!AK18),1,0))</f>
        <v>1</v>
      </c>
      <c r="AL18">
        <f>IF(OR(過積載率!AL18=0,(標準電圧!AL18*標準電圧!AL$2-VLOOKUP(HUAWEI製ＰＣＳ接続枚数計算ツール!$C$9, HUAWEI製ＰＣＳ接続枚数計算ツール!$B$119:$P$149,12,FALSE))&lt;0),0,IF(ROUNDDOWN((標準電圧!AL18*標準電圧!AL$2-VLOOKUP(HUAWEI製ＰＣＳ接続枚数計算ツール!$C$9,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HUAWEI製ＰＣＳ接続枚数計算ツール!$B$119:$P$149,14,FALSE),0)/100&gt;=IF(過積載率!AL18&gt;1,1,過積載率!AL18),1,0))</f>
        <v>1</v>
      </c>
      <c r="AM18">
        <f>IF(OR(過積載率!AM18=0,(標準電圧!AM18*標準電圧!AM$2-VLOOKUP(HUAWEI製ＰＣＳ接続枚数計算ツール!$C$9, HUAWEI製ＰＣＳ接続枚数計算ツール!$B$119:$P$149,12,FALSE))&lt;0),0,IF(ROUNDDOWN((標準電圧!AM18*標準電圧!AM$2-VLOOKUP(HUAWEI製ＰＣＳ接続枚数計算ツール!$C$9,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HUAWEI製ＰＣＳ接続枚数計算ツール!$B$119:$P$149,14,FALSE),0)/100&gt;=IF(過積載率!AM18&gt;1,1,過積載率!AM18),1,0))</f>
        <v>1</v>
      </c>
      <c r="AN18">
        <f>IF(OR(過積載率!AN18=0,(標準電圧!AN18*標準電圧!AN$2-VLOOKUP(HUAWEI製ＰＣＳ接続枚数計算ツール!$C$9, HUAWEI製ＰＣＳ接続枚数計算ツール!$B$119:$P$149,12,FALSE))&lt;0),0,IF(ROUNDDOWN((標準電圧!AN18*標準電圧!AN$2-VLOOKUP(HUAWEI製ＰＣＳ接続枚数計算ツール!$C$9,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HUAWEI製ＰＣＳ接続枚数計算ツール!$B$119:$P$149,14,FALSE),0)/100&gt;=IF(過積載率!AN18&gt;1,1,過積載率!AN18),1,0))</f>
        <v>1</v>
      </c>
      <c r="AO18">
        <f>IF(OR(過積載率!AO18=0,(標準電圧!AO18*標準電圧!AO$2-VLOOKUP(HUAWEI製ＰＣＳ接続枚数計算ツール!$C$9, HUAWEI製ＰＣＳ接続枚数計算ツール!$B$119:$P$149,12,FALSE))&lt;0),0,IF(ROUNDDOWN((標準電圧!AO18*標準電圧!AO$2-VLOOKUP(HUAWEI製ＰＣＳ接続枚数計算ツール!$C$9,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HUAWEI製ＰＣＳ接続枚数計算ツール!$B$119:$P$149,14,FALSE),0)/100&gt;=IF(過積載率!AO18&gt;1,1,過積載率!AO18),1,0))</f>
        <v>1</v>
      </c>
    </row>
    <row r="19" spans="1:41">
      <c r="A19">
        <v>17</v>
      </c>
      <c r="B19">
        <f>IF(OR(過積載率!B19=0,(標準電圧!B19*標準電圧!B$2-VLOOKUP(HUAWEI製ＰＣＳ接続枚数計算ツール!$C$9, HUAWEI製ＰＣＳ接続枚数計算ツール!$B$119:$P$149,12,FALSE))&lt;0),0,IF(ROUNDDOWN((標準電圧!B19*標準電圧!B$2-VLOOKUP(HUAWEI製ＰＣＳ接続枚数計算ツール!$C$9,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HUAWEI製ＰＣＳ接続枚数計算ツール!$B$119:$P$149,14,FALSE),0)/100&gt;=IF(過積載率!B19&gt;1,1,過積載率!B19),1,0))</f>
        <v>0</v>
      </c>
      <c r="C19">
        <f>IF(OR(過積載率!C19=0,(標準電圧!C19*標準電圧!C$2-VLOOKUP(HUAWEI製ＰＣＳ接続枚数計算ツール!$C$9, HUAWEI製ＰＣＳ接続枚数計算ツール!$B$119:$P$149,12,FALSE))&lt;0),0,IF(ROUNDDOWN((標準電圧!C19*標準電圧!C$2-VLOOKUP(HUAWEI製ＰＣＳ接続枚数計算ツール!$C$9,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HUAWEI製ＰＣＳ接続枚数計算ツール!$B$119:$P$149,14,FALSE),0)/100&gt;=IF(過積載率!C19&gt;1,1,過積載率!C19),1,0))</f>
        <v>0</v>
      </c>
      <c r="D19">
        <f>IF(OR(過積載率!D19=0,(標準電圧!D19*標準電圧!D$2-VLOOKUP(HUAWEI製ＰＣＳ接続枚数計算ツール!$C$9, HUAWEI製ＰＣＳ接続枚数計算ツール!$B$119:$P$149,12,FALSE))&lt;0),0,IF(ROUNDDOWN((標準電圧!D19*標準電圧!D$2-VLOOKUP(HUAWEI製ＰＣＳ接続枚数計算ツール!$C$9,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HUAWEI製ＰＣＳ接続枚数計算ツール!$B$119:$P$149,14,FALSE),0)/100&gt;=IF(過積載率!D19&gt;1,1,過積載率!D19),1,0))</f>
        <v>0</v>
      </c>
      <c r="E19">
        <f>IF(OR(過積載率!E19=0,(標準電圧!E19*標準電圧!E$2-VLOOKUP(HUAWEI製ＰＣＳ接続枚数計算ツール!$C$9, HUAWEI製ＰＣＳ接続枚数計算ツール!$B$119:$P$149,12,FALSE))&lt;0),0,IF(ROUNDDOWN((標準電圧!E19*標準電圧!E$2-VLOOKUP(HUAWEI製ＰＣＳ接続枚数計算ツール!$C$9,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HUAWEI製ＰＣＳ接続枚数計算ツール!$B$119:$P$149,14,FALSE),0)/100&gt;=IF(過積載率!E19&gt;1,1,過積載率!E19),1,0))</f>
        <v>0</v>
      </c>
      <c r="F19">
        <f>IF(OR(過積載率!F19=0,(標準電圧!F19*標準電圧!F$2-VLOOKUP(HUAWEI製ＰＣＳ接続枚数計算ツール!$C$9, HUAWEI製ＰＣＳ接続枚数計算ツール!$B$119:$P$149,12,FALSE))&lt;0),0,IF(ROUNDDOWN((標準電圧!F19*標準電圧!F$2-VLOOKUP(HUAWEI製ＰＣＳ接続枚数計算ツール!$C$9,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HUAWEI製ＰＣＳ接続枚数計算ツール!$B$119:$P$149,14,FALSE),0)/100&gt;=IF(過積載率!F19&gt;1,1,過積載率!F19),1,0))</f>
        <v>0</v>
      </c>
      <c r="G19">
        <f>IF(OR(過積載率!G19=0,(標準電圧!G19*標準電圧!G$2-VLOOKUP(HUAWEI製ＰＣＳ接続枚数計算ツール!$C$9, HUAWEI製ＰＣＳ接続枚数計算ツール!$B$119:$P$149,12,FALSE))&lt;0),0,IF(ROUNDDOWN((標準電圧!G19*標準電圧!G$2-VLOOKUP(HUAWEI製ＰＣＳ接続枚数計算ツール!$C$9,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HUAWEI製ＰＣＳ接続枚数計算ツール!$B$119:$P$149,14,FALSE),0)/100&gt;=IF(過積載率!G19&gt;1,1,過積載率!G19),1,0))</f>
        <v>0</v>
      </c>
      <c r="H19">
        <f>IF(OR(過積載率!H19=0,(標準電圧!H19*標準電圧!H$2-VLOOKUP(HUAWEI製ＰＣＳ接続枚数計算ツール!$C$9, HUAWEI製ＰＣＳ接続枚数計算ツール!$B$119:$P$149,12,FALSE))&lt;0),0,IF(ROUNDDOWN((標準電圧!H19*標準電圧!H$2-VLOOKUP(HUAWEI製ＰＣＳ接続枚数計算ツール!$C$9,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HUAWEI製ＰＣＳ接続枚数計算ツール!$B$119:$P$149,14,FALSE),0)/100&gt;=IF(過積載率!H19&gt;1,1,過積載率!H19),1,0))</f>
        <v>0</v>
      </c>
      <c r="I19">
        <f>IF(OR(過積載率!I19=0,(標準電圧!I19*標準電圧!I$2-VLOOKUP(HUAWEI製ＰＣＳ接続枚数計算ツール!$C$9, HUAWEI製ＰＣＳ接続枚数計算ツール!$B$119:$P$149,12,FALSE))&lt;0),0,IF(ROUNDDOWN((標準電圧!I19*標準電圧!I$2-VLOOKUP(HUAWEI製ＰＣＳ接続枚数計算ツール!$C$9,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HUAWEI製ＰＣＳ接続枚数計算ツール!$B$119:$P$149,14,FALSE),0)/100&gt;=IF(過積載率!I19&gt;1,1,過積載率!I19),1,0))</f>
        <v>0</v>
      </c>
      <c r="J19">
        <f>IF(OR(過積載率!J19=0,(標準電圧!J19*標準電圧!J$2-VLOOKUP(HUAWEI製ＰＣＳ接続枚数計算ツール!$C$9, HUAWEI製ＰＣＳ接続枚数計算ツール!$B$119:$P$149,12,FALSE))&lt;0),0,IF(ROUNDDOWN((標準電圧!J19*標準電圧!J$2-VLOOKUP(HUAWEI製ＰＣＳ接続枚数計算ツール!$C$9,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HUAWEI製ＰＣＳ接続枚数計算ツール!$B$119:$P$149,14,FALSE),0)/100&gt;=IF(過積載率!J19&gt;1,1,過積載率!J19),1,0))</f>
        <v>0</v>
      </c>
      <c r="K19">
        <f>IF(OR(過積載率!K19=0,(標準電圧!K19*標準電圧!K$2-VLOOKUP(HUAWEI製ＰＣＳ接続枚数計算ツール!$C$9, HUAWEI製ＰＣＳ接続枚数計算ツール!$B$119:$P$149,12,FALSE))&lt;0),0,IF(ROUNDDOWN((標準電圧!K19*標準電圧!K$2-VLOOKUP(HUAWEI製ＰＣＳ接続枚数計算ツール!$C$9,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HUAWEI製ＰＣＳ接続枚数計算ツール!$B$119:$P$149,14,FALSE),0)/100&gt;=IF(過積載率!K19&gt;1,1,過積載率!K19),1,0))</f>
        <v>0</v>
      </c>
      <c r="L19">
        <f>IF(OR(過積載率!L19=0,(標準電圧!L19*標準電圧!L$2-VLOOKUP(HUAWEI製ＰＣＳ接続枚数計算ツール!$C$9, HUAWEI製ＰＣＳ接続枚数計算ツール!$B$119:$P$149,12,FALSE))&lt;0),0,IF(ROUNDDOWN((標準電圧!L19*標準電圧!L$2-VLOOKUP(HUAWEI製ＰＣＳ接続枚数計算ツール!$C$9,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HUAWEI製ＰＣＳ接続枚数計算ツール!$B$119:$P$149,14,FALSE),0)/100&gt;=IF(過積載率!L19&gt;1,1,過積載率!L19),1,0))</f>
        <v>0</v>
      </c>
      <c r="M19">
        <f>IF(OR(過積載率!M19=0,(標準電圧!M19*標準電圧!M$2-VLOOKUP(HUAWEI製ＰＣＳ接続枚数計算ツール!$C$9, HUAWEI製ＰＣＳ接続枚数計算ツール!$B$119:$P$149,12,FALSE))&lt;0),0,IF(ROUNDDOWN((標準電圧!M19*標準電圧!M$2-VLOOKUP(HUAWEI製ＰＣＳ接続枚数計算ツール!$C$9,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HUAWEI製ＰＣＳ接続枚数計算ツール!$B$119:$P$149,14,FALSE),0)/100&gt;=IF(過積載率!M19&gt;1,1,過積載率!M19),1,0))</f>
        <v>0</v>
      </c>
      <c r="N19">
        <f>IF(OR(過積載率!N19=0,(標準電圧!N19*標準電圧!N$2-VLOOKUP(HUAWEI製ＰＣＳ接続枚数計算ツール!$C$9, HUAWEI製ＰＣＳ接続枚数計算ツール!$B$119:$P$149,12,FALSE))&lt;0),0,IF(ROUNDDOWN((標準電圧!N19*標準電圧!N$2-VLOOKUP(HUAWEI製ＰＣＳ接続枚数計算ツール!$C$9,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HUAWEI製ＰＣＳ接続枚数計算ツール!$B$119:$P$149,14,FALSE),0)/100&gt;=IF(過積載率!N19&gt;1,1,過積載率!N19),1,0))</f>
        <v>0</v>
      </c>
      <c r="O19">
        <f>IF(OR(過積載率!O19=0,(標準電圧!O19*標準電圧!O$2-VLOOKUP(HUAWEI製ＰＣＳ接続枚数計算ツール!$C$9, HUAWEI製ＰＣＳ接続枚数計算ツール!$B$119:$P$149,12,FALSE))&lt;0),0,IF(ROUNDDOWN((標準電圧!O19*標準電圧!O$2-VLOOKUP(HUAWEI製ＰＣＳ接続枚数計算ツール!$C$9,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HUAWEI製ＰＣＳ接続枚数計算ツール!$B$119:$P$149,14,FALSE),0)/100&gt;=IF(過積載率!O19&gt;1,1,過積載率!O19),1,0))</f>
        <v>0</v>
      </c>
      <c r="P19">
        <f>IF(OR(過積載率!P19=0,(標準電圧!P19*標準電圧!P$2-VLOOKUP(HUAWEI製ＰＣＳ接続枚数計算ツール!$C$9, HUAWEI製ＰＣＳ接続枚数計算ツール!$B$119:$P$149,12,FALSE))&lt;0),0,IF(ROUNDDOWN((標準電圧!P19*標準電圧!P$2-VLOOKUP(HUAWEI製ＰＣＳ接続枚数計算ツール!$C$9,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HUAWEI製ＰＣＳ接続枚数計算ツール!$B$119:$P$149,14,FALSE),0)/100&gt;=IF(過積載率!P19&gt;1,1,過積載率!P19),1,0))</f>
        <v>0</v>
      </c>
      <c r="Q19">
        <f>IF(OR(過積載率!Q19=0,(標準電圧!Q19*標準電圧!Q$2-VLOOKUP(HUAWEI製ＰＣＳ接続枚数計算ツール!$C$9, HUAWEI製ＰＣＳ接続枚数計算ツール!$B$119:$P$149,12,FALSE))&lt;0),0,IF(ROUNDDOWN((標準電圧!Q19*標準電圧!Q$2-VLOOKUP(HUAWEI製ＰＣＳ接続枚数計算ツール!$C$9,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HUAWEI製ＰＣＳ接続枚数計算ツール!$B$119:$P$149,14,FALSE),0)/100&gt;=IF(過積載率!Q19&gt;1,1,過積載率!Q19),1,0))</f>
        <v>0</v>
      </c>
      <c r="R19">
        <f>IF(OR(過積載率!R19=0,(標準電圧!R19*標準電圧!R$2-VLOOKUP(HUAWEI製ＰＣＳ接続枚数計算ツール!$C$9, HUAWEI製ＰＣＳ接続枚数計算ツール!$B$119:$P$149,12,FALSE))&lt;0),0,IF(ROUNDDOWN((標準電圧!R19*標準電圧!R$2-VLOOKUP(HUAWEI製ＰＣＳ接続枚数計算ツール!$C$9,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HUAWEI製ＰＣＳ接続枚数計算ツール!$B$119:$P$149,14,FALSE),0)/100&gt;=IF(過積載率!R19&gt;1,1,過積載率!R19),1,0))</f>
        <v>1</v>
      </c>
      <c r="S19">
        <f>IF(OR(過積載率!S19=0,(標準電圧!S19*標準電圧!S$2-VLOOKUP(HUAWEI製ＰＣＳ接続枚数計算ツール!$C$9, HUAWEI製ＰＣＳ接続枚数計算ツール!$B$119:$P$149,12,FALSE))&lt;0),0,IF(ROUNDDOWN((標準電圧!S19*標準電圧!S$2-VLOOKUP(HUAWEI製ＰＣＳ接続枚数計算ツール!$C$9,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HUAWEI製ＰＣＳ接続枚数計算ツール!$B$119:$P$149,14,FALSE),0)/100&gt;=IF(過積載率!S19&gt;1,1,過積載率!S19),1,0))</f>
        <v>1</v>
      </c>
      <c r="T19">
        <f>IF(OR(過積載率!T19=0,(標準電圧!T19*標準電圧!T$2-VLOOKUP(HUAWEI製ＰＣＳ接続枚数計算ツール!$C$9, HUAWEI製ＰＣＳ接続枚数計算ツール!$B$119:$P$149,12,FALSE))&lt;0),0,IF(ROUNDDOWN((標準電圧!T19*標準電圧!T$2-VLOOKUP(HUAWEI製ＰＣＳ接続枚数計算ツール!$C$9,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HUAWEI製ＰＣＳ接続枚数計算ツール!$B$119:$P$149,14,FALSE),0)/100&gt;=IF(過積載率!T19&gt;1,1,過積載率!T19),1,0))</f>
        <v>1</v>
      </c>
      <c r="U19">
        <f>IF(OR(過積載率!U19=0,(標準電圧!U19*標準電圧!U$2-VLOOKUP(HUAWEI製ＰＣＳ接続枚数計算ツール!$C$9, HUAWEI製ＰＣＳ接続枚数計算ツール!$B$119:$P$149,12,FALSE))&lt;0),0,IF(ROUNDDOWN((標準電圧!U19*標準電圧!U$2-VLOOKUP(HUAWEI製ＰＣＳ接続枚数計算ツール!$C$9,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HUAWEI製ＰＣＳ接続枚数計算ツール!$B$119:$P$149,14,FALSE),0)/100&gt;=IF(過積載率!U19&gt;1,1,過積載率!U19),1,0))</f>
        <v>1</v>
      </c>
      <c r="V19">
        <f>IF(OR(過積載率!V19=0,(標準電圧!V19*標準電圧!V$2-VLOOKUP(HUAWEI製ＰＣＳ接続枚数計算ツール!$C$9, HUAWEI製ＰＣＳ接続枚数計算ツール!$B$119:$P$149,12,FALSE))&lt;0),0,IF(ROUNDDOWN((標準電圧!V19*標準電圧!V$2-VLOOKUP(HUAWEI製ＰＣＳ接続枚数計算ツール!$C$9,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HUAWEI製ＰＣＳ接続枚数計算ツール!$B$119:$P$149,14,FALSE),0)/100&gt;=IF(過積載率!V19&gt;1,1,過積載率!V19),1,0))</f>
        <v>1</v>
      </c>
      <c r="W19">
        <f>IF(OR(過積載率!W19=0,(標準電圧!W19*標準電圧!W$2-VLOOKUP(HUAWEI製ＰＣＳ接続枚数計算ツール!$C$9, HUAWEI製ＰＣＳ接続枚数計算ツール!$B$119:$P$149,12,FALSE))&lt;0),0,IF(ROUNDDOWN((標準電圧!W19*標準電圧!W$2-VLOOKUP(HUAWEI製ＰＣＳ接続枚数計算ツール!$C$9,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HUAWEI製ＰＣＳ接続枚数計算ツール!$B$119:$P$149,14,FALSE),0)/100&gt;=IF(過積載率!W19&gt;1,1,過積載率!W19),1,0))</f>
        <v>1</v>
      </c>
      <c r="X19">
        <f>IF(OR(過積載率!X19=0,(標準電圧!X19*標準電圧!X$2-VLOOKUP(HUAWEI製ＰＣＳ接続枚数計算ツール!$C$9, HUAWEI製ＰＣＳ接続枚数計算ツール!$B$119:$P$149,12,FALSE))&lt;0),0,IF(ROUNDDOWN((標準電圧!X19*標準電圧!X$2-VLOOKUP(HUAWEI製ＰＣＳ接続枚数計算ツール!$C$9,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HUAWEI製ＰＣＳ接続枚数計算ツール!$B$119:$P$149,14,FALSE),0)/100&gt;=IF(過積載率!X19&gt;1,1,過積載率!X19),1,0))</f>
        <v>1</v>
      </c>
      <c r="Y19">
        <f>IF(OR(過積載率!Y19=0,(標準電圧!Y19*標準電圧!Y$2-VLOOKUP(HUAWEI製ＰＣＳ接続枚数計算ツール!$C$9, HUAWEI製ＰＣＳ接続枚数計算ツール!$B$119:$P$149,12,FALSE))&lt;0),0,IF(ROUNDDOWN((標準電圧!Y19*標準電圧!Y$2-VLOOKUP(HUAWEI製ＰＣＳ接続枚数計算ツール!$C$9,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HUAWEI製ＰＣＳ接続枚数計算ツール!$B$119:$P$149,14,FALSE),0)/100&gt;=IF(過積載率!Y19&gt;1,1,過積載率!Y19),1,0))</f>
        <v>1</v>
      </c>
      <c r="Z19">
        <f>IF(OR(過積載率!Z19=0,(標準電圧!Z19*標準電圧!Z$2-VLOOKUP(HUAWEI製ＰＣＳ接続枚数計算ツール!$C$9, HUAWEI製ＰＣＳ接続枚数計算ツール!$B$119:$P$149,12,FALSE))&lt;0),0,IF(ROUNDDOWN((標準電圧!Z19*標準電圧!Z$2-VLOOKUP(HUAWEI製ＰＣＳ接続枚数計算ツール!$C$9,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HUAWEI製ＰＣＳ接続枚数計算ツール!$B$119:$P$149,14,FALSE),0)/100&gt;=IF(過積載率!Z19&gt;1,1,過積載率!Z19),1,0))</f>
        <v>1</v>
      </c>
      <c r="AA19">
        <f>IF(OR(過積載率!AA19=0,(標準電圧!AA19*標準電圧!AA$2-VLOOKUP(HUAWEI製ＰＣＳ接続枚数計算ツール!$C$9, HUAWEI製ＰＣＳ接続枚数計算ツール!$B$119:$P$149,12,FALSE))&lt;0),0,IF(ROUNDDOWN((標準電圧!AA19*標準電圧!AA$2-VLOOKUP(HUAWEI製ＰＣＳ接続枚数計算ツール!$C$9,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HUAWEI製ＰＣＳ接続枚数計算ツール!$B$119:$P$149,14,FALSE),0)/100&gt;=IF(過積載率!AA19&gt;1,1,過積載率!AA19),1,0))</f>
        <v>1</v>
      </c>
      <c r="AB19">
        <f>IF(OR(過積載率!AB19=0,(標準電圧!AB19*標準電圧!AB$2-VLOOKUP(HUAWEI製ＰＣＳ接続枚数計算ツール!$C$9, HUAWEI製ＰＣＳ接続枚数計算ツール!$B$119:$P$149,12,FALSE))&lt;0),0,IF(ROUNDDOWN((標準電圧!AB19*標準電圧!AB$2-VLOOKUP(HUAWEI製ＰＣＳ接続枚数計算ツール!$C$9,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HUAWEI製ＰＣＳ接続枚数計算ツール!$B$119:$P$149,14,FALSE),0)/100&gt;=IF(過積載率!AB19&gt;1,1,過積載率!AB19),1,0))</f>
        <v>1</v>
      </c>
      <c r="AC19">
        <f>IF(OR(過積載率!AC19=0,(標準電圧!AC19*標準電圧!AC$2-VLOOKUP(HUAWEI製ＰＣＳ接続枚数計算ツール!$C$9, HUAWEI製ＰＣＳ接続枚数計算ツール!$B$119:$P$149,12,FALSE))&lt;0),0,IF(ROUNDDOWN((標準電圧!AC19*標準電圧!AC$2-VLOOKUP(HUAWEI製ＰＣＳ接続枚数計算ツール!$C$9,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HUAWEI製ＰＣＳ接続枚数計算ツール!$B$119:$P$149,14,FALSE),0)/100&gt;=IF(過積載率!AC19&gt;1,1,過積載率!AC19),1,0))</f>
        <v>1</v>
      </c>
      <c r="AD19">
        <f>IF(OR(過積載率!AD19=0,(標準電圧!AD19*標準電圧!AD$2-VLOOKUP(HUAWEI製ＰＣＳ接続枚数計算ツール!$C$9, HUAWEI製ＰＣＳ接続枚数計算ツール!$B$119:$P$149,12,FALSE))&lt;0),0,IF(ROUNDDOWN((標準電圧!AD19*標準電圧!AD$2-VLOOKUP(HUAWEI製ＰＣＳ接続枚数計算ツール!$C$9,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HUAWEI製ＰＣＳ接続枚数計算ツール!$B$119:$P$149,14,FALSE),0)/100&gt;=IF(過積載率!AD19&gt;1,1,過積載率!AD19),1,0))</f>
        <v>1</v>
      </c>
      <c r="AE19">
        <f>IF(OR(過積載率!AE19=0,(標準電圧!AE19*標準電圧!AE$2-VLOOKUP(HUAWEI製ＰＣＳ接続枚数計算ツール!$C$9, HUAWEI製ＰＣＳ接続枚数計算ツール!$B$119:$P$149,12,FALSE))&lt;0),0,IF(ROUNDDOWN((標準電圧!AE19*標準電圧!AE$2-VLOOKUP(HUAWEI製ＰＣＳ接続枚数計算ツール!$C$9,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HUAWEI製ＰＣＳ接続枚数計算ツール!$B$119:$P$149,14,FALSE),0)/100&gt;=IF(過積載率!AE19&gt;1,1,過積載率!AE19),1,0))</f>
        <v>1</v>
      </c>
      <c r="AF19">
        <f>IF(OR(過積載率!AF19=0,(標準電圧!AF19*標準電圧!AF$2-VLOOKUP(HUAWEI製ＰＣＳ接続枚数計算ツール!$C$9, HUAWEI製ＰＣＳ接続枚数計算ツール!$B$119:$P$149,12,FALSE))&lt;0),0,IF(ROUNDDOWN((標準電圧!AF19*標準電圧!AF$2-VLOOKUP(HUAWEI製ＰＣＳ接続枚数計算ツール!$C$9,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HUAWEI製ＰＣＳ接続枚数計算ツール!$B$119:$P$149,14,FALSE),0)/100&gt;=IF(過積載率!AF19&gt;1,1,過積載率!AF19),1,0))</f>
        <v>1</v>
      </c>
      <c r="AG19">
        <f>IF(OR(過積載率!AG19=0,(標準電圧!AG19*標準電圧!AG$2-VLOOKUP(HUAWEI製ＰＣＳ接続枚数計算ツール!$C$9, HUAWEI製ＰＣＳ接続枚数計算ツール!$B$119:$P$149,12,FALSE))&lt;0),0,IF(ROUNDDOWN((標準電圧!AG19*標準電圧!AG$2-VLOOKUP(HUAWEI製ＰＣＳ接続枚数計算ツール!$C$9,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HUAWEI製ＰＣＳ接続枚数計算ツール!$B$119:$P$149,14,FALSE),0)/100&gt;=IF(過積載率!AG19&gt;1,1,過積載率!AG19),1,0))</f>
        <v>1</v>
      </c>
      <c r="AH19">
        <f>IF(OR(過積載率!AH19=0,(標準電圧!AH19*標準電圧!AH$2-VLOOKUP(HUAWEI製ＰＣＳ接続枚数計算ツール!$C$9, HUAWEI製ＰＣＳ接続枚数計算ツール!$B$119:$P$149,12,FALSE))&lt;0),0,IF(ROUNDDOWN((標準電圧!AH19*標準電圧!AH$2-VLOOKUP(HUAWEI製ＰＣＳ接続枚数計算ツール!$C$9,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HUAWEI製ＰＣＳ接続枚数計算ツール!$B$119:$P$149,14,FALSE),0)/100&gt;=IF(過積載率!AH19&gt;1,1,過積載率!AH19),1,0))</f>
        <v>1</v>
      </c>
      <c r="AI19">
        <f>IF(OR(過積載率!AI19=0,(標準電圧!AI19*標準電圧!AI$2-VLOOKUP(HUAWEI製ＰＣＳ接続枚数計算ツール!$C$9, HUAWEI製ＰＣＳ接続枚数計算ツール!$B$119:$P$149,12,FALSE))&lt;0),0,IF(ROUNDDOWN((標準電圧!AI19*標準電圧!AI$2-VLOOKUP(HUAWEI製ＰＣＳ接続枚数計算ツール!$C$9,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HUAWEI製ＰＣＳ接続枚数計算ツール!$B$119:$P$149,14,FALSE),0)/100&gt;=IF(過積載率!AI19&gt;1,1,過積載率!AI19),1,0))</f>
        <v>1</v>
      </c>
      <c r="AJ19">
        <f>IF(OR(過積載率!AJ19=0,(標準電圧!AJ19*標準電圧!AJ$2-VLOOKUP(HUAWEI製ＰＣＳ接続枚数計算ツール!$C$9, HUAWEI製ＰＣＳ接続枚数計算ツール!$B$119:$P$149,12,FALSE))&lt;0),0,IF(ROUNDDOWN((標準電圧!AJ19*標準電圧!AJ$2-VLOOKUP(HUAWEI製ＰＣＳ接続枚数計算ツール!$C$9,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HUAWEI製ＰＣＳ接続枚数計算ツール!$B$119:$P$149,14,FALSE),0)/100&gt;=IF(過積載率!AJ19&gt;1,1,過積載率!AJ19),1,0))</f>
        <v>1</v>
      </c>
      <c r="AK19">
        <f>IF(OR(過積載率!AK19=0,(標準電圧!AK19*標準電圧!AK$2-VLOOKUP(HUAWEI製ＰＣＳ接続枚数計算ツール!$C$9, HUAWEI製ＰＣＳ接続枚数計算ツール!$B$119:$P$149,12,FALSE))&lt;0),0,IF(ROUNDDOWN((標準電圧!AK19*標準電圧!AK$2-VLOOKUP(HUAWEI製ＰＣＳ接続枚数計算ツール!$C$9,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HUAWEI製ＰＣＳ接続枚数計算ツール!$B$119:$P$149,14,FALSE),0)/100&gt;=IF(過積載率!AK19&gt;1,1,過積載率!AK19),1,0))</f>
        <v>1</v>
      </c>
      <c r="AL19">
        <f>IF(OR(過積載率!AL19=0,(標準電圧!AL19*標準電圧!AL$2-VLOOKUP(HUAWEI製ＰＣＳ接続枚数計算ツール!$C$9, HUAWEI製ＰＣＳ接続枚数計算ツール!$B$119:$P$149,12,FALSE))&lt;0),0,IF(ROUNDDOWN((標準電圧!AL19*標準電圧!AL$2-VLOOKUP(HUAWEI製ＰＣＳ接続枚数計算ツール!$C$9,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HUAWEI製ＰＣＳ接続枚数計算ツール!$B$119:$P$149,14,FALSE),0)/100&gt;=IF(過積載率!AL19&gt;1,1,過積載率!AL19),1,0))</f>
        <v>1</v>
      </c>
      <c r="AM19">
        <f>IF(OR(過積載率!AM19=0,(標準電圧!AM19*標準電圧!AM$2-VLOOKUP(HUAWEI製ＰＣＳ接続枚数計算ツール!$C$9, HUAWEI製ＰＣＳ接続枚数計算ツール!$B$119:$P$149,12,FALSE))&lt;0),0,IF(ROUNDDOWN((標準電圧!AM19*標準電圧!AM$2-VLOOKUP(HUAWEI製ＰＣＳ接続枚数計算ツール!$C$9,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HUAWEI製ＰＣＳ接続枚数計算ツール!$B$119:$P$149,14,FALSE),0)/100&gt;=IF(過積載率!AM19&gt;1,1,過積載率!AM19),1,0))</f>
        <v>1</v>
      </c>
      <c r="AN19">
        <f>IF(OR(過積載率!AN19=0,(標準電圧!AN19*標準電圧!AN$2-VLOOKUP(HUAWEI製ＰＣＳ接続枚数計算ツール!$C$9, HUAWEI製ＰＣＳ接続枚数計算ツール!$B$119:$P$149,12,FALSE))&lt;0),0,IF(ROUNDDOWN((標準電圧!AN19*標準電圧!AN$2-VLOOKUP(HUAWEI製ＰＣＳ接続枚数計算ツール!$C$9,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HUAWEI製ＰＣＳ接続枚数計算ツール!$B$119:$P$149,14,FALSE),0)/100&gt;=IF(過積載率!AN19&gt;1,1,過積載率!AN19),1,0))</f>
        <v>1</v>
      </c>
      <c r="AO19">
        <f>IF(OR(過積載率!AO19=0,(標準電圧!AO19*標準電圧!AO$2-VLOOKUP(HUAWEI製ＰＣＳ接続枚数計算ツール!$C$9, HUAWEI製ＰＣＳ接続枚数計算ツール!$B$119:$P$149,12,FALSE))&lt;0),0,IF(ROUNDDOWN((標準電圧!AO19*標準電圧!AO$2-VLOOKUP(HUAWEI製ＰＣＳ接続枚数計算ツール!$C$9,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HUAWEI製ＰＣＳ接続枚数計算ツール!$B$119:$P$149,14,FALSE),0)/100&gt;=IF(過積載率!AO19&gt;1,1,過積載率!AO19),1,0))</f>
        <v>1</v>
      </c>
    </row>
    <row r="20" spans="1:41">
      <c r="A20">
        <v>18</v>
      </c>
      <c r="B20">
        <f>IF(OR(過積載率!B20=0,(標準電圧!B20*標準電圧!B$2-VLOOKUP(HUAWEI製ＰＣＳ接続枚数計算ツール!$C$9, HUAWEI製ＰＣＳ接続枚数計算ツール!$B$119:$P$149,12,FALSE))&lt;0),0,IF(ROUNDDOWN((標準電圧!B20*標準電圧!B$2-VLOOKUP(HUAWEI製ＰＣＳ接続枚数計算ツール!$C$9,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HUAWEI製ＰＣＳ接続枚数計算ツール!$B$119:$P$149,14,FALSE),0)/100&gt;=IF(過積載率!B20&gt;1,1,過積載率!B20),1,0))</f>
        <v>0</v>
      </c>
      <c r="C20">
        <f>IF(OR(過積載率!C20=0,(標準電圧!C20*標準電圧!C$2-VLOOKUP(HUAWEI製ＰＣＳ接続枚数計算ツール!$C$9, HUAWEI製ＰＣＳ接続枚数計算ツール!$B$119:$P$149,12,FALSE))&lt;0),0,IF(ROUNDDOWN((標準電圧!C20*標準電圧!C$2-VLOOKUP(HUAWEI製ＰＣＳ接続枚数計算ツール!$C$9,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HUAWEI製ＰＣＳ接続枚数計算ツール!$B$119:$P$149,14,FALSE),0)/100&gt;=IF(過積載率!C20&gt;1,1,過積載率!C20),1,0))</f>
        <v>0</v>
      </c>
      <c r="D20">
        <f>IF(OR(過積載率!D20=0,(標準電圧!D20*標準電圧!D$2-VLOOKUP(HUAWEI製ＰＣＳ接続枚数計算ツール!$C$9, HUAWEI製ＰＣＳ接続枚数計算ツール!$B$119:$P$149,12,FALSE))&lt;0),0,IF(ROUNDDOWN((標準電圧!D20*標準電圧!D$2-VLOOKUP(HUAWEI製ＰＣＳ接続枚数計算ツール!$C$9,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HUAWEI製ＰＣＳ接続枚数計算ツール!$B$119:$P$149,14,FALSE),0)/100&gt;=IF(過積載率!D20&gt;1,1,過積載率!D20),1,0))</f>
        <v>0</v>
      </c>
      <c r="E20">
        <f>IF(OR(過積載率!E20=0,(標準電圧!E20*標準電圧!E$2-VLOOKUP(HUAWEI製ＰＣＳ接続枚数計算ツール!$C$9, HUAWEI製ＰＣＳ接続枚数計算ツール!$B$119:$P$149,12,FALSE))&lt;0),0,IF(ROUNDDOWN((標準電圧!E20*標準電圧!E$2-VLOOKUP(HUAWEI製ＰＣＳ接続枚数計算ツール!$C$9,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HUAWEI製ＰＣＳ接続枚数計算ツール!$B$119:$P$149,14,FALSE),0)/100&gt;=IF(過積載率!E20&gt;1,1,過積載率!E20),1,0))</f>
        <v>0</v>
      </c>
      <c r="F20">
        <f>IF(OR(過積載率!F20=0,(標準電圧!F20*標準電圧!F$2-VLOOKUP(HUAWEI製ＰＣＳ接続枚数計算ツール!$C$9, HUAWEI製ＰＣＳ接続枚数計算ツール!$B$119:$P$149,12,FALSE))&lt;0),0,IF(ROUNDDOWN((標準電圧!F20*標準電圧!F$2-VLOOKUP(HUAWEI製ＰＣＳ接続枚数計算ツール!$C$9,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HUAWEI製ＰＣＳ接続枚数計算ツール!$B$119:$P$149,14,FALSE),0)/100&gt;=IF(過積載率!F20&gt;1,1,過積載率!F20),1,0))</f>
        <v>0</v>
      </c>
      <c r="G20">
        <f>IF(OR(過積載率!G20=0,(標準電圧!G20*標準電圧!G$2-VLOOKUP(HUAWEI製ＰＣＳ接続枚数計算ツール!$C$9, HUAWEI製ＰＣＳ接続枚数計算ツール!$B$119:$P$149,12,FALSE))&lt;0),0,IF(ROUNDDOWN((標準電圧!G20*標準電圧!G$2-VLOOKUP(HUAWEI製ＰＣＳ接続枚数計算ツール!$C$9,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HUAWEI製ＰＣＳ接続枚数計算ツール!$B$119:$P$149,14,FALSE),0)/100&gt;=IF(過積載率!G20&gt;1,1,過積載率!G20),1,0))</f>
        <v>0</v>
      </c>
      <c r="H20">
        <f>IF(OR(過積載率!H20=0,(標準電圧!H20*標準電圧!H$2-VLOOKUP(HUAWEI製ＰＣＳ接続枚数計算ツール!$C$9, HUAWEI製ＰＣＳ接続枚数計算ツール!$B$119:$P$149,12,FALSE))&lt;0),0,IF(ROUNDDOWN((標準電圧!H20*標準電圧!H$2-VLOOKUP(HUAWEI製ＰＣＳ接続枚数計算ツール!$C$9,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HUAWEI製ＰＣＳ接続枚数計算ツール!$B$119:$P$149,14,FALSE),0)/100&gt;=IF(過積載率!H20&gt;1,1,過積載率!H20),1,0))</f>
        <v>0</v>
      </c>
      <c r="I20">
        <f>IF(OR(過積載率!I20=0,(標準電圧!I20*標準電圧!I$2-VLOOKUP(HUAWEI製ＰＣＳ接続枚数計算ツール!$C$9, HUAWEI製ＰＣＳ接続枚数計算ツール!$B$119:$P$149,12,FALSE))&lt;0),0,IF(ROUNDDOWN((標準電圧!I20*標準電圧!I$2-VLOOKUP(HUAWEI製ＰＣＳ接続枚数計算ツール!$C$9,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HUAWEI製ＰＣＳ接続枚数計算ツール!$B$119:$P$149,14,FALSE),0)/100&gt;=IF(過積載率!I20&gt;1,1,過積載率!I20),1,0))</f>
        <v>0</v>
      </c>
      <c r="J20">
        <f>IF(OR(過積載率!J20=0,(標準電圧!J20*標準電圧!J$2-VLOOKUP(HUAWEI製ＰＣＳ接続枚数計算ツール!$C$9, HUAWEI製ＰＣＳ接続枚数計算ツール!$B$119:$P$149,12,FALSE))&lt;0),0,IF(ROUNDDOWN((標準電圧!J20*標準電圧!J$2-VLOOKUP(HUAWEI製ＰＣＳ接続枚数計算ツール!$C$9,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HUAWEI製ＰＣＳ接続枚数計算ツール!$B$119:$P$149,14,FALSE),0)/100&gt;=IF(過積載率!J20&gt;1,1,過積載率!J20),1,0))</f>
        <v>0</v>
      </c>
      <c r="K20">
        <f>IF(OR(過積載率!K20=0,(標準電圧!K20*標準電圧!K$2-VLOOKUP(HUAWEI製ＰＣＳ接続枚数計算ツール!$C$9, HUAWEI製ＰＣＳ接続枚数計算ツール!$B$119:$P$149,12,FALSE))&lt;0),0,IF(ROUNDDOWN((標準電圧!K20*標準電圧!K$2-VLOOKUP(HUAWEI製ＰＣＳ接続枚数計算ツール!$C$9,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HUAWEI製ＰＣＳ接続枚数計算ツール!$B$119:$P$149,14,FALSE),0)/100&gt;=IF(過積載率!K20&gt;1,1,過積載率!K20),1,0))</f>
        <v>0</v>
      </c>
      <c r="L20">
        <f>IF(OR(過積載率!L20=0,(標準電圧!L20*標準電圧!L$2-VLOOKUP(HUAWEI製ＰＣＳ接続枚数計算ツール!$C$9, HUAWEI製ＰＣＳ接続枚数計算ツール!$B$119:$P$149,12,FALSE))&lt;0),0,IF(ROUNDDOWN((標準電圧!L20*標準電圧!L$2-VLOOKUP(HUAWEI製ＰＣＳ接続枚数計算ツール!$C$9,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HUAWEI製ＰＣＳ接続枚数計算ツール!$B$119:$P$149,14,FALSE),0)/100&gt;=IF(過積載率!L20&gt;1,1,過積載率!L20),1,0))</f>
        <v>0</v>
      </c>
      <c r="M20">
        <f>IF(OR(過積載率!M20=0,(標準電圧!M20*標準電圧!M$2-VLOOKUP(HUAWEI製ＰＣＳ接続枚数計算ツール!$C$9, HUAWEI製ＰＣＳ接続枚数計算ツール!$B$119:$P$149,12,FALSE))&lt;0),0,IF(ROUNDDOWN((標準電圧!M20*標準電圧!M$2-VLOOKUP(HUAWEI製ＰＣＳ接続枚数計算ツール!$C$9,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HUAWEI製ＰＣＳ接続枚数計算ツール!$B$119:$P$149,14,FALSE),0)/100&gt;=IF(過積載率!M20&gt;1,1,過積載率!M20),1,0))</f>
        <v>0</v>
      </c>
      <c r="N20">
        <f>IF(OR(過積載率!N20=0,(標準電圧!N20*標準電圧!N$2-VLOOKUP(HUAWEI製ＰＣＳ接続枚数計算ツール!$C$9, HUAWEI製ＰＣＳ接続枚数計算ツール!$B$119:$P$149,12,FALSE))&lt;0),0,IF(ROUNDDOWN((標準電圧!N20*標準電圧!N$2-VLOOKUP(HUAWEI製ＰＣＳ接続枚数計算ツール!$C$9,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HUAWEI製ＰＣＳ接続枚数計算ツール!$B$119:$P$149,14,FALSE),0)/100&gt;=IF(過積載率!N20&gt;1,1,過積載率!N20),1,0))</f>
        <v>0</v>
      </c>
      <c r="O20">
        <f>IF(OR(過積載率!O20=0,(標準電圧!O20*標準電圧!O$2-VLOOKUP(HUAWEI製ＰＣＳ接続枚数計算ツール!$C$9, HUAWEI製ＰＣＳ接続枚数計算ツール!$B$119:$P$149,12,FALSE))&lt;0),0,IF(ROUNDDOWN((標準電圧!O20*標準電圧!O$2-VLOOKUP(HUAWEI製ＰＣＳ接続枚数計算ツール!$C$9,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HUAWEI製ＰＣＳ接続枚数計算ツール!$B$119:$P$149,14,FALSE),0)/100&gt;=IF(過積載率!O20&gt;1,1,過積載率!O20),1,0))</f>
        <v>0</v>
      </c>
      <c r="P20">
        <f>IF(OR(過積載率!P20=0,(標準電圧!P20*標準電圧!P$2-VLOOKUP(HUAWEI製ＰＣＳ接続枚数計算ツール!$C$9, HUAWEI製ＰＣＳ接続枚数計算ツール!$B$119:$P$149,12,FALSE))&lt;0),0,IF(ROUNDDOWN((標準電圧!P20*標準電圧!P$2-VLOOKUP(HUAWEI製ＰＣＳ接続枚数計算ツール!$C$9,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HUAWEI製ＰＣＳ接続枚数計算ツール!$B$119:$P$149,14,FALSE),0)/100&gt;=IF(過積載率!P20&gt;1,1,過積載率!P20),1,0))</f>
        <v>0</v>
      </c>
      <c r="Q20">
        <f>IF(OR(過積載率!Q20=0,(標準電圧!Q20*標準電圧!Q$2-VLOOKUP(HUAWEI製ＰＣＳ接続枚数計算ツール!$C$9, HUAWEI製ＰＣＳ接続枚数計算ツール!$B$119:$P$149,12,FALSE))&lt;0),0,IF(ROUNDDOWN((標準電圧!Q20*標準電圧!Q$2-VLOOKUP(HUAWEI製ＰＣＳ接続枚数計算ツール!$C$9,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HUAWEI製ＰＣＳ接続枚数計算ツール!$B$119:$P$149,14,FALSE),0)/100&gt;=IF(過積載率!Q20&gt;1,1,過積載率!Q20),1,0))</f>
        <v>0</v>
      </c>
      <c r="R20">
        <f>IF(OR(過積載率!R20=0,(標準電圧!R20*標準電圧!R$2-VLOOKUP(HUAWEI製ＰＣＳ接続枚数計算ツール!$C$9, HUAWEI製ＰＣＳ接続枚数計算ツール!$B$119:$P$149,12,FALSE))&lt;0),0,IF(ROUNDDOWN((標準電圧!R20*標準電圧!R$2-VLOOKUP(HUAWEI製ＰＣＳ接続枚数計算ツール!$C$9,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HUAWEI製ＰＣＳ接続枚数計算ツール!$B$119:$P$149,14,FALSE),0)/100&gt;=IF(過積載率!R20&gt;1,1,過積載率!R20),1,0))</f>
        <v>1</v>
      </c>
      <c r="S20">
        <f>IF(OR(過積載率!S20=0,(標準電圧!S20*標準電圧!S$2-VLOOKUP(HUAWEI製ＰＣＳ接続枚数計算ツール!$C$9, HUAWEI製ＰＣＳ接続枚数計算ツール!$B$119:$P$149,12,FALSE))&lt;0),0,IF(ROUNDDOWN((標準電圧!S20*標準電圧!S$2-VLOOKUP(HUAWEI製ＰＣＳ接続枚数計算ツール!$C$9,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HUAWEI製ＰＣＳ接続枚数計算ツール!$B$119:$P$149,14,FALSE),0)/100&gt;=IF(過積載率!S20&gt;1,1,過積載率!S20),1,0))</f>
        <v>1</v>
      </c>
      <c r="T20">
        <f>IF(OR(過積載率!T20=0,(標準電圧!T20*標準電圧!T$2-VLOOKUP(HUAWEI製ＰＣＳ接続枚数計算ツール!$C$9, HUAWEI製ＰＣＳ接続枚数計算ツール!$B$119:$P$149,12,FALSE))&lt;0),0,IF(ROUNDDOWN((標準電圧!T20*標準電圧!T$2-VLOOKUP(HUAWEI製ＰＣＳ接続枚数計算ツール!$C$9,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HUAWEI製ＰＣＳ接続枚数計算ツール!$B$119:$P$149,14,FALSE),0)/100&gt;=IF(過積載率!T20&gt;1,1,過積載率!T20),1,0))</f>
        <v>1</v>
      </c>
      <c r="U20">
        <f>IF(OR(過積載率!U20=0,(標準電圧!U20*標準電圧!U$2-VLOOKUP(HUAWEI製ＰＣＳ接続枚数計算ツール!$C$9, HUAWEI製ＰＣＳ接続枚数計算ツール!$B$119:$P$149,12,FALSE))&lt;0),0,IF(ROUNDDOWN((標準電圧!U20*標準電圧!U$2-VLOOKUP(HUAWEI製ＰＣＳ接続枚数計算ツール!$C$9,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HUAWEI製ＰＣＳ接続枚数計算ツール!$B$119:$P$149,14,FALSE),0)/100&gt;=IF(過積載率!U20&gt;1,1,過積載率!U20),1,0))</f>
        <v>1</v>
      </c>
      <c r="V20">
        <f>IF(OR(過積載率!V20=0,(標準電圧!V20*標準電圧!V$2-VLOOKUP(HUAWEI製ＰＣＳ接続枚数計算ツール!$C$9, HUAWEI製ＰＣＳ接続枚数計算ツール!$B$119:$P$149,12,FALSE))&lt;0),0,IF(ROUNDDOWN((標準電圧!V20*標準電圧!V$2-VLOOKUP(HUAWEI製ＰＣＳ接続枚数計算ツール!$C$9,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HUAWEI製ＰＣＳ接続枚数計算ツール!$B$119:$P$149,14,FALSE),0)/100&gt;=IF(過積載率!V20&gt;1,1,過積載率!V20),1,0))</f>
        <v>1</v>
      </c>
      <c r="W20">
        <f>IF(OR(過積載率!W20=0,(標準電圧!W20*標準電圧!W$2-VLOOKUP(HUAWEI製ＰＣＳ接続枚数計算ツール!$C$9, HUAWEI製ＰＣＳ接続枚数計算ツール!$B$119:$P$149,12,FALSE))&lt;0),0,IF(ROUNDDOWN((標準電圧!W20*標準電圧!W$2-VLOOKUP(HUAWEI製ＰＣＳ接続枚数計算ツール!$C$9,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HUAWEI製ＰＣＳ接続枚数計算ツール!$B$119:$P$149,14,FALSE),0)/100&gt;=IF(過積載率!W20&gt;1,1,過積載率!W20),1,0))</f>
        <v>1</v>
      </c>
      <c r="X20">
        <f>IF(OR(過積載率!X20=0,(標準電圧!X20*標準電圧!X$2-VLOOKUP(HUAWEI製ＰＣＳ接続枚数計算ツール!$C$9, HUAWEI製ＰＣＳ接続枚数計算ツール!$B$119:$P$149,12,FALSE))&lt;0),0,IF(ROUNDDOWN((標準電圧!X20*標準電圧!X$2-VLOOKUP(HUAWEI製ＰＣＳ接続枚数計算ツール!$C$9,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HUAWEI製ＰＣＳ接続枚数計算ツール!$B$119:$P$149,14,FALSE),0)/100&gt;=IF(過積載率!X20&gt;1,1,過積載率!X20),1,0))</f>
        <v>1</v>
      </c>
      <c r="Y20">
        <f>IF(OR(過積載率!Y20=0,(標準電圧!Y20*標準電圧!Y$2-VLOOKUP(HUAWEI製ＰＣＳ接続枚数計算ツール!$C$9, HUAWEI製ＰＣＳ接続枚数計算ツール!$B$119:$P$149,12,FALSE))&lt;0),0,IF(ROUNDDOWN((標準電圧!Y20*標準電圧!Y$2-VLOOKUP(HUAWEI製ＰＣＳ接続枚数計算ツール!$C$9,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HUAWEI製ＰＣＳ接続枚数計算ツール!$B$119:$P$149,14,FALSE),0)/100&gt;=IF(過積載率!Y20&gt;1,1,過積載率!Y20),1,0))</f>
        <v>1</v>
      </c>
      <c r="Z20">
        <f>IF(OR(過積載率!Z20=0,(標準電圧!Z20*標準電圧!Z$2-VLOOKUP(HUAWEI製ＰＣＳ接続枚数計算ツール!$C$9, HUAWEI製ＰＣＳ接続枚数計算ツール!$B$119:$P$149,12,FALSE))&lt;0),0,IF(ROUNDDOWN((標準電圧!Z20*標準電圧!Z$2-VLOOKUP(HUAWEI製ＰＣＳ接続枚数計算ツール!$C$9,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HUAWEI製ＰＣＳ接続枚数計算ツール!$B$119:$P$149,14,FALSE),0)/100&gt;=IF(過積載率!Z20&gt;1,1,過積載率!Z20),1,0))</f>
        <v>1</v>
      </c>
      <c r="AA20">
        <f>IF(OR(過積載率!AA20=0,(標準電圧!AA20*標準電圧!AA$2-VLOOKUP(HUAWEI製ＰＣＳ接続枚数計算ツール!$C$9, HUAWEI製ＰＣＳ接続枚数計算ツール!$B$119:$P$149,12,FALSE))&lt;0),0,IF(ROUNDDOWN((標準電圧!AA20*標準電圧!AA$2-VLOOKUP(HUAWEI製ＰＣＳ接続枚数計算ツール!$C$9,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HUAWEI製ＰＣＳ接続枚数計算ツール!$B$119:$P$149,14,FALSE),0)/100&gt;=IF(過積載率!AA20&gt;1,1,過積載率!AA20),1,0))</f>
        <v>1</v>
      </c>
      <c r="AB20">
        <f>IF(OR(過積載率!AB20=0,(標準電圧!AB20*標準電圧!AB$2-VLOOKUP(HUAWEI製ＰＣＳ接続枚数計算ツール!$C$9, HUAWEI製ＰＣＳ接続枚数計算ツール!$B$119:$P$149,12,FALSE))&lt;0),0,IF(ROUNDDOWN((標準電圧!AB20*標準電圧!AB$2-VLOOKUP(HUAWEI製ＰＣＳ接続枚数計算ツール!$C$9,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HUAWEI製ＰＣＳ接続枚数計算ツール!$B$119:$P$149,14,FALSE),0)/100&gt;=IF(過積載率!AB20&gt;1,1,過積載率!AB20),1,0))</f>
        <v>1</v>
      </c>
      <c r="AC20">
        <f>IF(OR(過積載率!AC20=0,(標準電圧!AC20*標準電圧!AC$2-VLOOKUP(HUAWEI製ＰＣＳ接続枚数計算ツール!$C$9, HUAWEI製ＰＣＳ接続枚数計算ツール!$B$119:$P$149,12,FALSE))&lt;0),0,IF(ROUNDDOWN((標準電圧!AC20*標準電圧!AC$2-VLOOKUP(HUAWEI製ＰＣＳ接続枚数計算ツール!$C$9,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HUAWEI製ＰＣＳ接続枚数計算ツール!$B$119:$P$149,14,FALSE),0)/100&gt;=IF(過積載率!AC20&gt;1,1,過積載率!AC20),1,0))</f>
        <v>1</v>
      </c>
      <c r="AD20">
        <f>IF(OR(過積載率!AD20=0,(標準電圧!AD20*標準電圧!AD$2-VLOOKUP(HUAWEI製ＰＣＳ接続枚数計算ツール!$C$9, HUAWEI製ＰＣＳ接続枚数計算ツール!$B$119:$P$149,12,FALSE))&lt;0),0,IF(ROUNDDOWN((標準電圧!AD20*標準電圧!AD$2-VLOOKUP(HUAWEI製ＰＣＳ接続枚数計算ツール!$C$9,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HUAWEI製ＰＣＳ接続枚数計算ツール!$B$119:$P$149,14,FALSE),0)/100&gt;=IF(過積載率!AD20&gt;1,1,過積載率!AD20),1,0))</f>
        <v>1</v>
      </c>
      <c r="AE20">
        <f>IF(OR(過積載率!AE20=0,(標準電圧!AE20*標準電圧!AE$2-VLOOKUP(HUAWEI製ＰＣＳ接続枚数計算ツール!$C$9, HUAWEI製ＰＣＳ接続枚数計算ツール!$B$119:$P$149,12,FALSE))&lt;0),0,IF(ROUNDDOWN((標準電圧!AE20*標準電圧!AE$2-VLOOKUP(HUAWEI製ＰＣＳ接続枚数計算ツール!$C$9,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HUAWEI製ＰＣＳ接続枚数計算ツール!$B$119:$P$149,14,FALSE),0)/100&gt;=IF(過積載率!AE20&gt;1,1,過積載率!AE20),1,0))</f>
        <v>1</v>
      </c>
      <c r="AF20">
        <f>IF(OR(過積載率!AF20=0,(標準電圧!AF20*標準電圧!AF$2-VLOOKUP(HUAWEI製ＰＣＳ接続枚数計算ツール!$C$9, HUAWEI製ＰＣＳ接続枚数計算ツール!$B$119:$P$149,12,FALSE))&lt;0),0,IF(ROUNDDOWN((標準電圧!AF20*標準電圧!AF$2-VLOOKUP(HUAWEI製ＰＣＳ接続枚数計算ツール!$C$9,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HUAWEI製ＰＣＳ接続枚数計算ツール!$B$119:$P$149,14,FALSE),0)/100&gt;=IF(過積載率!AF20&gt;1,1,過積載率!AF20),1,0))</f>
        <v>1</v>
      </c>
      <c r="AG20">
        <f>IF(OR(過積載率!AG20=0,(標準電圧!AG20*標準電圧!AG$2-VLOOKUP(HUAWEI製ＰＣＳ接続枚数計算ツール!$C$9, HUAWEI製ＰＣＳ接続枚数計算ツール!$B$119:$P$149,12,FALSE))&lt;0),0,IF(ROUNDDOWN((標準電圧!AG20*標準電圧!AG$2-VLOOKUP(HUAWEI製ＰＣＳ接続枚数計算ツール!$C$9,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HUAWEI製ＰＣＳ接続枚数計算ツール!$B$119:$P$149,14,FALSE),0)/100&gt;=IF(過積載率!AG20&gt;1,1,過積載率!AG20),1,0))</f>
        <v>1</v>
      </c>
      <c r="AH20">
        <f>IF(OR(過積載率!AH20=0,(標準電圧!AH20*標準電圧!AH$2-VLOOKUP(HUAWEI製ＰＣＳ接続枚数計算ツール!$C$9, HUAWEI製ＰＣＳ接続枚数計算ツール!$B$119:$P$149,12,FALSE))&lt;0),0,IF(ROUNDDOWN((標準電圧!AH20*標準電圧!AH$2-VLOOKUP(HUAWEI製ＰＣＳ接続枚数計算ツール!$C$9,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HUAWEI製ＰＣＳ接続枚数計算ツール!$B$119:$P$149,14,FALSE),0)/100&gt;=IF(過積載率!AH20&gt;1,1,過積載率!AH20),1,0))</f>
        <v>1</v>
      </c>
      <c r="AI20">
        <f>IF(OR(過積載率!AI20=0,(標準電圧!AI20*標準電圧!AI$2-VLOOKUP(HUAWEI製ＰＣＳ接続枚数計算ツール!$C$9, HUAWEI製ＰＣＳ接続枚数計算ツール!$B$119:$P$149,12,FALSE))&lt;0),0,IF(ROUNDDOWN((標準電圧!AI20*標準電圧!AI$2-VLOOKUP(HUAWEI製ＰＣＳ接続枚数計算ツール!$C$9,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HUAWEI製ＰＣＳ接続枚数計算ツール!$B$119:$P$149,14,FALSE),0)/100&gt;=IF(過積載率!AI20&gt;1,1,過積載率!AI20),1,0))</f>
        <v>1</v>
      </c>
      <c r="AJ20">
        <f>IF(OR(過積載率!AJ20=0,(標準電圧!AJ20*標準電圧!AJ$2-VLOOKUP(HUAWEI製ＰＣＳ接続枚数計算ツール!$C$9, HUAWEI製ＰＣＳ接続枚数計算ツール!$B$119:$P$149,12,FALSE))&lt;0),0,IF(ROUNDDOWN((標準電圧!AJ20*標準電圧!AJ$2-VLOOKUP(HUAWEI製ＰＣＳ接続枚数計算ツール!$C$9,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HUAWEI製ＰＣＳ接続枚数計算ツール!$B$119:$P$149,14,FALSE),0)/100&gt;=IF(過積載率!AJ20&gt;1,1,過積載率!AJ20),1,0))</f>
        <v>1</v>
      </c>
      <c r="AK20">
        <f>IF(OR(過積載率!AK20=0,(標準電圧!AK20*標準電圧!AK$2-VLOOKUP(HUAWEI製ＰＣＳ接続枚数計算ツール!$C$9, HUAWEI製ＰＣＳ接続枚数計算ツール!$B$119:$P$149,12,FALSE))&lt;0),0,IF(ROUNDDOWN((標準電圧!AK20*標準電圧!AK$2-VLOOKUP(HUAWEI製ＰＣＳ接続枚数計算ツール!$C$9,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HUAWEI製ＰＣＳ接続枚数計算ツール!$B$119:$P$149,14,FALSE),0)/100&gt;=IF(過積載率!AK20&gt;1,1,過積載率!AK20),1,0))</f>
        <v>1</v>
      </c>
      <c r="AL20">
        <f>IF(OR(過積載率!AL20=0,(標準電圧!AL20*標準電圧!AL$2-VLOOKUP(HUAWEI製ＰＣＳ接続枚数計算ツール!$C$9, HUAWEI製ＰＣＳ接続枚数計算ツール!$B$119:$P$149,12,FALSE))&lt;0),0,IF(ROUNDDOWN((標準電圧!AL20*標準電圧!AL$2-VLOOKUP(HUAWEI製ＰＣＳ接続枚数計算ツール!$C$9,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HUAWEI製ＰＣＳ接続枚数計算ツール!$B$119:$P$149,14,FALSE),0)/100&gt;=IF(過積載率!AL20&gt;1,1,過積載率!AL20),1,0))</f>
        <v>1</v>
      </c>
      <c r="AM20">
        <f>IF(OR(過積載率!AM20=0,(標準電圧!AM20*標準電圧!AM$2-VLOOKUP(HUAWEI製ＰＣＳ接続枚数計算ツール!$C$9, HUAWEI製ＰＣＳ接続枚数計算ツール!$B$119:$P$149,12,FALSE))&lt;0),0,IF(ROUNDDOWN((標準電圧!AM20*標準電圧!AM$2-VLOOKUP(HUAWEI製ＰＣＳ接続枚数計算ツール!$C$9,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HUAWEI製ＰＣＳ接続枚数計算ツール!$B$119:$P$149,14,FALSE),0)/100&gt;=IF(過積載率!AM20&gt;1,1,過積載率!AM20),1,0))</f>
        <v>1</v>
      </c>
      <c r="AN20">
        <f>IF(OR(過積載率!AN20=0,(標準電圧!AN20*標準電圧!AN$2-VLOOKUP(HUAWEI製ＰＣＳ接続枚数計算ツール!$C$9, HUAWEI製ＰＣＳ接続枚数計算ツール!$B$119:$P$149,12,FALSE))&lt;0),0,IF(ROUNDDOWN((標準電圧!AN20*標準電圧!AN$2-VLOOKUP(HUAWEI製ＰＣＳ接続枚数計算ツール!$C$9,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HUAWEI製ＰＣＳ接続枚数計算ツール!$B$119:$P$149,14,FALSE),0)/100&gt;=IF(過積載率!AN20&gt;1,1,過積載率!AN20),1,0))</f>
        <v>1</v>
      </c>
      <c r="AO20">
        <f>IF(OR(過積載率!AO20=0,(標準電圧!AO20*標準電圧!AO$2-VLOOKUP(HUAWEI製ＰＣＳ接続枚数計算ツール!$C$9, HUAWEI製ＰＣＳ接続枚数計算ツール!$B$119:$P$149,12,FALSE))&lt;0),0,IF(ROUNDDOWN((標準電圧!AO20*標準電圧!AO$2-VLOOKUP(HUAWEI製ＰＣＳ接続枚数計算ツール!$C$9,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HUAWEI製ＰＣＳ接続枚数計算ツール!$B$119:$P$149,14,FALSE),0)/100&gt;=IF(過積載率!AO20&gt;1,1,過積載率!AO20),1,0))</f>
        <v>1</v>
      </c>
    </row>
    <row r="21" spans="1:41">
      <c r="A21">
        <v>19</v>
      </c>
      <c r="B21">
        <f>IF(OR(過積載率!B21=0,(標準電圧!B21*標準電圧!B$2-VLOOKUP(HUAWEI製ＰＣＳ接続枚数計算ツール!$C$9, HUAWEI製ＰＣＳ接続枚数計算ツール!$B$119:$P$149,12,FALSE))&lt;0),0,IF(ROUNDDOWN((標準電圧!B21*標準電圧!B$2-VLOOKUP(HUAWEI製ＰＣＳ接続枚数計算ツール!$C$9,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HUAWEI製ＰＣＳ接続枚数計算ツール!$B$119:$P$149,14,FALSE),0)/100&gt;=IF(過積載率!B21&gt;1,1,過積載率!B21),1,0))</f>
        <v>0</v>
      </c>
      <c r="C21">
        <f>IF(OR(過積載率!C21=0,(標準電圧!C21*標準電圧!C$2-VLOOKUP(HUAWEI製ＰＣＳ接続枚数計算ツール!$C$9, HUAWEI製ＰＣＳ接続枚数計算ツール!$B$119:$P$149,12,FALSE))&lt;0),0,IF(ROUNDDOWN((標準電圧!C21*標準電圧!C$2-VLOOKUP(HUAWEI製ＰＣＳ接続枚数計算ツール!$C$9,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HUAWEI製ＰＣＳ接続枚数計算ツール!$B$119:$P$149,14,FALSE),0)/100&gt;=IF(過積載率!C21&gt;1,1,過積載率!C21),1,0))</f>
        <v>0</v>
      </c>
      <c r="D21">
        <f>IF(OR(過積載率!D21=0,(標準電圧!D21*標準電圧!D$2-VLOOKUP(HUAWEI製ＰＣＳ接続枚数計算ツール!$C$9, HUAWEI製ＰＣＳ接続枚数計算ツール!$B$119:$P$149,12,FALSE))&lt;0),0,IF(ROUNDDOWN((標準電圧!D21*標準電圧!D$2-VLOOKUP(HUAWEI製ＰＣＳ接続枚数計算ツール!$C$9,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HUAWEI製ＰＣＳ接続枚数計算ツール!$B$119:$P$149,14,FALSE),0)/100&gt;=IF(過積載率!D21&gt;1,1,過積載率!D21),1,0))</f>
        <v>0</v>
      </c>
      <c r="E21">
        <f>IF(OR(過積載率!E21=0,(標準電圧!E21*標準電圧!E$2-VLOOKUP(HUAWEI製ＰＣＳ接続枚数計算ツール!$C$9, HUAWEI製ＰＣＳ接続枚数計算ツール!$B$119:$P$149,12,FALSE))&lt;0),0,IF(ROUNDDOWN((標準電圧!E21*標準電圧!E$2-VLOOKUP(HUAWEI製ＰＣＳ接続枚数計算ツール!$C$9,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HUAWEI製ＰＣＳ接続枚数計算ツール!$B$119:$P$149,14,FALSE),0)/100&gt;=IF(過積載率!E21&gt;1,1,過積載率!E21),1,0))</f>
        <v>0</v>
      </c>
      <c r="F21">
        <f>IF(OR(過積載率!F21=0,(標準電圧!F21*標準電圧!F$2-VLOOKUP(HUAWEI製ＰＣＳ接続枚数計算ツール!$C$9, HUAWEI製ＰＣＳ接続枚数計算ツール!$B$119:$P$149,12,FALSE))&lt;0),0,IF(ROUNDDOWN((標準電圧!F21*標準電圧!F$2-VLOOKUP(HUAWEI製ＰＣＳ接続枚数計算ツール!$C$9,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HUAWEI製ＰＣＳ接続枚数計算ツール!$B$119:$P$149,14,FALSE),0)/100&gt;=IF(過積載率!F21&gt;1,1,過積載率!F21),1,0))</f>
        <v>0</v>
      </c>
      <c r="G21">
        <f>IF(OR(過積載率!G21=0,(標準電圧!G21*標準電圧!G$2-VLOOKUP(HUAWEI製ＰＣＳ接続枚数計算ツール!$C$9, HUAWEI製ＰＣＳ接続枚数計算ツール!$B$119:$P$149,12,FALSE))&lt;0),0,IF(ROUNDDOWN((標準電圧!G21*標準電圧!G$2-VLOOKUP(HUAWEI製ＰＣＳ接続枚数計算ツール!$C$9,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HUAWEI製ＰＣＳ接続枚数計算ツール!$B$119:$P$149,14,FALSE),0)/100&gt;=IF(過積載率!G21&gt;1,1,過積載率!G21),1,0))</f>
        <v>0</v>
      </c>
      <c r="H21">
        <f>IF(OR(過積載率!H21=0,(標準電圧!H21*標準電圧!H$2-VLOOKUP(HUAWEI製ＰＣＳ接続枚数計算ツール!$C$9, HUAWEI製ＰＣＳ接続枚数計算ツール!$B$119:$P$149,12,FALSE))&lt;0),0,IF(ROUNDDOWN((標準電圧!H21*標準電圧!H$2-VLOOKUP(HUAWEI製ＰＣＳ接続枚数計算ツール!$C$9,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HUAWEI製ＰＣＳ接続枚数計算ツール!$B$119:$P$149,14,FALSE),0)/100&gt;=IF(過積載率!H21&gt;1,1,過積載率!H21),1,0))</f>
        <v>0</v>
      </c>
      <c r="I21">
        <f>IF(OR(過積載率!I21=0,(標準電圧!I21*標準電圧!I$2-VLOOKUP(HUAWEI製ＰＣＳ接続枚数計算ツール!$C$9, HUAWEI製ＰＣＳ接続枚数計算ツール!$B$119:$P$149,12,FALSE))&lt;0),0,IF(ROUNDDOWN((標準電圧!I21*標準電圧!I$2-VLOOKUP(HUAWEI製ＰＣＳ接続枚数計算ツール!$C$9,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HUAWEI製ＰＣＳ接続枚数計算ツール!$B$119:$P$149,14,FALSE),0)/100&gt;=IF(過積載率!I21&gt;1,1,過積載率!I21),1,0))</f>
        <v>0</v>
      </c>
      <c r="J21">
        <f>IF(OR(過積載率!J21=0,(標準電圧!J21*標準電圧!J$2-VLOOKUP(HUAWEI製ＰＣＳ接続枚数計算ツール!$C$9, HUAWEI製ＰＣＳ接続枚数計算ツール!$B$119:$P$149,12,FALSE))&lt;0),0,IF(ROUNDDOWN((標準電圧!J21*標準電圧!J$2-VLOOKUP(HUAWEI製ＰＣＳ接続枚数計算ツール!$C$9,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HUAWEI製ＰＣＳ接続枚数計算ツール!$B$119:$P$149,14,FALSE),0)/100&gt;=IF(過積載率!J21&gt;1,1,過積載率!J21),1,0))</f>
        <v>0</v>
      </c>
      <c r="K21">
        <f>IF(OR(過積載率!K21=0,(標準電圧!K21*標準電圧!K$2-VLOOKUP(HUAWEI製ＰＣＳ接続枚数計算ツール!$C$9, HUAWEI製ＰＣＳ接続枚数計算ツール!$B$119:$P$149,12,FALSE))&lt;0),0,IF(ROUNDDOWN((標準電圧!K21*標準電圧!K$2-VLOOKUP(HUAWEI製ＰＣＳ接続枚数計算ツール!$C$9,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HUAWEI製ＰＣＳ接続枚数計算ツール!$B$119:$P$149,14,FALSE),0)/100&gt;=IF(過積載率!K21&gt;1,1,過積載率!K21),1,0))</f>
        <v>0</v>
      </c>
      <c r="L21">
        <f>IF(OR(過積載率!L21=0,(標準電圧!L21*標準電圧!L$2-VLOOKUP(HUAWEI製ＰＣＳ接続枚数計算ツール!$C$9, HUAWEI製ＰＣＳ接続枚数計算ツール!$B$119:$P$149,12,FALSE))&lt;0),0,IF(ROUNDDOWN((標準電圧!L21*標準電圧!L$2-VLOOKUP(HUAWEI製ＰＣＳ接続枚数計算ツール!$C$9,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HUAWEI製ＰＣＳ接続枚数計算ツール!$B$119:$P$149,14,FALSE),0)/100&gt;=IF(過積載率!L21&gt;1,1,過積載率!L21),1,0))</f>
        <v>0</v>
      </c>
      <c r="M21">
        <f>IF(OR(過積載率!M21=0,(標準電圧!M21*標準電圧!M$2-VLOOKUP(HUAWEI製ＰＣＳ接続枚数計算ツール!$C$9, HUAWEI製ＰＣＳ接続枚数計算ツール!$B$119:$P$149,12,FALSE))&lt;0),0,IF(ROUNDDOWN((標準電圧!M21*標準電圧!M$2-VLOOKUP(HUAWEI製ＰＣＳ接続枚数計算ツール!$C$9,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HUAWEI製ＰＣＳ接続枚数計算ツール!$B$119:$P$149,14,FALSE),0)/100&gt;=IF(過積載率!M21&gt;1,1,過積載率!M21),1,0))</f>
        <v>0</v>
      </c>
      <c r="N21">
        <f>IF(OR(過積載率!N21=0,(標準電圧!N21*標準電圧!N$2-VLOOKUP(HUAWEI製ＰＣＳ接続枚数計算ツール!$C$9, HUAWEI製ＰＣＳ接続枚数計算ツール!$B$119:$P$149,12,FALSE))&lt;0),0,IF(ROUNDDOWN((標準電圧!N21*標準電圧!N$2-VLOOKUP(HUAWEI製ＰＣＳ接続枚数計算ツール!$C$9,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HUAWEI製ＰＣＳ接続枚数計算ツール!$B$119:$P$149,14,FALSE),0)/100&gt;=IF(過積載率!N21&gt;1,1,過積載率!N21),1,0))</f>
        <v>0</v>
      </c>
      <c r="O21">
        <f>IF(OR(過積載率!O21=0,(標準電圧!O21*標準電圧!O$2-VLOOKUP(HUAWEI製ＰＣＳ接続枚数計算ツール!$C$9, HUAWEI製ＰＣＳ接続枚数計算ツール!$B$119:$P$149,12,FALSE))&lt;0),0,IF(ROUNDDOWN((標準電圧!O21*標準電圧!O$2-VLOOKUP(HUAWEI製ＰＣＳ接続枚数計算ツール!$C$9,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HUAWEI製ＰＣＳ接続枚数計算ツール!$B$119:$P$149,14,FALSE),0)/100&gt;=IF(過積載率!O21&gt;1,1,過積載率!O21),1,0))</f>
        <v>0</v>
      </c>
      <c r="P21">
        <f>IF(OR(過積載率!P21=0,(標準電圧!P21*標準電圧!P$2-VLOOKUP(HUAWEI製ＰＣＳ接続枚数計算ツール!$C$9, HUAWEI製ＰＣＳ接続枚数計算ツール!$B$119:$P$149,12,FALSE))&lt;0),0,IF(ROUNDDOWN((標準電圧!P21*標準電圧!P$2-VLOOKUP(HUAWEI製ＰＣＳ接続枚数計算ツール!$C$9,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HUAWEI製ＰＣＳ接続枚数計算ツール!$B$119:$P$149,14,FALSE),0)/100&gt;=IF(過積載率!P21&gt;1,1,過積載率!P21),1,0))</f>
        <v>0</v>
      </c>
      <c r="Q21">
        <f>IF(OR(過積載率!Q21=0,(標準電圧!Q21*標準電圧!Q$2-VLOOKUP(HUAWEI製ＰＣＳ接続枚数計算ツール!$C$9, HUAWEI製ＰＣＳ接続枚数計算ツール!$B$119:$P$149,12,FALSE))&lt;0),0,IF(ROUNDDOWN((標準電圧!Q21*標準電圧!Q$2-VLOOKUP(HUAWEI製ＰＣＳ接続枚数計算ツール!$C$9,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HUAWEI製ＰＣＳ接続枚数計算ツール!$B$119:$P$149,14,FALSE),0)/100&gt;=IF(過積載率!Q21&gt;1,1,過積載率!Q21),1,0))</f>
        <v>0</v>
      </c>
      <c r="R21">
        <f>IF(OR(過積載率!R21=0,(標準電圧!R21*標準電圧!R$2-VLOOKUP(HUAWEI製ＰＣＳ接続枚数計算ツール!$C$9, HUAWEI製ＰＣＳ接続枚数計算ツール!$B$119:$P$149,12,FALSE))&lt;0),0,IF(ROUNDDOWN((標準電圧!R21*標準電圧!R$2-VLOOKUP(HUAWEI製ＰＣＳ接続枚数計算ツール!$C$9,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HUAWEI製ＰＣＳ接続枚数計算ツール!$B$119:$P$149,14,FALSE),0)/100&gt;=IF(過積載率!R21&gt;1,1,過積載率!R21),1,0))</f>
        <v>0</v>
      </c>
      <c r="S21">
        <f>IF(OR(過積載率!S21=0,(標準電圧!S21*標準電圧!S$2-VLOOKUP(HUAWEI製ＰＣＳ接続枚数計算ツール!$C$9, HUAWEI製ＰＣＳ接続枚数計算ツール!$B$119:$P$149,12,FALSE))&lt;0),0,IF(ROUNDDOWN((標準電圧!S21*標準電圧!S$2-VLOOKUP(HUAWEI製ＰＣＳ接続枚数計算ツール!$C$9,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HUAWEI製ＰＣＳ接続枚数計算ツール!$B$119:$P$149,14,FALSE),0)/100&gt;=IF(過積載率!S21&gt;1,1,過積載率!S21),1,0))</f>
        <v>0</v>
      </c>
      <c r="T21">
        <f>IF(OR(過積載率!T21=0,(標準電圧!T21*標準電圧!T$2-VLOOKUP(HUAWEI製ＰＣＳ接続枚数計算ツール!$C$9, HUAWEI製ＰＣＳ接続枚数計算ツール!$B$119:$P$149,12,FALSE))&lt;0),0,IF(ROUNDDOWN((標準電圧!T21*標準電圧!T$2-VLOOKUP(HUAWEI製ＰＣＳ接続枚数計算ツール!$C$9,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HUAWEI製ＰＣＳ接続枚数計算ツール!$B$119:$P$149,14,FALSE),0)/100&gt;=IF(過積載率!T21&gt;1,1,過積載率!T21),1,0))</f>
        <v>0</v>
      </c>
      <c r="U21">
        <f>IF(OR(過積載率!U21=0,(標準電圧!U21*標準電圧!U$2-VLOOKUP(HUAWEI製ＰＣＳ接続枚数計算ツール!$C$9, HUAWEI製ＰＣＳ接続枚数計算ツール!$B$119:$P$149,12,FALSE))&lt;0),0,IF(ROUNDDOWN((標準電圧!U21*標準電圧!U$2-VLOOKUP(HUAWEI製ＰＣＳ接続枚数計算ツール!$C$9,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HUAWEI製ＰＣＳ接続枚数計算ツール!$B$119:$P$149,14,FALSE),0)/100&gt;=IF(過積載率!U21&gt;1,1,過積載率!U21),1,0))</f>
        <v>0</v>
      </c>
      <c r="V21">
        <f>IF(OR(過積載率!V21=0,(標準電圧!V21*標準電圧!V$2-VLOOKUP(HUAWEI製ＰＣＳ接続枚数計算ツール!$C$9, HUAWEI製ＰＣＳ接続枚数計算ツール!$B$119:$P$149,12,FALSE))&lt;0),0,IF(ROUNDDOWN((標準電圧!V21*標準電圧!V$2-VLOOKUP(HUAWEI製ＰＣＳ接続枚数計算ツール!$C$9,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HUAWEI製ＰＣＳ接続枚数計算ツール!$B$119:$P$149,14,FALSE),0)/100&gt;=IF(過積載率!V21&gt;1,1,過積載率!V21),1,0))</f>
        <v>0</v>
      </c>
      <c r="W21">
        <f>IF(OR(過積載率!W21=0,(標準電圧!W21*標準電圧!W$2-VLOOKUP(HUAWEI製ＰＣＳ接続枚数計算ツール!$C$9, HUAWEI製ＰＣＳ接続枚数計算ツール!$B$119:$P$149,12,FALSE))&lt;0),0,IF(ROUNDDOWN((標準電圧!W21*標準電圧!W$2-VLOOKUP(HUAWEI製ＰＣＳ接続枚数計算ツール!$C$9,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HUAWEI製ＰＣＳ接続枚数計算ツール!$B$119:$P$149,14,FALSE),0)/100&gt;=IF(過積載率!W21&gt;1,1,過積載率!W21),1,0))</f>
        <v>0</v>
      </c>
      <c r="X21">
        <f>IF(OR(過積載率!X21=0,(標準電圧!X21*標準電圧!X$2-VLOOKUP(HUAWEI製ＰＣＳ接続枚数計算ツール!$C$9, HUAWEI製ＰＣＳ接続枚数計算ツール!$B$119:$P$149,12,FALSE))&lt;0),0,IF(ROUNDDOWN((標準電圧!X21*標準電圧!X$2-VLOOKUP(HUAWEI製ＰＣＳ接続枚数計算ツール!$C$9,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HUAWEI製ＰＣＳ接続枚数計算ツール!$B$119:$P$149,14,FALSE),0)/100&gt;=IF(過積載率!X21&gt;1,1,過積載率!X21),1,0))</f>
        <v>0</v>
      </c>
      <c r="Y21">
        <f>IF(OR(過積載率!Y21=0,(標準電圧!Y21*標準電圧!Y$2-VLOOKUP(HUAWEI製ＰＣＳ接続枚数計算ツール!$C$9, HUAWEI製ＰＣＳ接続枚数計算ツール!$B$119:$P$149,12,FALSE))&lt;0),0,IF(ROUNDDOWN((標準電圧!Y21*標準電圧!Y$2-VLOOKUP(HUAWEI製ＰＣＳ接続枚数計算ツール!$C$9,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HUAWEI製ＰＣＳ接続枚数計算ツール!$B$119:$P$149,14,FALSE),0)/100&gt;=IF(過積載率!Y21&gt;1,1,過積載率!Y21),1,0))</f>
        <v>0</v>
      </c>
      <c r="Z21">
        <f>IF(OR(過積載率!Z21=0,(標準電圧!Z21*標準電圧!Z$2-VLOOKUP(HUAWEI製ＰＣＳ接続枚数計算ツール!$C$9, HUAWEI製ＰＣＳ接続枚数計算ツール!$B$119:$P$149,12,FALSE))&lt;0),0,IF(ROUNDDOWN((標準電圧!Z21*標準電圧!Z$2-VLOOKUP(HUAWEI製ＰＣＳ接続枚数計算ツール!$C$9,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HUAWEI製ＰＣＳ接続枚数計算ツール!$B$119:$P$149,14,FALSE),0)/100&gt;=IF(過積載率!Z21&gt;1,1,過積載率!Z21),1,0))</f>
        <v>0</v>
      </c>
      <c r="AA21">
        <f>IF(OR(過積載率!AA21=0,(標準電圧!AA21*標準電圧!AA$2-VLOOKUP(HUAWEI製ＰＣＳ接続枚数計算ツール!$C$9, HUAWEI製ＰＣＳ接続枚数計算ツール!$B$119:$P$149,12,FALSE))&lt;0),0,IF(ROUNDDOWN((標準電圧!AA21*標準電圧!AA$2-VLOOKUP(HUAWEI製ＰＣＳ接続枚数計算ツール!$C$9,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HUAWEI製ＰＣＳ接続枚数計算ツール!$B$119:$P$149,14,FALSE),0)/100&gt;=IF(過積載率!AA21&gt;1,1,過積載率!AA21),1,0))</f>
        <v>0</v>
      </c>
      <c r="AB21">
        <f>IF(OR(過積載率!AB21=0,(標準電圧!AB21*標準電圧!AB$2-VLOOKUP(HUAWEI製ＰＣＳ接続枚数計算ツール!$C$9, HUAWEI製ＰＣＳ接続枚数計算ツール!$B$119:$P$149,12,FALSE))&lt;0),0,IF(ROUNDDOWN((標準電圧!AB21*標準電圧!AB$2-VLOOKUP(HUAWEI製ＰＣＳ接続枚数計算ツール!$C$9,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HUAWEI製ＰＣＳ接続枚数計算ツール!$B$119:$P$149,14,FALSE),0)/100&gt;=IF(過積載率!AB21&gt;1,1,過積載率!AB21),1,0))</f>
        <v>0</v>
      </c>
      <c r="AC21">
        <f>IF(OR(過積載率!AC21=0,(標準電圧!AC21*標準電圧!AC$2-VLOOKUP(HUAWEI製ＰＣＳ接続枚数計算ツール!$C$9, HUAWEI製ＰＣＳ接続枚数計算ツール!$B$119:$P$149,12,FALSE))&lt;0),0,IF(ROUNDDOWN((標準電圧!AC21*標準電圧!AC$2-VLOOKUP(HUAWEI製ＰＣＳ接続枚数計算ツール!$C$9,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HUAWEI製ＰＣＳ接続枚数計算ツール!$B$119:$P$149,14,FALSE),0)/100&gt;=IF(過積載率!AC21&gt;1,1,過積載率!AC21),1,0))</f>
        <v>0</v>
      </c>
      <c r="AD21">
        <f>IF(OR(過積載率!AD21=0,(標準電圧!AD21*標準電圧!AD$2-VLOOKUP(HUAWEI製ＰＣＳ接続枚数計算ツール!$C$9, HUAWEI製ＰＣＳ接続枚数計算ツール!$B$119:$P$149,12,FALSE))&lt;0),0,IF(ROUNDDOWN((標準電圧!AD21*標準電圧!AD$2-VLOOKUP(HUAWEI製ＰＣＳ接続枚数計算ツール!$C$9,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HUAWEI製ＰＣＳ接続枚数計算ツール!$B$119:$P$149,14,FALSE),0)/100&gt;=IF(過積載率!AD21&gt;1,1,過積載率!AD21),1,0))</f>
        <v>0</v>
      </c>
      <c r="AE21">
        <f>IF(OR(過積載率!AE21=0,(標準電圧!AE21*標準電圧!AE$2-VLOOKUP(HUAWEI製ＰＣＳ接続枚数計算ツール!$C$9, HUAWEI製ＰＣＳ接続枚数計算ツール!$B$119:$P$149,12,FALSE))&lt;0),0,IF(ROUNDDOWN((標準電圧!AE21*標準電圧!AE$2-VLOOKUP(HUAWEI製ＰＣＳ接続枚数計算ツール!$C$9,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HUAWEI製ＰＣＳ接続枚数計算ツール!$B$119:$P$149,14,FALSE),0)/100&gt;=IF(過積載率!AE21&gt;1,1,過積載率!AE21),1,0))</f>
        <v>0</v>
      </c>
      <c r="AF21">
        <f>IF(OR(過積載率!AF21=0,(標準電圧!AF21*標準電圧!AF$2-VLOOKUP(HUAWEI製ＰＣＳ接続枚数計算ツール!$C$9, HUAWEI製ＰＣＳ接続枚数計算ツール!$B$119:$P$149,12,FALSE))&lt;0),0,IF(ROUNDDOWN((標準電圧!AF21*標準電圧!AF$2-VLOOKUP(HUAWEI製ＰＣＳ接続枚数計算ツール!$C$9,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HUAWEI製ＰＣＳ接続枚数計算ツール!$B$119:$P$149,14,FALSE),0)/100&gt;=IF(過積載率!AF21&gt;1,1,過積載率!AF21),1,0))</f>
        <v>0</v>
      </c>
      <c r="AG21">
        <f>IF(OR(過積載率!AG21=0,(標準電圧!AG21*標準電圧!AG$2-VLOOKUP(HUAWEI製ＰＣＳ接続枚数計算ツール!$C$9, HUAWEI製ＰＣＳ接続枚数計算ツール!$B$119:$P$149,12,FALSE))&lt;0),0,IF(ROUNDDOWN((標準電圧!AG21*標準電圧!AG$2-VLOOKUP(HUAWEI製ＰＣＳ接続枚数計算ツール!$C$9,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HUAWEI製ＰＣＳ接続枚数計算ツール!$B$119:$P$149,14,FALSE),0)/100&gt;=IF(過積載率!AG21&gt;1,1,過積載率!AG21),1,0))</f>
        <v>0</v>
      </c>
      <c r="AH21">
        <f>IF(OR(過積載率!AH21=0,(標準電圧!AH21*標準電圧!AH$2-VLOOKUP(HUAWEI製ＰＣＳ接続枚数計算ツール!$C$9, HUAWEI製ＰＣＳ接続枚数計算ツール!$B$119:$P$149,12,FALSE))&lt;0),0,IF(ROUNDDOWN((標準電圧!AH21*標準電圧!AH$2-VLOOKUP(HUAWEI製ＰＣＳ接続枚数計算ツール!$C$9,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HUAWEI製ＰＣＳ接続枚数計算ツール!$B$119:$P$149,14,FALSE),0)/100&gt;=IF(過積載率!AH21&gt;1,1,過積載率!AH21),1,0))</f>
        <v>0</v>
      </c>
      <c r="AI21">
        <f>IF(OR(過積載率!AI21=0,(標準電圧!AI21*標準電圧!AI$2-VLOOKUP(HUAWEI製ＰＣＳ接続枚数計算ツール!$C$9, HUAWEI製ＰＣＳ接続枚数計算ツール!$B$119:$P$149,12,FALSE))&lt;0),0,IF(ROUNDDOWN((標準電圧!AI21*標準電圧!AI$2-VLOOKUP(HUAWEI製ＰＣＳ接続枚数計算ツール!$C$9,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HUAWEI製ＰＣＳ接続枚数計算ツール!$B$119:$P$149,14,FALSE),0)/100&gt;=IF(過積載率!AI21&gt;1,1,過積載率!AI21),1,0))</f>
        <v>0</v>
      </c>
      <c r="AJ21">
        <f>IF(OR(過積載率!AJ21=0,(標準電圧!AJ21*標準電圧!AJ$2-VLOOKUP(HUAWEI製ＰＣＳ接続枚数計算ツール!$C$9, HUAWEI製ＰＣＳ接続枚数計算ツール!$B$119:$P$149,12,FALSE))&lt;0),0,IF(ROUNDDOWN((標準電圧!AJ21*標準電圧!AJ$2-VLOOKUP(HUAWEI製ＰＣＳ接続枚数計算ツール!$C$9,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HUAWEI製ＰＣＳ接続枚数計算ツール!$B$119:$P$149,14,FALSE),0)/100&gt;=IF(過積載率!AJ21&gt;1,1,過積載率!AJ21),1,0))</f>
        <v>0</v>
      </c>
      <c r="AK21">
        <f>IF(OR(過積載率!AK21=0,(標準電圧!AK21*標準電圧!AK$2-VLOOKUP(HUAWEI製ＰＣＳ接続枚数計算ツール!$C$9, HUAWEI製ＰＣＳ接続枚数計算ツール!$B$119:$P$149,12,FALSE))&lt;0),0,IF(ROUNDDOWN((標準電圧!AK21*標準電圧!AK$2-VLOOKUP(HUAWEI製ＰＣＳ接続枚数計算ツール!$C$9,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HUAWEI製ＰＣＳ接続枚数計算ツール!$B$119:$P$149,14,FALSE),0)/100&gt;=IF(過積載率!AK21&gt;1,1,過積載率!AK21),1,0))</f>
        <v>0</v>
      </c>
      <c r="AL21">
        <f>IF(OR(過積載率!AL21=0,(標準電圧!AL21*標準電圧!AL$2-VLOOKUP(HUAWEI製ＰＣＳ接続枚数計算ツール!$C$9, HUAWEI製ＰＣＳ接続枚数計算ツール!$B$119:$P$149,12,FALSE))&lt;0),0,IF(ROUNDDOWN((標準電圧!AL21*標準電圧!AL$2-VLOOKUP(HUAWEI製ＰＣＳ接続枚数計算ツール!$C$9,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HUAWEI製ＰＣＳ接続枚数計算ツール!$B$119:$P$149,14,FALSE),0)/100&gt;=IF(過積載率!AL21&gt;1,1,過積載率!AL21),1,0))</f>
        <v>0</v>
      </c>
      <c r="AM21">
        <f>IF(OR(過積載率!AM21=0,(標準電圧!AM21*標準電圧!AM$2-VLOOKUP(HUAWEI製ＰＣＳ接続枚数計算ツール!$C$9, HUAWEI製ＰＣＳ接続枚数計算ツール!$B$119:$P$149,12,FALSE))&lt;0),0,IF(ROUNDDOWN((標準電圧!AM21*標準電圧!AM$2-VLOOKUP(HUAWEI製ＰＣＳ接続枚数計算ツール!$C$9,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HUAWEI製ＰＣＳ接続枚数計算ツール!$B$119:$P$149,14,FALSE),0)/100&gt;=IF(過積載率!AM21&gt;1,1,過積載率!AM21),1,0))</f>
        <v>0</v>
      </c>
      <c r="AN21">
        <f>IF(OR(過積載率!AN21=0,(標準電圧!AN21*標準電圧!AN$2-VLOOKUP(HUAWEI製ＰＣＳ接続枚数計算ツール!$C$9, HUAWEI製ＰＣＳ接続枚数計算ツール!$B$119:$P$149,12,FALSE))&lt;0),0,IF(ROUNDDOWN((標準電圧!AN21*標準電圧!AN$2-VLOOKUP(HUAWEI製ＰＣＳ接続枚数計算ツール!$C$9,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HUAWEI製ＰＣＳ接続枚数計算ツール!$B$119:$P$149,14,FALSE),0)/100&gt;=IF(過積載率!AN21&gt;1,1,過積載率!AN21),1,0))</f>
        <v>0</v>
      </c>
      <c r="AO21">
        <f>IF(OR(過積載率!AO21=0,(標準電圧!AO21*標準電圧!AO$2-VLOOKUP(HUAWEI製ＰＣＳ接続枚数計算ツール!$C$9, HUAWEI製ＰＣＳ接続枚数計算ツール!$B$119:$P$149,12,FALSE))&lt;0),0,IF(ROUNDDOWN((標準電圧!AO21*標準電圧!AO$2-VLOOKUP(HUAWEI製ＰＣＳ接続枚数計算ツール!$C$9,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HUAWEI製ＰＣＳ接続枚数計算ツール!$B$119:$P$149,14,FALSE),0)/100&gt;=IF(過積載率!AO21&gt;1,1,過積載率!AO21),1,0))</f>
        <v>0</v>
      </c>
    </row>
    <row r="22" spans="1:41">
      <c r="A22">
        <v>20</v>
      </c>
      <c r="B22">
        <f>IF(OR(過積載率!B22=0,(標準電圧!B22*標準電圧!B$2-VLOOKUP(HUAWEI製ＰＣＳ接続枚数計算ツール!$C$9, HUAWEI製ＰＣＳ接続枚数計算ツール!$B$119:$P$149,12,FALSE))&lt;0),0,IF(ROUNDDOWN((標準電圧!B22*標準電圧!B$2-VLOOKUP(HUAWEI製ＰＣＳ接続枚数計算ツール!$C$9,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HUAWEI製ＰＣＳ接続枚数計算ツール!$B$119:$P$149,14,FALSE),0)/100&gt;=IF(過積載率!B22&gt;1,1,過積載率!B22),1,0))</f>
        <v>0</v>
      </c>
      <c r="C22">
        <f>IF(OR(過積載率!C22=0,(標準電圧!C22*標準電圧!C$2-VLOOKUP(HUAWEI製ＰＣＳ接続枚数計算ツール!$C$9, HUAWEI製ＰＣＳ接続枚数計算ツール!$B$119:$P$149,12,FALSE))&lt;0),0,IF(ROUNDDOWN((標準電圧!C22*標準電圧!C$2-VLOOKUP(HUAWEI製ＰＣＳ接続枚数計算ツール!$C$9,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HUAWEI製ＰＣＳ接続枚数計算ツール!$B$119:$P$149,14,FALSE),0)/100&gt;=IF(過積載率!C22&gt;1,1,過積載率!C22),1,0))</f>
        <v>0</v>
      </c>
      <c r="D22">
        <f>IF(OR(過積載率!D22=0,(標準電圧!D22*標準電圧!D$2-VLOOKUP(HUAWEI製ＰＣＳ接続枚数計算ツール!$C$9, HUAWEI製ＰＣＳ接続枚数計算ツール!$B$119:$P$149,12,FALSE))&lt;0),0,IF(ROUNDDOWN((標準電圧!D22*標準電圧!D$2-VLOOKUP(HUAWEI製ＰＣＳ接続枚数計算ツール!$C$9,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HUAWEI製ＰＣＳ接続枚数計算ツール!$B$119:$P$149,14,FALSE),0)/100&gt;=IF(過積載率!D22&gt;1,1,過積載率!D22),1,0))</f>
        <v>0</v>
      </c>
      <c r="E22">
        <f>IF(OR(過積載率!E22=0,(標準電圧!E22*標準電圧!E$2-VLOOKUP(HUAWEI製ＰＣＳ接続枚数計算ツール!$C$9, HUAWEI製ＰＣＳ接続枚数計算ツール!$B$119:$P$149,12,FALSE))&lt;0),0,IF(ROUNDDOWN((標準電圧!E22*標準電圧!E$2-VLOOKUP(HUAWEI製ＰＣＳ接続枚数計算ツール!$C$9,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HUAWEI製ＰＣＳ接続枚数計算ツール!$B$119:$P$149,14,FALSE),0)/100&gt;=IF(過積載率!E22&gt;1,1,過積載率!E22),1,0))</f>
        <v>0</v>
      </c>
      <c r="F22">
        <f>IF(OR(過積載率!F22=0,(標準電圧!F22*標準電圧!F$2-VLOOKUP(HUAWEI製ＰＣＳ接続枚数計算ツール!$C$9, HUAWEI製ＰＣＳ接続枚数計算ツール!$B$119:$P$149,12,FALSE))&lt;0),0,IF(ROUNDDOWN((標準電圧!F22*標準電圧!F$2-VLOOKUP(HUAWEI製ＰＣＳ接続枚数計算ツール!$C$9,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HUAWEI製ＰＣＳ接続枚数計算ツール!$B$119:$P$149,14,FALSE),0)/100&gt;=IF(過積載率!F22&gt;1,1,過積載率!F22),1,0))</f>
        <v>0</v>
      </c>
      <c r="G22">
        <f>IF(OR(過積載率!G22=0,(標準電圧!G22*標準電圧!G$2-VLOOKUP(HUAWEI製ＰＣＳ接続枚数計算ツール!$C$9, HUAWEI製ＰＣＳ接続枚数計算ツール!$B$119:$P$149,12,FALSE))&lt;0),0,IF(ROUNDDOWN((標準電圧!G22*標準電圧!G$2-VLOOKUP(HUAWEI製ＰＣＳ接続枚数計算ツール!$C$9,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HUAWEI製ＰＣＳ接続枚数計算ツール!$B$119:$P$149,14,FALSE),0)/100&gt;=IF(過積載率!G22&gt;1,1,過積載率!G22),1,0))</f>
        <v>0</v>
      </c>
      <c r="H22">
        <f>IF(OR(過積載率!H22=0,(標準電圧!H22*標準電圧!H$2-VLOOKUP(HUAWEI製ＰＣＳ接続枚数計算ツール!$C$9, HUAWEI製ＰＣＳ接続枚数計算ツール!$B$119:$P$149,12,FALSE))&lt;0),0,IF(ROUNDDOWN((標準電圧!H22*標準電圧!H$2-VLOOKUP(HUAWEI製ＰＣＳ接続枚数計算ツール!$C$9,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HUAWEI製ＰＣＳ接続枚数計算ツール!$B$119:$P$149,14,FALSE),0)/100&gt;=IF(過積載率!H22&gt;1,1,過積載率!H22),1,0))</f>
        <v>0</v>
      </c>
      <c r="I22">
        <f>IF(OR(過積載率!I22=0,(標準電圧!I22*標準電圧!I$2-VLOOKUP(HUAWEI製ＰＣＳ接続枚数計算ツール!$C$9, HUAWEI製ＰＣＳ接続枚数計算ツール!$B$119:$P$149,12,FALSE))&lt;0),0,IF(ROUNDDOWN((標準電圧!I22*標準電圧!I$2-VLOOKUP(HUAWEI製ＰＣＳ接続枚数計算ツール!$C$9,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HUAWEI製ＰＣＳ接続枚数計算ツール!$B$119:$P$149,14,FALSE),0)/100&gt;=IF(過積載率!I22&gt;1,1,過積載率!I22),1,0))</f>
        <v>0</v>
      </c>
      <c r="J22">
        <f>IF(OR(過積載率!J22=0,(標準電圧!J22*標準電圧!J$2-VLOOKUP(HUAWEI製ＰＣＳ接続枚数計算ツール!$C$9, HUAWEI製ＰＣＳ接続枚数計算ツール!$B$119:$P$149,12,FALSE))&lt;0),0,IF(ROUNDDOWN((標準電圧!J22*標準電圧!J$2-VLOOKUP(HUAWEI製ＰＣＳ接続枚数計算ツール!$C$9,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HUAWEI製ＰＣＳ接続枚数計算ツール!$B$119:$P$149,14,FALSE),0)/100&gt;=IF(過積載率!J22&gt;1,1,過積載率!J22),1,0))</f>
        <v>0</v>
      </c>
      <c r="K22">
        <f>IF(OR(過積載率!K22=0,(標準電圧!K22*標準電圧!K$2-VLOOKUP(HUAWEI製ＰＣＳ接続枚数計算ツール!$C$9, HUAWEI製ＰＣＳ接続枚数計算ツール!$B$119:$P$149,12,FALSE))&lt;0),0,IF(ROUNDDOWN((標準電圧!K22*標準電圧!K$2-VLOOKUP(HUAWEI製ＰＣＳ接続枚数計算ツール!$C$9,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HUAWEI製ＰＣＳ接続枚数計算ツール!$B$119:$P$149,14,FALSE),0)/100&gt;=IF(過積載率!K22&gt;1,1,過積載率!K22),1,0))</f>
        <v>0</v>
      </c>
      <c r="L22">
        <f>IF(OR(過積載率!L22=0,(標準電圧!L22*標準電圧!L$2-VLOOKUP(HUAWEI製ＰＣＳ接続枚数計算ツール!$C$9, HUAWEI製ＰＣＳ接続枚数計算ツール!$B$119:$P$149,12,FALSE))&lt;0),0,IF(ROUNDDOWN((標準電圧!L22*標準電圧!L$2-VLOOKUP(HUAWEI製ＰＣＳ接続枚数計算ツール!$C$9,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HUAWEI製ＰＣＳ接続枚数計算ツール!$B$119:$P$149,14,FALSE),0)/100&gt;=IF(過積載率!L22&gt;1,1,過積載率!L22),1,0))</f>
        <v>0</v>
      </c>
      <c r="M22">
        <f>IF(OR(過積載率!M22=0,(標準電圧!M22*標準電圧!M$2-VLOOKUP(HUAWEI製ＰＣＳ接続枚数計算ツール!$C$9, HUAWEI製ＰＣＳ接続枚数計算ツール!$B$119:$P$149,12,FALSE))&lt;0),0,IF(ROUNDDOWN((標準電圧!M22*標準電圧!M$2-VLOOKUP(HUAWEI製ＰＣＳ接続枚数計算ツール!$C$9,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HUAWEI製ＰＣＳ接続枚数計算ツール!$B$119:$P$149,14,FALSE),0)/100&gt;=IF(過積載率!M22&gt;1,1,過積載率!M22),1,0))</f>
        <v>0</v>
      </c>
      <c r="N22">
        <f>IF(OR(過積載率!N22=0,(標準電圧!N22*標準電圧!N$2-VLOOKUP(HUAWEI製ＰＣＳ接続枚数計算ツール!$C$9, HUAWEI製ＰＣＳ接続枚数計算ツール!$B$119:$P$149,12,FALSE))&lt;0),0,IF(ROUNDDOWN((標準電圧!N22*標準電圧!N$2-VLOOKUP(HUAWEI製ＰＣＳ接続枚数計算ツール!$C$9,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HUAWEI製ＰＣＳ接続枚数計算ツール!$B$119:$P$149,14,FALSE),0)/100&gt;=IF(過積載率!N22&gt;1,1,過積載率!N22),1,0))</f>
        <v>0</v>
      </c>
      <c r="O22">
        <f>IF(OR(過積載率!O22=0,(標準電圧!O22*標準電圧!O$2-VLOOKUP(HUAWEI製ＰＣＳ接続枚数計算ツール!$C$9, HUAWEI製ＰＣＳ接続枚数計算ツール!$B$119:$P$149,12,FALSE))&lt;0),0,IF(ROUNDDOWN((標準電圧!O22*標準電圧!O$2-VLOOKUP(HUAWEI製ＰＣＳ接続枚数計算ツール!$C$9,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HUAWEI製ＰＣＳ接続枚数計算ツール!$B$119:$P$149,14,FALSE),0)/100&gt;=IF(過積載率!O22&gt;1,1,過積載率!O22),1,0))</f>
        <v>0</v>
      </c>
      <c r="P22">
        <f>IF(OR(過積載率!P22=0,(標準電圧!P22*標準電圧!P$2-VLOOKUP(HUAWEI製ＰＣＳ接続枚数計算ツール!$C$9, HUAWEI製ＰＣＳ接続枚数計算ツール!$B$119:$P$149,12,FALSE))&lt;0),0,IF(ROUNDDOWN((標準電圧!P22*標準電圧!P$2-VLOOKUP(HUAWEI製ＰＣＳ接続枚数計算ツール!$C$9,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HUAWEI製ＰＣＳ接続枚数計算ツール!$B$119:$P$149,14,FALSE),0)/100&gt;=IF(過積載率!P22&gt;1,1,過積載率!P22),1,0))</f>
        <v>0</v>
      </c>
      <c r="Q22">
        <f>IF(OR(過積載率!Q22=0,(標準電圧!Q22*標準電圧!Q$2-VLOOKUP(HUAWEI製ＰＣＳ接続枚数計算ツール!$C$9, HUAWEI製ＰＣＳ接続枚数計算ツール!$B$119:$P$149,12,FALSE))&lt;0),0,IF(ROUNDDOWN((標準電圧!Q22*標準電圧!Q$2-VLOOKUP(HUAWEI製ＰＣＳ接続枚数計算ツール!$C$9,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HUAWEI製ＰＣＳ接続枚数計算ツール!$B$119:$P$149,14,FALSE),0)/100&gt;=IF(過積載率!Q22&gt;1,1,過積載率!Q22),1,0))</f>
        <v>0</v>
      </c>
      <c r="R22">
        <f>IF(OR(過積載率!R22=0,(標準電圧!R22*標準電圧!R$2-VLOOKUP(HUAWEI製ＰＣＳ接続枚数計算ツール!$C$9, HUAWEI製ＰＣＳ接続枚数計算ツール!$B$119:$P$149,12,FALSE))&lt;0),0,IF(ROUNDDOWN((標準電圧!R22*標準電圧!R$2-VLOOKUP(HUAWEI製ＰＣＳ接続枚数計算ツール!$C$9,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HUAWEI製ＰＣＳ接続枚数計算ツール!$B$119:$P$149,14,FALSE),0)/100&gt;=IF(過積載率!R22&gt;1,1,過積載率!R22),1,0))</f>
        <v>0</v>
      </c>
      <c r="S22">
        <f>IF(OR(過積載率!S22=0,(標準電圧!S22*標準電圧!S$2-VLOOKUP(HUAWEI製ＰＣＳ接続枚数計算ツール!$C$9, HUAWEI製ＰＣＳ接続枚数計算ツール!$B$119:$P$149,12,FALSE))&lt;0),0,IF(ROUNDDOWN((標準電圧!S22*標準電圧!S$2-VLOOKUP(HUAWEI製ＰＣＳ接続枚数計算ツール!$C$9,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HUAWEI製ＰＣＳ接続枚数計算ツール!$B$119:$P$149,14,FALSE),0)/100&gt;=IF(過積載率!S22&gt;1,1,過積載率!S22),1,0))</f>
        <v>0</v>
      </c>
      <c r="T22">
        <f>IF(OR(過積載率!T22=0,(標準電圧!T22*標準電圧!T$2-VLOOKUP(HUAWEI製ＰＣＳ接続枚数計算ツール!$C$9, HUAWEI製ＰＣＳ接続枚数計算ツール!$B$119:$P$149,12,FALSE))&lt;0),0,IF(ROUNDDOWN((標準電圧!T22*標準電圧!T$2-VLOOKUP(HUAWEI製ＰＣＳ接続枚数計算ツール!$C$9,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HUAWEI製ＰＣＳ接続枚数計算ツール!$B$119:$P$149,14,FALSE),0)/100&gt;=IF(過積載率!T22&gt;1,1,過積載率!T22),1,0))</f>
        <v>0</v>
      </c>
      <c r="U22">
        <f>IF(OR(過積載率!U22=0,(標準電圧!U22*標準電圧!U$2-VLOOKUP(HUAWEI製ＰＣＳ接続枚数計算ツール!$C$9, HUAWEI製ＰＣＳ接続枚数計算ツール!$B$119:$P$149,12,FALSE))&lt;0),0,IF(ROUNDDOWN((標準電圧!U22*標準電圧!U$2-VLOOKUP(HUAWEI製ＰＣＳ接続枚数計算ツール!$C$9,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HUAWEI製ＰＣＳ接続枚数計算ツール!$B$119:$P$149,14,FALSE),0)/100&gt;=IF(過積載率!U22&gt;1,1,過積載率!U22),1,0))</f>
        <v>0</v>
      </c>
      <c r="V22">
        <f>IF(OR(過積載率!V22=0,(標準電圧!V22*標準電圧!V$2-VLOOKUP(HUAWEI製ＰＣＳ接続枚数計算ツール!$C$9, HUAWEI製ＰＣＳ接続枚数計算ツール!$B$119:$P$149,12,FALSE))&lt;0),0,IF(ROUNDDOWN((標準電圧!V22*標準電圧!V$2-VLOOKUP(HUAWEI製ＰＣＳ接続枚数計算ツール!$C$9,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HUAWEI製ＰＣＳ接続枚数計算ツール!$B$119:$P$149,14,FALSE),0)/100&gt;=IF(過積載率!V22&gt;1,1,過積載率!V22),1,0))</f>
        <v>0</v>
      </c>
      <c r="W22">
        <f>IF(OR(過積載率!W22=0,(標準電圧!W22*標準電圧!W$2-VLOOKUP(HUAWEI製ＰＣＳ接続枚数計算ツール!$C$9, HUAWEI製ＰＣＳ接続枚数計算ツール!$B$119:$P$149,12,FALSE))&lt;0),0,IF(ROUNDDOWN((標準電圧!W22*標準電圧!W$2-VLOOKUP(HUAWEI製ＰＣＳ接続枚数計算ツール!$C$9,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HUAWEI製ＰＣＳ接続枚数計算ツール!$B$119:$P$149,14,FALSE),0)/100&gt;=IF(過積載率!W22&gt;1,1,過積載率!W22),1,0))</f>
        <v>0</v>
      </c>
      <c r="X22">
        <f>IF(OR(過積載率!X22=0,(標準電圧!X22*標準電圧!X$2-VLOOKUP(HUAWEI製ＰＣＳ接続枚数計算ツール!$C$9, HUAWEI製ＰＣＳ接続枚数計算ツール!$B$119:$P$149,12,FALSE))&lt;0),0,IF(ROUNDDOWN((標準電圧!X22*標準電圧!X$2-VLOOKUP(HUAWEI製ＰＣＳ接続枚数計算ツール!$C$9,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HUAWEI製ＰＣＳ接続枚数計算ツール!$B$119:$P$149,14,FALSE),0)/100&gt;=IF(過積載率!X22&gt;1,1,過積載率!X22),1,0))</f>
        <v>0</v>
      </c>
      <c r="Y22">
        <f>IF(OR(過積載率!Y22=0,(標準電圧!Y22*標準電圧!Y$2-VLOOKUP(HUAWEI製ＰＣＳ接続枚数計算ツール!$C$9, HUAWEI製ＰＣＳ接続枚数計算ツール!$B$119:$P$149,12,FALSE))&lt;0),0,IF(ROUNDDOWN((標準電圧!Y22*標準電圧!Y$2-VLOOKUP(HUAWEI製ＰＣＳ接続枚数計算ツール!$C$9,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HUAWEI製ＰＣＳ接続枚数計算ツール!$B$119:$P$149,14,FALSE),0)/100&gt;=IF(過積載率!Y22&gt;1,1,過積載率!Y22),1,0))</f>
        <v>0</v>
      </c>
      <c r="Z22">
        <f>IF(OR(過積載率!Z22=0,(標準電圧!Z22*標準電圧!Z$2-VLOOKUP(HUAWEI製ＰＣＳ接続枚数計算ツール!$C$9, HUAWEI製ＰＣＳ接続枚数計算ツール!$B$119:$P$149,12,FALSE))&lt;0),0,IF(ROUNDDOWN((標準電圧!Z22*標準電圧!Z$2-VLOOKUP(HUAWEI製ＰＣＳ接続枚数計算ツール!$C$9,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HUAWEI製ＰＣＳ接続枚数計算ツール!$B$119:$P$149,14,FALSE),0)/100&gt;=IF(過積載率!Z22&gt;1,1,過積載率!Z22),1,0))</f>
        <v>0</v>
      </c>
      <c r="AA22">
        <f>IF(OR(過積載率!AA22=0,(標準電圧!AA22*標準電圧!AA$2-VLOOKUP(HUAWEI製ＰＣＳ接続枚数計算ツール!$C$9, HUAWEI製ＰＣＳ接続枚数計算ツール!$B$119:$P$149,12,FALSE))&lt;0),0,IF(ROUNDDOWN((標準電圧!AA22*標準電圧!AA$2-VLOOKUP(HUAWEI製ＰＣＳ接続枚数計算ツール!$C$9,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HUAWEI製ＰＣＳ接続枚数計算ツール!$B$119:$P$149,14,FALSE),0)/100&gt;=IF(過積載率!AA22&gt;1,1,過積載率!AA22),1,0))</f>
        <v>0</v>
      </c>
      <c r="AB22">
        <f>IF(OR(過積載率!AB22=0,(標準電圧!AB22*標準電圧!AB$2-VLOOKUP(HUAWEI製ＰＣＳ接続枚数計算ツール!$C$9, HUAWEI製ＰＣＳ接続枚数計算ツール!$B$119:$P$149,12,FALSE))&lt;0),0,IF(ROUNDDOWN((標準電圧!AB22*標準電圧!AB$2-VLOOKUP(HUAWEI製ＰＣＳ接続枚数計算ツール!$C$9,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HUAWEI製ＰＣＳ接続枚数計算ツール!$B$119:$P$149,14,FALSE),0)/100&gt;=IF(過積載率!AB22&gt;1,1,過積載率!AB22),1,0))</f>
        <v>0</v>
      </c>
      <c r="AC22">
        <f>IF(OR(過積載率!AC22=0,(標準電圧!AC22*標準電圧!AC$2-VLOOKUP(HUAWEI製ＰＣＳ接続枚数計算ツール!$C$9, HUAWEI製ＰＣＳ接続枚数計算ツール!$B$119:$P$149,12,FALSE))&lt;0),0,IF(ROUNDDOWN((標準電圧!AC22*標準電圧!AC$2-VLOOKUP(HUAWEI製ＰＣＳ接続枚数計算ツール!$C$9,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HUAWEI製ＰＣＳ接続枚数計算ツール!$B$119:$P$149,14,FALSE),0)/100&gt;=IF(過積載率!AC22&gt;1,1,過積載率!AC22),1,0))</f>
        <v>0</v>
      </c>
      <c r="AD22">
        <f>IF(OR(過積載率!AD22=0,(標準電圧!AD22*標準電圧!AD$2-VLOOKUP(HUAWEI製ＰＣＳ接続枚数計算ツール!$C$9, HUAWEI製ＰＣＳ接続枚数計算ツール!$B$119:$P$149,12,FALSE))&lt;0),0,IF(ROUNDDOWN((標準電圧!AD22*標準電圧!AD$2-VLOOKUP(HUAWEI製ＰＣＳ接続枚数計算ツール!$C$9,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HUAWEI製ＰＣＳ接続枚数計算ツール!$B$119:$P$149,14,FALSE),0)/100&gt;=IF(過積載率!AD22&gt;1,1,過積載率!AD22),1,0))</f>
        <v>0</v>
      </c>
      <c r="AE22">
        <f>IF(OR(過積載率!AE22=0,(標準電圧!AE22*標準電圧!AE$2-VLOOKUP(HUAWEI製ＰＣＳ接続枚数計算ツール!$C$9, HUAWEI製ＰＣＳ接続枚数計算ツール!$B$119:$P$149,12,FALSE))&lt;0),0,IF(ROUNDDOWN((標準電圧!AE22*標準電圧!AE$2-VLOOKUP(HUAWEI製ＰＣＳ接続枚数計算ツール!$C$9,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HUAWEI製ＰＣＳ接続枚数計算ツール!$B$119:$P$149,14,FALSE),0)/100&gt;=IF(過積載率!AE22&gt;1,1,過積載率!AE22),1,0))</f>
        <v>0</v>
      </c>
      <c r="AF22">
        <f>IF(OR(過積載率!AF22=0,(標準電圧!AF22*標準電圧!AF$2-VLOOKUP(HUAWEI製ＰＣＳ接続枚数計算ツール!$C$9, HUAWEI製ＰＣＳ接続枚数計算ツール!$B$119:$P$149,12,FALSE))&lt;0),0,IF(ROUNDDOWN((標準電圧!AF22*標準電圧!AF$2-VLOOKUP(HUAWEI製ＰＣＳ接続枚数計算ツール!$C$9,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HUAWEI製ＰＣＳ接続枚数計算ツール!$B$119:$P$149,14,FALSE),0)/100&gt;=IF(過積載率!AF22&gt;1,1,過積載率!AF22),1,0))</f>
        <v>0</v>
      </c>
      <c r="AG22">
        <f>IF(OR(過積載率!AG22=0,(標準電圧!AG22*標準電圧!AG$2-VLOOKUP(HUAWEI製ＰＣＳ接続枚数計算ツール!$C$9, HUAWEI製ＰＣＳ接続枚数計算ツール!$B$119:$P$149,12,FALSE))&lt;0),0,IF(ROUNDDOWN((標準電圧!AG22*標準電圧!AG$2-VLOOKUP(HUAWEI製ＰＣＳ接続枚数計算ツール!$C$9,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HUAWEI製ＰＣＳ接続枚数計算ツール!$B$119:$P$149,14,FALSE),0)/100&gt;=IF(過積載率!AG22&gt;1,1,過積載率!AG22),1,0))</f>
        <v>0</v>
      </c>
      <c r="AH22">
        <f>IF(OR(過積載率!AH22=0,(標準電圧!AH22*標準電圧!AH$2-VLOOKUP(HUAWEI製ＰＣＳ接続枚数計算ツール!$C$9, HUAWEI製ＰＣＳ接続枚数計算ツール!$B$119:$P$149,12,FALSE))&lt;0),0,IF(ROUNDDOWN((標準電圧!AH22*標準電圧!AH$2-VLOOKUP(HUAWEI製ＰＣＳ接続枚数計算ツール!$C$9,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HUAWEI製ＰＣＳ接続枚数計算ツール!$B$119:$P$149,14,FALSE),0)/100&gt;=IF(過積載率!AH22&gt;1,1,過積載率!AH22),1,0))</f>
        <v>0</v>
      </c>
      <c r="AI22">
        <f>IF(OR(過積載率!AI22=0,(標準電圧!AI22*標準電圧!AI$2-VLOOKUP(HUAWEI製ＰＣＳ接続枚数計算ツール!$C$9, HUAWEI製ＰＣＳ接続枚数計算ツール!$B$119:$P$149,12,FALSE))&lt;0),0,IF(ROUNDDOWN((標準電圧!AI22*標準電圧!AI$2-VLOOKUP(HUAWEI製ＰＣＳ接続枚数計算ツール!$C$9,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HUAWEI製ＰＣＳ接続枚数計算ツール!$B$119:$P$149,14,FALSE),0)/100&gt;=IF(過積載率!AI22&gt;1,1,過積載率!AI22),1,0))</f>
        <v>0</v>
      </c>
      <c r="AJ22">
        <f>IF(OR(過積載率!AJ22=0,(標準電圧!AJ22*標準電圧!AJ$2-VLOOKUP(HUAWEI製ＰＣＳ接続枚数計算ツール!$C$9, HUAWEI製ＰＣＳ接続枚数計算ツール!$B$119:$P$149,12,FALSE))&lt;0),0,IF(ROUNDDOWN((標準電圧!AJ22*標準電圧!AJ$2-VLOOKUP(HUAWEI製ＰＣＳ接続枚数計算ツール!$C$9,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HUAWEI製ＰＣＳ接続枚数計算ツール!$B$119:$P$149,14,FALSE),0)/100&gt;=IF(過積載率!AJ22&gt;1,1,過積載率!AJ22),1,0))</f>
        <v>0</v>
      </c>
      <c r="AK22">
        <f>IF(OR(過積載率!AK22=0,(標準電圧!AK22*標準電圧!AK$2-VLOOKUP(HUAWEI製ＰＣＳ接続枚数計算ツール!$C$9, HUAWEI製ＰＣＳ接続枚数計算ツール!$B$119:$P$149,12,FALSE))&lt;0),0,IF(ROUNDDOWN((標準電圧!AK22*標準電圧!AK$2-VLOOKUP(HUAWEI製ＰＣＳ接続枚数計算ツール!$C$9,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HUAWEI製ＰＣＳ接続枚数計算ツール!$B$119:$P$149,14,FALSE),0)/100&gt;=IF(過積載率!AK22&gt;1,1,過積載率!AK22),1,0))</f>
        <v>0</v>
      </c>
      <c r="AL22">
        <f>IF(OR(過積載率!AL22=0,(標準電圧!AL22*標準電圧!AL$2-VLOOKUP(HUAWEI製ＰＣＳ接続枚数計算ツール!$C$9, HUAWEI製ＰＣＳ接続枚数計算ツール!$B$119:$P$149,12,FALSE))&lt;0),0,IF(ROUNDDOWN((標準電圧!AL22*標準電圧!AL$2-VLOOKUP(HUAWEI製ＰＣＳ接続枚数計算ツール!$C$9,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HUAWEI製ＰＣＳ接続枚数計算ツール!$B$119:$P$149,14,FALSE),0)/100&gt;=IF(過積載率!AL22&gt;1,1,過積載率!AL22),1,0))</f>
        <v>0</v>
      </c>
      <c r="AM22">
        <f>IF(OR(過積載率!AM22=0,(標準電圧!AM22*標準電圧!AM$2-VLOOKUP(HUAWEI製ＰＣＳ接続枚数計算ツール!$C$9, HUAWEI製ＰＣＳ接続枚数計算ツール!$B$119:$P$149,12,FALSE))&lt;0),0,IF(ROUNDDOWN((標準電圧!AM22*標準電圧!AM$2-VLOOKUP(HUAWEI製ＰＣＳ接続枚数計算ツール!$C$9,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HUAWEI製ＰＣＳ接続枚数計算ツール!$B$119:$P$149,14,FALSE),0)/100&gt;=IF(過積載率!AM22&gt;1,1,過積載率!AM22),1,0))</f>
        <v>0</v>
      </c>
      <c r="AN22">
        <f>IF(OR(過積載率!AN22=0,(標準電圧!AN22*標準電圧!AN$2-VLOOKUP(HUAWEI製ＰＣＳ接続枚数計算ツール!$C$9, HUAWEI製ＰＣＳ接続枚数計算ツール!$B$119:$P$149,12,FALSE))&lt;0),0,IF(ROUNDDOWN((標準電圧!AN22*標準電圧!AN$2-VLOOKUP(HUAWEI製ＰＣＳ接続枚数計算ツール!$C$9,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HUAWEI製ＰＣＳ接続枚数計算ツール!$B$119:$P$149,14,FALSE),0)/100&gt;=IF(過積載率!AN22&gt;1,1,過積載率!AN22),1,0))</f>
        <v>0</v>
      </c>
      <c r="AO22">
        <f>IF(OR(過積載率!AO22=0,(標準電圧!AO22*標準電圧!AO$2-VLOOKUP(HUAWEI製ＰＣＳ接続枚数計算ツール!$C$9, HUAWEI製ＰＣＳ接続枚数計算ツール!$B$119:$P$149,12,FALSE))&lt;0),0,IF(ROUNDDOWN((標準電圧!AO22*標準電圧!AO$2-VLOOKUP(HUAWEI製ＰＣＳ接続枚数計算ツール!$C$9,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HUAWEI製ＰＣＳ接続枚数計算ツール!$B$119:$P$149,14,FALSE),0)/100&gt;=IF(過積載率!AO22&gt;1,1,過積載率!AO22),1,0))</f>
        <v>0</v>
      </c>
    </row>
    <row r="23" spans="1:41">
      <c r="A23">
        <v>21</v>
      </c>
      <c r="B23">
        <f>IF(OR(過積載率!B23=0,(標準電圧!B23*標準電圧!B$2-VLOOKUP(HUAWEI製ＰＣＳ接続枚数計算ツール!$C$9, HUAWEI製ＰＣＳ接続枚数計算ツール!$B$119:$P$149,12,FALSE))&lt;0),0,IF(ROUNDDOWN((標準電圧!B23*標準電圧!B$2-VLOOKUP(HUAWEI製ＰＣＳ接続枚数計算ツール!$C$9,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HUAWEI製ＰＣＳ接続枚数計算ツール!$B$119:$P$149,14,FALSE),0)/100&gt;=IF(過積載率!B23&gt;1,1,過積載率!B23),1,0))</f>
        <v>0</v>
      </c>
      <c r="C23">
        <f>IF(OR(過積載率!C23=0,(標準電圧!C23*標準電圧!C$2-VLOOKUP(HUAWEI製ＰＣＳ接続枚数計算ツール!$C$9, HUAWEI製ＰＣＳ接続枚数計算ツール!$B$119:$P$149,12,FALSE))&lt;0),0,IF(ROUNDDOWN((標準電圧!C23*標準電圧!C$2-VLOOKUP(HUAWEI製ＰＣＳ接続枚数計算ツール!$C$9,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HUAWEI製ＰＣＳ接続枚数計算ツール!$B$119:$P$149,14,FALSE),0)/100&gt;=IF(過積載率!C23&gt;1,1,過積載率!C23),1,0))</f>
        <v>0</v>
      </c>
      <c r="D23">
        <f>IF(OR(過積載率!D23=0,(標準電圧!D23*標準電圧!D$2-VLOOKUP(HUAWEI製ＰＣＳ接続枚数計算ツール!$C$9, HUAWEI製ＰＣＳ接続枚数計算ツール!$B$119:$P$149,12,FALSE))&lt;0),0,IF(ROUNDDOWN((標準電圧!D23*標準電圧!D$2-VLOOKUP(HUAWEI製ＰＣＳ接続枚数計算ツール!$C$9,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HUAWEI製ＰＣＳ接続枚数計算ツール!$B$119:$P$149,14,FALSE),0)/100&gt;=IF(過積載率!D23&gt;1,1,過積載率!D23),1,0))</f>
        <v>0</v>
      </c>
      <c r="E23">
        <f>IF(OR(過積載率!E23=0,(標準電圧!E23*標準電圧!E$2-VLOOKUP(HUAWEI製ＰＣＳ接続枚数計算ツール!$C$9, HUAWEI製ＰＣＳ接続枚数計算ツール!$B$119:$P$149,12,FALSE))&lt;0),0,IF(ROUNDDOWN((標準電圧!E23*標準電圧!E$2-VLOOKUP(HUAWEI製ＰＣＳ接続枚数計算ツール!$C$9,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HUAWEI製ＰＣＳ接続枚数計算ツール!$B$119:$P$149,14,FALSE),0)/100&gt;=IF(過積載率!E23&gt;1,1,過積載率!E23),1,0))</f>
        <v>0</v>
      </c>
      <c r="F23">
        <f>IF(OR(過積載率!F23=0,(標準電圧!F23*標準電圧!F$2-VLOOKUP(HUAWEI製ＰＣＳ接続枚数計算ツール!$C$9, HUAWEI製ＰＣＳ接続枚数計算ツール!$B$119:$P$149,12,FALSE))&lt;0),0,IF(ROUNDDOWN((標準電圧!F23*標準電圧!F$2-VLOOKUP(HUAWEI製ＰＣＳ接続枚数計算ツール!$C$9,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HUAWEI製ＰＣＳ接続枚数計算ツール!$B$119:$P$149,14,FALSE),0)/100&gt;=IF(過積載率!F23&gt;1,1,過積載率!F23),1,0))</f>
        <v>0</v>
      </c>
      <c r="G23">
        <f>IF(OR(過積載率!G23=0,(標準電圧!G23*標準電圧!G$2-VLOOKUP(HUAWEI製ＰＣＳ接続枚数計算ツール!$C$9, HUAWEI製ＰＣＳ接続枚数計算ツール!$B$119:$P$149,12,FALSE))&lt;0),0,IF(ROUNDDOWN((標準電圧!G23*標準電圧!G$2-VLOOKUP(HUAWEI製ＰＣＳ接続枚数計算ツール!$C$9,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HUAWEI製ＰＣＳ接続枚数計算ツール!$B$119:$P$149,14,FALSE),0)/100&gt;=IF(過積載率!G23&gt;1,1,過積載率!G23),1,0))</f>
        <v>0</v>
      </c>
      <c r="H23">
        <f>IF(OR(過積載率!H23=0,(標準電圧!H23*標準電圧!H$2-VLOOKUP(HUAWEI製ＰＣＳ接続枚数計算ツール!$C$9, HUAWEI製ＰＣＳ接続枚数計算ツール!$B$119:$P$149,12,FALSE))&lt;0),0,IF(ROUNDDOWN((標準電圧!H23*標準電圧!H$2-VLOOKUP(HUAWEI製ＰＣＳ接続枚数計算ツール!$C$9,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HUAWEI製ＰＣＳ接続枚数計算ツール!$B$119:$P$149,14,FALSE),0)/100&gt;=IF(過積載率!H23&gt;1,1,過積載率!H23),1,0))</f>
        <v>0</v>
      </c>
      <c r="I23">
        <f>IF(OR(過積載率!I23=0,(標準電圧!I23*標準電圧!I$2-VLOOKUP(HUAWEI製ＰＣＳ接続枚数計算ツール!$C$9, HUAWEI製ＰＣＳ接続枚数計算ツール!$B$119:$P$149,12,FALSE))&lt;0),0,IF(ROUNDDOWN((標準電圧!I23*標準電圧!I$2-VLOOKUP(HUAWEI製ＰＣＳ接続枚数計算ツール!$C$9,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HUAWEI製ＰＣＳ接続枚数計算ツール!$B$119:$P$149,14,FALSE),0)/100&gt;=IF(過積載率!I23&gt;1,1,過積載率!I23),1,0))</f>
        <v>0</v>
      </c>
      <c r="J23">
        <f>IF(OR(過積載率!J23=0,(標準電圧!J23*標準電圧!J$2-VLOOKUP(HUAWEI製ＰＣＳ接続枚数計算ツール!$C$9, HUAWEI製ＰＣＳ接続枚数計算ツール!$B$119:$P$149,12,FALSE))&lt;0),0,IF(ROUNDDOWN((標準電圧!J23*標準電圧!J$2-VLOOKUP(HUAWEI製ＰＣＳ接続枚数計算ツール!$C$9,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HUAWEI製ＰＣＳ接続枚数計算ツール!$B$119:$P$149,14,FALSE),0)/100&gt;=IF(過積載率!J23&gt;1,1,過積載率!J23),1,0))</f>
        <v>0</v>
      </c>
      <c r="K23">
        <f>IF(OR(過積載率!K23=0,(標準電圧!K23*標準電圧!K$2-VLOOKUP(HUAWEI製ＰＣＳ接続枚数計算ツール!$C$9, HUAWEI製ＰＣＳ接続枚数計算ツール!$B$119:$P$149,12,FALSE))&lt;0),0,IF(ROUNDDOWN((標準電圧!K23*標準電圧!K$2-VLOOKUP(HUAWEI製ＰＣＳ接続枚数計算ツール!$C$9,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HUAWEI製ＰＣＳ接続枚数計算ツール!$B$119:$P$149,14,FALSE),0)/100&gt;=IF(過積載率!K23&gt;1,1,過積載率!K23),1,0))</f>
        <v>0</v>
      </c>
      <c r="L23">
        <f>IF(OR(過積載率!L23=0,(標準電圧!L23*標準電圧!L$2-VLOOKUP(HUAWEI製ＰＣＳ接続枚数計算ツール!$C$9, HUAWEI製ＰＣＳ接続枚数計算ツール!$B$119:$P$149,12,FALSE))&lt;0),0,IF(ROUNDDOWN((標準電圧!L23*標準電圧!L$2-VLOOKUP(HUAWEI製ＰＣＳ接続枚数計算ツール!$C$9,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HUAWEI製ＰＣＳ接続枚数計算ツール!$B$119:$P$149,14,FALSE),0)/100&gt;=IF(過積載率!L23&gt;1,1,過積載率!L23),1,0))</f>
        <v>0</v>
      </c>
      <c r="M23">
        <f>IF(OR(過積載率!M23=0,(標準電圧!M23*標準電圧!M$2-VLOOKUP(HUAWEI製ＰＣＳ接続枚数計算ツール!$C$9, HUAWEI製ＰＣＳ接続枚数計算ツール!$B$119:$P$149,12,FALSE))&lt;0),0,IF(ROUNDDOWN((標準電圧!M23*標準電圧!M$2-VLOOKUP(HUAWEI製ＰＣＳ接続枚数計算ツール!$C$9,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HUAWEI製ＰＣＳ接続枚数計算ツール!$B$119:$P$149,14,FALSE),0)/100&gt;=IF(過積載率!M23&gt;1,1,過積載率!M23),1,0))</f>
        <v>0</v>
      </c>
      <c r="N23">
        <f>IF(OR(過積載率!N23=0,(標準電圧!N23*標準電圧!N$2-VLOOKUP(HUAWEI製ＰＣＳ接続枚数計算ツール!$C$9, HUAWEI製ＰＣＳ接続枚数計算ツール!$B$119:$P$149,12,FALSE))&lt;0),0,IF(ROUNDDOWN((標準電圧!N23*標準電圧!N$2-VLOOKUP(HUAWEI製ＰＣＳ接続枚数計算ツール!$C$9,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HUAWEI製ＰＣＳ接続枚数計算ツール!$B$119:$P$149,14,FALSE),0)/100&gt;=IF(過積載率!N23&gt;1,1,過積載率!N23),1,0))</f>
        <v>0</v>
      </c>
      <c r="O23">
        <f>IF(OR(過積載率!O23=0,(標準電圧!O23*標準電圧!O$2-VLOOKUP(HUAWEI製ＰＣＳ接続枚数計算ツール!$C$9, HUAWEI製ＰＣＳ接続枚数計算ツール!$B$119:$P$149,12,FALSE))&lt;0),0,IF(ROUNDDOWN((標準電圧!O23*標準電圧!O$2-VLOOKUP(HUAWEI製ＰＣＳ接続枚数計算ツール!$C$9,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HUAWEI製ＰＣＳ接続枚数計算ツール!$B$119:$P$149,14,FALSE),0)/100&gt;=IF(過積載率!O23&gt;1,1,過積載率!O23),1,0))</f>
        <v>0</v>
      </c>
      <c r="P23">
        <f>IF(OR(過積載率!P23=0,(標準電圧!P23*標準電圧!P$2-VLOOKUP(HUAWEI製ＰＣＳ接続枚数計算ツール!$C$9, HUAWEI製ＰＣＳ接続枚数計算ツール!$B$119:$P$149,12,FALSE))&lt;0),0,IF(ROUNDDOWN((標準電圧!P23*標準電圧!P$2-VLOOKUP(HUAWEI製ＰＣＳ接続枚数計算ツール!$C$9,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HUAWEI製ＰＣＳ接続枚数計算ツール!$B$119:$P$149,14,FALSE),0)/100&gt;=IF(過積載率!P23&gt;1,1,過積載率!P23),1,0))</f>
        <v>0</v>
      </c>
      <c r="Q23">
        <f>IF(OR(過積載率!Q23=0,(標準電圧!Q23*標準電圧!Q$2-VLOOKUP(HUAWEI製ＰＣＳ接続枚数計算ツール!$C$9, HUAWEI製ＰＣＳ接続枚数計算ツール!$B$119:$P$149,12,FALSE))&lt;0),0,IF(ROUNDDOWN((標準電圧!Q23*標準電圧!Q$2-VLOOKUP(HUAWEI製ＰＣＳ接続枚数計算ツール!$C$9,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HUAWEI製ＰＣＳ接続枚数計算ツール!$B$119:$P$149,14,FALSE),0)/100&gt;=IF(過積載率!Q23&gt;1,1,過積載率!Q23),1,0))</f>
        <v>0</v>
      </c>
      <c r="R23">
        <f>IF(OR(過積載率!R23=0,(標準電圧!R23*標準電圧!R$2-VLOOKUP(HUAWEI製ＰＣＳ接続枚数計算ツール!$C$9, HUAWEI製ＰＣＳ接続枚数計算ツール!$B$119:$P$149,12,FALSE))&lt;0),0,IF(ROUNDDOWN((標準電圧!R23*標準電圧!R$2-VLOOKUP(HUAWEI製ＰＣＳ接続枚数計算ツール!$C$9,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HUAWEI製ＰＣＳ接続枚数計算ツール!$B$119:$P$149,14,FALSE),0)/100&gt;=IF(過積載率!R23&gt;1,1,過積載率!R23),1,0))</f>
        <v>0</v>
      </c>
      <c r="S23">
        <f>IF(OR(過積載率!S23=0,(標準電圧!S23*標準電圧!S$2-VLOOKUP(HUAWEI製ＰＣＳ接続枚数計算ツール!$C$9, HUAWEI製ＰＣＳ接続枚数計算ツール!$B$119:$P$149,12,FALSE))&lt;0),0,IF(ROUNDDOWN((標準電圧!S23*標準電圧!S$2-VLOOKUP(HUAWEI製ＰＣＳ接続枚数計算ツール!$C$9,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HUAWEI製ＰＣＳ接続枚数計算ツール!$B$119:$P$149,14,FALSE),0)/100&gt;=IF(過積載率!S23&gt;1,1,過積載率!S23),1,0))</f>
        <v>0</v>
      </c>
      <c r="T23">
        <f>IF(OR(過積載率!T23=0,(標準電圧!T23*標準電圧!T$2-VLOOKUP(HUAWEI製ＰＣＳ接続枚数計算ツール!$C$9, HUAWEI製ＰＣＳ接続枚数計算ツール!$B$119:$P$149,12,FALSE))&lt;0),0,IF(ROUNDDOWN((標準電圧!T23*標準電圧!T$2-VLOOKUP(HUAWEI製ＰＣＳ接続枚数計算ツール!$C$9,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HUAWEI製ＰＣＳ接続枚数計算ツール!$B$119:$P$149,14,FALSE),0)/100&gt;=IF(過積載率!T23&gt;1,1,過積載率!T23),1,0))</f>
        <v>0</v>
      </c>
      <c r="U23">
        <f>IF(OR(過積載率!U23=0,(標準電圧!U23*標準電圧!U$2-VLOOKUP(HUAWEI製ＰＣＳ接続枚数計算ツール!$C$9, HUAWEI製ＰＣＳ接続枚数計算ツール!$B$119:$P$149,12,FALSE))&lt;0),0,IF(ROUNDDOWN((標準電圧!U23*標準電圧!U$2-VLOOKUP(HUAWEI製ＰＣＳ接続枚数計算ツール!$C$9,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HUAWEI製ＰＣＳ接続枚数計算ツール!$B$119:$P$149,14,FALSE),0)/100&gt;=IF(過積載率!U23&gt;1,1,過積載率!U23),1,0))</f>
        <v>0</v>
      </c>
      <c r="V23">
        <f>IF(OR(過積載率!V23=0,(標準電圧!V23*標準電圧!V$2-VLOOKUP(HUAWEI製ＰＣＳ接続枚数計算ツール!$C$9, HUAWEI製ＰＣＳ接続枚数計算ツール!$B$119:$P$149,12,FALSE))&lt;0),0,IF(ROUNDDOWN((標準電圧!V23*標準電圧!V$2-VLOOKUP(HUAWEI製ＰＣＳ接続枚数計算ツール!$C$9,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HUAWEI製ＰＣＳ接続枚数計算ツール!$B$119:$P$149,14,FALSE),0)/100&gt;=IF(過積載率!V23&gt;1,1,過積載率!V23),1,0))</f>
        <v>0</v>
      </c>
      <c r="W23">
        <f>IF(OR(過積載率!W23=0,(標準電圧!W23*標準電圧!W$2-VLOOKUP(HUAWEI製ＰＣＳ接続枚数計算ツール!$C$9, HUAWEI製ＰＣＳ接続枚数計算ツール!$B$119:$P$149,12,FALSE))&lt;0),0,IF(ROUNDDOWN((標準電圧!W23*標準電圧!W$2-VLOOKUP(HUAWEI製ＰＣＳ接続枚数計算ツール!$C$9,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HUAWEI製ＰＣＳ接続枚数計算ツール!$B$119:$P$149,14,FALSE),0)/100&gt;=IF(過積載率!W23&gt;1,1,過積載率!W23),1,0))</f>
        <v>0</v>
      </c>
      <c r="X23">
        <f>IF(OR(過積載率!X23=0,(標準電圧!X23*標準電圧!X$2-VLOOKUP(HUAWEI製ＰＣＳ接続枚数計算ツール!$C$9, HUAWEI製ＰＣＳ接続枚数計算ツール!$B$119:$P$149,12,FALSE))&lt;0),0,IF(ROUNDDOWN((標準電圧!X23*標準電圧!X$2-VLOOKUP(HUAWEI製ＰＣＳ接続枚数計算ツール!$C$9,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HUAWEI製ＰＣＳ接続枚数計算ツール!$B$119:$P$149,14,FALSE),0)/100&gt;=IF(過積載率!X23&gt;1,1,過積載率!X23),1,0))</f>
        <v>0</v>
      </c>
      <c r="Y23">
        <f>IF(OR(過積載率!Y23=0,(標準電圧!Y23*標準電圧!Y$2-VLOOKUP(HUAWEI製ＰＣＳ接続枚数計算ツール!$C$9, HUAWEI製ＰＣＳ接続枚数計算ツール!$B$119:$P$149,12,FALSE))&lt;0),0,IF(ROUNDDOWN((標準電圧!Y23*標準電圧!Y$2-VLOOKUP(HUAWEI製ＰＣＳ接続枚数計算ツール!$C$9,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HUAWEI製ＰＣＳ接続枚数計算ツール!$B$119:$P$149,14,FALSE),0)/100&gt;=IF(過積載率!Y23&gt;1,1,過積載率!Y23),1,0))</f>
        <v>0</v>
      </c>
      <c r="Z23">
        <f>IF(OR(過積載率!Z23=0,(標準電圧!Z23*標準電圧!Z$2-VLOOKUP(HUAWEI製ＰＣＳ接続枚数計算ツール!$C$9, HUAWEI製ＰＣＳ接続枚数計算ツール!$B$119:$P$149,12,FALSE))&lt;0),0,IF(ROUNDDOWN((標準電圧!Z23*標準電圧!Z$2-VLOOKUP(HUAWEI製ＰＣＳ接続枚数計算ツール!$C$9,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HUAWEI製ＰＣＳ接続枚数計算ツール!$B$119:$P$149,14,FALSE),0)/100&gt;=IF(過積載率!Z23&gt;1,1,過積載率!Z23),1,0))</f>
        <v>0</v>
      </c>
      <c r="AA23">
        <f>IF(OR(過積載率!AA23=0,(標準電圧!AA23*標準電圧!AA$2-VLOOKUP(HUAWEI製ＰＣＳ接続枚数計算ツール!$C$9, HUAWEI製ＰＣＳ接続枚数計算ツール!$B$119:$P$149,12,FALSE))&lt;0),0,IF(ROUNDDOWN((標準電圧!AA23*標準電圧!AA$2-VLOOKUP(HUAWEI製ＰＣＳ接続枚数計算ツール!$C$9,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HUAWEI製ＰＣＳ接続枚数計算ツール!$B$119:$P$149,14,FALSE),0)/100&gt;=IF(過積載率!AA23&gt;1,1,過積載率!AA23),1,0))</f>
        <v>0</v>
      </c>
      <c r="AB23">
        <f>IF(OR(過積載率!AB23=0,(標準電圧!AB23*標準電圧!AB$2-VLOOKUP(HUAWEI製ＰＣＳ接続枚数計算ツール!$C$9, HUAWEI製ＰＣＳ接続枚数計算ツール!$B$119:$P$149,12,FALSE))&lt;0),0,IF(ROUNDDOWN((標準電圧!AB23*標準電圧!AB$2-VLOOKUP(HUAWEI製ＰＣＳ接続枚数計算ツール!$C$9,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HUAWEI製ＰＣＳ接続枚数計算ツール!$B$119:$P$149,14,FALSE),0)/100&gt;=IF(過積載率!AB23&gt;1,1,過積載率!AB23),1,0))</f>
        <v>0</v>
      </c>
      <c r="AC23">
        <f>IF(OR(過積載率!AC23=0,(標準電圧!AC23*標準電圧!AC$2-VLOOKUP(HUAWEI製ＰＣＳ接続枚数計算ツール!$C$9, HUAWEI製ＰＣＳ接続枚数計算ツール!$B$119:$P$149,12,FALSE))&lt;0),0,IF(ROUNDDOWN((標準電圧!AC23*標準電圧!AC$2-VLOOKUP(HUAWEI製ＰＣＳ接続枚数計算ツール!$C$9,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HUAWEI製ＰＣＳ接続枚数計算ツール!$B$119:$P$149,14,FALSE),0)/100&gt;=IF(過積載率!AC23&gt;1,1,過積載率!AC23),1,0))</f>
        <v>0</v>
      </c>
      <c r="AD23">
        <f>IF(OR(過積載率!AD23=0,(標準電圧!AD23*標準電圧!AD$2-VLOOKUP(HUAWEI製ＰＣＳ接続枚数計算ツール!$C$9, HUAWEI製ＰＣＳ接続枚数計算ツール!$B$119:$P$149,12,FALSE))&lt;0),0,IF(ROUNDDOWN((標準電圧!AD23*標準電圧!AD$2-VLOOKUP(HUAWEI製ＰＣＳ接続枚数計算ツール!$C$9,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HUAWEI製ＰＣＳ接続枚数計算ツール!$B$119:$P$149,14,FALSE),0)/100&gt;=IF(過積載率!AD23&gt;1,1,過積載率!AD23),1,0))</f>
        <v>0</v>
      </c>
      <c r="AE23">
        <f>IF(OR(過積載率!AE23=0,(標準電圧!AE23*標準電圧!AE$2-VLOOKUP(HUAWEI製ＰＣＳ接続枚数計算ツール!$C$9, HUAWEI製ＰＣＳ接続枚数計算ツール!$B$119:$P$149,12,FALSE))&lt;0),0,IF(ROUNDDOWN((標準電圧!AE23*標準電圧!AE$2-VLOOKUP(HUAWEI製ＰＣＳ接続枚数計算ツール!$C$9,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HUAWEI製ＰＣＳ接続枚数計算ツール!$B$119:$P$149,14,FALSE),0)/100&gt;=IF(過積載率!AE23&gt;1,1,過積載率!AE23),1,0))</f>
        <v>0</v>
      </c>
      <c r="AF23">
        <f>IF(OR(過積載率!AF23=0,(標準電圧!AF23*標準電圧!AF$2-VLOOKUP(HUAWEI製ＰＣＳ接続枚数計算ツール!$C$9, HUAWEI製ＰＣＳ接続枚数計算ツール!$B$119:$P$149,12,FALSE))&lt;0),0,IF(ROUNDDOWN((標準電圧!AF23*標準電圧!AF$2-VLOOKUP(HUAWEI製ＰＣＳ接続枚数計算ツール!$C$9,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HUAWEI製ＰＣＳ接続枚数計算ツール!$B$119:$P$149,14,FALSE),0)/100&gt;=IF(過積載率!AF23&gt;1,1,過積載率!AF23),1,0))</f>
        <v>0</v>
      </c>
      <c r="AG23">
        <f>IF(OR(過積載率!AG23=0,(標準電圧!AG23*標準電圧!AG$2-VLOOKUP(HUAWEI製ＰＣＳ接続枚数計算ツール!$C$9, HUAWEI製ＰＣＳ接続枚数計算ツール!$B$119:$P$149,12,FALSE))&lt;0),0,IF(ROUNDDOWN((標準電圧!AG23*標準電圧!AG$2-VLOOKUP(HUAWEI製ＰＣＳ接続枚数計算ツール!$C$9,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HUAWEI製ＰＣＳ接続枚数計算ツール!$B$119:$P$149,14,FALSE),0)/100&gt;=IF(過積載率!AG23&gt;1,1,過積載率!AG23),1,0))</f>
        <v>0</v>
      </c>
      <c r="AH23">
        <f>IF(OR(過積載率!AH23=0,(標準電圧!AH23*標準電圧!AH$2-VLOOKUP(HUAWEI製ＰＣＳ接続枚数計算ツール!$C$9, HUAWEI製ＰＣＳ接続枚数計算ツール!$B$119:$P$149,12,FALSE))&lt;0),0,IF(ROUNDDOWN((標準電圧!AH23*標準電圧!AH$2-VLOOKUP(HUAWEI製ＰＣＳ接続枚数計算ツール!$C$9,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HUAWEI製ＰＣＳ接続枚数計算ツール!$B$119:$P$149,14,FALSE),0)/100&gt;=IF(過積載率!AH23&gt;1,1,過積載率!AH23),1,0))</f>
        <v>0</v>
      </c>
      <c r="AI23">
        <f>IF(OR(過積載率!AI23=0,(標準電圧!AI23*標準電圧!AI$2-VLOOKUP(HUAWEI製ＰＣＳ接続枚数計算ツール!$C$9, HUAWEI製ＰＣＳ接続枚数計算ツール!$B$119:$P$149,12,FALSE))&lt;0),0,IF(ROUNDDOWN((標準電圧!AI23*標準電圧!AI$2-VLOOKUP(HUAWEI製ＰＣＳ接続枚数計算ツール!$C$9,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HUAWEI製ＰＣＳ接続枚数計算ツール!$B$119:$P$149,14,FALSE),0)/100&gt;=IF(過積載率!AI23&gt;1,1,過積載率!AI23),1,0))</f>
        <v>0</v>
      </c>
      <c r="AJ23">
        <f>IF(OR(過積載率!AJ23=0,(標準電圧!AJ23*標準電圧!AJ$2-VLOOKUP(HUAWEI製ＰＣＳ接続枚数計算ツール!$C$9, HUAWEI製ＰＣＳ接続枚数計算ツール!$B$119:$P$149,12,FALSE))&lt;0),0,IF(ROUNDDOWN((標準電圧!AJ23*標準電圧!AJ$2-VLOOKUP(HUAWEI製ＰＣＳ接続枚数計算ツール!$C$9,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HUAWEI製ＰＣＳ接続枚数計算ツール!$B$119:$P$149,14,FALSE),0)/100&gt;=IF(過積載率!AJ23&gt;1,1,過積載率!AJ23),1,0))</f>
        <v>0</v>
      </c>
      <c r="AK23">
        <f>IF(OR(過積載率!AK23=0,(標準電圧!AK23*標準電圧!AK$2-VLOOKUP(HUAWEI製ＰＣＳ接続枚数計算ツール!$C$9, HUAWEI製ＰＣＳ接続枚数計算ツール!$B$119:$P$149,12,FALSE))&lt;0),0,IF(ROUNDDOWN((標準電圧!AK23*標準電圧!AK$2-VLOOKUP(HUAWEI製ＰＣＳ接続枚数計算ツール!$C$9,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HUAWEI製ＰＣＳ接続枚数計算ツール!$B$119:$P$149,14,FALSE),0)/100&gt;=IF(過積載率!AK23&gt;1,1,過積載率!AK23),1,0))</f>
        <v>0</v>
      </c>
      <c r="AL23">
        <f>IF(OR(過積載率!AL23=0,(標準電圧!AL23*標準電圧!AL$2-VLOOKUP(HUAWEI製ＰＣＳ接続枚数計算ツール!$C$9, HUAWEI製ＰＣＳ接続枚数計算ツール!$B$119:$P$149,12,FALSE))&lt;0),0,IF(ROUNDDOWN((標準電圧!AL23*標準電圧!AL$2-VLOOKUP(HUAWEI製ＰＣＳ接続枚数計算ツール!$C$9,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HUAWEI製ＰＣＳ接続枚数計算ツール!$B$119:$P$149,14,FALSE),0)/100&gt;=IF(過積載率!AL23&gt;1,1,過積載率!AL23),1,0))</f>
        <v>0</v>
      </c>
      <c r="AM23">
        <f>IF(OR(過積載率!AM23=0,(標準電圧!AM23*標準電圧!AM$2-VLOOKUP(HUAWEI製ＰＣＳ接続枚数計算ツール!$C$9, HUAWEI製ＰＣＳ接続枚数計算ツール!$B$119:$P$149,12,FALSE))&lt;0),0,IF(ROUNDDOWN((標準電圧!AM23*標準電圧!AM$2-VLOOKUP(HUAWEI製ＰＣＳ接続枚数計算ツール!$C$9,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HUAWEI製ＰＣＳ接続枚数計算ツール!$B$119:$P$149,14,FALSE),0)/100&gt;=IF(過積載率!AM23&gt;1,1,過積載率!AM23),1,0))</f>
        <v>0</v>
      </c>
      <c r="AN23">
        <f>IF(OR(過積載率!AN23=0,(標準電圧!AN23*標準電圧!AN$2-VLOOKUP(HUAWEI製ＰＣＳ接続枚数計算ツール!$C$9, HUAWEI製ＰＣＳ接続枚数計算ツール!$B$119:$P$149,12,FALSE))&lt;0),0,IF(ROUNDDOWN((標準電圧!AN23*標準電圧!AN$2-VLOOKUP(HUAWEI製ＰＣＳ接続枚数計算ツール!$C$9,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HUAWEI製ＰＣＳ接続枚数計算ツール!$B$119:$P$149,14,FALSE),0)/100&gt;=IF(過積載率!AN23&gt;1,1,過積載率!AN23),1,0))</f>
        <v>0</v>
      </c>
      <c r="AO23">
        <f>IF(OR(過積載率!AO23=0,(標準電圧!AO23*標準電圧!AO$2-VLOOKUP(HUAWEI製ＰＣＳ接続枚数計算ツール!$C$9, HUAWEI製ＰＣＳ接続枚数計算ツール!$B$119:$P$149,12,FALSE))&lt;0),0,IF(ROUNDDOWN((標準電圧!AO23*標準電圧!AO$2-VLOOKUP(HUAWEI製ＰＣＳ接続枚数計算ツール!$C$9,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HUAWEI製ＰＣＳ接続枚数計算ツール!$B$119:$P$149,14,FALSE),0)/100&gt;=IF(過積載率!AO23&gt;1,1,過積載率!AO23),1,0))</f>
        <v>0</v>
      </c>
    </row>
    <row r="24" spans="1:41">
      <c r="A24">
        <v>22</v>
      </c>
      <c r="B24">
        <f>IF(OR(過積載率!B24=0,(標準電圧!B24*標準電圧!B$2-VLOOKUP(HUAWEI製ＰＣＳ接続枚数計算ツール!$C$9, HUAWEI製ＰＣＳ接続枚数計算ツール!$B$119:$P$149,12,FALSE))&lt;0),0,IF(ROUNDDOWN((標準電圧!B24*標準電圧!B$2-VLOOKUP(HUAWEI製ＰＣＳ接続枚数計算ツール!$C$9,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HUAWEI製ＰＣＳ接続枚数計算ツール!$B$119:$P$149,14,FALSE),0)/100&gt;=IF(過積載率!B24&gt;1,1,過積載率!B24),1,0))</f>
        <v>0</v>
      </c>
      <c r="C24">
        <f>IF(OR(過積載率!C24=0,(標準電圧!C24*標準電圧!C$2-VLOOKUP(HUAWEI製ＰＣＳ接続枚数計算ツール!$C$9, HUAWEI製ＰＣＳ接続枚数計算ツール!$B$119:$P$149,12,FALSE))&lt;0),0,IF(ROUNDDOWN((標準電圧!C24*標準電圧!C$2-VLOOKUP(HUAWEI製ＰＣＳ接続枚数計算ツール!$C$9,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HUAWEI製ＰＣＳ接続枚数計算ツール!$B$119:$P$149,14,FALSE),0)/100&gt;=IF(過積載率!C24&gt;1,1,過積載率!C24),1,0))</f>
        <v>0</v>
      </c>
      <c r="D24">
        <f>IF(OR(過積載率!D24=0,(標準電圧!D24*標準電圧!D$2-VLOOKUP(HUAWEI製ＰＣＳ接続枚数計算ツール!$C$9, HUAWEI製ＰＣＳ接続枚数計算ツール!$B$119:$P$149,12,FALSE))&lt;0),0,IF(ROUNDDOWN((標準電圧!D24*標準電圧!D$2-VLOOKUP(HUAWEI製ＰＣＳ接続枚数計算ツール!$C$9,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HUAWEI製ＰＣＳ接続枚数計算ツール!$B$119:$P$149,14,FALSE),0)/100&gt;=IF(過積載率!D24&gt;1,1,過積載率!D24),1,0))</f>
        <v>0</v>
      </c>
      <c r="E24">
        <f>IF(OR(過積載率!E24=0,(標準電圧!E24*標準電圧!E$2-VLOOKUP(HUAWEI製ＰＣＳ接続枚数計算ツール!$C$9, HUAWEI製ＰＣＳ接続枚数計算ツール!$B$119:$P$149,12,FALSE))&lt;0),0,IF(ROUNDDOWN((標準電圧!E24*標準電圧!E$2-VLOOKUP(HUAWEI製ＰＣＳ接続枚数計算ツール!$C$9,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HUAWEI製ＰＣＳ接続枚数計算ツール!$B$119:$P$149,14,FALSE),0)/100&gt;=IF(過積載率!E24&gt;1,1,過積載率!E24),1,0))</f>
        <v>0</v>
      </c>
      <c r="F24">
        <f>IF(OR(過積載率!F24=0,(標準電圧!F24*標準電圧!F$2-VLOOKUP(HUAWEI製ＰＣＳ接続枚数計算ツール!$C$9, HUAWEI製ＰＣＳ接続枚数計算ツール!$B$119:$P$149,12,FALSE))&lt;0),0,IF(ROUNDDOWN((標準電圧!F24*標準電圧!F$2-VLOOKUP(HUAWEI製ＰＣＳ接続枚数計算ツール!$C$9,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HUAWEI製ＰＣＳ接続枚数計算ツール!$B$119:$P$149,14,FALSE),0)/100&gt;=IF(過積載率!F24&gt;1,1,過積載率!F24),1,0))</f>
        <v>0</v>
      </c>
      <c r="G24">
        <f>IF(OR(過積載率!G24=0,(標準電圧!G24*標準電圧!G$2-VLOOKUP(HUAWEI製ＰＣＳ接続枚数計算ツール!$C$9, HUAWEI製ＰＣＳ接続枚数計算ツール!$B$119:$P$149,12,FALSE))&lt;0),0,IF(ROUNDDOWN((標準電圧!G24*標準電圧!G$2-VLOOKUP(HUAWEI製ＰＣＳ接続枚数計算ツール!$C$9,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HUAWEI製ＰＣＳ接続枚数計算ツール!$B$119:$P$149,14,FALSE),0)/100&gt;=IF(過積載率!G24&gt;1,1,過積載率!G24),1,0))</f>
        <v>0</v>
      </c>
      <c r="H24">
        <f>IF(OR(過積載率!H24=0,(標準電圧!H24*標準電圧!H$2-VLOOKUP(HUAWEI製ＰＣＳ接続枚数計算ツール!$C$9, HUAWEI製ＰＣＳ接続枚数計算ツール!$B$119:$P$149,12,FALSE))&lt;0),0,IF(ROUNDDOWN((標準電圧!H24*標準電圧!H$2-VLOOKUP(HUAWEI製ＰＣＳ接続枚数計算ツール!$C$9,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HUAWEI製ＰＣＳ接続枚数計算ツール!$B$119:$P$149,14,FALSE),0)/100&gt;=IF(過積載率!H24&gt;1,1,過積載率!H24),1,0))</f>
        <v>0</v>
      </c>
      <c r="I24">
        <f>IF(OR(過積載率!I24=0,(標準電圧!I24*標準電圧!I$2-VLOOKUP(HUAWEI製ＰＣＳ接続枚数計算ツール!$C$9, HUAWEI製ＰＣＳ接続枚数計算ツール!$B$119:$P$149,12,FALSE))&lt;0),0,IF(ROUNDDOWN((標準電圧!I24*標準電圧!I$2-VLOOKUP(HUAWEI製ＰＣＳ接続枚数計算ツール!$C$9,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HUAWEI製ＰＣＳ接続枚数計算ツール!$B$119:$P$149,14,FALSE),0)/100&gt;=IF(過積載率!I24&gt;1,1,過積載率!I24),1,0))</f>
        <v>0</v>
      </c>
      <c r="J24">
        <f>IF(OR(過積載率!J24=0,(標準電圧!J24*標準電圧!J$2-VLOOKUP(HUAWEI製ＰＣＳ接続枚数計算ツール!$C$9, HUAWEI製ＰＣＳ接続枚数計算ツール!$B$119:$P$149,12,FALSE))&lt;0),0,IF(ROUNDDOWN((標準電圧!J24*標準電圧!J$2-VLOOKUP(HUAWEI製ＰＣＳ接続枚数計算ツール!$C$9,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HUAWEI製ＰＣＳ接続枚数計算ツール!$B$119:$P$149,14,FALSE),0)/100&gt;=IF(過積載率!J24&gt;1,1,過積載率!J24),1,0))</f>
        <v>0</v>
      </c>
      <c r="K24">
        <f>IF(OR(過積載率!K24=0,(標準電圧!K24*標準電圧!K$2-VLOOKUP(HUAWEI製ＰＣＳ接続枚数計算ツール!$C$9, HUAWEI製ＰＣＳ接続枚数計算ツール!$B$119:$P$149,12,FALSE))&lt;0),0,IF(ROUNDDOWN((標準電圧!K24*標準電圧!K$2-VLOOKUP(HUAWEI製ＰＣＳ接続枚数計算ツール!$C$9,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HUAWEI製ＰＣＳ接続枚数計算ツール!$B$119:$P$149,14,FALSE),0)/100&gt;=IF(過積載率!K24&gt;1,1,過積載率!K24),1,0))</f>
        <v>0</v>
      </c>
      <c r="L24">
        <f>IF(OR(過積載率!L24=0,(標準電圧!L24*標準電圧!L$2-VLOOKUP(HUAWEI製ＰＣＳ接続枚数計算ツール!$C$9, HUAWEI製ＰＣＳ接続枚数計算ツール!$B$119:$P$149,12,FALSE))&lt;0),0,IF(ROUNDDOWN((標準電圧!L24*標準電圧!L$2-VLOOKUP(HUAWEI製ＰＣＳ接続枚数計算ツール!$C$9,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HUAWEI製ＰＣＳ接続枚数計算ツール!$B$119:$P$149,14,FALSE),0)/100&gt;=IF(過積載率!L24&gt;1,1,過積載率!L24),1,0))</f>
        <v>0</v>
      </c>
      <c r="M24">
        <f>IF(OR(過積載率!M24=0,(標準電圧!M24*標準電圧!M$2-VLOOKUP(HUAWEI製ＰＣＳ接続枚数計算ツール!$C$9, HUAWEI製ＰＣＳ接続枚数計算ツール!$B$119:$P$149,12,FALSE))&lt;0),0,IF(ROUNDDOWN((標準電圧!M24*標準電圧!M$2-VLOOKUP(HUAWEI製ＰＣＳ接続枚数計算ツール!$C$9,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HUAWEI製ＰＣＳ接続枚数計算ツール!$B$119:$P$149,14,FALSE),0)/100&gt;=IF(過積載率!M24&gt;1,1,過積載率!M24),1,0))</f>
        <v>0</v>
      </c>
      <c r="N24">
        <f>IF(OR(過積載率!N24=0,(標準電圧!N24*標準電圧!N$2-VLOOKUP(HUAWEI製ＰＣＳ接続枚数計算ツール!$C$9, HUAWEI製ＰＣＳ接続枚数計算ツール!$B$119:$P$149,12,FALSE))&lt;0),0,IF(ROUNDDOWN((標準電圧!N24*標準電圧!N$2-VLOOKUP(HUAWEI製ＰＣＳ接続枚数計算ツール!$C$9,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HUAWEI製ＰＣＳ接続枚数計算ツール!$B$119:$P$149,14,FALSE),0)/100&gt;=IF(過積載率!N24&gt;1,1,過積載率!N24),1,0))</f>
        <v>0</v>
      </c>
      <c r="O24">
        <f>IF(OR(過積載率!O24=0,(標準電圧!O24*標準電圧!O$2-VLOOKUP(HUAWEI製ＰＣＳ接続枚数計算ツール!$C$9, HUAWEI製ＰＣＳ接続枚数計算ツール!$B$119:$P$149,12,FALSE))&lt;0),0,IF(ROUNDDOWN((標準電圧!O24*標準電圧!O$2-VLOOKUP(HUAWEI製ＰＣＳ接続枚数計算ツール!$C$9,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HUAWEI製ＰＣＳ接続枚数計算ツール!$B$119:$P$149,14,FALSE),0)/100&gt;=IF(過積載率!O24&gt;1,1,過積載率!O24),1,0))</f>
        <v>0</v>
      </c>
      <c r="P24">
        <f>IF(OR(過積載率!P24=0,(標準電圧!P24*標準電圧!P$2-VLOOKUP(HUAWEI製ＰＣＳ接続枚数計算ツール!$C$9, HUAWEI製ＰＣＳ接続枚数計算ツール!$B$119:$P$149,12,FALSE))&lt;0),0,IF(ROUNDDOWN((標準電圧!P24*標準電圧!P$2-VLOOKUP(HUAWEI製ＰＣＳ接続枚数計算ツール!$C$9,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HUAWEI製ＰＣＳ接続枚数計算ツール!$B$119:$P$149,14,FALSE),0)/100&gt;=IF(過積載率!P24&gt;1,1,過積載率!P24),1,0))</f>
        <v>0</v>
      </c>
      <c r="Q24">
        <f>IF(OR(過積載率!Q24=0,(標準電圧!Q24*標準電圧!Q$2-VLOOKUP(HUAWEI製ＰＣＳ接続枚数計算ツール!$C$9, HUAWEI製ＰＣＳ接続枚数計算ツール!$B$119:$P$149,12,FALSE))&lt;0),0,IF(ROUNDDOWN((標準電圧!Q24*標準電圧!Q$2-VLOOKUP(HUAWEI製ＰＣＳ接続枚数計算ツール!$C$9,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HUAWEI製ＰＣＳ接続枚数計算ツール!$B$119:$P$149,14,FALSE),0)/100&gt;=IF(過積載率!Q24&gt;1,1,過積載率!Q24),1,0))</f>
        <v>0</v>
      </c>
      <c r="R24">
        <f>IF(OR(過積載率!R24=0,(標準電圧!R24*標準電圧!R$2-VLOOKUP(HUAWEI製ＰＣＳ接続枚数計算ツール!$C$9, HUAWEI製ＰＣＳ接続枚数計算ツール!$B$119:$P$149,12,FALSE))&lt;0),0,IF(ROUNDDOWN((標準電圧!R24*標準電圧!R$2-VLOOKUP(HUAWEI製ＰＣＳ接続枚数計算ツール!$C$9,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HUAWEI製ＰＣＳ接続枚数計算ツール!$B$119:$P$149,14,FALSE),0)/100&gt;=IF(過積載率!R24&gt;1,1,過積載率!R24),1,0))</f>
        <v>0</v>
      </c>
      <c r="S24">
        <f>IF(OR(過積載率!S24=0,(標準電圧!S24*標準電圧!S$2-VLOOKUP(HUAWEI製ＰＣＳ接続枚数計算ツール!$C$9, HUAWEI製ＰＣＳ接続枚数計算ツール!$B$119:$P$149,12,FALSE))&lt;0),0,IF(ROUNDDOWN((標準電圧!S24*標準電圧!S$2-VLOOKUP(HUAWEI製ＰＣＳ接続枚数計算ツール!$C$9,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HUAWEI製ＰＣＳ接続枚数計算ツール!$B$119:$P$149,14,FALSE),0)/100&gt;=IF(過積載率!S24&gt;1,1,過積載率!S24),1,0))</f>
        <v>0</v>
      </c>
      <c r="T24">
        <f>IF(OR(過積載率!T24=0,(標準電圧!T24*標準電圧!T$2-VLOOKUP(HUAWEI製ＰＣＳ接続枚数計算ツール!$C$9, HUAWEI製ＰＣＳ接続枚数計算ツール!$B$119:$P$149,12,FALSE))&lt;0),0,IF(ROUNDDOWN((標準電圧!T24*標準電圧!T$2-VLOOKUP(HUAWEI製ＰＣＳ接続枚数計算ツール!$C$9,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HUAWEI製ＰＣＳ接続枚数計算ツール!$B$119:$P$149,14,FALSE),0)/100&gt;=IF(過積載率!T24&gt;1,1,過積載率!T24),1,0))</f>
        <v>0</v>
      </c>
      <c r="U24">
        <f>IF(OR(過積載率!U24=0,(標準電圧!U24*標準電圧!U$2-VLOOKUP(HUAWEI製ＰＣＳ接続枚数計算ツール!$C$9, HUAWEI製ＰＣＳ接続枚数計算ツール!$B$119:$P$149,12,FALSE))&lt;0),0,IF(ROUNDDOWN((標準電圧!U24*標準電圧!U$2-VLOOKUP(HUAWEI製ＰＣＳ接続枚数計算ツール!$C$9,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HUAWEI製ＰＣＳ接続枚数計算ツール!$B$119:$P$149,14,FALSE),0)/100&gt;=IF(過積載率!U24&gt;1,1,過積載率!U24),1,0))</f>
        <v>0</v>
      </c>
      <c r="V24">
        <f>IF(OR(過積載率!V24=0,(標準電圧!V24*標準電圧!V$2-VLOOKUP(HUAWEI製ＰＣＳ接続枚数計算ツール!$C$9, HUAWEI製ＰＣＳ接続枚数計算ツール!$B$119:$P$149,12,FALSE))&lt;0),0,IF(ROUNDDOWN((標準電圧!V24*標準電圧!V$2-VLOOKUP(HUAWEI製ＰＣＳ接続枚数計算ツール!$C$9,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HUAWEI製ＰＣＳ接続枚数計算ツール!$B$119:$P$149,14,FALSE),0)/100&gt;=IF(過積載率!V24&gt;1,1,過積載率!V24),1,0))</f>
        <v>0</v>
      </c>
      <c r="W24">
        <f>IF(OR(過積載率!W24=0,(標準電圧!W24*標準電圧!W$2-VLOOKUP(HUAWEI製ＰＣＳ接続枚数計算ツール!$C$9, HUAWEI製ＰＣＳ接続枚数計算ツール!$B$119:$P$149,12,FALSE))&lt;0),0,IF(ROUNDDOWN((標準電圧!W24*標準電圧!W$2-VLOOKUP(HUAWEI製ＰＣＳ接続枚数計算ツール!$C$9,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HUAWEI製ＰＣＳ接続枚数計算ツール!$B$119:$P$149,14,FALSE),0)/100&gt;=IF(過積載率!W24&gt;1,1,過積載率!W24),1,0))</f>
        <v>0</v>
      </c>
      <c r="X24">
        <f>IF(OR(過積載率!X24=0,(標準電圧!X24*標準電圧!X$2-VLOOKUP(HUAWEI製ＰＣＳ接続枚数計算ツール!$C$9, HUAWEI製ＰＣＳ接続枚数計算ツール!$B$119:$P$149,12,FALSE))&lt;0),0,IF(ROUNDDOWN((標準電圧!X24*標準電圧!X$2-VLOOKUP(HUAWEI製ＰＣＳ接続枚数計算ツール!$C$9,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HUAWEI製ＰＣＳ接続枚数計算ツール!$B$119:$P$149,14,FALSE),0)/100&gt;=IF(過積載率!X24&gt;1,1,過積載率!X24),1,0))</f>
        <v>0</v>
      </c>
      <c r="Y24">
        <f>IF(OR(過積載率!Y24=0,(標準電圧!Y24*標準電圧!Y$2-VLOOKUP(HUAWEI製ＰＣＳ接続枚数計算ツール!$C$9, HUAWEI製ＰＣＳ接続枚数計算ツール!$B$119:$P$149,12,FALSE))&lt;0),0,IF(ROUNDDOWN((標準電圧!Y24*標準電圧!Y$2-VLOOKUP(HUAWEI製ＰＣＳ接続枚数計算ツール!$C$9,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HUAWEI製ＰＣＳ接続枚数計算ツール!$B$119:$P$149,14,FALSE),0)/100&gt;=IF(過積載率!Y24&gt;1,1,過積載率!Y24),1,0))</f>
        <v>0</v>
      </c>
      <c r="Z24">
        <f>IF(OR(過積載率!Z24=0,(標準電圧!Z24*標準電圧!Z$2-VLOOKUP(HUAWEI製ＰＣＳ接続枚数計算ツール!$C$9, HUAWEI製ＰＣＳ接続枚数計算ツール!$B$119:$P$149,12,FALSE))&lt;0),0,IF(ROUNDDOWN((標準電圧!Z24*標準電圧!Z$2-VLOOKUP(HUAWEI製ＰＣＳ接続枚数計算ツール!$C$9,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HUAWEI製ＰＣＳ接続枚数計算ツール!$B$119:$P$149,14,FALSE),0)/100&gt;=IF(過積載率!Z24&gt;1,1,過積載率!Z24),1,0))</f>
        <v>0</v>
      </c>
      <c r="AA24">
        <f>IF(OR(過積載率!AA24=0,(標準電圧!AA24*標準電圧!AA$2-VLOOKUP(HUAWEI製ＰＣＳ接続枚数計算ツール!$C$9, HUAWEI製ＰＣＳ接続枚数計算ツール!$B$119:$P$149,12,FALSE))&lt;0),0,IF(ROUNDDOWN((標準電圧!AA24*標準電圧!AA$2-VLOOKUP(HUAWEI製ＰＣＳ接続枚数計算ツール!$C$9,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HUAWEI製ＰＣＳ接続枚数計算ツール!$B$119:$P$149,14,FALSE),0)/100&gt;=IF(過積載率!AA24&gt;1,1,過積載率!AA24),1,0))</f>
        <v>0</v>
      </c>
      <c r="AB24">
        <f>IF(OR(過積載率!AB24=0,(標準電圧!AB24*標準電圧!AB$2-VLOOKUP(HUAWEI製ＰＣＳ接続枚数計算ツール!$C$9, HUAWEI製ＰＣＳ接続枚数計算ツール!$B$119:$P$149,12,FALSE))&lt;0),0,IF(ROUNDDOWN((標準電圧!AB24*標準電圧!AB$2-VLOOKUP(HUAWEI製ＰＣＳ接続枚数計算ツール!$C$9,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HUAWEI製ＰＣＳ接続枚数計算ツール!$B$119:$P$149,14,FALSE),0)/100&gt;=IF(過積載率!AB24&gt;1,1,過積載率!AB24),1,0))</f>
        <v>0</v>
      </c>
      <c r="AC24">
        <f>IF(OR(過積載率!AC24=0,(標準電圧!AC24*標準電圧!AC$2-VLOOKUP(HUAWEI製ＰＣＳ接続枚数計算ツール!$C$9, HUAWEI製ＰＣＳ接続枚数計算ツール!$B$119:$P$149,12,FALSE))&lt;0),0,IF(ROUNDDOWN((標準電圧!AC24*標準電圧!AC$2-VLOOKUP(HUAWEI製ＰＣＳ接続枚数計算ツール!$C$9,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HUAWEI製ＰＣＳ接続枚数計算ツール!$B$119:$P$149,14,FALSE),0)/100&gt;=IF(過積載率!AC24&gt;1,1,過積載率!AC24),1,0))</f>
        <v>0</v>
      </c>
      <c r="AD24">
        <f>IF(OR(過積載率!AD24=0,(標準電圧!AD24*標準電圧!AD$2-VLOOKUP(HUAWEI製ＰＣＳ接続枚数計算ツール!$C$9, HUAWEI製ＰＣＳ接続枚数計算ツール!$B$119:$P$149,12,FALSE))&lt;0),0,IF(ROUNDDOWN((標準電圧!AD24*標準電圧!AD$2-VLOOKUP(HUAWEI製ＰＣＳ接続枚数計算ツール!$C$9,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HUAWEI製ＰＣＳ接続枚数計算ツール!$B$119:$P$149,14,FALSE),0)/100&gt;=IF(過積載率!AD24&gt;1,1,過積載率!AD24),1,0))</f>
        <v>0</v>
      </c>
      <c r="AE24">
        <f>IF(OR(過積載率!AE24=0,(標準電圧!AE24*標準電圧!AE$2-VLOOKUP(HUAWEI製ＰＣＳ接続枚数計算ツール!$C$9, HUAWEI製ＰＣＳ接続枚数計算ツール!$B$119:$P$149,12,FALSE))&lt;0),0,IF(ROUNDDOWN((標準電圧!AE24*標準電圧!AE$2-VLOOKUP(HUAWEI製ＰＣＳ接続枚数計算ツール!$C$9,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HUAWEI製ＰＣＳ接続枚数計算ツール!$B$119:$P$149,14,FALSE),0)/100&gt;=IF(過積載率!AE24&gt;1,1,過積載率!AE24),1,0))</f>
        <v>0</v>
      </c>
      <c r="AF24">
        <f>IF(OR(過積載率!AF24=0,(標準電圧!AF24*標準電圧!AF$2-VLOOKUP(HUAWEI製ＰＣＳ接続枚数計算ツール!$C$9, HUAWEI製ＰＣＳ接続枚数計算ツール!$B$119:$P$149,12,FALSE))&lt;0),0,IF(ROUNDDOWN((標準電圧!AF24*標準電圧!AF$2-VLOOKUP(HUAWEI製ＰＣＳ接続枚数計算ツール!$C$9,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HUAWEI製ＰＣＳ接続枚数計算ツール!$B$119:$P$149,14,FALSE),0)/100&gt;=IF(過積載率!AF24&gt;1,1,過積載率!AF24),1,0))</f>
        <v>0</v>
      </c>
      <c r="AG24">
        <f>IF(OR(過積載率!AG24=0,(標準電圧!AG24*標準電圧!AG$2-VLOOKUP(HUAWEI製ＰＣＳ接続枚数計算ツール!$C$9, HUAWEI製ＰＣＳ接続枚数計算ツール!$B$119:$P$149,12,FALSE))&lt;0),0,IF(ROUNDDOWN((標準電圧!AG24*標準電圧!AG$2-VLOOKUP(HUAWEI製ＰＣＳ接続枚数計算ツール!$C$9,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HUAWEI製ＰＣＳ接続枚数計算ツール!$B$119:$P$149,14,FALSE),0)/100&gt;=IF(過積載率!AG24&gt;1,1,過積載率!AG24),1,0))</f>
        <v>0</v>
      </c>
      <c r="AH24">
        <f>IF(OR(過積載率!AH24=0,(標準電圧!AH24*標準電圧!AH$2-VLOOKUP(HUAWEI製ＰＣＳ接続枚数計算ツール!$C$9, HUAWEI製ＰＣＳ接続枚数計算ツール!$B$119:$P$149,12,FALSE))&lt;0),0,IF(ROUNDDOWN((標準電圧!AH24*標準電圧!AH$2-VLOOKUP(HUAWEI製ＰＣＳ接続枚数計算ツール!$C$9,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HUAWEI製ＰＣＳ接続枚数計算ツール!$B$119:$P$149,14,FALSE),0)/100&gt;=IF(過積載率!AH24&gt;1,1,過積載率!AH24),1,0))</f>
        <v>0</v>
      </c>
      <c r="AI24">
        <f>IF(OR(過積載率!AI24=0,(標準電圧!AI24*標準電圧!AI$2-VLOOKUP(HUAWEI製ＰＣＳ接続枚数計算ツール!$C$9, HUAWEI製ＰＣＳ接続枚数計算ツール!$B$119:$P$149,12,FALSE))&lt;0),0,IF(ROUNDDOWN((標準電圧!AI24*標準電圧!AI$2-VLOOKUP(HUAWEI製ＰＣＳ接続枚数計算ツール!$C$9,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HUAWEI製ＰＣＳ接続枚数計算ツール!$B$119:$P$149,14,FALSE),0)/100&gt;=IF(過積載率!AI24&gt;1,1,過積載率!AI24),1,0))</f>
        <v>0</v>
      </c>
      <c r="AJ24">
        <f>IF(OR(過積載率!AJ24=0,(標準電圧!AJ24*標準電圧!AJ$2-VLOOKUP(HUAWEI製ＰＣＳ接続枚数計算ツール!$C$9, HUAWEI製ＰＣＳ接続枚数計算ツール!$B$119:$P$149,12,FALSE))&lt;0),0,IF(ROUNDDOWN((標準電圧!AJ24*標準電圧!AJ$2-VLOOKUP(HUAWEI製ＰＣＳ接続枚数計算ツール!$C$9,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HUAWEI製ＰＣＳ接続枚数計算ツール!$B$119:$P$149,14,FALSE),0)/100&gt;=IF(過積載率!AJ24&gt;1,1,過積載率!AJ24),1,0))</f>
        <v>0</v>
      </c>
      <c r="AK24">
        <f>IF(OR(過積載率!AK24=0,(標準電圧!AK24*標準電圧!AK$2-VLOOKUP(HUAWEI製ＰＣＳ接続枚数計算ツール!$C$9, HUAWEI製ＰＣＳ接続枚数計算ツール!$B$119:$P$149,12,FALSE))&lt;0),0,IF(ROUNDDOWN((標準電圧!AK24*標準電圧!AK$2-VLOOKUP(HUAWEI製ＰＣＳ接続枚数計算ツール!$C$9,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HUAWEI製ＰＣＳ接続枚数計算ツール!$B$119:$P$149,14,FALSE),0)/100&gt;=IF(過積載率!AK24&gt;1,1,過積載率!AK24),1,0))</f>
        <v>0</v>
      </c>
      <c r="AL24">
        <f>IF(OR(過積載率!AL24=0,(標準電圧!AL24*標準電圧!AL$2-VLOOKUP(HUAWEI製ＰＣＳ接続枚数計算ツール!$C$9, HUAWEI製ＰＣＳ接続枚数計算ツール!$B$119:$P$149,12,FALSE))&lt;0),0,IF(ROUNDDOWN((標準電圧!AL24*標準電圧!AL$2-VLOOKUP(HUAWEI製ＰＣＳ接続枚数計算ツール!$C$9,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HUAWEI製ＰＣＳ接続枚数計算ツール!$B$119:$P$149,14,FALSE),0)/100&gt;=IF(過積載率!AL24&gt;1,1,過積載率!AL24),1,0))</f>
        <v>0</v>
      </c>
      <c r="AM24">
        <f>IF(OR(過積載率!AM24=0,(標準電圧!AM24*標準電圧!AM$2-VLOOKUP(HUAWEI製ＰＣＳ接続枚数計算ツール!$C$9, HUAWEI製ＰＣＳ接続枚数計算ツール!$B$119:$P$149,12,FALSE))&lt;0),0,IF(ROUNDDOWN((標準電圧!AM24*標準電圧!AM$2-VLOOKUP(HUAWEI製ＰＣＳ接続枚数計算ツール!$C$9,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HUAWEI製ＰＣＳ接続枚数計算ツール!$B$119:$P$149,14,FALSE),0)/100&gt;=IF(過積載率!AM24&gt;1,1,過積載率!AM24),1,0))</f>
        <v>0</v>
      </c>
      <c r="AN24">
        <f>IF(OR(過積載率!AN24=0,(標準電圧!AN24*標準電圧!AN$2-VLOOKUP(HUAWEI製ＰＣＳ接続枚数計算ツール!$C$9, HUAWEI製ＰＣＳ接続枚数計算ツール!$B$119:$P$149,12,FALSE))&lt;0),0,IF(ROUNDDOWN((標準電圧!AN24*標準電圧!AN$2-VLOOKUP(HUAWEI製ＰＣＳ接続枚数計算ツール!$C$9,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HUAWEI製ＰＣＳ接続枚数計算ツール!$B$119:$P$149,14,FALSE),0)/100&gt;=IF(過積載率!AN24&gt;1,1,過積載率!AN24),1,0))</f>
        <v>0</v>
      </c>
      <c r="AO24">
        <f>IF(OR(過積載率!AO24=0,(標準電圧!AO24*標準電圧!AO$2-VLOOKUP(HUAWEI製ＰＣＳ接続枚数計算ツール!$C$9, HUAWEI製ＰＣＳ接続枚数計算ツール!$B$119:$P$149,12,FALSE))&lt;0),0,IF(ROUNDDOWN((標準電圧!AO24*標準電圧!AO$2-VLOOKUP(HUAWEI製ＰＣＳ接続枚数計算ツール!$C$9,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HUAWEI製ＰＣＳ接続枚数計算ツール!$B$119:$P$149,14,FALSE),0)/100&gt;=IF(過積載率!AO24&gt;1,1,過積載率!AO24),1,0))</f>
        <v>0</v>
      </c>
    </row>
    <row r="25" spans="1:41">
      <c r="A25">
        <v>23</v>
      </c>
      <c r="B25">
        <f>IF(OR(過積載率!B25=0,(標準電圧!B25*標準電圧!B$2-VLOOKUP(HUAWEI製ＰＣＳ接続枚数計算ツール!$C$9, HUAWEI製ＰＣＳ接続枚数計算ツール!$B$119:$P$149,12,FALSE))&lt;0),0,IF(ROUNDDOWN((標準電圧!B25*標準電圧!B$2-VLOOKUP(HUAWEI製ＰＣＳ接続枚数計算ツール!$C$9,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HUAWEI製ＰＣＳ接続枚数計算ツール!$B$119:$P$149,14,FALSE),0)/100&gt;=IF(過積載率!B25&gt;1,1,過積載率!B25),1,0))</f>
        <v>0</v>
      </c>
      <c r="C25">
        <f>IF(OR(過積載率!C25=0,(標準電圧!C25*標準電圧!C$2-VLOOKUP(HUAWEI製ＰＣＳ接続枚数計算ツール!$C$9, HUAWEI製ＰＣＳ接続枚数計算ツール!$B$119:$P$149,12,FALSE))&lt;0),0,IF(ROUNDDOWN((標準電圧!C25*標準電圧!C$2-VLOOKUP(HUAWEI製ＰＣＳ接続枚数計算ツール!$C$9,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HUAWEI製ＰＣＳ接続枚数計算ツール!$B$119:$P$149,14,FALSE),0)/100&gt;=IF(過積載率!C25&gt;1,1,過積載率!C25),1,0))</f>
        <v>0</v>
      </c>
      <c r="D25">
        <f>IF(OR(過積載率!D25=0,(標準電圧!D25*標準電圧!D$2-VLOOKUP(HUAWEI製ＰＣＳ接続枚数計算ツール!$C$9, HUAWEI製ＰＣＳ接続枚数計算ツール!$B$119:$P$149,12,FALSE))&lt;0),0,IF(ROUNDDOWN((標準電圧!D25*標準電圧!D$2-VLOOKUP(HUAWEI製ＰＣＳ接続枚数計算ツール!$C$9,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HUAWEI製ＰＣＳ接続枚数計算ツール!$B$119:$P$149,14,FALSE),0)/100&gt;=IF(過積載率!D25&gt;1,1,過積載率!D25),1,0))</f>
        <v>0</v>
      </c>
      <c r="E25">
        <f>IF(OR(過積載率!E25=0,(標準電圧!E25*標準電圧!E$2-VLOOKUP(HUAWEI製ＰＣＳ接続枚数計算ツール!$C$9, HUAWEI製ＰＣＳ接続枚数計算ツール!$B$119:$P$149,12,FALSE))&lt;0),0,IF(ROUNDDOWN((標準電圧!E25*標準電圧!E$2-VLOOKUP(HUAWEI製ＰＣＳ接続枚数計算ツール!$C$9,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HUAWEI製ＰＣＳ接続枚数計算ツール!$B$119:$P$149,14,FALSE),0)/100&gt;=IF(過積載率!E25&gt;1,1,過積載率!E25),1,0))</f>
        <v>0</v>
      </c>
      <c r="F25">
        <f>IF(OR(過積載率!F25=0,(標準電圧!F25*標準電圧!F$2-VLOOKUP(HUAWEI製ＰＣＳ接続枚数計算ツール!$C$9, HUAWEI製ＰＣＳ接続枚数計算ツール!$B$119:$P$149,12,FALSE))&lt;0),0,IF(ROUNDDOWN((標準電圧!F25*標準電圧!F$2-VLOOKUP(HUAWEI製ＰＣＳ接続枚数計算ツール!$C$9,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HUAWEI製ＰＣＳ接続枚数計算ツール!$B$119:$P$149,14,FALSE),0)/100&gt;=IF(過積載率!F25&gt;1,1,過積載率!F25),1,0))</f>
        <v>0</v>
      </c>
      <c r="G25">
        <f>IF(OR(過積載率!G25=0,(標準電圧!G25*標準電圧!G$2-VLOOKUP(HUAWEI製ＰＣＳ接続枚数計算ツール!$C$9, HUAWEI製ＰＣＳ接続枚数計算ツール!$B$119:$P$149,12,FALSE))&lt;0),0,IF(ROUNDDOWN((標準電圧!G25*標準電圧!G$2-VLOOKUP(HUAWEI製ＰＣＳ接続枚数計算ツール!$C$9,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HUAWEI製ＰＣＳ接続枚数計算ツール!$B$119:$P$149,14,FALSE),0)/100&gt;=IF(過積載率!G25&gt;1,1,過積載率!G25),1,0))</f>
        <v>0</v>
      </c>
      <c r="H25">
        <f>IF(OR(過積載率!H25=0,(標準電圧!H25*標準電圧!H$2-VLOOKUP(HUAWEI製ＰＣＳ接続枚数計算ツール!$C$9, HUAWEI製ＰＣＳ接続枚数計算ツール!$B$119:$P$149,12,FALSE))&lt;0),0,IF(ROUNDDOWN((標準電圧!H25*標準電圧!H$2-VLOOKUP(HUAWEI製ＰＣＳ接続枚数計算ツール!$C$9,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HUAWEI製ＰＣＳ接続枚数計算ツール!$B$119:$P$149,14,FALSE),0)/100&gt;=IF(過積載率!H25&gt;1,1,過積載率!H25),1,0))</f>
        <v>0</v>
      </c>
      <c r="I25">
        <f>IF(OR(過積載率!I25=0,(標準電圧!I25*標準電圧!I$2-VLOOKUP(HUAWEI製ＰＣＳ接続枚数計算ツール!$C$9, HUAWEI製ＰＣＳ接続枚数計算ツール!$B$119:$P$149,12,FALSE))&lt;0),0,IF(ROUNDDOWN((標準電圧!I25*標準電圧!I$2-VLOOKUP(HUAWEI製ＰＣＳ接続枚数計算ツール!$C$9,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HUAWEI製ＰＣＳ接続枚数計算ツール!$B$119:$P$149,14,FALSE),0)/100&gt;=IF(過積載率!I25&gt;1,1,過積載率!I25),1,0))</f>
        <v>0</v>
      </c>
      <c r="J25">
        <f>IF(OR(過積載率!J25=0,(標準電圧!J25*標準電圧!J$2-VLOOKUP(HUAWEI製ＰＣＳ接続枚数計算ツール!$C$9, HUAWEI製ＰＣＳ接続枚数計算ツール!$B$119:$P$149,12,FALSE))&lt;0),0,IF(ROUNDDOWN((標準電圧!J25*標準電圧!J$2-VLOOKUP(HUAWEI製ＰＣＳ接続枚数計算ツール!$C$9,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HUAWEI製ＰＣＳ接続枚数計算ツール!$B$119:$P$149,14,FALSE),0)/100&gt;=IF(過積載率!J25&gt;1,1,過積載率!J25),1,0))</f>
        <v>0</v>
      </c>
      <c r="K25">
        <f>IF(OR(過積載率!K25=0,(標準電圧!K25*標準電圧!K$2-VLOOKUP(HUAWEI製ＰＣＳ接続枚数計算ツール!$C$9, HUAWEI製ＰＣＳ接続枚数計算ツール!$B$119:$P$149,12,FALSE))&lt;0),0,IF(ROUNDDOWN((標準電圧!K25*標準電圧!K$2-VLOOKUP(HUAWEI製ＰＣＳ接続枚数計算ツール!$C$9,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HUAWEI製ＰＣＳ接続枚数計算ツール!$B$119:$P$149,14,FALSE),0)/100&gt;=IF(過積載率!K25&gt;1,1,過積載率!K25),1,0))</f>
        <v>0</v>
      </c>
      <c r="L25">
        <f>IF(OR(過積載率!L25=0,(標準電圧!L25*標準電圧!L$2-VLOOKUP(HUAWEI製ＰＣＳ接続枚数計算ツール!$C$9, HUAWEI製ＰＣＳ接続枚数計算ツール!$B$119:$P$149,12,FALSE))&lt;0),0,IF(ROUNDDOWN((標準電圧!L25*標準電圧!L$2-VLOOKUP(HUAWEI製ＰＣＳ接続枚数計算ツール!$C$9,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HUAWEI製ＰＣＳ接続枚数計算ツール!$B$119:$P$149,14,FALSE),0)/100&gt;=IF(過積載率!L25&gt;1,1,過積載率!L25),1,0))</f>
        <v>0</v>
      </c>
      <c r="M25">
        <f>IF(OR(過積載率!M25=0,(標準電圧!M25*標準電圧!M$2-VLOOKUP(HUAWEI製ＰＣＳ接続枚数計算ツール!$C$9, HUAWEI製ＰＣＳ接続枚数計算ツール!$B$119:$P$149,12,FALSE))&lt;0),0,IF(ROUNDDOWN((標準電圧!M25*標準電圧!M$2-VLOOKUP(HUAWEI製ＰＣＳ接続枚数計算ツール!$C$9,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HUAWEI製ＰＣＳ接続枚数計算ツール!$B$119:$P$149,14,FALSE),0)/100&gt;=IF(過積載率!M25&gt;1,1,過積載率!M25),1,0))</f>
        <v>0</v>
      </c>
      <c r="N25">
        <f>IF(OR(過積載率!N25=0,(標準電圧!N25*標準電圧!N$2-VLOOKUP(HUAWEI製ＰＣＳ接続枚数計算ツール!$C$9, HUAWEI製ＰＣＳ接続枚数計算ツール!$B$119:$P$149,12,FALSE))&lt;0),0,IF(ROUNDDOWN((標準電圧!N25*標準電圧!N$2-VLOOKUP(HUAWEI製ＰＣＳ接続枚数計算ツール!$C$9,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HUAWEI製ＰＣＳ接続枚数計算ツール!$B$119:$P$149,14,FALSE),0)/100&gt;=IF(過積載率!N25&gt;1,1,過積載率!N25),1,0))</f>
        <v>0</v>
      </c>
      <c r="O25">
        <f>IF(OR(過積載率!O25=0,(標準電圧!O25*標準電圧!O$2-VLOOKUP(HUAWEI製ＰＣＳ接続枚数計算ツール!$C$9, HUAWEI製ＰＣＳ接続枚数計算ツール!$B$119:$P$149,12,FALSE))&lt;0),0,IF(ROUNDDOWN((標準電圧!O25*標準電圧!O$2-VLOOKUP(HUAWEI製ＰＣＳ接続枚数計算ツール!$C$9,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HUAWEI製ＰＣＳ接続枚数計算ツール!$B$119:$P$149,14,FALSE),0)/100&gt;=IF(過積載率!O25&gt;1,1,過積載率!O25),1,0))</f>
        <v>0</v>
      </c>
      <c r="P25">
        <f>IF(OR(過積載率!P25=0,(標準電圧!P25*標準電圧!P$2-VLOOKUP(HUAWEI製ＰＣＳ接続枚数計算ツール!$C$9, HUAWEI製ＰＣＳ接続枚数計算ツール!$B$119:$P$149,12,FALSE))&lt;0),0,IF(ROUNDDOWN((標準電圧!P25*標準電圧!P$2-VLOOKUP(HUAWEI製ＰＣＳ接続枚数計算ツール!$C$9,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HUAWEI製ＰＣＳ接続枚数計算ツール!$B$119:$P$149,14,FALSE),0)/100&gt;=IF(過積載率!P25&gt;1,1,過積載率!P25),1,0))</f>
        <v>0</v>
      </c>
      <c r="Q25">
        <f>IF(OR(過積載率!Q25=0,(標準電圧!Q25*標準電圧!Q$2-VLOOKUP(HUAWEI製ＰＣＳ接続枚数計算ツール!$C$9, HUAWEI製ＰＣＳ接続枚数計算ツール!$B$119:$P$149,12,FALSE))&lt;0),0,IF(ROUNDDOWN((標準電圧!Q25*標準電圧!Q$2-VLOOKUP(HUAWEI製ＰＣＳ接続枚数計算ツール!$C$9,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HUAWEI製ＰＣＳ接続枚数計算ツール!$B$119:$P$149,14,FALSE),0)/100&gt;=IF(過積載率!Q25&gt;1,1,過積載率!Q25),1,0))</f>
        <v>0</v>
      </c>
      <c r="R25">
        <f>IF(OR(過積載率!R25=0,(標準電圧!R25*標準電圧!R$2-VLOOKUP(HUAWEI製ＰＣＳ接続枚数計算ツール!$C$9, HUAWEI製ＰＣＳ接続枚数計算ツール!$B$119:$P$149,12,FALSE))&lt;0),0,IF(ROUNDDOWN((標準電圧!R25*標準電圧!R$2-VLOOKUP(HUAWEI製ＰＣＳ接続枚数計算ツール!$C$9,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HUAWEI製ＰＣＳ接続枚数計算ツール!$B$119:$P$149,14,FALSE),0)/100&gt;=IF(過積載率!R25&gt;1,1,過積載率!R25),1,0))</f>
        <v>0</v>
      </c>
      <c r="S25">
        <f>IF(OR(過積載率!S25=0,(標準電圧!S25*標準電圧!S$2-VLOOKUP(HUAWEI製ＰＣＳ接続枚数計算ツール!$C$9, HUAWEI製ＰＣＳ接続枚数計算ツール!$B$119:$P$149,12,FALSE))&lt;0),0,IF(ROUNDDOWN((標準電圧!S25*標準電圧!S$2-VLOOKUP(HUAWEI製ＰＣＳ接続枚数計算ツール!$C$9,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HUAWEI製ＰＣＳ接続枚数計算ツール!$B$119:$P$149,14,FALSE),0)/100&gt;=IF(過積載率!S25&gt;1,1,過積載率!S25),1,0))</f>
        <v>0</v>
      </c>
      <c r="T25">
        <f>IF(OR(過積載率!T25=0,(標準電圧!T25*標準電圧!T$2-VLOOKUP(HUAWEI製ＰＣＳ接続枚数計算ツール!$C$9, HUAWEI製ＰＣＳ接続枚数計算ツール!$B$119:$P$149,12,FALSE))&lt;0),0,IF(ROUNDDOWN((標準電圧!T25*標準電圧!T$2-VLOOKUP(HUAWEI製ＰＣＳ接続枚数計算ツール!$C$9,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HUAWEI製ＰＣＳ接続枚数計算ツール!$B$119:$P$149,14,FALSE),0)/100&gt;=IF(過積載率!T25&gt;1,1,過積載率!T25),1,0))</f>
        <v>0</v>
      </c>
      <c r="U25">
        <f>IF(OR(過積載率!U25=0,(標準電圧!U25*標準電圧!U$2-VLOOKUP(HUAWEI製ＰＣＳ接続枚数計算ツール!$C$9, HUAWEI製ＰＣＳ接続枚数計算ツール!$B$119:$P$149,12,FALSE))&lt;0),0,IF(ROUNDDOWN((標準電圧!U25*標準電圧!U$2-VLOOKUP(HUAWEI製ＰＣＳ接続枚数計算ツール!$C$9,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HUAWEI製ＰＣＳ接続枚数計算ツール!$B$119:$P$149,14,FALSE),0)/100&gt;=IF(過積載率!U25&gt;1,1,過積載率!U25),1,0))</f>
        <v>0</v>
      </c>
      <c r="V25">
        <f>IF(OR(過積載率!V25=0,(標準電圧!V25*標準電圧!V$2-VLOOKUP(HUAWEI製ＰＣＳ接続枚数計算ツール!$C$9, HUAWEI製ＰＣＳ接続枚数計算ツール!$B$119:$P$149,12,FALSE))&lt;0),0,IF(ROUNDDOWN((標準電圧!V25*標準電圧!V$2-VLOOKUP(HUAWEI製ＰＣＳ接続枚数計算ツール!$C$9,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HUAWEI製ＰＣＳ接続枚数計算ツール!$B$119:$P$149,14,FALSE),0)/100&gt;=IF(過積載率!V25&gt;1,1,過積載率!V25),1,0))</f>
        <v>0</v>
      </c>
      <c r="W25">
        <f>IF(OR(過積載率!W25=0,(標準電圧!W25*標準電圧!W$2-VLOOKUP(HUAWEI製ＰＣＳ接続枚数計算ツール!$C$9, HUAWEI製ＰＣＳ接続枚数計算ツール!$B$119:$P$149,12,FALSE))&lt;0),0,IF(ROUNDDOWN((標準電圧!W25*標準電圧!W$2-VLOOKUP(HUAWEI製ＰＣＳ接続枚数計算ツール!$C$9,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HUAWEI製ＰＣＳ接続枚数計算ツール!$B$119:$P$149,14,FALSE),0)/100&gt;=IF(過積載率!W25&gt;1,1,過積載率!W25),1,0))</f>
        <v>0</v>
      </c>
      <c r="X25">
        <f>IF(OR(過積載率!X25=0,(標準電圧!X25*標準電圧!X$2-VLOOKUP(HUAWEI製ＰＣＳ接続枚数計算ツール!$C$9, HUAWEI製ＰＣＳ接続枚数計算ツール!$B$119:$P$149,12,FALSE))&lt;0),0,IF(ROUNDDOWN((標準電圧!X25*標準電圧!X$2-VLOOKUP(HUAWEI製ＰＣＳ接続枚数計算ツール!$C$9,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HUAWEI製ＰＣＳ接続枚数計算ツール!$B$119:$P$149,14,FALSE),0)/100&gt;=IF(過積載率!X25&gt;1,1,過積載率!X25),1,0))</f>
        <v>0</v>
      </c>
      <c r="Y25">
        <f>IF(OR(過積載率!Y25=0,(標準電圧!Y25*標準電圧!Y$2-VLOOKUP(HUAWEI製ＰＣＳ接続枚数計算ツール!$C$9, HUAWEI製ＰＣＳ接続枚数計算ツール!$B$119:$P$149,12,FALSE))&lt;0),0,IF(ROUNDDOWN((標準電圧!Y25*標準電圧!Y$2-VLOOKUP(HUAWEI製ＰＣＳ接続枚数計算ツール!$C$9,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HUAWEI製ＰＣＳ接続枚数計算ツール!$B$119:$P$149,14,FALSE),0)/100&gt;=IF(過積載率!Y25&gt;1,1,過積載率!Y25),1,0))</f>
        <v>0</v>
      </c>
      <c r="Z25">
        <f>IF(OR(過積載率!Z25=0,(標準電圧!Z25*標準電圧!Z$2-VLOOKUP(HUAWEI製ＰＣＳ接続枚数計算ツール!$C$9, HUAWEI製ＰＣＳ接続枚数計算ツール!$B$119:$P$149,12,FALSE))&lt;0),0,IF(ROUNDDOWN((標準電圧!Z25*標準電圧!Z$2-VLOOKUP(HUAWEI製ＰＣＳ接続枚数計算ツール!$C$9,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HUAWEI製ＰＣＳ接続枚数計算ツール!$B$119:$P$149,14,FALSE),0)/100&gt;=IF(過積載率!Z25&gt;1,1,過積載率!Z25),1,0))</f>
        <v>0</v>
      </c>
      <c r="AA25">
        <f>IF(OR(過積載率!AA25=0,(標準電圧!AA25*標準電圧!AA$2-VLOOKUP(HUAWEI製ＰＣＳ接続枚数計算ツール!$C$9, HUAWEI製ＰＣＳ接続枚数計算ツール!$B$119:$P$149,12,FALSE))&lt;0),0,IF(ROUNDDOWN((標準電圧!AA25*標準電圧!AA$2-VLOOKUP(HUAWEI製ＰＣＳ接続枚数計算ツール!$C$9,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HUAWEI製ＰＣＳ接続枚数計算ツール!$B$119:$P$149,14,FALSE),0)/100&gt;=IF(過積載率!AA25&gt;1,1,過積載率!AA25),1,0))</f>
        <v>0</v>
      </c>
      <c r="AB25">
        <f>IF(OR(過積載率!AB25=0,(標準電圧!AB25*標準電圧!AB$2-VLOOKUP(HUAWEI製ＰＣＳ接続枚数計算ツール!$C$9, HUAWEI製ＰＣＳ接続枚数計算ツール!$B$119:$P$149,12,FALSE))&lt;0),0,IF(ROUNDDOWN((標準電圧!AB25*標準電圧!AB$2-VLOOKUP(HUAWEI製ＰＣＳ接続枚数計算ツール!$C$9,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HUAWEI製ＰＣＳ接続枚数計算ツール!$B$119:$P$149,14,FALSE),0)/100&gt;=IF(過積載率!AB25&gt;1,1,過積載率!AB25),1,0))</f>
        <v>0</v>
      </c>
      <c r="AC25">
        <f>IF(OR(過積載率!AC25=0,(標準電圧!AC25*標準電圧!AC$2-VLOOKUP(HUAWEI製ＰＣＳ接続枚数計算ツール!$C$9, HUAWEI製ＰＣＳ接続枚数計算ツール!$B$119:$P$149,12,FALSE))&lt;0),0,IF(ROUNDDOWN((標準電圧!AC25*標準電圧!AC$2-VLOOKUP(HUAWEI製ＰＣＳ接続枚数計算ツール!$C$9,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HUAWEI製ＰＣＳ接続枚数計算ツール!$B$119:$P$149,14,FALSE),0)/100&gt;=IF(過積載率!AC25&gt;1,1,過積載率!AC25),1,0))</f>
        <v>0</v>
      </c>
      <c r="AD25">
        <f>IF(OR(過積載率!AD25=0,(標準電圧!AD25*標準電圧!AD$2-VLOOKUP(HUAWEI製ＰＣＳ接続枚数計算ツール!$C$9, HUAWEI製ＰＣＳ接続枚数計算ツール!$B$119:$P$149,12,FALSE))&lt;0),0,IF(ROUNDDOWN((標準電圧!AD25*標準電圧!AD$2-VLOOKUP(HUAWEI製ＰＣＳ接続枚数計算ツール!$C$9,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HUAWEI製ＰＣＳ接続枚数計算ツール!$B$119:$P$149,14,FALSE),0)/100&gt;=IF(過積載率!AD25&gt;1,1,過積載率!AD25),1,0))</f>
        <v>0</v>
      </c>
      <c r="AE25">
        <f>IF(OR(過積載率!AE25=0,(標準電圧!AE25*標準電圧!AE$2-VLOOKUP(HUAWEI製ＰＣＳ接続枚数計算ツール!$C$9, HUAWEI製ＰＣＳ接続枚数計算ツール!$B$119:$P$149,12,FALSE))&lt;0),0,IF(ROUNDDOWN((標準電圧!AE25*標準電圧!AE$2-VLOOKUP(HUAWEI製ＰＣＳ接続枚数計算ツール!$C$9,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HUAWEI製ＰＣＳ接続枚数計算ツール!$B$119:$P$149,14,FALSE),0)/100&gt;=IF(過積載率!AE25&gt;1,1,過積載率!AE25),1,0))</f>
        <v>0</v>
      </c>
      <c r="AF25">
        <f>IF(OR(過積載率!AF25=0,(標準電圧!AF25*標準電圧!AF$2-VLOOKUP(HUAWEI製ＰＣＳ接続枚数計算ツール!$C$9, HUAWEI製ＰＣＳ接続枚数計算ツール!$B$119:$P$149,12,FALSE))&lt;0),0,IF(ROUNDDOWN((標準電圧!AF25*標準電圧!AF$2-VLOOKUP(HUAWEI製ＰＣＳ接続枚数計算ツール!$C$9,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HUAWEI製ＰＣＳ接続枚数計算ツール!$B$119:$P$149,14,FALSE),0)/100&gt;=IF(過積載率!AF25&gt;1,1,過積載率!AF25),1,0))</f>
        <v>0</v>
      </c>
      <c r="AG25">
        <f>IF(OR(過積載率!AG25=0,(標準電圧!AG25*標準電圧!AG$2-VLOOKUP(HUAWEI製ＰＣＳ接続枚数計算ツール!$C$9, HUAWEI製ＰＣＳ接続枚数計算ツール!$B$119:$P$149,12,FALSE))&lt;0),0,IF(ROUNDDOWN((標準電圧!AG25*標準電圧!AG$2-VLOOKUP(HUAWEI製ＰＣＳ接続枚数計算ツール!$C$9,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HUAWEI製ＰＣＳ接続枚数計算ツール!$B$119:$P$149,14,FALSE),0)/100&gt;=IF(過積載率!AG25&gt;1,1,過積載率!AG25),1,0))</f>
        <v>0</v>
      </c>
      <c r="AH25">
        <f>IF(OR(過積載率!AH25=0,(標準電圧!AH25*標準電圧!AH$2-VLOOKUP(HUAWEI製ＰＣＳ接続枚数計算ツール!$C$9, HUAWEI製ＰＣＳ接続枚数計算ツール!$B$119:$P$149,12,FALSE))&lt;0),0,IF(ROUNDDOWN((標準電圧!AH25*標準電圧!AH$2-VLOOKUP(HUAWEI製ＰＣＳ接続枚数計算ツール!$C$9,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HUAWEI製ＰＣＳ接続枚数計算ツール!$B$119:$P$149,14,FALSE),0)/100&gt;=IF(過積載率!AH25&gt;1,1,過積載率!AH25),1,0))</f>
        <v>0</v>
      </c>
      <c r="AI25">
        <f>IF(OR(過積載率!AI25=0,(標準電圧!AI25*標準電圧!AI$2-VLOOKUP(HUAWEI製ＰＣＳ接続枚数計算ツール!$C$9, HUAWEI製ＰＣＳ接続枚数計算ツール!$B$119:$P$149,12,FALSE))&lt;0),0,IF(ROUNDDOWN((標準電圧!AI25*標準電圧!AI$2-VLOOKUP(HUAWEI製ＰＣＳ接続枚数計算ツール!$C$9,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HUAWEI製ＰＣＳ接続枚数計算ツール!$B$119:$P$149,14,FALSE),0)/100&gt;=IF(過積載率!AI25&gt;1,1,過積載率!AI25),1,0))</f>
        <v>0</v>
      </c>
      <c r="AJ25">
        <f>IF(OR(過積載率!AJ25=0,(標準電圧!AJ25*標準電圧!AJ$2-VLOOKUP(HUAWEI製ＰＣＳ接続枚数計算ツール!$C$9, HUAWEI製ＰＣＳ接続枚数計算ツール!$B$119:$P$149,12,FALSE))&lt;0),0,IF(ROUNDDOWN((標準電圧!AJ25*標準電圧!AJ$2-VLOOKUP(HUAWEI製ＰＣＳ接続枚数計算ツール!$C$9,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HUAWEI製ＰＣＳ接続枚数計算ツール!$B$119:$P$149,14,FALSE),0)/100&gt;=IF(過積載率!AJ25&gt;1,1,過積載率!AJ25),1,0))</f>
        <v>0</v>
      </c>
      <c r="AK25">
        <f>IF(OR(過積載率!AK25=0,(標準電圧!AK25*標準電圧!AK$2-VLOOKUP(HUAWEI製ＰＣＳ接続枚数計算ツール!$C$9, HUAWEI製ＰＣＳ接続枚数計算ツール!$B$119:$P$149,12,FALSE))&lt;0),0,IF(ROUNDDOWN((標準電圧!AK25*標準電圧!AK$2-VLOOKUP(HUAWEI製ＰＣＳ接続枚数計算ツール!$C$9,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HUAWEI製ＰＣＳ接続枚数計算ツール!$B$119:$P$149,14,FALSE),0)/100&gt;=IF(過積載率!AK25&gt;1,1,過積載率!AK25),1,0))</f>
        <v>0</v>
      </c>
      <c r="AL25">
        <f>IF(OR(過積載率!AL25=0,(標準電圧!AL25*標準電圧!AL$2-VLOOKUP(HUAWEI製ＰＣＳ接続枚数計算ツール!$C$9, HUAWEI製ＰＣＳ接続枚数計算ツール!$B$119:$P$149,12,FALSE))&lt;0),0,IF(ROUNDDOWN((標準電圧!AL25*標準電圧!AL$2-VLOOKUP(HUAWEI製ＰＣＳ接続枚数計算ツール!$C$9,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HUAWEI製ＰＣＳ接続枚数計算ツール!$B$119:$P$149,14,FALSE),0)/100&gt;=IF(過積載率!AL25&gt;1,1,過積載率!AL25),1,0))</f>
        <v>0</v>
      </c>
      <c r="AM25">
        <f>IF(OR(過積載率!AM25=0,(標準電圧!AM25*標準電圧!AM$2-VLOOKUP(HUAWEI製ＰＣＳ接続枚数計算ツール!$C$9, HUAWEI製ＰＣＳ接続枚数計算ツール!$B$119:$P$149,12,FALSE))&lt;0),0,IF(ROUNDDOWN((標準電圧!AM25*標準電圧!AM$2-VLOOKUP(HUAWEI製ＰＣＳ接続枚数計算ツール!$C$9,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HUAWEI製ＰＣＳ接続枚数計算ツール!$B$119:$P$149,14,FALSE),0)/100&gt;=IF(過積載率!AM25&gt;1,1,過積載率!AM25),1,0))</f>
        <v>0</v>
      </c>
      <c r="AN25">
        <f>IF(OR(過積載率!AN25=0,(標準電圧!AN25*標準電圧!AN$2-VLOOKUP(HUAWEI製ＰＣＳ接続枚数計算ツール!$C$9, HUAWEI製ＰＣＳ接続枚数計算ツール!$B$119:$P$149,12,FALSE))&lt;0),0,IF(ROUNDDOWN((標準電圧!AN25*標準電圧!AN$2-VLOOKUP(HUAWEI製ＰＣＳ接続枚数計算ツール!$C$9,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HUAWEI製ＰＣＳ接続枚数計算ツール!$B$119:$P$149,14,FALSE),0)/100&gt;=IF(過積載率!AN25&gt;1,1,過積載率!AN25),1,0))</f>
        <v>0</v>
      </c>
      <c r="AO25">
        <f>IF(OR(過積載率!AO25=0,(標準電圧!AO25*標準電圧!AO$2-VLOOKUP(HUAWEI製ＰＣＳ接続枚数計算ツール!$C$9, HUAWEI製ＰＣＳ接続枚数計算ツール!$B$119:$P$149,12,FALSE))&lt;0),0,IF(ROUNDDOWN((標準電圧!AO25*標準電圧!AO$2-VLOOKUP(HUAWEI製ＰＣＳ接続枚数計算ツール!$C$9,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HUAWEI製ＰＣＳ接続枚数計算ツール!$B$119:$P$149,14,FALSE),0)/100&gt;=IF(過積載率!AO25&gt;1,1,過積載率!AO25),1,0))</f>
        <v>0</v>
      </c>
    </row>
    <row r="26" spans="1:41">
      <c r="A26">
        <v>24</v>
      </c>
      <c r="B26">
        <f>IF(OR(過積載率!B26=0,(標準電圧!B26*標準電圧!B$2-VLOOKUP(HUAWEI製ＰＣＳ接続枚数計算ツール!$C$9, HUAWEI製ＰＣＳ接続枚数計算ツール!$B$119:$P$149,12,FALSE))&lt;0),0,IF(ROUNDDOWN((標準電圧!B26*標準電圧!B$2-VLOOKUP(HUAWEI製ＰＣＳ接続枚数計算ツール!$C$9,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HUAWEI製ＰＣＳ接続枚数計算ツール!$B$119:$P$149,14,FALSE),0)/100&gt;=IF(過積載率!B26&gt;1,1,過積載率!B26),1,0))</f>
        <v>0</v>
      </c>
      <c r="C26">
        <f>IF(OR(過積載率!C26=0,(標準電圧!C26*標準電圧!C$2-VLOOKUP(HUAWEI製ＰＣＳ接続枚数計算ツール!$C$9, HUAWEI製ＰＣＳ接続枚数計算ツール!$B$119:$P$149,12,FALSE))&lt;0),0,IF(ROUNDDOWN((標準電圧!C26*標準電圧!C$2-VLOOKUP(HUAWEI製ＰＣＳ接続枚数計算ツール!$C$9,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HUAWEI製ＰＣＳ接続枚数計算ツール!$B$119:$P$149,14,FALSE),0)/100&gt;=IF(過積載率!C26&gt;1,1,過積載率!C26),1,0))</f>
        <v>0</v>
      </c>
      <c r="D26">
        <f>IF(OR(過積載率!D26=0,(標準電圧!D26*標準電圧!D$2-VLOOKUP(HUAWEI製ＰＣＳ接続枚数計算ツール!$C$9, HUAWEI製ＰＣＳ接続枚数計算ツール!$B$119:$P$149,12,FALSE))&lt;0),0,IF(ROUNDDOWN((標準電圧!D26*標準電圧!D$2-VLOOKUP(HUAWEI製ＰＣＳ接続枚数計算ツール!$C$9,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HUAWEI製ＰＣＳ接続枚数計算ツール!$B$119:$P$149,14,FALSE),0)/100&gt;=IF(過積載率!D26&gt;1,1,過積載率!D26),1,0))</f>
        <v>0</v>
      </c>
      <c r="E26">
        <f>IF(OR(過積載率!E26=0,(標準電圧!E26*標準電圧!E$2-VLOOKUP(HUAWEI製ＰＣＳ接続枚数計算ツール!$C$9, HUAWEI製ＰＣＳ接続枚数計算ツール!$B$119:$P$149,12,FALSE))&lt;0),0,IF(ROUNDDOWN((標準電圧!E26*標準電圧!E$2-VLOOKUP(HUAWEI製ＰＣＳ接続枚数計算ツール!$C$9,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HUAWEI製ＰＣＳ接続枚数計算ツール!$B$119:$P$149,14,FALSE),0)/100&gt;=IF(過積載率!E26&gt;1,1,過積載率!E26),1,0))</f>
        <v>0</v>
      </c>
      <c r="F26">
        <f>IF(OR(過積載率!F26=0,(標準電圧!F26*標準電圧!F$2-VLOOKUP(HUAWEI製ＰＣＳ接続枚数計算ツール!$C$9, HUAWEI製ＰＣＳ接続枚数計算ツール!$B$119:$P$149,12,FALSE))&lt;0),0,IF(ROUNDDOWN((標準電圧!F26*標準電圧!F$2-VLOOKUP(HUAWEI製ＰＣＳ接続枚数計算ツール!$C$9,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HUAWEI製ＰＣＳ接続枚数計算ツール!$B$119:$P$149,14,FALSE),0)/100&gt;=IF(過積載率!F26&gt;1,1,過積載率!F26),1,0))</f>
        <v>0</v>
      </c>
      <c r="G26">
        <f>IF(OR(過積載率!G26=0,(標準電圧!G26*標準電圧!G$2-VLOOKUP(HUAWEI製ＰＣＳ接続枚数計算ツール!$C$9, HUAWEI製ＰＣＳ接続枚数計算ツール!$B$119:$P$149,12,FALSE))&lt;0),0,IF(ROUNDDOWN((標準電圧!G26*標準電圧!G$2-VLOOKUP(HUAWEI製ＰＣＳ接続枚数計算ツール!$C$9,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HUAWEI製ＰＣＳ接続枚数計算ツール!$B$119:$P$149,14,FALSE),0)/100&gt;=IF(過積載率!G26&gt;1,1,過積載率!G26),1,0))</f>
        <v>0</v>
      </c>
      <c r="H26">
        <f>IF(OR(過積載率!H26=0,(標準電圧!H26*標準電圧!H$2-VLOOKUP(HUAWEI製ＰＣＳ接続枚数計算ツール!$C$9, HUAWEI製ＰＣＳ接続枚数計算ツール!$B$119:$P$149,12,FALSE))&lt;0),0,IF(ROUNDDOWN((標準電圧!H26*標準電圧!H$2-VLOOKUP(HUAWEI製ＰＣＳ接続枚数計算ツール!$C$9,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HUAWEI製ＰＣＳ接続枚数計算ツール!$B$119:$P$149,14,FALSE),0)/100&gt;=IF(過積載率!H26&gt;1,1,過積載率!H26),1,0))</f>
        <v>0</v>
      </c>
      <c r="I26">
        <f>IF(OR(過積載率!I26=0,(標準電圧!I26*標準電圧!I$2-VLOOKUP(HUAWEI製ＰＣＳ接続枚数計算ツール!$C$9, HUAWEI製ＰＣＳ接続枚数計算ツール!$B$119:$P$149,12,FALSE))&lt;0),0,IF(ROUNDDOWN((標準電圧!I26*標準電圧!I$2-VLOOKUP(HUAWEI製ＰＣＳ接続枚数計算ツール!$C$9,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HUAWEI製ＰＣＳ接続枚数計算ツール!$B$119:$P$149,14,FALSE),0)/100&gt;=IF(過積載率!I26&gt;1,1,過積載率!I26),1,0))</f>
        <v>0</v>
      </c>
      <c r="J26">
        <f>IF(OR(過積載率!J26=0,(標準電圧!J26*標準電圧!J$2-VLOOKUP(HUAWEI製ＰＣＳ接続枚数計算ツール!$C$9, HUAWEI製ＰＣＳ接続枚数計算ツール!$B$119:$P$149,12,FALSE))&lt;0),0,IF(ROUNDDOWN((標準電圧!J26*標準電圧!J$2-VLOOKUP(HUAWEI製ＰＣＳ接続枚数計算ツール!$C$9,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HUAWEI製ＰＣＳ接続枚数計算ツール!$B$119:$P$149,14,FALSE),0)/100&gt;=IF(過積載率!J26&gt;1,1,過積載率!J26),1,0))</f>
        <v>0</v>
      </c>
      <c r="K26">
        <f>IF(OR(過積載率!K26=0,(標準電圧!K26*標準電圧!K$2-VLOOKUP(HUAWEI製ＰＣＳ接続枚数計算ツール!$C$9, HUAWEI製ＰＣＳ接続枚数計算ツール!$B$119:$P$149,12,FALSE))&lt;0),0,IF(ROUNDDOWN((標準電圧!K26*標準電圧!K$2-VLOOKUP(HUAWEI製ＰＣＳ接続枚数計算ツール!$C$9,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HUAWEI製ＰＣＳ接続枚数計算ツール!$B$119:$P$149,14,FALSE),0)/100&gt;=IF(過積載率!K26&gt;1,1,過積載率!K26),1,0))</f>
        <v>0</v>
      </c>
      <c r="L26">
        <f>IF(OR(過積載率!L26=0,(標準電圧!L26*標準電圧!L$2-VLOOKUP(HUAWEI製ＰＣＳ接続枚数計算ツール!$C$9, HUAWEI製ＰＣＳ接続枚数計算ツール!$B$119:$P$149,12,FALSE))&lt;0),0,IF(ROUNDDOWN((標準電圧!L26*標準電圧!L$2-VLOOKUP(HUAWEI製ＰＣＳ接続枚数計算ツール!$C$9,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HUAWEI製ＰＣＳ接続枚数計算ツール!$B$119:$P$149,14,FALSE),0)/100&gt;=IF(過積載率!L26&gt;1,1,過積載率!L26),1,0))</f>
        <v>0</v>
      </c>
      <c r="M26">
        <f>IF(OR(過積載率!M26=0,(標準電圧!M26*標準電圧!M$2-VLOOKUP(HUAWEI製ＰＣＳ接続枚数計算ツール!$C$9, HUAWEI製ＰＣＳ接続枚数計算ツール!$B$119:$P$149,12,FALSE))&lt;0),0,IF(ROUNDDOWN((標準電圧!M26*標準電圧!M$2-VLOOKUP(HUAWEI製ＰＣＳ接続枚数計算ツール!$C$9,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HUAWEI製ＰＣＳ接続枚数計算ツール!$B$119:$P$149,14,FALSE),0)/100&gt;=IF(過積載率!M26&gt;1,1,過積載率!M26),1,0))</f>
        <v>0</v>
      </c>
      <c r="N26">
        <f>IF(OR(過積載率!N26=0,(標準電圧!N26*標準電圧!N$2-VLOOKUP(HUAWEI製ＰＣＳ接続枚数計算ツール!$C$9, HUAWEI製ＰＣＳ接続枚数計算ツール!$B$119:$P$149,12,FALSE))&lt;0),0,IF(ROUNDDOWN((標準電圧!N26*標準電圧!N$2-VLOOKUP(HUAWEI製ＰＣＳ接続枚数計算ツール!$C$9,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HUAWEI製ＰＣＳ接続枚数計算ツール!$B$119:$P$149,14,FALSE),0)/100&gt;=IF(過積載率!N26&gt;1,1,過積載率!N26),1,0))</f>
        <v>0</v>
      </c>
      <c r="O26">
        <f>IF(OR(過積載率!O26=0,(標準電圧!O26*標準電圧!O$2-VLOOKUP(HUAWEI製ＰＣＳ接続枚数計算ツール!$C$9, HUAWEI製ＰＣＳ接続枚数計算ツール!$B$119:$P$149,12,FALSE))&lt;0),0,IF(ROUNDDOWN((標準電圧!O26*標準電圧!O$2-VLOOKUP(HUAWEI製ＰＣＳ接続枚数計算ツール!$C$9,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HUAWEI製ＰＣＳ接続枚数計算ツール!$B$119:$P$149,14,FALSE),0)/100&gt;=IF(過積載率!O26&gt;1,1,過積載率!O26),1,0))</f>
        <v>0</v>
      </c>
      <c r="P26">
        <f>IF(OR(過積載率!P26=0,(標準電圧!P26*標準電圧!P$2-VLOOKUP(HUAWEI製ＰＣＳ接続枚数計算ツール!$C$9, HUAWEI製ＰＣＳ接続枚数計算ツール!$B$119:$P$149,12,FALSE))&lt;0),0,IF(ROUNDDOWN((標準電圧!P26*標準電圧!P$2-VLOOKUP(HUAWEI製ＰＣＳ接続枚数計算ツール!$C$9,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HUAWEI製ＰＣＳ接続枚数計算ツール!$B$119:$P$149,14,FALSE),0)/100&gt;=IF(過積載率!P26&gt;1,1,過積載率!P26),1,0))</f>
        <v>0</v>
      </c>
      <c r="Q26">
        <f>IF(OR(過積載率!Q26=0,(標準電圧!Q26*標準電圧!Q$2-VLOOKUP(HUAWEI製ＰＣＳ接続枚数計算ツール!$C$9, HUAWEI製ＰＣＳ接続枚数計算ツール!$B$119:$P$149,12,FALSE))&lt;0),0,IF(ROUNDDOWN((標準電圧!Q26*標準電圧!Q$2-VLOOKUP(HUAWEI製ＰＣＳ接続枚数計算ツール!$C$9,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HUAWEI製ＰＣＳ接続枚数計算ツール!$B$119:$P$149,14,FALSE),0)/100&gt;=IF(過積載率!Q26&gt;1,1,過積載率!Q26),1,0))</f>
        <v>0</v>
      </c>
      <c r="R26">
        <f>IF(OR(過積載率!R26=0,(標準電圧!R26*標準電圧!R$2-VLOOKUP(HUAWEI製ＰＣＳ接続枚数計算ツール!$C$9, HUAWEI製ＰＣＳ接続枚数計算ツール!$B$119:$P$149,12,FALSE))&lt;0),0,IF(ROUNDDOWN((標準電圧!R26*標準電圧!R$2-VLOOKUP(HUAWEI製ＰＣＳ接続枚数計算ツール!$C$9,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HUAWEI製ＰＣＳ接続枚数計算ツール!$B$119:$P$149,14,FALSE),0)/100&gt;=IF(過積載率!R26&gt;1,1,過積載率!R26),1,0))</f>
        <v>0</v>
      </c>
      <c r="S26">
        <f>IF(OR(過積載率!S26=0,(標準電圧!S26*標準電圧!S$2-VLOOKUP(HUAWEI製ＰＣＳ接続枚数計算ツール!$C$9, HUAWEI製ＰＣＳ接続枚数計算ツール!$B$119:$P$149,12,FALSE))&lt;0),0,IF(ROUNDDOWN((標準電圧!S26*標準電圧!S$2-VLOOKUP(HUAWEI製ＰＣＳ接続枚数計算ツール!$C$9,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HUAWEI製ＰＣＳ接続枚数計算ツール!$B$119:$P$149,14,FALSE),0)/100&gt;=IF(過積載率!S26&gt;1,1,過積載率!S26),1,0))</f>
        <v>0</v>
      </c>
      <c r="T26">
        <f>IF(OR(過積載率!T26=0,(標準電圧!T26*標準電圧!T$2-VLOOKUP(HUAWEI製ＰＣＳ接続枚数計算ツール!$C$9, HUAWEI製ＰＣＳ接続枚数計算ツール!$B$119:$P$149,12,FALSE))&lt;0),0,IF(ROUNDDOWN((標準電圧!T26*標準電圧!T$2-VLOOKUP(HUAWEI製ＰＣＳ接続枚数計算ツール!$C$9,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HUAWEI製ＰＣＳ接続枚数計算ツール!$B$119:$P$149,14,FALSE),0)/100&gt;=IF(過積載率!T26&gt;1,1,過積載率!T26),1,0))</f>
        <v>0</v>
      </c>
      <c r="U26">
        <f>IF(OR(過積載率!U26=0,(標準電圧!U26*標準電圧!U$2-VLOOKUP(HUAWEI製ＰＣＳ接続枚数計算ツール!$C$9, HUAWEI製ＰＣＳ接続枚数計算ツール!$B$119:$P$149,12,FALSE))&lt;0),0,IF(ROUNDDOWN((標準電圧!U26*標準電圧!U$2-VLOOKUP(HUAWEI製ＰＣＳ接続枚数計算ツール!$C$9,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HUAWEI製ＰＣＳ接続枚数計算ツール!$B$119:$P$149,14,FALSE),0)/100&gt;=IF(過積載率!U26&gt;1,1,過積載率!U26),1,0))</f>
        <v>0</v>
      </c>
      <c r="V26">
        <f>IF(OR(過積載率!V26=0,(標準電圧!V26*標準電圧!V$2-VLOOKUP(HUAWEI製ＰＣＳ接続枚数計算ツール!$C$9, HUAWEI製ＰＣＳ接続枚数計算ツール!$B$119:$P$149,12,FALSE))&lt;0),0,IF(ROUNDDOWN((標準電圧!V26*標準電圧!V$2-VLOOKUP(HUAWEI製ＰＣＳ接続枚数計算ツール!$C$9,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HUAWEI製ＰＣＳ接続枚数計算ツール!$B$119:$P$149,14,FALSE),0)/100&gt;=IF(過積載率!V26&gt;1,1,過積載率!V26),1,0))</f>
        <v>0</v>
      </c>
      <c r="W26">
        <f>IF(OR(過積載率!W26=0,(標準電圧!W26*標準電圧!W$2-VLOOKUP(HUAWEI製ＰＣＳ接続枚数計算ツール!$C$9, HUAWEI製ＰＣＳ接続枚数計算ツール!$B$119:$P$149,12,FALSE))&lt;0),0,IF(ROUNDDOWN((標準電圧!W26*標準電圧!W$2-VLOOKUP(HUAWEI製ＰＣＳ接続枚数計算ツール!$C$9,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HUAWEI製ＰＣＳ接続枚数計算ツール!$B$119:$P$149,14,FALSE),0)/100&gt;=IF(過積載率!W26&gt;1,1,過積載率!W26),1,0))</f>
        <v>0</v>
      </c>
      <c r="X26">
        <f>IF(OR(過積載率!X26=0,(標準電圧!X26*標準電圧!X$2-VLOOKUP(HUAWEI製ＰＣＳ接続枚数計算ツール!$C$9, HUAWEI製ＰＣＳ接続枚数計算ツール!$B$119:$P$149,12,FALSE))&lt;0),0,IF(ROUNDDOWN((標準電圧!X26*標準電圧!X$2-VLOOKUP(HUAWEI製ＰＣＳ接続枚数計算ツール!$C$9,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HUAWEI製ＰＣＳ接続枚数計算ツール!$B$119:$P$149,14,FALSE),0)/100&gt;=IF(過積載率!X26&gt;1,1,過積載率!X26),1,0))</f>
        <v>0</v>
      </c>
      <c r="Y26">
        <f>IF(OR(過積載率!Y26=0,(標準電圧!Y26*標準電圧!Y$2-VLOOKUP(HUAWEI製ＰＣＳ接続枚数計算ツール!$C$9, HUAWEI製ＰＣＳ接続枚数計算ツール!$B$119:$P$149,12,FALSE))&lt;0),0,IF(ROUNDDOWN((標準電圧!Y26*標準電圧!Y$2-VLOOKUP(HUAWEI製ＰＣＳ接続枚数計算ツール!$C$9,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HUAWEI製ＰＣＳ接続枚数計算ツール!$B$119:$P$149,14,FALSE),0)/100&gt;=IF(過積載率!Y26&gt;1,1,過積載率!Y26),1,0))</f>
        <v>0</v>
      </c>
      <c r="Z26">
        <f>IF(OR(過積載率!Z26=0,(標準電圧!Z26*標準電圧!Z$2-VLOOKUP(HUAWEI製ＰＣＳ接続枚数計算ツール!$C$9, HUAWEI製ＰＣＳ接続枚数計算ツール!$B$119:$P$149,12,FALSE))&lt;0),0,IF(ROUNDDOWN((標準電圧!Z26*標準電圧!Z$2-VLOOKUP(HUAWEI製ＰＣＳ接続枚数計算ツール!$C$9,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HUAWEI製ＰＣＳ接続枚数計算ツール!$B$119:$P$149,14,FALSE),0)/100&gt;=IF(過積載率!Z26&gt;1,1,過積載率!Z26),1,0))</f>
        <v>0</v>
      </c>
      <c r="AA26">
        <f>IF(OR(過積載率!AA26=0,(標準電圧!AA26*標準電圧!AA$2-VLOOKUP(HUAWEI製ＰＣＳ接続枚数計算ツール!$C$9, HUAWEI製ＰＣＳ接続枚数計算ツール!$B$119:$P$149,12,FALSE))&lt;0),0,IF(ROUNDDOWN((標準電圧!AA26*標準電圧!AA$2-VLOOKUP(HUAWEI製ＰＣＳ接続枚数計算ツール!$C$9,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HUAWEI製ＰＣＳ接続枚数計算ツール!$B$119:$P$149,14,FALSE),0)/100&gt;=IF(過積載率!AA26&gt;1,1,過積載率!AA26),1,0))</f>
        <v>0</v>
      </c>
      <c r="AB26">
        <f>IF(OR(過積載率!AB26=0,(標準電圧!AB26*標準電圧!AB$2-VLOOKUP(HUAWEI製ＰＣＳ接続枚数計算ツール!$C$9, HUAWEI製ＰＣＳ接続枚数計算ツール!$B$119:$P$149,12,FALSE))&lt;0),0,IF(ROUNDDOWN((標準電圧!AB26*標準電圧!AB$2-VLOOKUP(HUAWEI製ＰＣＳ接続枚数計算ツール!$C$9,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HUAWEI製ＰＣＳ接続枚数計算ツール!$B$119:$P$149,14,FALSE),0)/100&gt;=IF(過積載率!AB26&gt;1,1,過積載率!AB26),1,0))</f>
        <v>0</v>
      </c>
      <c r="AC26">
        <f>IF(OR(過積載率!AC26=0,(標準電圧!AC26*標準電圧!AC$2-VLOOKUP(HUAWEI製ＰＣＳ接続枚数計算ツール!$C$9, HUAWEI製ＰＣＳ接続枚数計算ツール!$B$119:$P$149,12,FALSE))&lt;0),0,IF(ROUNDDOWN((標準電圧!AC26*標準電圧!AC$2-VLOOKUP(HUAWEI製ＰＣＳ接続枚数計算ツール!$C$9,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HUAWEI製ＰＣＳ接続枚数計算ツール!$B$119:$P$149,14,FALSE),0)/100&gt;=IF(過積載率!AC26&gt;1,1,過積載率!AC26),1,0))</f>
        <v>0</v>
      </c>
      <c r="AD26">
        <f>IF(OR(過積載率!AD26=0,(標準電圧!AD26*標準電圧!AD$2-VLOOKUP(HUAWEI製ＰＣＳ接続枚数計算ツール!$C$9, HUAWEI製ＰＣＳ接続枚数計算ツール!$B$119:$P$149,12,FALSE))&lt;0),0,IF(ROUNDDOWN((標準電圧!AD26*標準電圧!AD$2-VLOOKUP(HUAWEI製ＰＣＳ接続枚数計算ツール!$C$9,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HUAWEI製ＰＣＳ接続枚数計算ツール!$B$119:$P$149,14,FALSE),0)/100&gt;=IF(過積載率!AD26&gt;1,1,過積載率!AD26),1,0))</f>
        <v>0</v>
      </c>
      <c r="AE26">
        <f>IF(OR(過積載率!AE26=0,(標準電圧!AE26*標準電圧!AE$2-VLOOKUP(HUAWEI製ＰＣＳ接続枚数計算ツール!$C$9, HUAWEI製ＰＣＳ接続枚数計算ツール!$B$119:$P$149,12,FALSE))&lt;0),0,IF(ROUNDDOWN((標準電圧!AE26*標準電圧!AE$2-VLOOKUP(HUAWEI製ＰＣＳ接続枚数計算ツール!$C$9,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HUAWEI製ＰＣＳ接続枚数計算ツール!$B$119:$P$149,14,FALSE),0)/100&gt;=IF(過積載率!AE26&gt;1,1,過積載率!AE26),1,0))</f>
        <v>0</v>
      </c>
      <c r="AF26">
        <f>IF(OR(過積載率!AF26=0,(標準電圧!AF26*標準電圧!AF$2-VLOOKUP(HUAWEI製ＰＣＳ接続枚数計算ツール!$C$9, HUAWEI製ＰＣＳ接続枚数計算ツール!$B$119:$P$149,12,FALSE))&lt;0),0,IF(ROUNDDOWN((標準電圧!AF26*標準電圧!AF$2-VLOOKUP(HUAWEI製ＰＣＳ接続枚数計算ツール!$C$9,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HUAWEI製ＰＣＳ接続枚数計算ツール!$B$119:$P$149,14,FALSE),0)/100&gt;=IF(過積載率!AF26&gt;1,1,過積載率!AF26),1,0))</f>
        <v>0</v>
      </c>
      <c r="AG26">
        <f>IF(OR(過積載率!AG26=0,(標準電圧!AG26*標準電圧!AG$2-VLOOKUP(HUAWEI製ＰＣＳ接続枚数計算ツール!$C$9, HUAWEI製ＰＣＳ接続枚数計算ツール!$B$119:$P$149,12,FALSE))&lt;0),0,IF(ROUNDDOWN((標準電圧!AG26*標準電圧!AG$2-VLOOKUP(HUAWEI製ＰＣＳ接続枚数計算ツール!$C$9,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HUAWEI製ＰＣＳ接続枚数計算ツール!$B$119:$P$149,14,FALSE),0)/100&gt;=IF(過積載率!AG26&gt;1,1,過積載率!AG26),1,0))</f>
        <v>0</v>
      </c>
      <c r="AH26">
        <f>IF(OR(過積載率!AH26=0,(標準電圧!AH26*標準電圧!AH$2-VLOOKUP(HUAWEI製ＰＣＳ接続枚数計算ツール!$C$9, HUAWEI製ＰＣＳ接続枚数計算ツール!$B$119:$P$149,12,FALSE))&lt;0),0,IF(ROUNDDOWN((標準電圧!AH26*標準電圧!AH$2-VLOOKUP(HUAWEI製ＰＣＳ接続枚数計算ツール!$C$9,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HUAWEI製ＰＣＳ接続枚数計算ツール!$B$119:$P$149,14,FALSE),0)/100&gt;=IF(過積載率!AH26&gt;1,1,過積載率!AH26),1,0))</f>
        <v>0</v>
      </c>
      <c r="AI26">
        <f>IF(OR(過積載率!AI26=0,(標準電圧!AI26*標準電圧!AI$2-VLOOKUP(HUAWEI製ＰＣＳ接続枚数計算ツール!$C$9, HUAWEI製ＰＣＳ接続枚数計算ツール!$B$119:$P$149,12,FALSE))&lt;0),0,IF(ROUNDDOWN((標準電圧!AI26*標準電圧!AI$2-VLOOKUP(HUAWEI製ＰＣＳ接続枚数計算ツール!$C$9,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HUAWEI製ＰＣＳ接続枚数計算ツール!$B$119:$P$149,14,FALSE),0)/100&gt;=IF(過積載率!AI26&gt;1,1,過積載率!AI26),1,0))</f>
        <v>0</v>
      </c>
      <c r="AJ26">
        <f>IF(OR(過積載率!AJ26=0,(標準電圧!AJ26*標準電圧!AJ$2-VLOOKUP(HUAWEI製ＰＣＳ接続枚数計算ツール!$C$9, HUAWEI製ＰＣＳ接続枚数計算ツール!$B$119:$P$149,12,FALSE))&lt;0),0,IF(ROUNDDOWN((標準電圧!AJ26*標準電圧!AJ$2-VLOOKUP(HUAWEI製ＰＣＳ接続枚数計算ツール!$C$9,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HUAWEI製ＰＣＳ接続枚数計算ツール!$B$119:$P$149,14,FALSE),0)/100&gt;=IF(過積載率!AJ26&gt;1,1,過積載率!AJ26),1,0))</f>
        <v>0</v>
      </c>
      <c r="AK26">
        <f>IF(OR(過積載率!AK26=0,(標準電圧!AK26*標準電圧!AK$2-VLOOKUP(HUAWEI製ＰＣＳ接続枚数計算ツール!$C$9, HUAWEI製ＰＣＳ接続枚数計算ツール!$B$119:$P$149,12,FALSE))&lt;0),0,IF(ROUNDDOWN((標準電圧!AK26*標準電圧!AK$2-VLOOKUP(HUAWEI製ＰＣＳ接続枚数計算ツール!$C$9,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HUAWEI製ＰＣＳ接続枚数計算ツール!$B$119:$P$149,14,FALSE),0)/100&gt;=IF(過積載率!AK26&gt;1,1,過積載率!AK26),1,0))</f>
        <v>0</v>
      </c>
      <c r="AL26">
        <f>IF(OR(過積載率!AL26=0,(標準電圧!AL26*標準電圧!AL$2-VLOOKUP(HUAWEI製ＰＣＳ接続枚数計算ツール!$C$9, HUAWEI製ＰＣＳ接続枚数計算ツール!$B$119:$P$149,12,FALSE))&lt;0),0,IF(ROUNDDOWN((標準電圧!AL26*標準電圧!AL$2-VLOOKUP(HUAWEI製ＰＣＳ接続枚数計算ツール!$C$9,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HUAWEI製ＰＣＳ接続枚数計算ツール!$B$119:$P$149,14,FALSE),0)/100&gt;=IF(過積載率!AL26&gt;1,1,過積載率!AL26),1,0))</f>
        <v>0</v>
      </c>
      <c r="AM26">
        <f>IF(OR(過積載率!AM26=0,(標準電圧!AM26*標準電圧!AM$2-VLOOKUP(HUAWEI製ＰＣＳ接続枚数計算ツール!$C$9, HUAWEI製ＰＣＳ接続枚数計算ツール!$B$119:$P$149,12,FALSE))&lt;0),0,IF(ROUNDDOWN((標準電圧!AM26*標準電圧!AM$2-VLOOKUP(HUAWEI製ＰＣＳ接続枚数計算ツール!$C$9,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HUAWEI製ＰＣＳ接続枚数計算ツール!$B$119:$P$149,14,FALSE),0)/100&gt;=IF(過積載率!AM26&gt;1,1,過積載率!AM26),1,0))</f>
        <v>0</v>
      </c>
      <c r="AN26">
        <f>IF(OR(過積載率!AN26=0,(標準電圧!AN26*標準電圧!AN$2-VLOOKUP(HUAWEI製ＰＣＳ接続枚数計算ツール!$C$9, HUAWEI製ＰＣＳ接続枚数計算ツール!$B$119:$P$149,12,FALSE))&lt;0),0,IF(ROUNDDOWN((標準電圧!AN26*標準電圧!AN$2-VLOOKUP(HUAWEI製ＰＣＳ接続枚数計算ツール!$C$9,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HUAWEI製ＰＣＳ接続枚数計算ツール!$B$119:$P$149,14,FALSE),0)/100&gt;=IF(過積載率!AN26&gt;1,1,過積載率!AN26),1,0))</f>
        <v>0</v>
      </c>
      <c r="AO26">
        <f>IF(OR(過積載率!AO26=0,(標準電圧!AO26*標準電圧!AO$2-VLOOKUP(HUAWEI製ＰＣＳ接続枚数計算ツール!$C$9, HUAWEI製ＰＣＳ接続枚数計算ツール!$B$119:$P$149,12,FALSE))&lt;0),0,IF(ROUNDDOWN((標準電圧!AO26*標準電圧!AO$2-VLOOKUP(HUAWEI製ＰＣＳ接続枚数計算ツール!$C$9,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HUAWEI製ＰＣＳ接続枚数計算ツール!$B$119:$P$149,14,FALSE),0)/100&gt;=IF(過積載率!AO26&gt;1,1,過積載率!AO26),1,0))</f>
        <v>0</v>
      </c>
    </row>
    <row r="27" spans="1:41">
      <c r="A27">
        <v>25</v>
      </c>
      <c r="B27">
        <f>IF(OR(過積載率!B27=0,(標準電圧!B27*標準電圧!B$2-VLOOKUP(HUAWEI製ＰＣＳ接続枚数計算ツール!$C$9, HUAWEI製ＰＣＳ接続枚数計算ツール!$B$119:$P$149,12,FALSE))&lt;0),0,IF(ROUNDDOWN((標準電圧!B27*標準電圧!B$2-VLOOKUP(HUAWEI製ＰＣＳ接続枚数計算ツール!$C$9,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HUAWEI製ＰＣＳ接続枚数計算ツール!$B$119:$P$149,14,FALSE),0)/100&gt;=IF(過積載率!B27&gt;1,1,過積載率!B27),1,0))</f>
        <v>0</v>
      </c>
      <c r="C27">
        <f>IF(OR(過積載率!C27=0,(標準電圧!C27*標準電圧!C$2-VLOOKUP(HUAWEI製ＰＣＳ接続枚数計算ツール!$C$9, HUAWEI製ＰＣＳ接続枚数計算ツール!$B$119:$P$149,12,FALSE))&lt;0),0,IF(ROUNDDOWN((標準電圧!C27*標準電圧!C$2-VLOOKUP(HUAWEI製ＰＣＳ接続枚数計算ツール!$C$9,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HUAWEI製ＰＣＳ接続枚数計算ツール!$B$119:$P$149,14,FALSE),0)/100&gt;=IF(過積載率!C27&gt;1,1,過積載率!C27),1,0))</f>
        <v>0</v>
      </c>
      <c r="D27">
        <f>IF(OR(過積載率!D27=0,(標準電圧!D27*標準電圧!D$2-VLOOKUP(HUAWEI製ＰＣＳ接続枚数計算ツール!$C$9, HUAWEI製ＰＣＳ接続枚数計算ツール!$B$119:$P$149,12,FALSE))&lt;0),0,IF(ROUNDDOWN((標準電圧!D27*標準電圧!D$2-VLOOKUP(HUAWEI製ＰＣＳ接続枚数計算ツール!$C$9,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HUAWEI製ＰＣＳ接続枚数計算ツール!$B$119:$P$149,14,FALSE),0)/100&gt;=IF(過積載率!D27&gt;1,1,過積載率!D27),1,0))</f>
        <v>0</v>
      </c>
      <c r="E27">
        <f>IF(OR(過積載率!E27=0,(標準電圧!E27*標準電圧!E$2-VLOOKUP(HUAWEI製ＰＣＳ接続枚数計算ツール!$C$9, HUAWEI製ＰＣＳ接続枚数計算ツール!$B$119:$P$149,12,FALSE))&lt;0),0,IF(ROUNDDOWN((標準電圧!E27*標準電圧!E$2-VLOOKUP(HUAWEI製ＰＣＳ接続枚数計算ツール!$C$9,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HUAWEI製ＰＣＳ接続枚数計算ツール!$B$119:$P$149,14,FALSE),0)/100&gt;=IF(過積載率!E27&gt;1,1,過積載率!E27),1,0))</f>
        <v>0</v>
      </c>
      <c r="F27">
        <f>IF(OR(過積載率!F27=0,(標準電圧!F27*標準電圧!F$2-VLOOKUP(HUAWEI製ＰＣＳ接続枚数計算ツール!$C$9, HUAWEI製ＰＣＳ接続枚数計算ツール!$B$119:$P$149,12,FALSE))&lt;0),0,IF(ROUNDDOWN((標準電圧!F27*標準電圧!F$2-VLOOKUP(HUAWEI製ＰＣＳ接続枚数計算ツール!$C$9,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HUAWEI製ＰＣＳ接続枚数計算ツール!$B$119:$P$149,14,FALSE),0)/100&gt;=IF(過積載率!F27&gt;1,1,過積載率!F27),1,0))</f>
        <v>0</v>
      </c>
      <c r="G27">
        <f>IF(OR(過積載率!G27=0,(標準電圧!G27*標準電圧!G$2-VLOOKUP(HUAWEI製ＰＣＳ接続枚数計算ツール!$C$9, HUAWEI製ＰＣＳ接続枚数計算ツール!$B$119:$P$149,12,FALSE))&lt;0),0,IF(ROUNDDOWN((標準電圧!G27*標準電圧!G$2-VLOOKUP(HUAWEI製ＰＣＳ接続枚数計算ツール!$C$9,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HUAWEI製ＰＣＳ接続枚数計算ツール!$B$119:$P$149,14,FALSE),0)/100&gt;=IF(過積載率!G27&gt;1,1,過積載率!G27),1,0))</f>
        <v>0</v>
      </c>
      <c r="H27">
        <f>IF(OR(過積載率!H27=0,(標準電圧!H27*標準電圧!H$2-VLOOKUP(HUAWEI製ＰＣＳ接続枚数計算ツール!$C$9, HUAWEI製ＰＣＳ接続枚数計算ツール!$B$119:$P$149,12,FALSE))&lt;0),0,IF(ROUNDDOWN((標準電圧!H27*標準電圧!H$2-VLOOKUP(HUAWEI製ＰＣＳ接続枚数計算ツール!$C$9,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HUAWEI製ＰＣＳ接続枚数計算ツール!$B$119:$P$149,14,FALSE),0)/100&gt;=IF(過積載率!H27&gt;1,1,過積載率!H27),1,0))</f>
        <v>0</v>
      </c>
      <c r="I27">
        <f>IF(OR(過積載率!I27=0,(標準電圧!I27*標準電圧!I$2-VLOOKUP(HUAWEI製ＰＣＳ接続枚数計算ツール!$C$9, HUAWEI製ＰＣＳ接続枚数計算ツール!$B$119:$P$149,12,FALSE))&lt;0),0,IF(ROUNDDOWN((標準電圧!I27*標準電圧!I$2-VLOOKUP(HUAWEI製ＰＣＳ接続枚数計算ツール!$C$9,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HUAWEI製ＰＣＳ接続枚数計算ツール!$B$119:$P$149,14,FALSE),0)/100&gt;=IF(過積載率!I27&gt;1,1,過積載率!I27),1,0))</f>
        <v>0</v>
      </c>
      <c r="J27">
        <f>IF(OR(過積載率!J27=0,(標準電圧!J27*標準電圧!J$2-VLOOKUP(HUAWEI製ＰＣＳ接続枚数計算ツール!$C$9, HUAWEI製ＰＣＳ接続枚数計算ツール!$B$119:$P$149,12,FALSE))&lt;0),0,IF(ROUNDDOWN((標準電圧!J27*標準電圧!J$2-VLOOKUP(HUAWEI製ＰＣＳ接続枚数計算ツール!$C$9,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HUAWEI製ＰＣＳ接続枚数計算ツール!$B$119:$P$149,14,FALSE),0)/100&gt;=IF(過積載率!J27&gt;1,1,過積載率!J27),1,0))</f>
        <v>0</v>
      </c>
      <c r="K27">
        <f>IF(OR(過積載率!K27=0,(標準電圧!K27*標準電圧!K$2-VLOOKUP(HUAWEI製ＰＣＳ接続枚数計算ツール!$C$9, HUAWEI製ＰＣＳ接続枚数計算ツール!$B$119:$P$149,12,FALSE))&lt;0),0,IF(ROUNDDOWN((標準電圧!K27*標準電圧!K$2-VLOOKUP(HUAWEI製ＰＣＳ接続枚数計算ツール!$C$9,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HUAWEI製ＰＣＳ接続枚数計算ツール!$B$119:$P$149,14,FALSE),0)/100&gt;=IF(過積載率!K27&gt;1,1,過積載率!K27),1,0))</f>
        <v>0</v>
      </c>
      <c r="L27">
        <f>IF(OR(過積載率!L27=0,(標準電圧!L27*標準電圧!L$2-VLOOKUP(HUAWEI製ＰＣＳ接続枚数計算ツール!$C$9, HUAWEI製ＰＣＳ接続枚数計算ツール!$B$119:$P$149,12,FALSE))&lt;0),0,IF(ROUNDDOWN((標準電圧!L27*標準電圧!L$2-VLOOKUP(HUAWEI製ＰＣＳ接続枚数計算ツール!$C$9,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HUAWEI製ＰＣＳ接続枚数計算ツール!$B$119:$P$149,14,FALSE),0)/100&gt;=IF(過積載率!L27&gt;1,1,過積載率!L27),1,0))</f>
        <v>0</v>
      </c>
      <c r="M27">
        <f>IF(OR(過積載率!M27=0,(標準電圧!M27*標準電圧!M$2-VLOOKUP(HUAWEI製ＰＣＳ接続枚数計算ツール!$C$9, HUAWEI製ＰＣＳ接続枚数計算ツール!$B$119:$P$149,12,FALSE))&lt;0),0,IF(ROUNDDOWN((標準電圧!M27*標準電圧!M$2-VLOOKUP(HUAWEI製ＰＣＳ接続枚数計算ツール!$C$9,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HUAWEI製ＰＣＳ接続枚数計算ツール!$B$119:$P$149,14,FALSE),0)/100&gt;=IF(過積載率!M27&gt;1,1,過積載率!M27),1,0))</f>
        <v>0</v>
      </c>
      <c r="N27">
        <f>IF(OR(過積載率!N27=0,(標準電圧!N27*標準電圧!N$2-VLOOKUP(HUAWEI製ＰＣＳ接続枚数計算ツール!$C$9, HUAWEI製ＰＣＳ接続枚数計算ツール!$B$119:$P$149,12,FALSE))&lt;0),0,IF(ROUNDDOWN((標準電圧!N27*標準電圧!N$2-VLOOKUP(HUAWEI製ＰＣＳ接続枚数計算ツール!$C$9,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HUAWEI製ＰＣＳ接続枚数計算ツール!$B$119:$P$149,14,FALSE),0)/100&gt;=IF(過積載率!N27&gt;1,1,過積載率!N27),1,0))</f>
        <v>0</v>
      </c>
      <c r="O27">
        <f>IF(OR(過積載率!O27=0,(標準電圧!O27*標準電圧!O$2-VLOOKUP(HUAWEI製ＰＣＳ接続枚数計算ツール!$C$9, HUAWEI製ＰＣＳ接続枚数計算ツール!$B$119:$P$149,12,FALSE))&lt;0),0,IF(ROUNDDOWN((標準電圧!O27*標準電圧!O$2-VLOOKUP(HUAWEI製ＰＣＳ接続枚数計算ツール!$C$9,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HUAWEI製ＰＣＳ接続枚数計算ツール!$B$119:$P$149,14,FALSE),0)/100&gt;=IF(過積載率!O27&gt;1,1,過積載率!O27),1,0))</f>
        <v>0</v>
      </c>
      <c r="P27">
        <f>IF(OR(過積載率!P27=0,(標準電圧!P27*標準電圧!P$2-VLOOKUP(HUAWEI製ＰＣＳ接続枚数計算ツール!$C$9, HUAWEI製ＰＣＳ接続枚数計算ツール!$B$119:$P$149,12,FALSE))&lt;0),0,IF(ROUNDDOWN((標準電圧!P27*標準電圧!P$2-VLOOKUP(HUAWEI製ＰＣＳ接続枚数計算ツール!$C$9,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HUAWEI製ＰＣＳ接続枚数計算ツール!$B$119:$P$149,14,FALSE),0)/100&gt;=IF(過積載率!P27&gt;1,1,過積載率!P27),1,0))</f>
        <v>0</v>
      </c>
      <c r="Q27">
        <f>IF(OR(過積載率!Q27=0,(標準電圧!Q27*標準電圧!Q$2-VLOOKUP(HUAWEI製ＰＣＳ接続枚数計算ツール!$C$9, HUAWEI製ＰＣＳ接続枚数計算ツール!$B$119:$P$149,12,FALSE))&lt;0),0,IF(ROUNDDOWN((標準電圧!Q27*標準電圧!Q$2-VLOOKUP(HUAWEI製ＰＣＳ接続枚数計算ツール!$C$9,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HUAWEI製ＰＣＳ接続枚数計算ツール!$B$119:$P$149,14,FALSE),0)/100&gt;=IF(過積載率!Q27&gt;1,1,過積載率!Q27),1,0))</f>
        <v>0</v>
      </c>
      <c r="R27">
        <f>IF(OR(過積載率!R27=0,(標準電圧!R27*標準電圧!R$2-VLOOKUP(HUAWEI製ＰＣＳ接続枚数計算ツール!$C$9, HUAWEI製ＰＣＳ接続枚数計算ツール!$B$119:$P$149,12,FALSE))&lt;0),0,IF(ROUNDDOWN((標準電圧!R27*標準電圧!R$2-VLOOKUP(HUAWEI製ＰＣＳ接続枚数計算ツール!$C$9,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HUAWEI製ＰＣＳ接続枚数計算ツール!$B$119:$P$149,14,FALSE),0)/100&gt;=IF(過積載率!R27&gt;1,1,過積載率!R27),1,0))</f>
        <v>0</v>
      </c>
      <c r="S27">
        <f>IF(OR(過積載率!S27=0,(標準電圧!S27*標準電圧!S$2-VLOOKUP(HUAWEI製ＰＣＳ接続枚数計算ツール!$C$9, HUAWEI製ＰＣＳ接続枚数計算ツール!$B$119:$P$149,12,FALSE))&lt;0),0,IF(ROUNDDOWN((標準電圧!S27*標準電圧!S$2-VLOOKUP(HUAWEI製ＰＣＳ接続枚数計算ツール!$C$9,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HUAWEI製ＰＣＳ接続枚数計算ツール!$B$119:$P$149,14,FALSE),0)/100&gt;=IF(過積載率!S27&gt;1,1,過積載率!S27),1,0))</f>
        <v>0</v>
      </c>
      <c r="T27">
        <f>IF(OR(過積載率!T27=0,(標準電圧!T27*標準電圧!T$2-VLOOKUP(HUAWEI製ＰＣＳ接続枚数計算ツール!$C$9, HUAWEI製ＰＣＳ接続枚数計算ツール!$B$119:$P$149,12,FALSE))&lt;0),0,IF(ROUNDDOWN((標準電圧!T27*標準電圧!T$2-VLOOKUP(HUAWEI製ＰＣＳ接続枚数計算ツール!$C$9,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HUAWEI製ＰＣＳ接続枚数計算ツール!$B$119:$P$149,14,FALSE),0)/100&gt;=IF(過積載率!T27&gt;1,1,過積載率!T27),1,0))</f>
        <v>0</v>
      </c>
      <c r="U27">
        <f>IF(OR(過積載率!U27=0,(標準電圧!U27*標準電圧!U$2-VLOOKUP(HUAWEI製ＰＣＳ接続枚数計算ツール!$C$9, HUAWEI製ＰＣＳ接続枚数計算ツール!$B$119:$P$149,12,FALSE))&lt;0),0,IF(ROUNDDOWN((標準電圧!U27*標準電圧!U$2-VLOOKUP(HUAWEI製ＰＣＳ接続枚数計算ツール!$C$9,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HUAWEI製ＰＣＳ接続枚数計算ツール!$B$119:$P$149,14,FALSE),0)/100&gt;=IF(過積載率!U27&gt;1,1,過積載率!U27),1,0))</f>
        <v>0</v>
      </c>
      <c r="V27">
        <f>IF(OR(過積載率!V27=0,(標準電圧!V27*標準電圧!V$2-VLOOKUP(HUAWEI製ＰＣＳ接続枚数計算ツール!$C$9, HUAWEI製ＰＣＳ接続枚数計算ツール!$B$119:$P$149,12,FALSE))&lt;0),0,IF(ROUNDDOWN((標準電圧!V27*標準電圧!V$2-VLOOKUP(HUAWEI製ＰＣＳ接続枚数計算ツール!$C$9,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HUAWEI製ＰＣＳ接続枚数計算ツール!$B$119:$P$149,14,FALSE),0)/100&gt;=IF(過積載率!V27&gt;1,1,過積載率!V27),1,0))</f>
        <v>0</v>
      </c>
      <c r="W27">
        <f>IF(OR(過積載率!W27=0,(標準電圧!W27*標準電圧!W$2-VLOOKUP(HUAWEI製ＰＣＳ接続枚数計算ツール!$C$9, HUAWEI製ＰＣＳ接続枚数計算ツール!$B$119:$P$149,12,FALSE))&lt;0),0,IF(ROUNDDOWN((標準電圧!W27*標準電圧!W$2-VLOOKUP(HUAWEI製ＰＣＳ接続枚数計算ツール!$C$9,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HUAWEI製ＰＣＳ接続枚数計算ツール!$B$119:$P$149,14,FALSE),0)/100&gt;=IF(過積載率!W27&gt;1,1,過積載率!W27),1,0))</f>
        <v>0</v>
      </c>
      <c r="X27">
        <f>IF(OR(過積載率!X27=0,(標準電圧!X27*標準電圧!X$2-VLOOKUP(HUAWEI製ＰＣＳ接続枚数計算ツール!$C$9, HUAWEI製ＰＣＳ接続枚数計算ツール!$B$119:$P$149,12,FALSE))&lt;0),0,IF(ROUNDDOWN((標準電圧!X27*標準電圧!X$2-VLOOKUP(HUAWEI製ＰＣＳ接続枚数計算ツール!$C$9,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HUAWEI製ＰＣＳ接続枚数計算ツール!$B$119:$P$149,14,FALSE),0)/100&gt;=IF(過積載率!X27&gt;1,1,過積載率!X27),1,0))</f>
        <v>0</v>
      </c>
      <c r="Y27">
        <f>IF(OR(過積載率!Y27=0,(標準電圧!Y27*標準電圧!Y$2-VLOOKUP(HUAWEI製ＰＣＳ接続枚数計算ツール!$C$9, HUAWEI製ＰＣＳ接続枚数計算ツール!$B$119:$P$149,12,FALSE))&lt;0),0,IF(ROUNDDOWN((標準電圧!Y27*標準電圧!Y$2-VLOOKUP(HUAWEI製ＰＣＳ接続枚数計算ツール!$C$9,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HUAWEI製ＰＣＳ接続枚数計算ツール!$B$119:$P$149,14,FALSE),0)/100&gt;=IF(過積載率!Y27&gt;1,1,過積載率!Y27),1,0))</f>
        <v>0</v>
      </c>
      <c r="Z27">
        <f>IF(OR(過積載率!Z27=0,(標準電圧!Z27*標準電圧!Z$2-VLOOKUP(HUAWEI製ＰＣＳ接続枚数計算ツール!$C$9, HUAWEI製ＰＣＳ接続枚数計算ツール!$B$119:$P$149,12,FALSE))&lt;0),0,IF(ROUNDDOWN((標準電圧!Z27*標準電圧!Z$2-VLOOKUP(HUAWEI製ＰＣＳ接続枚数計算ツール!$C$9,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HUAWEI製ＰＣＳ接続枚数計算ツール!$B$119:$P$149,14,FALSE),0)/100&gt;=IF(過積載率!Z27&gt;1,1,過積載率!Z27),1,0))</f>
        <v>0</v>
      </c>
      <c r="AA27">
        <f>IF(OR(過積載率!AA27=0,(標準電圧!AA27*標準電圧!AA$2-VLOOKUP(HUAWEI製ＰＣＳ接続枚数計算ツール!$C$9, HUAWEI製ＰＣＳ接続枚数計算ツール!$B$119:$P$149,12,FALSE))&lt;0),0,IF(ROUNDDOWN((標準電圧!AA27*標準電圧!AA$2-VLOOKUP(HUAWEI製ＰＣＳ接続枚数計算ツール!$C$9,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HUAWEI製ＰＣＳ接続枚数計算ツール!$B$119:$P$149,14,FALSE),0)/100&gt;=IF(過積載率!AA27&gt;1,1,過積載率!AA27),1,0))</f>
        <v>0</v>
      </c>
      <c r="AB27">
        <f>IF(OR(過積載率!AB27=0,(標準電圧!AB27*標準電圧!AB$2-VLOOKUP(HUAWEI製ＰＣＳ接続枚数計算ツール!$C$9, HUAWEI製ＰＣＳ接続枚数計算ツール!$B$119:$P$149,12,FALSE))&lt;0),0,IF(ROUNDDOWN((標準電圧!AB27*標準電圧!AB$2-VLOOKUP(HUAWEI製ＰＣＳ接続枚数計算ツール!$C$9,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HUAWEI製ＰＣＳ接続枚数計算ツール!$B$119:$P$149,14,FALSE),0)/100&gt;=IF(過積載率!AB27&gt;1,1,過積載率!AB27),1,0))</f>
        <v>0</v>
      </c>
      <c r="AC27">
        <f>IF(OR(過積載率!AC27=0,(標準電圧!AC27*標準電圧!AC$2-VLOOKUP(HUAWEI製ＰＣＳ接続枚数計算ツール!$C$9, HUAWEI製ＰＣＳ接続枚数計算ツール!$B$119:$P$149,12,FALSE))&lt;0),0,IF(ROUNDDOWN((標準電圧!AC27*標準電圧!AC$2-VLOOKUP(HUAWEI製ＰＣＳ接続枚数計算ツール!$C$9,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HUAWEI製ＰＣＳ接続枚数計算ツール!$B$119:$P$149,14,FALSE),0)/100&gt;=IF(過積載率!AC27&gt;1,1,過積載率!AC27),1,0))</f>
        <v>0</v>
      </c>
      <c r="AD27">
        <f>IF(OR(過積載率!AD27=0,(標準電圧!AD27*標準電圧!AD$2-VLOOKUP(HUAWEI製ＰＣＳ接続枚数計算ツール!$C$9, HUAWEI製ＰＣＳ接続枚数計算ツール!$B$119:$P$149,12,FALSE))&lt;0),0,IF(ROUNDDOWN((標準電圧!AD27*標準電圧!AD$2-VLOOKUP(HUAWEI製ＰＣＳ接続枚数計算ツール!$C$9,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HUAWEI製ＰＣＳ接続枚数計算ツール!$B$119:$P$149,14,FALSE),0)/100&gt;=IF(過積載率!AD27&gt;1,1,過積載率!AD27),1,0))</f>
        <v>0</v>
      </c>
      <c r="AE27">
        <f>IF(OR(過積載率!AE27=0,(標準電圧!AE27*標準電圧!AE$2-VLOOKUP(HUAWEI製ＰＣＳ接続枚数計算ツール!$C$9, HUAWEI製ＰＣＳ接続枚数計算ツール!$B$119:$P$149,12,FALSE))&lt;0),0,IF(ROUNDDOWN((標準電圧!AE27*標準電圧!AE$2-VLOOKUP(HUAWEI製ＰＣＳ接続枚数計算ツール!$C$9,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HUAWEI製ＰＣＳ接続枚数計算ツール!$B$119:$P$149,14,FALSE),0)/100&gt;=IF(過積載率!AE27&gt;1,1,過積載率!AE27),1,0))</f>
        <v>0</v>
      </c>
      <c r="AF27">
        <f>IF(OR(過積載率!AF27=0,(標準電圧!AF27*標準電圧!AF$2-VLOOKUP(HUAWEI製ＰＣＳ接続枚数計算ツール!$C$9, HUAWEI製ＰＣＳ接続枚数計算ツール!$B$119:$P$149,12,FALSE))&lt;0),0,IF(ROUNDDOWN((標準電圧!AF27*標準電圧!AF$2-VLOOKUP(HUAWEI製ＰＣＳ接続枚数計算ツール!$C$9,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HUAWEI製ＰＣＳ接続枚数計算ツール!$B$119:$P$149,14,FALSE),0)/100&gt;=IF(過積載率!AF27&gt;1,1,過積載率!AF27),1,0))</f>
        <v>0</v>
      </c>
      <c r="AG27">
        <f>IF(OR(過積載率!AG27=0,(標準電圧!AG27*標準電圧!AG$2-VLOOKUP(HUAWEI製ＰＣＳ接続枚数計算ツール!$C$9, HUAWEI製ＰＣＳ接続枚数計算ツール!$B$119:$P$149,12,FALSE))&lt;0),0,IF(ROUNDDOWN((標準電圧!AG27*標準電圧!AG$2-VLOOKUP(HUAWEI製ＰＣＳ接続枚数計算ツール!$C$9,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HUAWEI製ＰＣＳ接続枚数計算ツール!$B$119:$P$149,14,FALSE),0)/100&gt;=IF(過積載率!AG27&gt;1,1,過積載率!AG27),1,0))</f>
        <v>0</v>
      </c>
      <c r="AH27">
        <f>IF(OR(過積載率!AH27=0,(標準電圧!AH27*標準電圧!AH$2-VLOOKUP(HUAWEI製ＰＣＳ接続枚数計算ツール!$C$9, HUAWEI製ＰＣＳ接続枚数計算ツール!$B$119:$P$149,12,FALSE))&lt;0),0,IF(ROUNDDOWN((標準電圧!AH27*標準電圧!AH$2-VLOOKUP(HUAWEI製ＰＣＳ接続枚数計算ツール!$C$9,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HUAWEI製ＰＣＳ接続枚数計算ツール!$B$119:$P$149,14,FALSE),0)/100&gt;=IF(過積載率!AH27&gt;1,1,過積載率!AH27),1,0))</f>
        <v>0</v>
      </c>
      <c r="AI27">
        <f>IF(OR(過積載率!AI27=0,(標準電圧!AI27*標準電圧!AI$2-VLOOKUP(HUAWEI製ＰＣＳ接続枚数計算ツール!$C$9, HUAWEI製ＰＣＳ接続枚数計算ツール!$B$119:$P$149,12,FALSE))&lt;0),0,IF(ROUNDDOWN((標準電圧!AI27*標準電圧!AI$2-VLOOKUP(HUAWEI製ＰＣＳ接続枚数計算ツール!$C$9,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HUAWEI製ＰＣＳ接続枚数計算ツール!$B$119:$P$149,14,FALSE),0)/100&gt;=IF(過積載率!AI27&gt;1,1,過積載率!AI27),1,0))</f>
        <v>0</v>
      </c>
      <c r="AJ27">
        <f>IF(OR(過積載率!AJ27=0,(標準電圧!AJ27*標準電圧!AJ$2-VLOOKUP(HUAWEI製ＰＣＳ接続枚数計算ツール!$C$9, HUAWEI製ＰＣＳ接続枚数計算ツール!$B$119:$P$149,12,FALSE))&lt;0),0,IF(ROUNDDOWN((標準電圧!AJ27*標準電圧!AJ$2-VLOOKUP(HUAWEI製ＰＣＳ接続枚数計算ツール!$C$9,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HUAWEI製ＰＣＳ接続枚数計算ツール!$B$119:$P$149,14,FALSE),0)/100&gt;=IF(過積載率!AJ27&gt;1,1,過積載率!AJ27),1,0))</f>
        <v>0</v>
      </c>
      <c r="AK27">
        <f>IF(OR(過積載率!AK27=0,(標準電圧!AK27*標準電圧!AK$2-VLOOKUP(HUAWEI製ＰＣＳ接続枚数計算ツール!$C$9, HUAWEI製ＰＣＳ接続枚数計算ツール!$B$119:$P$149,12,FALSE))&lt;0),0,IF(ROUNDDOWN((標準電圧!AK27*標準電圧!AK$2-VLOOKUP(HUAWEI製ＰＣＳ接続枚数計算ツール!$C$9,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HUAWEI製ＰＣＳ接続枚数計算ツール!$B$119:$P$149,14,FALSE),0)/100&gt;=IF(過積載率!AK27&gt;1,1,過積載率!AK27),1,0))</f>
        <v>0</v>
      </c>
      <c r="AL27">
        <f>IF(OR(過積載率!AL27=0,(標準電圧!AL27*標準電圧!AL$2-VLOOKUP(HUAWEI製ＰＣＳ接続枚数計算ツール!$C$9, HUAWEI製ＰＣＳ接続枚数計算ツール!$B$119:$P$149,12,FALSE))&lt;0),0,IF(ROUNDDOWN((標準電圧!AL27*標準電圧!AL$2-VLOOKUP(HUAWEI製ＰＣＳ接続枚数計算ツール!$C$9,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HUAWEI製ＰＣＳ接続枚数計算ツール!$B$119:$P$149,14,FALSE),0)/100&gt;=IF(過積載率!AL27&gt;1,1,過積載率!AL27),1,0))</f>
        <v>0</v>
      </c>
      <c r="AM27">
        <f>IF(OR(過積載率!AM27=0,(標準電圧!AM27*標準電圧!AM$2-VLOOKUP(HUAWEI製ＰＣＳ接続枚数計算ツール!$C$9, HUAWEI製ＰＣＳ接続枚数計算ツール!$B$119:$P$149,12,FALSE))&lt;0),0,IF(ROUNDDOWN((標準電圧!AM27*標準電圧!AM$2-VLOOKUP(HUAWEI製ＰＣＳ接続枚数計算ツール!$C$9,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HUAWEI製ＰＣＳ接続枚数計算ツール!$B$119:$P$149,14,FALSE),0)/100&gt;=IF(過積載率!AM27&gt;1,1,過積載率!AM27),1,0))</f>
        <v>0</v>
      </c>
      <c r="AN27">
        <f>IF(OR(過積載率!AN27=0,(標準電圧!AN27*標準電圧!AN$2-VLOOKUP(HUAWEI製ＰＣＳ接続枚数計算ツール!$C$9, HUAWEI製ＰＣＳ接続枚数計算ツール!$B$119:$P$149,12,FALSE))&lt;0),0,IF(ROUNDDOWN((標準電圧!AN27*標準電圧!AN$2-VLOOKUP(HUAWEI製ＰＣＳ接続枚数計算ツール!$C$9,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HUAWEI製ＰＣＳ接続枚数計算ツール!$B$119:$P$149,14,FALSE),0)/100&gt;=IF(過積載率!AN27&gt;1,1,過積載率!AN27),1,0))</f>
        <v>0</v>
      </c>
      <c r="AO27">
        <f>IF(OR(過積載率!AO27=0,(標準電圧!AO27*標準電圧!AO$2-VLOOKUP(HUAWEI製ＰＣＳ接続枚数計算ツール!$C$9, HUAWEI製ＰＣＳ接続枚数計算ツール!$B$119:$P$149,12,FALSE))&lt;0),0,IF(ROUNDDOWN((標準電圧!AO27*標準電圧!AO$2-VLOOKUP(HUAWEI製ＰＣＳ接続枚数計算ツール!$C$9,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HUAWEI製ＰＣＳ接続枚数計算ツール!$B$119:$P$149,14,FALSE),0)/100&gt;=IF(過積載率!AO27&gt;1,1,過積載率!AO27),1,0))</f>
        <v>0</v>
      </c>
    </row>
    <row r="28" spans="1:41">
      <c r="A28">
        <v>26</v>
      </c>
      <c r="B28">
        <f>IF(OR(過積載率!B28=0,(標準電圧!B28*標準電圧!B$2-VLOOKUP(HUAWEI製ＰＣＳ接続枚数計算ツール!$C$9, HUAWEI製ＰＣＳ接続枚数計算ツール!$B$119:$P$149,12,FALSE))&lt;0),0,IF(ROUNDDOWN((標準電圧!B28*標準電圧!B$2-VLOOKUP(HUAWEI製ＰＣＳ接続枚数計算ツール!$C$9,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HUAWEI製ＰＣＳ接続枚数計算ツール!$B$119:$P$149,14,FALSE),0)/100&gt;=IF(過積載率!B28&gt;1,1,過積載率!B28),1,0))</f>
        <v>0</v>
      </c>
      <c r="C28">
        <f>IF(OR(過積載率!C28=0,(標準電圧!C28*標準電圧!C$2-VLOOKUP(HUAWEI製ＰＣＳ接続枚数計算ツール!$C$9, HUAWEI製ＰＣＳ接続枚数計算ツール!$B$119:$P$149,12,FALSE))&lt;0),0,IF(ROUNDDOWN((標準電圧!C28*標準電圧!C$2-VLOOKUP(HUAWEI製ＰＣＳ接続枚数計算ツール!$C$9,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HUAWEI製ＰＣＳ接続枚数計算ツール!$B$119:$P$149,14,FALSE),0)/100&gt;=IF(過積載率!C28&gt;1,1,過積載率!C28),1,0))</f>
        <v>0</v>
      </c>
      <c r="D28">
        <f>IF(OR(過積載率!D28=0,(標準電圧!D28*標準電圧!D$2-VLOOKUP(HUAWEI製ＰＣＳ接続枚数計算ツール!$C$9, HUAWEI製ＰＣＳ接続枚数計算ツール!$B$119:$P$149,12,FALSE))&lt;0),0,IF(ROUNDDOWN((標準電圧!D28*標準電圧!D$2-VLOOKUP(HUAWEI製ＰＣＳ接続枚数計算ツール!$C$9,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HUAWEI製ＰＣＳ接続枚数計算ツール!$B$119:$P$149,14,FALSE),0)/100&gt;=IF(過積載率!D28&gt;1,1,過積載率!D28),1,0))</f>
        <v>0</v>
      </c>
      <c r="E28">
        <f>IF(OR(過積載率!E28=0,(標準電圧!E28*標準電圧!E$2-VLOOKUP(HUAWEI製ＰＣＳ接続枚数計算ツール!$C$9, HUAWEI製ＰＣＳ接続枚数計算ツール!$B$119:$P$149,12,FALSE))&lt;0),0,IF(ROUNDDOWN((標準電圧!E28*標準電圧!E$2-VLOOKUP(HUAWEI製ＰＣＳ接続枚数計算ツール!$C$9,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HUAWEI製ＰＣＳ接続枚数計算ツール!$B$119:$P$149,14,FALSE),0)/100&gt;=IF(過積載率!E28&gt;1,1,過積載率!E28),1,0))</f>
        <v>0</v>
      </c>
      <c r="F28">
        <f>IF(OR(過積載率!F28=0,(標準電圧!F28*標準電圧!F$2-VLOOKUP(HUAWEI製ＰＣＳ接続枚数計算ツール!$C$9, HUAWEI製ＰＣＳ接続枚数計算ツール!$B$119:$P$149,12,FALSE))&lt;0),0,IF(ROUNDDOWN((標準電圧!F28*標準電圧!F$2-VLOOKUP(HUAWEI製ＰＣＳ接続枚数計算ツール!$C$9,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HUAWEI製ＰＣＳ接続枚数計算ツール!$B$119:$P$149,14,FALSE),0)/100&gt;=IF(過積載率!F28&gt;1,1,過積載率!F28),1,0))</f>
        <v>0</v>
      </c>
      <c r="G28">
        <f>IF(OR(過積載率!G28=0,(標準電圧!G28*標準電圧!G$2-VLOOKUP(HUAWEI製ＰＣＳ接続枚数計算ツール!$C$9, HUAWEI製ＰＣＳ接続枚数計算ツール!$B$119:$P$149,12,FALSE))&lt;0),0,IF(ROUNDDOWN((標準電圧!G28*標準電圧!G$2-VLOOKUP(HUAWEI製ＰＣＳ接続枚数計算ツール!$C$9,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HUAWEI製ＰＣＳ接続枚数計算ツール!$B$119:$P$149,14,FALSE),0)/100&gt;=IF(過積載率!G28&gt;1,1,過積載率!G28),1,0))</f>
        <v>0</v>
      </c>
      <c r="H28">
        <f>IF(OR(過積載率!H28=0,(標準電圧!H28*標準電圧!H$2-VLOOKUP(HUAWEI製ＰＣＳ接続枚数計算ツール!$C$9, HUAWEI製ＰＣＳ接続枚数計算ツール!$B$119:$P$149,12,FALSE))&lt;0),0,IF(ROUNDDOWN((標準電圧!H28*標準電圧!H$2-VLOOKUP(HUAWEI製ＰＣＳ接続枚数計算ツール!$C$9,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HUAWEI製ＰＣＳ接続枚数計算ツール!$B$119:$P$149,14,FALSE),0)/100&gt;=IF(過積載率!H28&gt;1,1,過積載率!H28),1,0))</f>
        <v>0</v>
      </c>
      <c r="I28">
        <f>IF(OR(過積載率!I28=0,(標準電圧!I28*標準電圧!I$2-VLOOKUP(HUAWEI製ＰＣＳ接続枚数計算ツール!$C$9, HUAWEI製ＰＣＳ接続枚数計算ツール!$B$119:$P$149,12,FALSE))&lt;0),0,IF(ROUNDDOWN((標準電圧!I28*標準電圧!I$2-VLOOKUP(HUAWEI製ＰＣＳ接続枚数計算ツール!$C$9,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HUAWEI製ＰＣＳ接続枚数計算ツール!$B$119:$P$149,14,FALSE),0)/100&gt;=IF(過積載率!I28&gt;1,1,過積載率!I28),1,0))</f>
        <v>0</v>
      </c>
      <c r="J28">
        <f>IF(OR(過積載率!J28=0,(標準電圧!J28*標準電圧!J$2-VLOOKUP(HUAWEI製ＰＣＳ接続枚数計算ツール!$C$9, HUAWEI製ＰＣＳ接続枚数計算ツール!$B$119:$P$149,12,FALSE))&lt;0),0,IF(ROUNDDOWN((標準電圧!J28*標準電圧!J$2-VLOOKUP(HUAWEI製ＰＣＳ接続枚数計算ツール!$C$9,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HUAWEI製ＰＣＳ接続枚数計算ツール!$B$119:$P$149,14,FALSE),0)/100&gt;=IF(過積載率!J28&gt;1,1,過積載率!J28),1,0))</f>
        <v>0</v>
      </c>
      <c r="K28">
        <f>IF(OR(過積載率!K28=0,(標準電圧!K28*標準電圧!K$2-VLOOKUP(HUAWEI製ＰＣＳ接続枚数計算ツール!$C$9, HUAWEI製ＰＣＳ接続枚数計算ツール!$B$119:$P$149,12,FALSE))&lt;0),0,IF(ROUNDDOWN((標準電圧!K28*標準電圧!K$2-VLOOKUP(HUAWEI製ＰＣＳ接続枚数計算ツール!$C$9,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HUAWEI製ＰＣＳ接続枚数計算ツール!$B$119:$P$149,14,FALSE),0)/100&gt;=IF(過積載率!K28&gt;1,1,過積載率!K28),1,0))</f>
        <v>0</v>
      </c>
      <c r="L28">
        <f>IF(OR(過積載率!L28=0,(標準電圧!L28*標準電圧!L$2-VLOOKUP(HUAWEI製ＰＣＳ接続枚数計算ツール!$C$9, HUAWEI製ＰＣＳ接続枚数計算ツール!$B$119:$P$149,12,FALSE))&lt;0),0,IF(ROUNDDOWN((標準電圧!L28*標準電圧!L$2-VLOOKUP(HUAWEI製ＰＣＳ接続枚数計算ツール!$C$9,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HUAWEI製ＰＣＳ接続枚数計算ツール!$B$119:$P$149,14,FALSE),0)/100&gt;=IF(過積載率!L28&gt;1,1,過積載率!L28),1,0))</f>
        <v>0</v>
      </c>
      <c r="M28">
        <f>IF(OR(過積載率!M28=0,(標準電圧!M28*標準電圧!M$2-VLOOKUP(HUAWEI製ＰＣＳ接続枚数計算ツール!$C$9, HUAWEI製ＰＣＳ接続枚数計算ツール!$B$119:$P$149,12,FALSE))&lt;0),0,IF(ROUNDDOWN((標準電圧!M28*標準電圧!M$2-VLOOKUP(HUAWEI製ＰＣＳ接続枚数計算ツール!$C$9,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HUAWEI製ＰＣＳ接続枚数計算ツール!$B$119:$P$149,14,FALSE),0)/100&gt;=IF(過積載率!M28&gt;1,1,過積載率!M28),1,0))</f>
        <v>0</v>
      </c>
      <c r="N28">
        <f>IF(OR(過積載率!N28=0,(標準電圧!N28*標準電圧!N$2-VLOOKUP(HUAWEI製ＰＣＳ接続枚数計算ツール!$C$9, HUAWEI製ＰＣＳ接続枚数計算ツール!$B$119:$P$149,12,FALSE))&lt;0),0,IF(ROUNDDOWN((標準電圧!N28*標準電圧!N$2-VLOOKUP(HUAWEI製ＰＣＳ接続枚数計算ツール!$C$9,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HUAWEI製ＰＣＳ接続枚数計算ツール!$B$119:$P$149,14,FALSE),0)/100&gt;=IF(過積載率!N28&gt;1,1,過積載率!N28),1,0))</f>
        <v>0</v>
      </c>
      <c r="O28">
        <f>IF(OR(過積載率!O28=0,(標準電圧!O28*標準電圧!O$2-VLOOKUP(HUAWEI製ＰＣＳ接続枚数計算ツール!$C$9, HUAWEI製ＰＣＳ接続枚数計算ツール!$B$119:$P$149,12,FALSE))&lt;0),0,IF(ROUNDDOWN((標準電圧!O28*標準電圧!O$2-VLOOKUP(HUAWEI製ＰＣＳ接続枚数計算ツール!$C$9,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HUAWEI製ＰＣＳ接続枚数計算ツール!$B$119:$P$149,14,FALSE),0)/100&gt;=IF(過積載率!O28&gt;1,1,過積載率!O28),1,0))</f>
        <v>0</v>
      </c>
      <c r="P28">
        <f>IF(OR(過積載率!P28=0,(標準電圧!P28*標準電圧!P$2-VLOOKUP(HUAWEI製ＰＣＳ接続枚数計算ツール!$C$9, HUAWEI製ＰＣＳ接続枚数計算ツール!$B$119:$P$149,12,FALSE))&lt;0),0,IF(ROUNDDOWN((標準電圧!P28*標準電圧!P$2-VLOOKUP(HUAWEI製ＰＣＳ接続枚数計算ツール!$C$9,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HUAWEI製ＰＣＳ接続枚数計算ツール!$B$119:$P$149,14,FALSE),0)/100&gt;=IF(過積載率!P28&gt;1,1,過積載率!P28),1,0))</f>
        <v>0</v>
      </c>
      <c r="Q28">
        <f>IF(OR(過積載率!Q28=0,(標準電圧!Q28*標準電圧!Q$2-VLOOKUP(HUAWEI製ＰＣＳ接続枚数計算ツール!$C$9, HUAWEI製ＰＣＳ接続枚数計算ツール!$B$119:$P$149,12,FALSE))&lt;0),0,IF(ROUNDDOWN((標準電圧!Q28*標準電圧!Q$2-VLOOKUP(HUAWEI製ＰＣＳ接続枚数計算ツール!$C$9,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HUAWEI製ＰＣＳ接続枚数計算ツール!$B$119:$P$149,14,FALSE),0)/100&gt;=IF(過積載率!Q28&gt;1,1,過積載率!Q28),1,0))</f>
        <v>0</v>
      </c>
      <c r="R28">
        <f>IF(OR(過積載率!R28=0,(標準電圧!R28*標準電圧!R$2-VLOOKUP(HUAWEI製ＰＣＳ接続枚数計算ツール!$C$9, HUAWEI製ＰＣＳ接続枚数計算ツール!$B$119:$P$149,12,FALSE))&lt;0),0,IF(ROUNDDOWN((標準電圧!R28*標準電圧!R$2-VLOOKUP(HUAWEI製ＰＣＳ接続枚数計算ツール!$C$9,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HUAWEI製ＰＣＳ接続枚数計算ツール!$B$119:$P$149,14,FALSE),0)/100&gt;=IF(過積載率!R28&gt;1,1,過積載率!R28),1,0))</f>
        <v>0</v>
      </c>
      <c r="S28">
        <f>IF(OR(過積載率!S28=0,(標準電圧!S28*標準電圧!S$2-VLOOKUP(HUAWEI製ＰＣＳ接続枚数計算ツール!$C$9, HUAWEI製ＰＣＳ接続枚数計算ツール!$B$119:$P$149,12,FALSE))&lt;0),0,IF(ROUNDDOWN((標準電圧!S28*標準電圧!S$2-VLOOKUP(HUAWEI製ＰＣＳ接続枚数計算ツール!$C$9,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HUAWEI製ＰＣＳ接続枚数計算ツール!$B$119:$P$149,14,FALSE),0)/100&gt;=IF(過積載率!S28&gt;1,1,過積載率!S28),1,0))</f>
        <v>0</v>
      </c>
      <c r="T28">
        <f>IF(OR(過積載率!T28=0,(標準電圧!T28*標準電圧!T$2-VLOOKUP(HUAWEI製ＰＣＳ接続枚数計算ツール!$C$9, HUAWEI製ＰＣＳ接続枚数計算ツール!$B$119:$P$149,12,FALSE))&lt;0),0,IF(ROUNDDOWN((標準電圧!T28*標準電圧!T$2-VLOOKUP(HUAWEI製ＰＣＳ接続枚数計算ツール!$C$9,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HUAWEI製ＰＣＳ接続枚数計算ツール!$B$119:$P$149,14,FALSE),0)/100&gt;=IF(過積載率!T28&gt;1,1,過積載率!T28),1,0))</f>
        <v>0</v>
      </c>
      <c r="U28">
        <f>IF(OR(過積載率!U28=0,(標準電圧!U28*標準電圧!U$2-VLOOKUP(HUAWEI製ＰＣＳ接続枚数計算ツール!$C$9, HUAWEI製ＰＣＳ接続枚数計算ツール!$B$119:$P$149,12,FALSE))&lt;0),0,IF(ROUNDDOWN((標準電圧!U28*標準電圧!U$2-VLOOKUP(HUAWEI製ＰＣＳ接続枚数計算ツール!$C$9,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HUAWEI製ＰＣＳ接続枚数計算ツール!$B$119:$P$149,14,FALSE),0)/100&gt;=IF(過積載率!U28&gt;1,1,過積載率!U28),1,0))</f>
        <v>0</v>
      </c>
      <c r="V28">
        <f>IF(OR(過積載率!V28=0,(標準電圧!V28*標準電圧!V$2-VLOOKUP(HUAWEI製ＰＣＳ接続枚数計算ツール!$C$9, HUAWEI製ＰＣＳ接続枚数計算ツール!$B$119:$P$149,12,FALSE))&lt;0),0,IF(ROUNDDOWN((標準電圧!V28*標準電圧!V$2-VLOOKUP(HUAWEI製ＰＣＳ接続枚数計算ツール!$C$9,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HUAWEI製ＰＣＳ接続枚数計算ツール!$B$119:$P$149,14,FALSE),0)/100&gt;=IF(過積載率!V28&gt;1,1,過積載率!V28),1,0))</f>
        <v>0</v>
      </c>
      <c r="W28">
        <f>IF(OR(過積載率!W28=0,(標準電圧!W28*標準電圧!W$2-VLOOKUP(HUAWEI製ＰＣＳ接続枚数計算ツール!$C$9, HUAWEI製ＰＣＳ接続枚数計算ツール!$B$119:$P$149,12,FALSE))&lt;0),0,IF(ROUNDDOWN((標準電圧!W28*標準電圧!W$2-VLOOKUP(HUAWEI製ＰＣＳ接続枚数計算ツール!$C$9,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HUAWEI製ＰＣＳ接続枚数計算ツール!$B$119:$P$149,14,FALSE),0)/100&gt;=IF(過積載率!W28&gt;1,1,過積載率!W28),1,0))</f>
        <v>0</v>
      </c>
      <c r="X28">
        <f>IF(OR(過積載率!X28=0,(標準電圧!X28*標準電圧!X$2-VLOOKUP(HUAWEI製ＰＣＳ接続枚数計算ツール!$C$9, HUAWEI製ＰＣＳ接続枚数計算ツール!$B$119:$P$149,12,FALSE))&lt;0),0,IF(ROUNDDOWN((標準電圧!X28*標準電圧!X$2-VLOOKUP(HUAWEI製ＰＣＳ接続枚数計算ツール!$C$9,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HUAWEI製ＰＣＳ接続枚数計算ツール!$B$119:$P$149,14,FALSE),0)/100&gt;=IF(過積載率!X28&gt;1,1,過積載率!X28),1,0))</f>
        <v>0</v>
      </c>
      <c r="Y28">
        <f>IF(OR(過積載率!Y28=0,(標準電圧!Y28*標準電圧!Y$2-VLOOKUP(HUAWEI製ＰＣＳ接続枚数計算ツール!$C$9, HUAWEI製ＰＣＳ接続枚数計算ツール!$B$119:$P$149,12,FALSE))&lt;0),0,IF(ROUNDDOWN((標準電圧!Y28*標準電圧!Y$2-VLOOKUP(HUAWEI製ＰＣＳ接続枚数計算ツール!$C$9,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HUAWEI製ＰＣＳ接続枚数計算ツール!$B$119:$P$149,14,FALSE),0)/100&gt;=IF(過積載率!Y28&gt;1,1,過積載率!Y28),1,0))</f>
        <v>0</v>
      </c>
      <c r="Z28">
        <f>IF(OR(過積載率!Z28=0,(標準電圧!Z28*標準電圧!Z$2-VLOOKUP(HUAWEI製ＰＣＳ接続枚数計算ツール!$C$9, HUAWEI製ＰＣＳ接続枚数計算ツール!$B$119:$P$149,12,FALSE))&lt;0),0,IF(ROUNDDOWN((標準電圧!Z28*標準電圧!Z$2-VLOOKUP(HUAWEI製ＰＣＳ接続枚数計算ツール!$C$9,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HUAWEI製ＰＣＳ接続枚数計算ツール!$B$119:$P$149,14,FALSE),0)/100&gt;=IF(過積載率!Z28&gt;1,1,過積載率!Z28),1,0))</f>
        <v>0</v>
      </c>
      <c r="AA28">
        <f>IF(OR(過積載率!AA28=0,(標準電圧!AA28*標準電圧!AA$2-VLOOKUP(HUAWEI製ＰＣＳ接続枚数計算ツール!$C$9, HUAWEI製ＰＣＳ接続枚数計算ツール!$B$119:$P$149,12,FALSE))&lt;0),0,IF(ROUNDDOWN((標準電圧!AA28*標準電圧!AA$2-VLOOKUP(HUAWEI製ＰＣＳ接続枚数計算ツール!$C$9,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HUAWEI製ＰＣＳ接続枚数計算ツール!$B$119:$P$149,14,FALSE),0)/100&gt;=IF(過積載率!AA28&gt;1,1,過積載率!AA28),1,0))</f>
        <v>0</v>
      </c>
      <c r="AB28">
        <f>IF(OR(過積載率!AB28=0,(標準電圧!AB28*標準電圧!AB$2-VLOOKUP(HUAWEI製ＰＣＳ接続枚数計算ツール!$C$9, HUAWEI製ＰＣＳ接続枚数計算ツール!$B$119:$P$149,12,FALSE))&lt;0),0,IF(ROUNDDOWN((標準電圧!AB28*標準電圧!AB$2-VLOOKUP(HUAWEI製ＰＣＳ接続枚数計算ツール!$C$9,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HUAWEI製ＰＣＳ接続枚数計算ツール!$B$119:$P$149,14,FALSE),0)/100&gt;=IF(過積載率!AB28&gt;1,1,過積載率!AB28),1,0))</f>
        <v>0</v>
      </c>
      <c r="AC28">
        <f>IF(OR(過積載率!AC28=0,(標準電圧!AC28*標準電圧!AC$2-VLOOKUP(HUAWEI製ＰＣＳ接続枚数計算ツール!$C$9, HUAWEI製ＰＣＳ接続枚数計算ツール!$B$119:$P$149,12,FALSE))&lt;0),0,IF(ROUNDDOWN((標準電圧!AC28*標準電圧!AC$2-VLOOKUP(HUAWEI製ＰＣＳ接続枚数計算ツール!$C$9,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HUAWEI製ＰＣＳ接続枚数計算ツール!$B$119:$P$149,14,FALSE),0)/100&gt;=IF(過積載率!AC28&gt;1,1,過積載率!AC28),1,0))</f>
        <v>0</v>
      </c>
      <c r="AD28">
        <f>IF(OR(過積載率!AD28=0,(標準電圧!AD28*標準電圧!AD$2-VLOOKUP(HUAWEI製ＰＣＳ接続枚数計算ツール!$C$9, HUAWEI製ＰＣＳ接続枚数計算ツール!$B$119:$P$149,12,FALSE))&lt;0),0,IF(ROUNDDOWN((標準電圧!AD28*標準電圧!AD$2-VLOOKUP(HUAWEI製ＰＣＳ接続枚数計算ツール!$C$9,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HUAWEI製ＰＣＳ接続枚数計算ツール!$B$119:$P$149,14,FALSE),0)/100&gt;=IF(過積載率!AD28&gt;1,1,過積載率!AD28),1,0))</f>
        <v>0</v>
      </c>
      <c r="AE28">
        <f>IF(OR(過積載率!AE28=0,(標準電圧!AE28*標準電圧!AE$2-VLOOKUP(HUAWEI製ＰＣＳ接続枚数計算ツール!$C$9, HUAWEI製ＰＣＳ接続枚数計算ツール!$B$119:$P$149,12,FALSE))&lt;0),0,IF(ROUNDDOWN((標準電圧!AE28*標準電圧!AE$2-VLOOKUP(HUAWEI製ＰＣＳ接続枚数計算ツール!$C$9,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HUAWEI製ＰＣＳ接続枚数計算ツール!$B$119:$P$149,14,FALSE),0)/100&gt;=IF(過積載率!AE28&gt;1,1,過積載率!AE28),1,0))</f>
        <v>0</v>
      </c>
      <c r="AF28">
        <f>IF(OR(過積載率!AF28=0,(標準電圧!AF28*標準電圧!AF$2-VLOOKUP(HUAWEI製ＰＣＳ接続枚数計算ツール!$C$9, HUAWEI製ＰＣＳ接続枚数計算ツール!$B$119:$P$149,12,FALSE))&lt;0),0,IF(ROUNDDOWN((標準電圧!AF28*標準電圧!AF$2-VLOOKUP(HUAWEI製ＰＣＳ接続枚数計算ツール!$C$9,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HUAWEI製ＰＣＳ接続枚数計算ツール!$B$119:$P$149,14,FALSE),0)/100&gt;=IF(過積載率!AF28&gt;1,1,過積載率!AF28),1,0))</f>
        <v>0</v>
      </c>
      <c r="AG28">
        <f>IF(OR(過積載率!AG28=0,(標準電圧!AG28*標準電圧!AG$2-VLOOKUP(HUAWEI製ＰＣＳ接続枚数計算ツール!$C$9, HUAWEI製ＰＣＳ接続枚数計算ツール!$B$119:$P$149,12,FALSE))&lt;0),0,IF(ROUNDDOWN((標準電圧!AG28*標準電圧!AG$2-VLOOKUP(HUAWEI製ＰＣＳ接続枚数計算ツール!$C$9,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HUAWEI製ＰＣＳ接続枚数計算ツール!$B$119:$P$149,14,FALSE),0)/100&gt;=IF(過積載率!AG28&gt;1,1,過積載率!AG28),1,0))</f>
        <v>0</v>
      </c>
      <c r="AH28">
        <f>IF(OR(過積載率!AH28=0,(標準電圧!AH28*標準電圧!AH$2-VLOOKUP(HUAWEI製ＰＣＳ接続枚数計算ツール!$C$9, HUAWEI製ＰＣＳ接続枚数計算ツール!$B$119:$P$149,12,FALSE))&lt;0),0,IF(ROUNDDOWN((標準電圧!AH28*標準電圧!AH$2-VLOOKUP(HUAWEI製ＰＣＳ接続枚数計算ツール!$C$9,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HUAWEI製ＰＣＳ接続枚数計算ツール!$B$119:$P$149,14,FALSE),0)/100&gt;=IF(過積載率!AH28&gt;1,1,過積載率!AH28),1,0))</f>
        <v>0</v>
      </c>
      <c r="AI28">
        <f>IF(OR(過積載率!AI28=0,(標準電圧!AI28*標準電圧!AI$2-VLOOKUP(HUAWEI製ＰＣＳ接続枚数計算ツール!$C$9, HUAWEI製ＰＣＳ接続枚数計算ツール!$B$119:$P$149,12,FALSE))&lt;0),0,IF(ROUNDDOWN((標準電圧!AI28*標準電圧!AI$2-VLOOKUP(HUAWEI製ＰＣＳ接続枚数計算ツール!$C$9,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HUAWEI製ＰＣＳ接続枚数計算ツール!$B$119:$P$149,14,FALSE),0)/100&gt;=IF(過積載率!AI28&gt;1,1,過積載率!AI28),1,0))</f>
        <v>0</v>
      </c>
      <c r="AJ28">
        <f>IF(OR(過積載率!AJ28=0,(標準電圧!AJ28*標準電圧!AJ$2-VLOOKUP(HUAWEI製ＰＣＳ接続枚数計算ツール!$C$9, HUAWEI製ＰＣＳ接続枚数計算ツール!$B$119:$P$149,12,FALSE))&lt;0),0,IF(ROUNDDOWN((標準電圧!AJ28*標準電圧!AJ$2-VLOOKUP(HUAWEI製ＰＣＳ接続枚数計算ツール!$C$9,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HUAWEI製ＰＣＳ接続枚数計算ツール!$B$119:$P$149,14,FALSE),0)/100&gt;=IF(過積載率!AJ28&gt;1,1,過積載率!AJ28),1,0))</f>
        <v>0</v>
      </c>
      <c r="AK28">
        <f>IF(OR(過積載率!AK28=0,(標準電圧!AK28*標準電圧!AK$2-VLOOKUP(HUAWEI製ＰＣＳ接続枚数計算ツール!$C$9, HUAWEI製ＰＣＳ接続枚数計算ツール!$B$119:$P$149,12,FALSE))&lt;0),0,IF(ROUNDDOWN((標準電圧!AK28*標準電圧!AK$2-VLOOKUP(HUAWEI製ＰＣＳ接続枚数計算ツール!$C$9,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HUAWEI製ＰＣＳ接続枚数計算ツール!$B$119:$P$149,14,FALSE),0)/100&gt;=IF(過積載率!AK28&gt;1,1,過積載率!AK28),1,0))</f>
        <v>0</v>
      </c>
      <c r="AL28">
        <f>IF(OR(過積載率!AL28=0,(標準電圧!AL28*標準電圧!AL$2-VLOOKUP(HUAWEI製ＰＣＳ接続枚数計算ツール!$C$9, HUAWEI製ＰＣＳ接続枚数計算ツール!$B$119:$P$149,12,FALSE))&lt;0),0,IF(ROUNDDOWN((標準電圧!AL28*標準電圧!AL$2-VLOOKUP(HUAWEI製ＰＣＳ接続枚数計算ツール!$C$9,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HUAWEI製ＰＣＳ接続枚数計算ツール!$B$119:$P$149,14,FALSE),0)/100&gt;=IF(過積載率!AL28&gt;1,1,過積載率!AL28),1,0))</f>
        <v>0</v>
      </c>
      <c r="AM28">
        <f>IF(OR(過積載率!AM28=0,(標準電圧!AM28*標準電圧!AM$2-VLOOKUP(HUAWEI製ＰＣＳ接続枚数計算ツール!$C$9, HUAWEI製ＰＣＳ接続枚数計算ツール!$B$119:$P$149,12,FALSE))&lt;0),0,IF(ROUNDDOWN((標準電圧!AM28*標準電圧!AM$2-VLOOKUP(HUAWEI製ＰＣＳ接続枚数計算ツール!$C$9,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HUAWEI製ＰＣＳ接続枚数計算ツール!$B$119:$P$149,14,FALSE),0)/100&gt;=IF(過積載率!AM28&gt;1,1,過積載率!AM28),1,0))</f>
        <v>0</v>
      </c>
      <c r="AN28">
        <f>IF(OR(過積載率!AN28=0,(標準電圧!AN28*標準電圧!AN$2-VLOOKUP(HUAWEI製ＰＣＳ接続枚数計算ツール!$C$9, HUAWEI製ＰＣＳ接続枚数計算ツール!$B$119:$P$149,12,FALSE))&lt;0),0,IF(ROUNDDOWN((標準電圧!AN28*標準電圧!AN$2-VLOOKUP(HUAWEI製ＰＣＳ接続枚数計算ツール!$C$9,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HUAWEI製ＰＣＳ接続枚数計算ツール!$B$119:$P$149,14,FALSE),0)/100&gt;=IF(過積載率!AN28&gt;1,1,過積載率!AN28),1,0))</f>
        <v>0</v>
      </c>
      <c r="AO28">
        <f>IF(OR(過積載率!AO28=0,(標準電圧!AO28*標準電圧!AO$2-VLOOKUP(HUAWEI製ＰＣＳ接続枚数計算ツール!$C$9, HUAWEI製ＰＣＳ接続枚数計算ツール!$B$119:$P$149,12,FALSE))&lt;0),0,IF(ROUNDDOWN((標準電圧!AO28*標準電圧!AO$2-VLOOKUP(HUAWEI製ＰＣＳ接続枚数計算ツール!$C$9,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HUAWEI製ＰＣＳ接続枚数計算ツール!$B$119:$P$149,14,FALSE),0)/100&gt;=IF(過積載率!AO28&gt;1,1,過積載率!AO28),1,0))</f>
        <v>0</v>
      </c>
    </row>
    <row r="29" spans="1:41">
      <c r="A29">
        <v>27</v>
      </c>
      <c r="B29">
        <f>IF(OR(過積載率!B29=0,(標準電圧!B29*標準電圧!B$2-VLOOKUP(HUAWEI製ＰＣＳ接続枚数計算ツール!$C$9, HUAWEI製ＰＣＳ接続枚数計算ツール!$B$119:$P$149,12,FALSE))&lt;0),0,IF(ROUNDDOWN((標準電圧!B29*標準電圧!B$2-VLOOKUP(HUAWEI製ＰＣＳ接続枚数計算ツール!$C$9,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HUAWEI製ＰＣＳ接続枚数計算ツール!$B$119:$P$149,14,FALSE),0)/100&gt;=IF(過積載率!B29&gt;1,1,過積載率!B29),1,0))</f>
        <v>0</v>
      </c>
      <c r="C29">
        <f>IF(OR(過積載率!C29=0,(標準電圧!C29*標準電圧!C$2-VLOOKUP(HUAWEI製ＰＣＳ接続枚数計算ツール!$C$9, HUAWEI製ＰＣＳ接続枚数計算ツール!$B$119:$P$149,12,FALSE))&lt;0),0,IF(ROUNDDOWN((標準電圧!C29*標準電圧!C$2-VLOOKUP(HUAWEI製ＰＣＳ接続枚数計算ツール!$C$9,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HUAWEI製ＰＣＳ接続枚数計算ツール!$B$119:$P$149,14,FALSE),0)/100&gt;=IF(過積載率!C29&gt;1,1,過積載率!C29),1,0))</f>
        <v>0</v>
      </c>
      <c r="D29">
        <f>IF(OR(過積載率!D29=0,(標準電圧!D29*標準電圧!D$2-VLOOKUP(HUAWEI製ＰＣＳ接続枚数計算ツール!$C$9, HUAWEI製ＰＣＳ接続枚数計算ツール!$B$119:$P$149,12,FALSE))&lt;0),0,IF(ROUNDDOWN((標準電圧!D29*標準電圧!D$2-VLOOKUP(HUAWEI製ＰＣＳ接続枚数計算ツール!$C$9,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HUAWEI製ＰＣＳ接続枚数計算ツール!$B$119:$P$149,14,FALSE),0)/100&gt;=IF(過積載率!D29&gt;1,1,過積載率!D29),1,0))</f>
        <v>0</v>
      </c>
      <c r="E29">
        <f>IF(OR(過積載率!E29=0,(標準電圧!E29*標準電圧!E$2-VLOOKUP(HUAWEI製ＰＣＳ接続枚数計算ツール!$C$9, HUAWEI製ＰＣＳ接続枚数計算ツール!$B$119:$P$149,12,FALSE))&lt;0),0,IF(ROUNDDOWN((標準電圧!E29*標準電圧!E$2-VLOOKUP(HUAWEI製ＰＣＳ接続枚数計算ツール!$C$9,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HUAWEI製ＰＣＳ接続枚数計算ツール!$B$119:$P$149,14,FALSE),0)/100&gt;=IF(過積載率!E29&gt;1,1,過積載率!E29),1,0))</f>
        <v>0</v>
      </c>
      <c r="F29">
        <f>IF(OR(過積載率!F29=0,(標準電圧!F29*標準電圧!F$2-VLOOKUP(HUAWEI製ＰＣＳ接続枚数計算ツール!$C$9, HUAWEI製ＰＣＳ接続枚数計算ツール!$B$119:$P$149,12,FALSE))&lt;0),0,IF(ROUNDDOWN((標準電圧!F29*標準電圧!F$2-VLOOKUP(HUAWEI製ＰＣＳ接続枚数計算ツール!$C$9,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HUAWEI製ＰＣＳ接続枚数計算ツール!$B$119:$P$149,14,FALSE),0)/100&gt;=IF(過積載率!F29&gt;1,1,過積載率!F29),1,0))</f>
        <v>0</v>
      </c>
      <c r="G29">
        <f>IF(OR(過積載率!G29=0,(標準電圧!G29*標準電圧!G$2-VLOOKUP(HUAWEI製ＰＣＳ接続枚数計算ツール!$C$9, HUAWEI製ＰＣＳ接続枚数計算ツール!$B$119:$P$149,12,FALSE))&lt;0),0,IF(ROUNDDOWN((標準電圧!G29*標準電圧!G$2-VLOOKUP(HUAWEI製ＰＣＳ接続枚数計算ツール!$C$9,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HUAWEI製ＰＣＳ接続枚数計算ツール!$B$119:$P$149,14,FALSE),0)/100&gt;=IF(過積載率!G29&gt;1,1,過積載率!G29),1,0))</f>
        <v>0</v>
      </c>
      <c r="H29">
        <f>IF(OR(過積載率!H29=0,(標準電圧!H29*標準電圧!H$2-VLOOKUP(HUAWEI製ＰＣＳ接続枚数計算ツール!$C$9, HUAWEI製ＰＣＳ接続枚数計算ツール!$B$119:$P$149,12,FALSE))&lt;0),0,IF(ROUNDDOWN((標準電圧!H29*標準電圧!H$2-VLOOKUP(HUAWEI製ＰＣＳ接続枚数計算ツール!$C$9,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HUAWEI製ＰＣＳ接続枚数計算ツール!$B$119:$P$149,14,FALSE),0)/100&gt;=IF(過積載率!H29&gt;1,1,過積載率!H29),1,0))</f>
        <v>0</v>
      </c>
      <c r="I29">
        <f>IF(OR(過積載率!I29=0,(標準電圧!I29*標準電圧!I$2-VLOOKUP(HUAWEI製ＰＣＳ接続枚数計算ツール!$C$9, HUAWEI製ＰＣＳ接続枚数計算ツール!$B$119:$P$149,12,FALSE))&lt;0),0,IF(ROUNDDOWN((標準電圧!I29*標準電圧!I$2-VLOOKUP(HUAWEI製ＰＣＳ接続枚数計算ツール!$C$9,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HUAWEI製ＰＣＳ接続枚数計算ツール!$B$119:$P$149,14,FALSE),0)/100&gt;=IF(過積載率!I29&gt;1,1,過積載率!I29),1,0))</f>
        <v>0</v>
      </c>
      <c r="J29">
        <f>IF(OR(過積載率!J29=0,(標準電圧!J29*標準電圧!J$2-VLOOKUP(HUAWEI製ＰＣＳ接続枚数計算ツール!$C$9, HUAWEI製ＰＣＳ接続枚数計算ツール!$B$119:$P$149,12,FALSE))&lt;0),0,IF(ROUNDDOWN((標準電圧!J29*標準電圧!J$2-VLOOKUP(HUAWEI製ＰＣＳ接続枚数計算ツール!$C$9,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HUAWEI製ＰＣＳ接続枚数計算ツール!$B$119:$P$149,14,FALSE),0)/100&gt;=IF(過積載率!J29&gt;1,1,過積載率!J29),1,0))</f>
        <v>0</v>
      </c>
      <c r="K29">
        <f>IF(OR(過積載率!K29=0,(標準電圧!K29*標準電圧!K$2-VLOOKUP(HUAWEI製ＰＣＳ接続枚数計算ツール!$C$9, HUAWEI製ＰＣＳ接続枚数計算ツール!$B$119:$P$149,12,FALSE))&lt;0),0,IF(ROUNDDOWN((標準電圧!K29*標準電圧!K$2-VLOOKUP(HUAWEI製ＰＣＳ接続枚数計算ツール!$C$9,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HUAWEI製ＰＣＳ接続枚数計算ツール!$B$119:$P$149,14,FALSE),0)/100&gt;=IF(過積載率!K29&gt;1,1,過積載率!K29),1,0))</f>
        <v>0</v>
      </c>
      <c r="L29">
        <f>IF(OR(過積載率!L29=0,(標準電圧!L29*標準電圧!L$2-VLOOKUP(HUAWEI製ＰＣＳ接続枚数計算ツール!$C$9, HUAWEI製ＰＣＳ接続枚数計算ツール!$B$119:$P$149,12,FALSE))&lt;0),0,IF(ROUNDDOWN((標準電圧!L29*標準電圧!L$2-VLOOKUP(HUAWEI製ＰＣＳ接続枚数計算ツール!$C$9,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HUAWEI製ＰＣＳ接続枚数計算ツール!$B$119:$P$149,14,FALSE),0)/100&gt;=IF(過積載率!L29&gt;1,1,過積載率!L29),1,0))</f>
        <v>0</v>
      </c>
      <c r="M29">
        <f>IF(OR(過積載率!M29=0,(標準電圧!M29*標準電圧!M$2-VLOOKUP(HUAWEI製ＰＣＳ接続枚数計算ツール!$C$9, HUAWEI製ＰＣＳ接続枚数計算ツール!$B$119:$P$149,12,FALSE))&lt;0),0,IF(ROUNDDOWN((標準電圧!M29*標準電圧!M$2-VLOOKUP(HUAWEI製ＰＣＳ接続枚数計算ツール!$C$9,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HUAWEI製ＰＣＳ接続枚数計算ツール!$B$119:$P$149,14,FALSE),0)/100&gt;=IF(過積載率!M29&gt;1,1,過積載率!M29),1,0))</f>
        <v>0</v>
      </c>
      <c r="N29">
        <f>IF(OR(過積載率!N29=0,(標準電圧!N29*標準電圧!N$2-VLOOKUP(HUAWEI製ＰＣＳ接続枚数計算ツール!$C$9, HUAWEI製ＰＣＳ接続枚数計算ツール!$B$119:$P$149,12,FALSE))&lt;0),0,IF(ROUNDDOWN((標準電圧!N29*標準電圧!N$2-VLOOKUP(HUAWEI製ＰＣＳ接続枚数計算ツール!$C$9,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HUAWEI製ＰＣＳ接続枚数計算ツール!$B$119:$P$149,14,FALSE),0)/100&gt;=IF(過積載率!N29&gt;1,1,過積載率!N29),1,0))</f>
        <v>0</v>
      </c>
      <c r="O29">
        <f>IF(OR(過積載率!O29=0,(標準電圧!O29*標準電圧!O$2-VLOOKUP(HUAWEI製ＰＣＳ接続枚数計算ツール!$C$9, HUAWEI製ＰＣＳ接続枚数計算ツール!$B$119:$P$149,12,FALSE))&lt;0),0,IF(ROUNDDOWN((標準電圧!O29*標準電圧!O$2-VLOOKUP(HUAWEI製ＰＣＳ接続枚数計算ツール!$C$9,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HUAWEI製ＰＣＳ接続枚数計算ツール!$B$119:$P$149,14,FALSE),0)/100&gt;=IF(過積載率!O29&gt;1,1,過積載率!O29),1,0))</f>
        <v>0</v>
      </c>
      <c r="P29">
        <f>IF(OR(過積載率!P29=0,(標準電圧!P29*標準電圧!P$2-VLOOKUP(HUAWEI製ＰＣＳ接続枚数計算ツール!$C$9, HUAWEI製ＰＣＳ接続枚数計算ツール!$B$119:$P$149,12,FALSE))&lt;0),0,IF(ROUNDDOWN((標準電圧!P29*標準電圧!P$2-VLOOKUP(HUAWEI製ＰＣＳ接続枚数計算ツール!$C$9,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HUAWEI製ＰＣＳ接続枚数計算ツール!$B$119:$P$149,14,FALSE),0)/100&gt;=IF(過積載率!P29&gt;1,1,過積載率!P29),1,0))</f>
        <v>0</v>
      </c>
      <c r="Q29">
        <f>IF(OR(過積載率!Q29=0,(標準電圧!Q29*標準電圧!Q$2-VLOOKUP(HUAWEI製ＰＣＳ接続枚数計算ツール!$C$9, HUAWEI製ＰＣＳ接続枚数計算ツール!$B$119:$P$149,12,FALSE))&lt;0),0,IF(ROUNDDOWN((標準電圧!Q29*標準電圧!Q$2-VLOOKUP(HUAWEI製ＰＣＳ接続枚数計算ツール!$C$9,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HUAWEI製ＰＣＳ接続枚数計算ツール!$B$119:$P$149,14,FALSE),0)/100&gt;=IF(過積載率!Q29&gt;1,1,過積載率!Q29),1,0))</f>
        <v>0</v>
      </c>
      <c r="R29">
        <f>IF(OR(過積載率!R29=0,(標準電圧!R29*標準電圧!R$2-VLOOKUP(HUAWEI製ＰＣＳ接続枚数計算ツール!$C$9, HUAWEI製ＰＣＳ接続枚数計算ツール!$B$119:$P$149,12,FALSE))&lt;0),0,IF(ROUNDDOWN((標準電圧!R29*標準電圧!R$2-VLOOKUP(HUAWEI製ＰＣＳ接続枚数計算ツール!$C$9,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HUAWEI製ＰＣＳ接続枚数計算ツール!$B$119:$P$149,14,FALSE),0)/100&gt;=IF(過積載率!R29&gt;1,1,過積載率!R29),1,0))</f>
        <v>0</v>
      </c>
      <c r="S29">
        <f>IF(OR(過積載率!S29=0,(標準電圧!S29*標準電圧!S$2-VLOOKUP(HUAWEI製ＰＣＳ接続枚数計算ツール!$C$9, HUAWEI製ＰＣＳ接続枚数計算ツール!$B$119:$P$149,12,FALSE))&lt;0),0,IF(ROUNDDOWN((標準電圧!S29*標準電圧!S$2-VLOOKUP(HUAWEI製ＰＣＳ接続枚数計算ツール!$C$9,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HUAWEI製ＰＣＳ接続枚数計算ツール!$B$119:$P$149,14,FALSE),0)/100&gt;=IF(過積載率!S29&gt;1,1,過積載率!S29),1,0))</f>
        <v>0</v>
      </c>
      <c r="T29">
        <f>IF(OR(過積載率!T29=0,(標準電圧!T29*標準電圧!T$2-VLOOKUP(HUAWEI製ＰＣＳ接続枚数計算ツール!$C$9, HUAWEI製ＰＣＳ接続枚数計算ツール!$B$119:$P$149,12,FALSE))&lt;0),0,IF(ROUNDDOWN((標準電圧!T29*標準電圧!T$2-VLOOKUP(HUAWEI製ＰＣＳ接続枚数計算ツール!$C$9,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HUAWEI製ＰＣＳ接続枚数計算ツール!$B$119:$P$149,14,FALSE),0)/100&gt;=IF(過積載率!T29&gt;1,1,過積載率!T29),1,0))</f>
        <v>0</v>
      </c>
      <c r="U29">
        <f>IF(OR(過積載率!U29=0,(標準電圧!U29*標準電圧!U$2-VLOOKUP(HUAWEI製ＰＣＳ接続枚数計算ツール!$C$9, HUAWEI製ＰＣＳ接続枚数計算ツール!$B$119:$P$149,12,FALSE))&lt;0),0,IF(ROUNDDOWN((標準電圧!U29*標準電圧!U$2-VLOOKUP(HUAWEI製ＰＣＳ接続枚数計算ツール!$C$9,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HUAWEI製ＰＣＳ接続枚数計算ツール!$B$119:$P$149,14,FALSE),0)/100&gt;=IF(過積載率!U29&gt;1,1,過積載率!U29),1,0))</f>
        <v>0</v>
      </c>
      <c r="V29">
        <f>IF(OR(過積載率!V29=0,(標準電圧!V29*標準電圧!V$2-VLOOKUP(HUAWEI製ＰＣＳ接続枚数計算ツール!$C$9, HUAWEI製ＰＣＳ接続枚数計算ツール!$B$119:$P$149,12,FALSE))&lt;0),0,IF(ROUNDDOWN((標準電圧!V29*標準電圧!V$2-VLOOKUP(HUAWEI製ＰＣＳ接続枚数計算ツール!$C$9,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HUAWEI製ＰＣＳ接続枚数計算ツール!$B$119:$P$149,14,FALSE),0)/100&gt;=IF(過積載率!V29&gt;1,1,過積載率!V29),1,0))</f>
        <v>0</v>
      </c>
      <c r="W29">
        <f>IF(OR(過積載率!W29=0,(標準電圧!W29*標準電圧!W$2-VLOOKUP(HUAWEI製ＰＣＳ接続枚数計算ツール!$C$9, HUAWEI製ＰＣＳ接続枚数計算ツール!$B$119:$P$149,12,FALSE))&lt;0),0,IF(ROUNDDOWN((標準電圧!W29*標準電圧!W$2-VLOOKUP(HUAWEI製ＰＣＳ接続枚数計算ツール!$C$9,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HUAWEI製ＰＣＳ接続枚数計算ツール!$B$119:$P$149,14,FALSE),0)/100&gt;=IF(過積載率!W29&gt;1,1,過積載率!W29),1,0))</f>
        <v>0</v>
      </c>
      <c r="X29">
        <f>IF(OR(過積載率!X29=0,(標準電圧!X29*標準電圧!X$2-VLOOKUP(HUAWEI製ＰＣＳ接続枚数計算ツール!$C$9, HUAWEI製ＰＣＳ接続枚数計算ツール!$B$119:$P$149,12,FALSE))&lt;0),0,IF(ROUNDDOWN((標準電圧!X29*標準電圧!X$2-VLOOKUP(HUAWEI製ＰＣＳ接続枚数計算ツール!$C$9,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HUAWEI製ＰＣＳ接続枚数計算ツール!$B$119:$P$149,14,FALSE),0)/100&gt;=IF(過積載率!X29&gt;1,1,過積載率!X29),1,0))</f>
        <v>0</v>
      </c>
      <c r="Y29">
        <f>IF(OR(過積載率!Y29=0,(標準電圧!Y29*標準電圧!Y$2-VLOOKUP(HUAWEI製ＰＣＳ接続枚数計算ツール!$C$9, HUAWEI製ＰＣＳ接続枚数計算ツール!$B$119:$P$149,12,FALSE))&lt;0),0,IF(ROUNDDOWN((標準電圧!Y29*標準電圧!Y$2-VLOOKUP(HUAWEI製ＰＣＳ接続枚数計算ツール!$C$9,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HUAWEI製ＰＣＳ接続枚数計算ツール!$B$119:$P$149,14,FALSE),0)/100&gt;=IF(過積載率!Y29&gt;1,1,過積載率!Y29),1,0))</f>
        <v>0</v>
      </c>
      <c r="Z29">
        <f>IF(OR(過積載率!Z29=0,(標準電圧!Z29*標準電圧!Z$2-VLOOKUP(HUAWEI製ＰＣＳ接続枚数計算ツール!$C$9, HUAWEI製ＰＣＳ接続枚数計算ツール!$B$119:$P$149,12,FALSE))&lt;0),0,IF(ROUNDDOWN((標準電圧!Z29*標準電圧!Z$2-VLOOKUP(HUAWEI製ＰＣＳ接続枚数計算ツール!$C$9,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HUAWEI製ＰＣＳ接続枚数計算ツール!$B$119:$P$149,14,FALSE),0)/100&gt;=IF(過積載率!Z29&gt;1,1,過積載率!Z29),1,0))</f>
        <v>0</v>
      </c>
      <c r="AA29">
        <f>IF(OR(過積載率!AA29=0,(標準電圧!AA29*標準電圧!AA$2-VLOOKUP(HUAWEI製ＰＣＳ接続枚数計算ツール!$C$9, HUAWEI製ＰＣＳ接続枚数計算ツール!$B$119:$P$149,12,FALSE))&lt;0),0,IF(ROUNDDOWN((標準電圧!AA29*標準電圧!AA$2-VLOOKUP(HUAWEI製ＰＣＳ接続枚数計算ツール!$C$9,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HUAWEI製ＰＣＳ接続枚数計算ツール!$B$119:$P$149,14,FALSE),0)/100&gt;=IF(過積載率!AA29&gt;1,1,過積載率!AA29),1,0))</f>
        <v>0</v>
      </c>
      <c r="AB29">
        <f>IF(OR(過積載率!AB29=0,(標準電圧!AB29*標準電圧!AB$2-VLOOKUP(HUAWEI製ＰＣＳ接続枚数計算ツール!$C$9, HUAWEI製ＰＣＳ接続枚数計算ツール!$B$119:$P$149,12,FALSE))&lt;0),0,IF(ROUNDDOWN((標準電圧!AB29*標準電圧!AB$2-VLOOKUP(HUAWEI製ＰＣＳ接続枚数計算ツール!$C$9,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HUAWEI製ＰＣＳ接続枚数計算ツール!$B$119:$P$149,14,FALSE),0)/100&gt;=IF(過積載率!AB29&gt;1,1,過積載率!AB29),1,0))</f>
        <v>0</v>
      </c>
      <c r="AC29">
        <f>IF(OR(過積載率!AC29=0,(標準電圧!AC29*標準電圧!AC$2-VLOOKUP(HUAWEI製ＰＣＳ接続枚数計算ツール!$C$9, HUAWEI製ＰＣＳ接続枚数計算ツール!$B$119:$P$149,12,FALSE))&lt;0),0,IF(ROUNDDOWN((標準電圧!AC29*標準電圧!AC$2-VLOOKUP(HUAWEI製ＰＣＳ接続枚数計算ツール!$C$9,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HUAWEI製ＰＣＳ接続枚数計算ツール!$B$119:$P$149,14,FALSE),0)/100&gt;=IF(過積載率!AC29&gt;1,1,過積載率!AC29),1,0))</f>
        <v>0</v>
      </c>
      <c r="AD29">
        <f>IF(OR(過積載率!AD29=0,(標準電圧!AD29*標準電圧!AD$2-VLOOKUP(HUAWEI製ＰＣＳ接続枚数計算ツール!$C$9, HUAWEI製ＰＣＳ接続枚数計算ツール!$B$119:$P$149,12,FALSE))&lt;0),0,IF(ROUNDDOWN((標準電圧!AD29*標準電圧!AD$2-VLOOKUP(HUAWEI製ＰＣＳ接続枚数計算ツール!$C$9,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HUAWEI製ＰＣＳ接続枚数計算ツール!$B$119:$P$149,14,FALSE),0)/100&gt;=IF(過積載率!AD29&gt;1,1,過積載率!AD29),1,0))</f>
        <v>0</v>
      </c>
      <c r="AE29">
        <f>IF(OR(過積載率!AE29=0,(標準電圧!AE29*標準電圧!AE$2-VLOOKUP(HUAWEI製ＰＣＳ接続枚数計算ツール!$C$9, HUAWEI製ＰＣＳ接続枚数計算ツール!$B$119:$P$149,12,FALSE))&lt;0),0,IF(ROUNDDOWN((標準電圧!AE29*標準電圧!AE$2-VLOOKUP(HUAWEI製ＰＣＳ接続枚数計算ツール!$C$9,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HUAWEI製ＰＣＳ接続枚数計算ツール!$B$119:$P$149,14,FALSE),0)/100&gt;=IF(過積載率!AE29&gt;1,1,過積載率!AE29),1,0))</f>
        <v>0</v>
      </c>
      <c r="AF29">
        <f>IF(OR(過積載率!AF29=0,(標準電圧!AF29*標準電圧!AF$2-VLOOKUP(HUAWEI製ＰＣＳ接続枚数計算ツール!$C$9, HUAWEI製ＰＣＳ接続枚数計算ツール!$B$119:$P$149,12,FALSE))&lt;0),0,IF(ROUNDDOWN((標準電圧!AF29*標準電圧!AF$2-VLOOKUP(HUAWEI製ＰＣＳ接続枚数計算ツール!$C$9,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HUAWEI製ＰＣＳ接続枚数計算ツール!$B$119:$P$149,14,FALSE),0)/100&gt;=IF(過積載率!AF29&gt;1,1,過積載率!AF29),1,0))</f>
        <v>0</v>
      </c>
      <c r="AG29">
        <f>IF(OR(過積載率!AG29=0,(標準電圧!AG29*標準電圧!AG$2-VLOOKUP(HUAWEI製ＰＣＳ接続枚数計算ツール!$C$9, HUAWEI製ＰＣＳ接続枚数計算ツール!$B$119:$P$149,12,FALSE))&lt;0),0,IF(ROUNDDOWN((標準電圧!AG29*標準電圧!AG$2-VLOOKUP(HUAWEI製ＰＣＳ接続枚数計算ツール!$C$9,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HUAWEI製ＰＣＳ接続枚数計算ツール!$B$119:$P$149,14,FALSE),0)/100&gt;=IF(過積載率!AG29&gt;1,1,過積載率!AG29),1,0))</f>
        <v>0</v>
      </c>
      <c r="AH29">
        <f>IF(OR(過積載率!AH29=0,(標準電圧!AH29*標準電圧!AH$2-VLOOKUP(HUAWEI製ＰＣＳ接続枚数計算ツール!$C$9, HUAWEI製ＰＣＳ接続枚数計算ツール!$B$119:$P$149,12,FALSE))&lt;0),0,IF(ROUNDDOWN((標準電圧!AH29*標準電圧!AH$2-VLOOKUP(HUAWEI製ＰＣＳ接続枚数計算ツール!$C$9,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HUAWEI製ＰＣＳ接続枚数計算ツール!$B$119:$P$149,14,FALSE),0)/100&gt;=IF(過積載率!AH29&gt;1,1,過積載率!AH29),1,0))</f>
        <v>0</v>
      </c>
      <c r="AI29">
        <f>IF(OR(過積載率!AI29=0,(標準電圧!AI29*標準電圧!AI$2-VLOOKUP(HUAWEI製ＰＣＳ接続枚数計算ツール!$C$9, HUAWEI製ＰＣＳ接続枚数計算ツール!$B$119:$P$149,12,FALSE))&lt;0),0,IF(ROUNDDOWN((標準電圧!AI29*標準電圧!AI$2-VLOOKUP(HUAWEI製ＰＣＳ接続枚数計算ツール!$C$9,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HUAWEI製ＰＣＳ接続枚数計算ツール!$B$119:$P$149,14,FALSE),0)/100&gt;=IF(過積載率!AI29&gt;1,1,過積載率!AI29),1,0))</f>
        <v>0</v>
      </c>
      <c r="AJ29">
        <f>IF(OR(過積載率!AJ29=0,(標準電圧!AJ29*標準電圧!AJ$2-VLOOKUP(HUAWEI製ＰＣＳ接続枚数計算ツール!$C$9, HUAWEI製ＰＣＳ接続枚数計算ツール!$B$119:$P$149,12,FALSE))&lt;0),0,IF(ROUNDDOWN((標準電圧!AJ29*標準電圧!AJ$2-VLOOKUP(HUAWEI製ＰＣＳ接続枚数計算ツール!$C$9,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HUAWEI製ＰＣＳ接続枚数計算ツール!$B$119:$P$149,14,FALSE),0)/100&gt;=IF(過積載率!AJ29&gt;1,1,過積載率!AJ29),1,0))</f>
        <v>0</v>
      </c>
      <c r="AK29">
        <f>IF(OR(過積載率!AK29=0,(標準電圧!AK29*標準電圧!AK$2-VLOOKUP(HUAWEI製ＰＣＳ接続枚数計算ツール!$C$9, HUAWEI製ＰＣＳ接続枚数計算ツール!$B$119:$P$149,12,FALSE))&lt;0),0,IF(ROUNDDOWN((標準電圧!AK29*標準電圧!AK$2-VLOOKUP(HUAWEI製ＰＣＳ接続枚数計算ツール!$C$9,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HUAWEI製ＰＣＳ接続枚数計算ツール!$B$119:$P$149,14,FALSE),0)/100&gt;=IF(過積載率!AK29&gt;1,1,過積載率!AK29),1,0))</f>
        <v>0</v>
      </c>
      <c r="AL29">
        <f>IF(OR(過積載率!AL29=0,(標準電圧!AL29*標準電圧!AL$2-VLOOKUP(HUAWEI製ＰＣＳ接続枚数計算ツール!$C$9, HUAWEI製ＰＣＳ接続枚数計算ツール!$B$119:$P$149,12,FALSE))&lt;0),0,IF(ROUNDDOWN((標準電圧!AL29*標準電圧!AL$2-VLOOKUP(HUAWEI製ＰＣＳ接続枚数計算ツール!$C$9,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HUAWEI製ＰＣＳ接続枚数計算ツール!$B$119:$P$149,14,FALSE),0)/100&gt;=IF(過積載率!AL29&gt;1,1,過積載率!AL29),1,0))</f>
        <v>0</v>
      </c>
      <c r="AM29">
        <f>IF(OR(過積載率!AM29=0,(標準電圧!AM29*標準電圧!AM$2-VLOOKUP(HUAWEI製ＰＣＳ接続枚数計算ツール!$C$9, HUAWEI製ＰＣＳ接続枚数計算ツール!$B$119:$P$149,12,FALSE))&lt;0),0,IF(ROUNDDOWN((標準電圧!AM29*標準電圧!AM$2-VLOOKUP(HUAWEI製ＰＣＳ接続枚数計算ツール!$C$9,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HUAWEI製ＰＣＳ接続枚数計算ツール!$B$119:$P$149,14,FALSE),0)/100&gt;=IF(過積載率!AM29&gt;1,1,過積載率!AM29),1,0))</f>
        <v>0</v>
      </c>
      <c r="AN29">
        <f>IF(OR(過積載率!AN29=0,(標準電圧!AN29*標準電圧!AN$2-VLOOKUP(HUAWEI製ＰＣＳ接続枚数計算ツール!$C$9, HUAWEI製ＰＣＳ接続枚数計算ツール!$B$119:$P$149,12,FALSE))&lt;0),0,IF(ROUNDDOWN((標準電圧!AN29*標準電圧!AN$2-VLOOKUP(HUAWEI製ＰＣＳ接続枚数計算ツール!$C$9,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HUAWEI製ＰＣＳ接続枚数計算ツール!$B$119:$P$149,14,FALSE),0)/100&gt;=IF(過積載率!AN29&gt;1,1,過積載率!AN29),1,0))</f>
        <v>0</v>
      </c>
      <c r="AO29">
        <f>IF(OR(過積載率!AO29=0,(標準電圧!AO29*標準電圧!AO$2-VLOOKUP(HUAWEI製ＰＣＳ接続枚数計算ツール!$C$9, HUAWEI製ＰＣＳ接続枚数計算ツール!$B$119:$P$149,12,FALSE))&lt;0),0,IF(ROUNDDOWN((標準電圧!AO29*標準電圧!AO$2-VLOOKUP(HUAWEI製ＰＣＳ接続枚数計算ツール!$C$9, HUAWEI製ＰＣＳ接続枚数計算ツール!$B$119:$P$149,12,FALSE))/VLOOKUP(HUAWEI製ＰＣＳ接続枚数計算ツール!$C$9, HUAWEI製ＰＣＳ接続枚数計算ツール!$B$119:$P$149,13,FALSE)+VLOOKUP(HUAWEI製ＰＣＳ接続枚数計算ツール!$C$9, HUAWEI製ＰＣＳ接続枚数計算ツール!$B$119:$P$149,14,FALSE),0)/100&gt;=IF(過積載率!AO29&gt;1,1,過積載率!AO29),1,0))</f>
        <v>0</v>
      </c>
    </row>
  </sheetData>
  <phoneticPr fontId="2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dimension ref="A1:AO32"/>
  <sheetViews>
    <sheetView zoomScale="40" zoomScaleNormal="40" workbookViewId="0">
      <selection activeCell="M11" sqref="M11"/>
    </sheetView>
  </sheetViews>
  <sheetFormatPr defaultRowHeight="14.1"/>
  <sheetData>
    <row r="1" spans="1:41">
      <c r="A1" t="s">
        <v>2038</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s="86">
        <f>IF(過積載率!B3&gt;=1,ROUNDDOWN(((((1-1/MAX(100%,過積載率!B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3" s="86">
        <f>IF(過積載率!C3&gt;=1,ROUNDDOWN(((((1-1/MAX(100%,過積載率!C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3" s="86">
        <f>IF(過積載率!D3&gt;=1,ROUNDDOWN(((((1-1/MAX(100%,過積載率!D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3" s="86">
        <f>IF(過積載率!E3&gt;=1,ROUNDDOWN(((((1-1/MAX(100%,過積載率!E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3" s="86">
        <f>IF(過積載率!F3&gt;=1,ROUNDDOWN(((((1-1/MAX(100%,過積載率!F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3" s="86">
        <f>IF(過積載率!G3&gt;=1,ROUNDDOWN(((((1-1/MAX(100%,過積載率!G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3" s="86">
        <f>IF(過積載率!H3&gt;=1,ROUNDDOWN(((((1-1/MAX(100%,過積載率!H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3" s="86">
        <f>IF(過積載率!I3&gt;=1,ROUNDDOWN(((((1-1/MAX(100%,過積載率!I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3" s="86">
        <f>IF(過積載率!J3&gt;=1,ROUNDDOWN(((((1-1/MAX(100%,過積載率!J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3" s="86">
        <f>IF(過積載率!K3&gt;=1,ROUNDDOWN(((((1-1/MAX(100%,過積載率!K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3" s="86">
        <f>IF(過積載率!L3&gt;=1,ROUNDDOWN(((((1-1/MAX(100%,過積載率!L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3" s="86">
        <f>IF(過積載率!M3&gt;=1,ROUNDDOWN(((((1-1/MAX(100%,過積載率!M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3" s="86">
        <f>IF(過積載率!N3&gt;=1,ROUNDDOWN(((((1-1/MAX(100%,過積載率!N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3" s="86">
        <f>IF(過積載率!O3&gt;=1,ROUNDDOWN(((((1-1/MAX(100%,過積載率!O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3" s="86">
        <f>IF(過積載率!P3&gt;=1,ROUNDDOWN(((((1-1/MAX(100%,過積載率!P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3" s="86">
        <f>IF(過積載率!Q3&gt;=1,ROUNDDOWN(((((1-1/MAX(100%,過積載率!Q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3" s="86">
        <f>IF(過積載率!R3&gt;=1,ROUNDDOWN(((((1-1/MAX(100%,過積載率!R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3" s="86">
        <f>IF(過積載率!S3&gt;=1,ROUNDDOWN(((((1-1/MAX(100%,過積載率!S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3" s="86">
        <f>IF(過積載率!T3&gt;=1,ROUNDDOWN(((((1-1/MAX(100%,過積載率!T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3" s="86">
        <f>IF(過積載率!U3&gt;=1,ROUNDDOWN(((((1-1/MAX(100%,過積載率!U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3" s="86">
        <f>IF(過積載率!V3&gt;=1,ROUNDDOWN(((((1-1/MAX(100%,過積載率!V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3" s="86">
        <f>IF(過積載率!W3&gt;=1,ROUNDDOWN(((((1-1/MAX(100%,過積載率!W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3" s="86">
        <f>IF(過積載率!X3&gt;=1,ROUNDDOWN(((((1-1/MAX(100%,過積載率!X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3" s="86">
        <f>IF(過積載率!Y3&gt;=1,ROUNDDOWN(((((1-1/MAX(100%,過積載率!Y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3" s="86">
        <f>IF(過積載率!Z3&gt;=1,ROUNDDOWN(((((1-1/MAX(100%,過積載率!Z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3" s="86">
        <f>IF(過積載率!AA3&gt;=1,ROUNDDOWN(((((1-1/MAX(100%,過積載率!AA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3" s="86">
        <f>IF(過積載率!AB3&gt;=1,ROUNDDOWN(((((1-1/MAX(100%,過積載率!AB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3" s="86">
        <f>IF(過積載率!AC3&gt;=1,ROUNDDOWN(((((1-1/MAX(100%,過積載率!AC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3" s="86">
        <f>IF(過積載率!AD3&gt;=1,ROUNDDOWN(((((1-1/MAX(100%,過積載率!AD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3" s="86">
        <f>IF(過積載率!AE3&gt;=1,ROUNDDOWN(((((1-1/MAX(100%,過積載率!AE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3" s="86">
        <f>IF(過積載率!AF3&gt;=1,ROUNDDOWN(((((1-1/MAX(100%,過積載率!AF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3" s="86">
        <f>IF(過積載率!AG3&gt;=1,ROUNDDOWN(((((1-1/MAX(100%,過積載率!AG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3" s="86">
        <f>IF(過積載率!AH3&gt;=1,ROUNDDOWN(((((1-1/MAX(100%,過積載率!AH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3" s="86">
        <f>IF(過積載率!AI3&gt;=1,ROUNDDOWN(((((1-1/MAX(100%,過積載率!AI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3" s="86">
        <f>IF(過積載率!AJ3&gt;=1,ROUNDDOWN(((((1-1/MAX(100%,過積載率!AJ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3" s="86">
        <f>IF(過積載率!AK3&gt;=1,ROUNDDOWN(((((1-1/MAX(100%,過積載率!AK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3" s="86">
        <f>IF(過積載率!AL3&gt;=1,ROUNDDOWN(((((1-1/MAX(100%,過積載率!AL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3" s="86">
        <f>IF(過積載率!AM3&gt;=1,ROUNDDOWN(((((1-1/MAX(100%,過積載率!AM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3" s="86">
        <f>IF(過積載率!AN3&gt;=1,ROUNDDOWN(((((1-1/MAX(100%,過積載率!AN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3" s="86">
        <f>IF(過積載率!AO3&gt;=1,ROUNDDOWN(((((1-1/MAX(100%,過積載率!AO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4" spans="1:41">
      <c r="A4">
        <v>2</v>
      </c>
      <c r="B4" s="86">
        <f>IF(過積載率!B4&gt;=1,ROUNDDOWN(((((1-1/MAX(100%,過積載率!B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4" s="86">
        <f>IF(過積載率!C4&gt;=1,ROUNDDOWN(((((1-1/MAX(100%,過積載率!C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4" s="86">
        <f>IF(過積載率!D4&gt;=1,ROUNDDOWN(((((1-1/MAX(100%,過積載率!D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4" s="86">
        <f>IF(過積載率!E4&gt;=1,ROUNDDOWN(((((1-1/MAX(100%,過積載率!E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4" s="86">
        <f>IF(過積載率!F4&gt;=1,ROUNDDOWN(((((1-1/MAX(100%,過積載率!F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4" s="86">
        <f>IF(過積載率!G4&gt;=1,ROUNDDOWN(((((1-1/MAX(100%,過積載率!G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4" s="86">
        <f>IF(過積載率!H4&gt;=1,ROUNDDOWN(((((1-1/MAX(100%,過積載率!H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4" s="86">
        <f>IF(過積載率!I4&gt;=1,ROUNDDOWN(((((1-1/MAX(100%,過積載率!I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4" s="86">
        <f>IF(過積載率!J4&gt;=1,ROUNDDOWN(((((1-1/MAX(100%,過積載率!J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4" s="86">
        <f>IF(過積載率!K4&gt;=1,ROUNDDOWN(((((1-1/MAX(100%,過積載率!K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4" s="86">
        <f>IF(過積載率!L4&gt;=1,ROUNDDOWN(((((1-1/MAX(100%,過積載率!L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4" s="86">
        <f>IF(過積載率!M4&gt;=1,ROUNDDOWN(((((1-1/MAX(100%,過積載率!M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4" s="86">
        <f>IF(過積載率!N4&gt;=1,ROUNDDOWN(((((1-1/MAX(100%,過積載率!N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4" s="86">
        <f>IF(過積載率!O4&gt;=1,ROUNDDOWN(((((1-1/MAX(100%,過積載率!O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4" s="86">
        <f>IF(過積載率!P4&gt;=1,ROUNDDOWN(((((1-1/MAX(100%,過積載率!P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4" s="86">
        <f>IF(過積載率!Q4&gt;=1,ROUNDDOWN(((((1-1/MAX(100%,過積載率!Q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4" s="86">
        <f>IF(過積載率!R4&gt;=1,ROUNDDOWN(((((1-1/MAX(100%,過積載率!R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4" s="86">
        <f>IF(過積載率!S4&gt;=1,ROUNDDOWN(((((1-1/MAX(100%,過積載率!S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4" s="86">
        <f>IF(過積載率!T4&gt;=1,ROUNDDOWN(((((1-1/MAX(100%,過積載率!T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4" s="86">
        <f>IF(過積載率!U4&gt;=1,ROUNDDOWN(((((1-1/MAX(100%,過積載率!U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4" s="86">
        <f>IF(過積載率!V4&gt;=1,ROUNDDOWN(((((1-1/MAX(100%,過積載率!V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4" s="86">
        <f>IF(過積載率!W4&gt;=1,ROUNDDOWN(((((1-1/MAX(100%,過積載率!W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4" s="86">
        <f>IF(過積載率!X4&gt;=1,ROUNDDOWN(((((1-1/MAX(100%,過積載率!X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4" s="86">
        <f>IF(過積載率!Y4&gt;=1,ROUNDDOWN(((((1-1/MAX(100%,過積載率!Y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4" s="86">
        <f>IF(過積載率!Z4&gt;=1,ROUNDDOWN(((((1-1/MAX(100%,過積載率!Z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4" s="86">
        <f>IF(過積載率!AA4&gt;=1,ROUNDDOWN(((((1-1/MAX(100%,過積載率!AA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4" s="86">
        <f>IF(過積載率!AB4&gt;=1,ROUNDDOWN(((((1-1/MAX(100%,過積載率!AB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4" s="86">
        <f>IF(過積載率!AC4&gt;=1,ROUNDDOWN(((((1-1/MAX(100%,過積載率!AC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4" s="86">
        <f>IF(過積載率!AD4&gt;=1,ROUNDDOWN(((((1-1/MAX(100%,過積載率!AD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4" s="86">
        <f>IF(過積載率!AE4&gt;=1,ROUNDDOWN(((((1-1/MAX(100%,過積載率!AE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4" s="86">
        <f>IF(過積載率!AF4&gt;=1,ROUNDDOWN(((((1-1/MAX(100%,過積載率!AF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4" s="86">
        <f>IF(過積載率!AG4&gt;=1,ROUNDDOWN(((((1-1/MAX(100%,過積載率!AG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4" s="86">
        <f>IF(過積載率!AH4&gt;=1,ROUNDDOWN(((((1-1/MAX(100%,過積載率!AH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4" s="86">
        <f>IF(過積載率!AI4&gt;=1,ROUNDDOWN(((((1-1/MAX(100%,過積載率!AI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4" s="86">
        <f>IF(過積載率!AJ4&gt;=1,ROUNDDOWN(((((1-1/MAX(100%,過積載率!AJ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4" s="86">
        <f>IF(過積載率!AK4&gt;=1,ROUNDDOWN(((((1-1/MAX(100%,過積載率!AK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4" s="86">
        <f>IF(過積載率!AL4&gt;=1,ROUNDDOWN(((((1-1/MAX(100%,過積載率!AL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4" s="86">
        <f>IF(過積載率!AM4&gt;=1,ROUNDDOWN(((((1-1/MAX(100%,過積載率!AM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4" s="86">
        <f>IF(過積載率!AN4&gt;=1,ROUNDDOWN(((((1-1/MAX(100%,過積載率!AN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4" s="86">
        <f>IF(過積載率!AO4&gt;=1,ROUNDDOWN(((((1-1/MAX(100%,過積載率!AO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5" spans="1:41">
      <c r="A5">
        <v>3</v>
      </c>
      <c r="B5" s="86">
        <f>IF(過積載率!B5&gt;=1,ROUNDDOWN(((((1-1/MAX(100%,過積載率!B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5" s="86">
        <f>IF(過積載率!C5&gt;=1,ROUNDDOWN(((((1-1/MAX(100%,過積載率!C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5" s="86">
        <f>IF(過積載率!D5&gt;=1,ROUNDDOWN(((((1-1/MAX(100%,過積載率!D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5" s="86">
        <f>IF(過積載率!E5&gt;=1,ROUNDDOWN(((((1-1/MAX(100%,過積載率!E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5" s="86">
        <f>IF(過積載率!F5&gt;=1,ROUNDDOWN(((((1-1/MAX(100%,過積載率!F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5" s="86">
        <f>IF(過積載率!G5&gt;=1,ROUNDDOWN(((((1-1/MAX(100%,過積載率!G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5" s="86">
        <f>IF(過積載率!H5&gt;=1,ROUNDDOWN(((((1-1/MAX(100%,過積載率!H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5" s="86">
        <f>IF(過積載率!I5&gt;=1,ROUNDDOWN(((((1-1/MAX(100%,過積載率!I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5" s="86">
        <f>IF(過積載率!J5&gt;=1,ROUNDDOWN(((((1-1/MAX(100%,過積載率!J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5" s="86">
        <f>IF(過積載率!K5&gt;=1,ROUNDDOWN(((((1-1/MAX(100%,過積載率!K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5" s="86">
        <f>IF(過積載率!L5&gt;=1,ROUNDDOWN(((((1-1/MAX(100%,過積載率!L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5" s="86">
        <f>IF(過積載率!M5&gt;=1,ROUNDDOWN(((((1-1/MAX(100%,過積載率!M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5" s="86">
        <f>IF(過積載率!N5&gt;=1,ROUNDDOWN(((((1-1/MAX(100%,過積載率!N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5" s="86">
        <f>IF(過積載率!O5&gt;=1,ROUNDDOWN(((((1-1/MAX(100%,過積載率!O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5" s="86">
        <f>IF(過積載率!P5&gt;=1,ROUNDDOWN(((((1-1/MAX(100%,過積載率!P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5" s="86">
        <f>IF(過積載率!Q5&gt;=1,ROUNDDOWN(((((1-1/MAX(100%,過積載率!Q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5" s="86">
        <f>IF(過積載率!R5&gt;=1,ROUNDDOWN(((((1-1/MAX(100%,過積載率!R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5" s="86">
        <f>IF(過積載率!S5&gt;=1,ROUNDDOWN(((((1-1/MAX(100%,過積載率!S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5" s="86">
        <f>IF(過積載率!T5&gt;=1,ROUNDDOWN(((((1-1/MAX(100%,過積載率!T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5" s="86">
        <f>IF(過積載率!U5&gt;=1,ROUNDDOWN(((((1-1/MAX(100%,過積載率!U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5" s="86">
        <f>IF(過積載率!V5&gt;=1,ROUNDDOWN(((((1-1/MAX(100%,過積載率!V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5" s="86">
        <f>IF(過積載率!W5&gt;=1,ROUNDDOWN(((((1-1/MAX(100%,過積載率!W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5" s="86">
        <f>IF(過積載率!X5&gt;=1,ROUNDDOWN(((((1-1/MAX(100%,過積載率!X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5" s="86">
        <f>IF(過積載率!Y5&gt;=1,ROUNDDOWN(((((1-1/MAX(100%,過積載率!Y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5" s="86">
        <f>IF(過積載率!Z5&gt;=1,ROUNDDOWN(((((1-1/MAX(100%,過積載率!Z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5" s="86">
        <f>IF(過積載率!AA5&gt;=1,ROUNDDOWN(((((1-1/MAX(100%,過積載率!AA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5" s="86">
        <f>IF(過積載率!AB5&gt;=1,ROUNDDOWN(((((1-1/MAX(100%,過積載率!AB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5" s="86">
        <f>IF(過積載率!AC5&gt;=1,ROUNDDOWN(((((1-1/MAX(100%,過積載率!AC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5" s="86">
        <f>IF(過積載率!AD5&gt;=1,ROUNDDOWN(((((1-1/MAX(100%,過積載率!AD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5" s="86">
        <f>IF(過積載率!AE5&gt;=1,ROUNDDOWN(((((1-1/MAX(100%,過積載率!AE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5" s="86">
        <f>IF(過積載率!AF5&gt;=1,ROUNDDOWN(((((1-1/MAX(100%,過積載率!AF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5" s="86">
        <f>IF(過積載率!AG5&gt;=1,ROUNDDOWN(((((1-1/MAX(100%,過積載率!AG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5" s="86">
        <f>IF(過積載率!AH5&gt;=1,ROUNDDOWN(((((1-1/MAX(100%,過積載率!AH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5" s="86">
        <f>IF(過積載率!AI5&gt;=1,ROUNDDOWN(((((1-1/MAX(100%,過積載率!AI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5" s="86">
        <f>IF(過積載率!AJ5&gt;=1,ROUNDDOWN(((((1-1/MAX(100%,過積載率!AJ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5" s="86">
        <f>IF(過積載率!AK5&gt;=1,ROUNDDOWN(((((1-1/MAX(100%,過積載率!AK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5" s="86">
        <f>IF(過積載率!AL5&gt;=1,ROUNDDOWN(((((1-1/MAX(100%,過積載率!AL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5" s="86">
        <f>IF(過積載率!AM5&gt;=1,ROUNDDOWN(((((1-1/MAX(100%,過積載率!AM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5" s="86">
        <f>IF(過積載率!AN5&gt;=1,ROUNDDOWN(((((1-1/MAX(100%,過積載率!AN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5" s="86">
        <f>IF(過積載率!AO5&gt;=1,ROUNDDOWN(((((1-1/MAX(100%,過積載率!AO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6" spans="1:41">
      <c r="A6">
        <v>4</v>
      </c>
      <c r="B6" s="86">
        <f>IF(過積載率!B6&gt;=1,ROUNDDOWN(((((1-1/MAX(100%,過積載率!B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6" s="86">
        <f>IF(過積載率!C6&gt;=1,ROUNDDOWN(((((1-1/MAX(100%,過積載率!C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6" s="86">
        <f>IF(過積載率!D6&gt;=1,ROUNDDOWN(((((1-1/MAX(100%,過積載率!D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6" s="86">
        <f>IF(過積載率!E6&gt;=1,ROUNDDOWN(((((1-1/MAX(100%,過積載率!E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6" s="86">
        <f>IF(過積載率!F6&gt;=1,ROUNDDOWN(((((1-1/MAX(100%,過積載率!F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6" s="86">
        <f>IF(過積載率!G6&gt;=1,ROUNDDOWN(((((1-1/MAX(100%,過積載率!G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6" s="86">
        <f>IF(過積載率!H6&gt;=1,ROUNDDOWN(((((1-1/MAX(100%,過積載率!H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6" s="86">
        <f>IF(過積載率!I6&gt;=1,ROUNDDOWN(((((1-1/MAX(100%,過積載率!I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6" s="86">
        <f>IF(過積載率!J6&gt;=1,ROUNDDOWN(((((1-1/MAX(100%,過積載率!J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6" s="86">
        <f>IF(過積載率!K6&gt;=1,ROUNDDOWN(((((1-1/MAX(100%,過積載率!K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6" s="86">
        <f>IF(過積載率!L6&gt;=1,ROUNDDOWN(((((1-1/MAX(100%,過積載率!L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6" s="86">
        <f>IF(過積載率!M6&gt;=1,ROUNDDOWN(((((1-1/MAX(100%,過積載率!M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6" s="86">
        <f>IF(過積載率!N6&gt;=1,ROUNDDOWN(((((1-1/MAX(100%,過積載率!N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6" s="86">
        <f>IF(過積載率!O6&gt;=1,ROUNDDOWN(((((1-1/MAX(100%,過積載率!O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6" s="86">
        <f>IF(過積載率!P6&gt;=1,ROUNDDOWN(((((1-1/MAX(100%,過積載率!P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6" s="86">
        <f>IF(過積載率!Q6&gt;=1,ROUNDDOWN(((((1-1/MAX(100%,過積載率!Q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6" s="86">
        <f>IF(過積載率!R6&gt;=1,ROUNDDOWN(((((1-1/MAX(100%,過積載率!R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6" s="86">
        <f>IF(過積載率!S6&gt;=1,ROUNDDOWN(((((1-1/MAX(100%,過積載率!S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6" s="86">
        <f>IF(過積載率!T6&gt;=1,ROUNDDOWN(((((1-1/MAX(100%,過積載率!T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6" s="86">
        <f>IF(過積載率!U6&gt;=1,ROUNDDOWN(((((1-1/MAX(100%,過積載率!U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6" s="86">
        <f>IF(過積載率!V6&gt;=1,ROUNDDOWN(((((1-1/MAX(100%,過積載率!V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6" s="86">
        <f>IF(過積載率!W6&gt;=1,ROUNDDOWN(((((1-1/MAX(100%,過積載率!W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6" s="86">
        <f>IF(過積載率!X6&gt;=1,ROUNDDOWN(((((1-1/MAX(100%,過積載率!X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6" s="86">
        <f>IF(過積載率!Y6&gt;=1,ROUNDDOWN(((((1-1/MAX(100%,過積載率!Y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6" s="86">
        <f>IF(過積載率!Z6&gt;=1,ROUNDDOWN(((((1-1/MAX(100%,過積載率!Z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6" s="86">
        <f>IF(過積載率!AA6&gt;=1,ROUNDDOWN(((((1-1/MAX(100%,過積載率!AA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6" s="86">
        <f>IF(過積載率!AB6&gt;=1,ROUNDDOWN(((((1-1/MAX(100%,過積載率!AB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6" s="86">
        <f>IF(過積載率!AC6&gt;=1,ROUNDDOWN(((((1-1/MAX(100%,過積載率!AC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6" s="86">
        <f>IF(過積載率!AD6&gt;=1,ROUNDDOWN(((((1-1/MAX(100%,過積載率!AD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6" s="86">
        <f>IF(過積載率!AE6&gt;=1,ROUNDDOWN(((((1-1/MAX(100%,過積載率!AE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6" s="86">
        <f>IF(過積載率!AF6&gt;=1,ROUNDDOWN(((((1-1/MAX(100%,過積載率!AF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6" s="86">
        <f>IF(過積載率!AG6&gt;=1,ROUNDDOWN(((((1-1/MAX(100%,過積載率!AG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6" s="86">
        <f>IF(過積載率!AH6&gt;=1,ROUNDDOWN(((((1-1/MAX(100%,過積載率!AH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6" s="86">
        <f>IF(過積載率!AI6&gt;=1,ROUNDDOWN(((((1-1/MAX(100%,過積載率!AI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6" s="86">
        <f>IF(過積載率!AJ6&gt;=1,ROUNDDOWN(((((1-1/MAX(100%,過積載率!AJ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6" s="86">
        <f>IF(過積載率!AK6&gt;=1,ROUNDDOWN(((((1-1/MAX(100%,過積載率!AK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6" s="86">
        <f>IF(過積載率!AL6&gt;=1,ROUNDDOWN(((((1-1/MAX(100%,過積載率!AL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6" s="86">
        <f>IF(過積載率!AM6&gt;=1,ROUNDDOWN(((((1-1/MAX(100%,過積載率!AM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6" s="86">
        <f>IF(過積載率!AN6&gt;=1,ROUNDDOWN(((((1-1/MAX(100%,過積載率!AN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6" s="86">
        <f>IF(過積載率!AO6&gt;=1,ROUNDDOWN(((((1-1/MAX(100%,過積載率!AO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7" spans="1:41">
      <c r="A7">
        <v>5</v>
      </c>
      <c r="B7" s="86">
        <f>IF(過積載率!B7&gt;=1,ROUNDDOWN(((((1-1/MAX(100%,過積載率!B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7" s="86">
        <f>IF(過積載率!C7&gt;=1,ROUNDDOWN(((((1-1/MAX(100%,過積載率!C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7" s="86">
        <f>IF(過積載率!D7&gt;=1,ROUNDDOWN(((((1-1/MAX(100%,過積載率!D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7" s="86">
        <f>IF(過積載率!E7&gt;=1,ROUNDDOWN(((((1-1/MAX(100%,過積載率!E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7" s="86">
        <f>IF(過積載率!F7&gt;=1,ROUNDDOWN(((((1-1/MAX(100%,過積載率!F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7" s="86">
        <f>IF(過積載率!G7&gt;=1,ROUNDDOWN(((((1-1/MAX(100%,過積載率!G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7" s="86">
        <f>IF(過積載率!H7&gt;=1,ROUNDDOWN(((((1-1/MAX(100%,過積載率!H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7" s="86">
        <f>IF(過積載率!I7&gt;=1,ROUNDDOWN(((((1-1/MAX(100%,過積載率!I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7" s="86">
        <f>IF(過積載率!J7&gt;=1,ROUNDDOWN(((((1-1/MAX(100%,過積載率!J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7" s="86">
        <f>IF(過積載率!K7&gt;=1,ROUNDDOWN(((((1-1/MAX(100%,過積載率!K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7" s="86">
        <f>IF(過積載率!L7&gt;=1,ROUNDDOWN(((((1-1/MAX(100%,過積載率!L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7" s="86">
        <f>IF(過積載率!M7&gt;=1,ROUNDDOWN(((((1-1/MAX(100%,過積載率!M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7" s="86">
        <f>IF(過積載率!N7&gt;=1,ROUNDDOWN(((((1-1/MAX(100%,過積載率!N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7" s="86">
        <f>IF(過積載率!O7&gt;=1,ROUNDDOWN(((((1-1/MAX(100%,過積載率!O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7" s="86">
        <f>IF(過積載率!P7&gt;=1,ROUNDDOWN(((((1-1/MAX(100%,過積載率!P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7" s="86">
        <f>IF(過積載率!Q7&gt;=1,ROUNDDOWN(((((1-1/MAX(100%,過積載率!Q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7" s="86">
        <f>IF(過積載率!R7&gt;=1,ROUNDDOWN(((((1-1/MAX(100%,過積載率!R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7" s="86">
        <f>IF(過積載率!S7&gt;=1,ROUNDDOWN(((((1-1/MAX(100%,過積載率!S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7" s="86">
        <f>IF(過積載率!T7&gt;=1,ROUNDDOWN(((((1-1/MAX(100%,過積載率!T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7" s="86">
        <f>IF(過積載率!U7&gt;=1,ROUNDDOWN(((((1-1/MAX(100%,過積載率!U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7" s="86">
        <f>IF(過積載率!V7&gt;=1,ROUNDDOWN(((((1-1/MAX(100%,過積載率!V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7" s="86">
        <f>IF(過積載率!W7&gt;=1,ROUNDDOWN(((((1-1/MAX(100%,過積載率!W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7" s="86">
        <f>IF(過積載率!X7&gt;=1,ROUNDDOWN(((((1-1/MAX(100%,過積載率!X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7" s="86">
        <f>IF(過積載率!Y7&gt;=1,ROUNDDOWN(((((1-1/MAX(100%,過積載率!Y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7" s="86">
        <f>IF(過積載率!Z7&gt;=1,ROUNDDOWN(((((1-1/MAX(100%,過積載率!Z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7" s="86">
        <f>IF(過積載率!AA7&gt;=1,ROUNDDOWN(((((1-1/MAX(100%,過積載率!AA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7" s="86">
        <f>IF(過積載率!AB7&gt;=1,ROUNDDOWN(((((1-1/MAX(100%,過積載率!AB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7" s="86">
        <f>IF(過積載率!AC7&gt;=1,ROUNDDOWN(((((1-1/MAX(100%,過積載率!AC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7" s="86">
        <f>IF(過積載率!AD7&gt;=1,ROUNDDOWN(((((1-1/MAX(100%,過積載率!AD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7" s="86">
        <f>IF(過積載率!AE7&gt;=1,ROUNDDOWN(((((1-1/MAX(100%,過積載率!AE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7" s="86">
        <f>IF(過積載率!AF7&gt;=1,ROUNDDOWN(((((1-1/MAX(100%,過積載率!AF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7" s="86">
        <f>IF(過積載率!AG7&gt;=1,ROUNDDOWN(((((1-1/MAX(100%,過積載率!AG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7" s="86">
        <f>IF(過積載率!AH7&gt;=1,ROUNDDOWN(((((1-1/MAX(100%,過積載率!AH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7" s="86">
        <f>IF(過積載率!AI7&gt;=1,ROUNDDOWN(((((1-1/MAX(100%,過積載率!AI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7" s="86">
        <f>IF(過積載率!AJ7&gt;=1,ROUNDDOWN(((((1-1/MAX(100%,過積載率!AJ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7" s="86">
        <f>IF(過積載率!AK7&gt;=1,ROUNDDOWN(((((1-1/MAX(100%,過積載率!AK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7" s="86">
        <f>IF(過積載率!AL7&gt;=1,ROUNDDOWN(((((1-1/MAX(100%,過積載率!AL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7" s="86">
        <f>IF(過積載率!AM7&gt;=1,ROUNDDOWN(((((1-1/MAX(100%,過積載率!AM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7" s="86">
        <f>IF(過積載率!AN7&gt;=1,ROUNDDOWN(((((1-1/MAX(100%,過積載率!AN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7" s="86">
        <f>IF(過積載率!AO7&gt;=1,ROUNDDOWN(((((1-1/MAX(100%,過積載率!AO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8" spans="1:41">
      <c r="A8">
        <v>6</v>
      </c>
      <c r="B8" s="86">
        <f>IF(過積載率!B8&gt;=1,ROUNDDOWN(((((1-1/MAX(100%,過積載率!B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8" s="86">
        <f>IF(過積載率!C8&gt;=1,ROUNDDOWN(((((1-1/MAX(100%,過積載率!C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8" s="86">
        <f>IF(過積載率!D8&gt;=1,ROUNDDOWN(((((1-1/MAX(100%,過積載率!D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8" s="86">
        <f>IF(過積載率!E8&gt;=1,ROUNDDOWN(((((1-1/MAX(100%,過積載率!E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8" s="86">
        <f>IF(過積載率!F8&gt;=1,ROUNDDOWN(((((1-1/MAX(100%,過積載率!F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8" s="86">
        <f>IF(過積載率!G8&gt;=1,ROUNDDOWN(((((1-1/MAX(100%,過積載率!G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8" s="86">
        <f>IF(過積載率!H8&gt;=1,ROUNDDOWN(((((1-1/MAX(100%,過積載率!H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8" s="86">
        <f>IF(過積載率!I8&gt;=1,ROUNDDOWN(((((1-1/MAX(100%,過積載率!I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8" s="86">
        <f>IF(過積載率!J8&gt;=1,ROUNDDOWN(((((1-1/MAX(100%,過積載率!J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8" s="86">
        <f>IF(過積載率!K8&gt;=1,ROUNDDOWN(((((1-1/MAX(100%,過積載率!K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8" s="86">
        <f>IF(過積載率!L8&gt;=1,ROUNDDOWN(((((1-1/MAX(100%,過積載率!L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8" s="86">
        <f>IF(過積載率!M8&gt;=1,ROUNDDOWN(((((1-1/MAX(100%,過積載率!M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8" s="86">
        <f>IF(過積載率!N8&gt;=1,ROUNDDOWN(((((1-1/MAX(100%,過積載率!N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8" s="86">
        <f>IF(過積載率!O8&gt;=1,ROUNDDOWN(((((1-1/MAX(100%,過積載率!O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8" s="86">
        <f>IF(過積載率!P8&gt;=1,ROUNDDOWN(((((1-1/MAX(100%,過積載率!P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8" s="86">
        <f>IF(過積載率!Q8&gt;=1,ROUNDDOWN(((((1-1/MAX(100%,過積載率!Q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8" s="86">
        <f>IF(過積載率!R8&gt;=1,ROUNDDOWN(((((1-1/MAX(100%,過積載率!R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8" s="86">
        <f>IF(過積載率!S8&gt;=1,ROUNDDOWN(((((1-1/MAX(100%,過積載率!S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8" s="86">
        <f>IF(過積載率!T8&gt;=1,ROUNDDOWN(((((1-1/MAX(100%,過積載率!T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8" s="86">
        <f>IF(過積載率!U8&gt;=1,ROUNDDOWN(((((1-1/MAX(100%,過積載率!U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8" s="86">
        <f>IF(過積載率!V8&gt;=1,ROUNDDOWN(((((1-1/MAX(100%,過積載率!V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8" s="86">
        <f>IF(過積載率!W8&gt;=1,ROUNDDOWN(((((1-1/MAX(100%,過積載率!W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8" s="86">
        <f>IF(過積載率!X8&gt;=1,ROUNDDOWN(((((1-1/MAX(100%,過積載率!X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8" s="86">
        <f>IF(過積載率!Y8&gt;=1,ROUNDDOWN(((((1-1/MAX(100%,過積載率!Y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8" s="86">
        <f>IF(過積載率!Z8&gt;=1,ROUNDDOWN(((((1-1/MAX(100%,過積載率!Z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8" s="86">
        <f>IF(過積載率!AA8&gt;=1,ROUNDDOWN(((((1-1/MAX(100%,過積載率!AA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8" s="86">
        <f>IF(過積載率!AB8&gt;=1,ROUNDDOWN(((((1-1/MAX(100%,過積載率!AB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8" s="86">
        <f>IF(過積載率!AC8&gt;=1,ROUNDDOWN(((((1-1/MAX(100%,過積載率!AC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8" s="86">
        <f>IF(過積載率!AD8&gt;=1,ROUNDDOWN(((((1-1/MAX(100%,過積載率!AD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8" s="86">
        <f>IF(過積載率!AE8&gt;=1,ROUNDDOWN(((((1-1/MAX(100%,過積載率!AE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8" s="86">
        <f>IF(過積載率!AF8&gt;=1,ROUNDDOWN(((((1-1/MAX(100%,過積載率!AF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8" s="86">
        <f>IF(過積載率!AG8&gt;=1,ROUNDDOWN(((((1-1/MAX(100%,過積載率!AG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8" s="86">
        <f>IF(過積載率!AH8&gt;=1,ROUNDDOWN(((((1-1/MAX(100%,過積載率!AH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8" s="86">
        <f>IF(過積載率!AI8&gt;=1,ROUNDDOWN(((((1-1/MAX(100%,過積載率!AI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8" s="86">
        <f>IF(過積載率!AJ8&gt;=1,ROUNDDOWN(((((1-1/MAX(100%,過積載率!AJ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39.04</v>
      </c>
      <c r="AK8" s="86">
        <f>IF(過積載率!AK8&gt;=1,ROUNDDOWN(((((1-1/MAX(100%,過積載率!AK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39.81</v>
      </c>
      <c r="AL8" s="86">
        <f>IF(過積載率!AL8&gt;=1,ROUNDDOWN(((((1-1/MAX(100%,過積載率!AL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40.26</v>
      </c>
      <c r="AM8" s="86">
        <f>IF(過積載率!AM8&gt;=1,ROUNDDOWN(((((1-1/MAX(100%,過積載率!AM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40.619999999999997</v>
      </c>
      <c r="AN8" s="86">
        <f>IF(過積載率!AN8&gt;=1,ROUNDDOWN(((((1-1/MAX(100%,過積載率!AN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40.9</v>
      </c>
      <c r="AO8" s="86">
        <f>IF(過積載率!AO8&gt;=1,ROUNDDOWN(((((1-1/MAX(100%,過積載率!AO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41.15</v>
      </c>
    </row>
    <row r="9" spans="1:41">
      <c r="A9">
        <v>7</v>
      </c>
      <c r="B9" s="86">
        <f>IF(過積載率!B9&gt;=1,ROUNDDOWN(((((1-1/MAX(100%,過積載率!B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9" s="86">
        <f>IF(過積載率!C9&gt;=1,ROUNDDOWN(((((1-1/MAX(100%,過積載率!C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9" s="86">
        <f>IF(過積載率!D9&gt;=1,ROUNDDOWN(((((1-1/MAX(100%,過積載率!D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9" s="86">
        <f>IF(過積載率!E9&gt;=1,ROUNDDOWN(((((1-1/MAX(100%,過積載率!E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9" s="86">
        <f>IF(過積載率!F9&gt;=1,ROUNDDOWN(((((1-1/MAX(100%,過積載率!F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9" s="86">
        <f>IF(過積載率!G9&gt;=1,ROUNDDOWN(((((1-1/MAX(100%,過積載率!G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9" s="86">
        <f>IF(過積載率!H9&gt;=1,ROUNDDOWN(((((1-1/MAX(100%,過積載率!H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9" s="86">
        <f>IF(過積載率!I9&gt;=1,ROUNDDOWN(((((1-1/MAX(100%,過積載率!I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9" s="86">
        <f>IF(過積載率!J9&gt;=1,ROUNDDOWN(((((1-1/MAX(100%,過積載率!J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9" s="86">
        <f>IF(過積載率!K9&gt;=1,ROUNDDOWN(((((1-1/MAX(100%,過積載率!K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9" s="86">
        <f>IF(過積載率!L9&gt;=1,ROUNDDOWN(((((1-1/MAX(100%,過積載率!L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9" s="86">
        <f>IF(過積載率!M9&gt;=1,ROUNDDOWN(((((1-1/MAX(100%,過積載率!M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9" s="86">
        <f>IF(過積載率!N9&gt;=1,ROUNDDOWN(((((1-1/MAX(100%,過積載率!N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9" s="86">
        <f>IF(過積載率!O9&gt;=1,ROUNDDOWN(((((1-1/MAX(100%,過積載率!O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9" s="86">
        <f>IF(過積載率!P9&gt;=1,ROUNDDOWN(((((1-1/MAX(100%,過積載率!P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9" s="86">
        <f>IF(過積載率!Q9&gt;=1,ROUNDDOWN(((((1-1/MAX(100%,過積載率!Q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9" s="86">
        <f>IF(過積載率!R9&gt;=1,ROUNDDOWN(((((1-1/MAX(100%,過積載率!R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9" s="86">
        <f>IF(過積載率!S9&gt;=1,ROUNDDOWN(((((1-1/MAX(100%,過積載率!S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9" s="86">
        <f>IF(過積載率!T9&gt;=1,ROUNDDOWN(((((1-1/MAX(100%,過積載率!T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9" s="86">
        <f>IF(過積載率!U9&gt;=1,ROUNDDOWN(((((1-1/MAX(100%,過積載率!U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9" s="86">
        <f>IF(過積載率!V9&gt;=1,ROUNDDOWN(((((1-1/MAX(100%,過積載率!V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9" s="86">
        <f>IF(過積載率!W9&gt;=1,ROUNDDOWN(((((1-1/MAX(100%,過積載率!W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9" s="86">
        <f>IF(過積載率!X9&gt;=1,ROUNDDOWN(((((1-1/MAX(100%,過積載率!X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9" s="86">
        <f>IF(過積載率!Y9&gt;=1,ROUNDDOWN(((((1-1/MAX(100%,過積載率!Y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9" s="86">
        <f>IF(過積載率!Z9&gt;=1,ROUNDDOWN(((((1-1/MAX(100%,過積載率!Z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9" s="86">
        <f>IF(過積載率!AA9&gt;=1,ROUNDDOWN(((((1-1/MAX(100%,過積載率!AA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9" s="86">
        <f>IF(過積載率!AB9&gt;=1,ROUNDDOWN(((((1-1/MAX(100%,過積載率!AB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9" s="86">
        <f>IF(過積載率!AC9&gt;=1,ROUNDDOWN(((((1-1/MAX(100%,過積載率!AC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9" s="86">
        <f>IF(過積載率!AD9&gt;=1,ROUNDDOWN(((((1-1/MAX(100%,過積載率!AD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9" s="86">
        <f>IF(過積載率!AE9&gt;=1,ROUNDDOWN(((((1-1/MAX(100%,過積載率!AE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39.04</v>
      </c>
      <c r="AF9" s="86">
        <f>IF(過積載率!AF9&gt;=1,ROUNDDOWN(((((1-1/MAX(100%,過積載率!AF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39.89</v>
      </c>
      <c r="AG9" s="86">
        <f>IF(過積載率!AG9&gt;=1,ROUNDDOWN(((((1-1/MAX(100%,過積載率!AG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40.39</v>
      </c>
      <c r="AH9" s="86">
        <f>IF(過積載率!AH9&gt;=1,ROUNDDOWN(((((1-1/MAX(100%,過積載率!AH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40.770000000000003</v>
      </c>
      <c r="AI9" s="86">
        <f>IF(過積載率!AI9&gt;=1,ROUNDDOWN(((((1-1/MAX(100%,過積載率!AI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41.07</v>
      </c>
      <c r="AJ9" s="86">
        <f>IF(過積載率!AJ9&gt;=1,ROUNDDOWN(((((1-1/MAX(100%,過積載率!AJ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41.33</v>
      </c>
      <c r="AK9" s="86">
        <f>IF(過積載率!AK9&gt;=1,ROUNDDOWN(((((1-1/MAX(100%,過積載率!AK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41.56</v>
      </c>
      <c r="AL9" s="86">
        <f>IF(過積載率!AL9&gt;=1,ROUNDDOWN(((((1-1/MAX(100%,過積載率!AL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41.76</v>
      </c>
      <c r="AM9" s="86">
        <f>IF(過積載率!AM9&gt;=1,ROUNDDOWN(((((1-1/MAX(100%,過積載率!AM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41.94</v>
      </c>
      <c r="AN9" s="86">
        <f>IF(過積載率!AN9&gt;=1,ROUNDDOWN(((((1-1/MAX(100%,過積載率!AN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42.1</v>
      </c>
      <c r="AO9" s="86">
        <f>IF(過積載率!AO9&gt;=1,ROUNDDOWN(((((1-1/MAX(100%,過積載率!AO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42.25</v>
      </c>
    </row>
    <row r="10" spans="1:41">
      <c r="A10">
        <v>8</v>
      </c>
      <c r="B10" s="86">
        <f>IF(過積載率!B10&gt;=1,ROUNDDOWN(((((1-1/MAX(100%,過積載率!B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0" s="86">
        <f>IF(過積載率!C10&gt;=1,ROUNDDOWN(((((1-1/MAX(100%,過積載率!C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0" s="86">
        <f>IF(過積載率!D10&gt;=1,ROUNDDOWN(((((1-1/MAX(100%,過積載率!D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0" s="86">
        <f>IF(過積載率!E10&gt;=1,ROUNDDOWN(((((1-1/MAX(100%,過積載率!E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0" s="86">
        <f>IF(過積載率!F10&gt;=1,ROUNDDOWN(((((1-1/MAX(100%,過積載率!F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0" s="86">
        <f>IF(過積載率!G10&gt;=1,ROUNDDOWN(((((1-1/MAX(100%,過積載率!G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0" s="86">
        <f>IF(過積載率!H10&gt;=1,ROUNDDOWN(((((1-1/MAX(100%,過積載率!H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0" s="86">
        <f>IF(過積載率!I10&gt;=1,ROUNDDOWN(((((1-1/MAX(100%,過積載率!I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0" s="86">
        <f>IF(過積載率!J10&gt;=1,ROUNDDOWN(((((1-1/MAX(100%,過積載率!J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0" s="86">
        <f>IF(過積載率!K10&gt;=1,ROUNDDOWN(((((1-1/MAX(100%,過積載率!K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0" s="86">
        <f>IF(過積載率!L10&gt;=1,ROUNDDOWN(((((1-1/MAX(100%,過積載率!L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0" s="86">
        <f>IF(過積載率!M10&gt;=1,ROUNDDOWN(((((1-1/MAX(100%,過積載率!M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0" s="86">
        <f>IF(過積載率!N10&gt;=1,ROUNDDOWN(((((1-1/MAX(100%,過積載率!N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10" s="86">
        <f>IF(過積載率!O10&gt;=1,ROUNDDOWN(((((1-1/MAX(100%,過積載率!O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10" s="86">
        <f>IF(過積載率!P10&gt;=1,ROUNDDOWN(((((1-1/MAX(100%,過積載率!P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10" s="86">
        <f>IF(過積載率!Q10&gt;=1,ROUNDDOWN(((((1-1/MAX(100%,過積載率!Q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10" s="86">
        <f>IF(過積載率!R10&gt;=1,ROUNDDOWN(((((1-1/MAX(100%,過積載率!R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10" s="86">
        <f>IF(過積載率!S10&gt;=1,ROUNDDOWN(((((1-1/MAX(100%,過積載率!S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10" s="86">
        <f>IF(過積載率!T10&gt;=1,ROUNDDOWN(((((1-1/MAX(100%,過積載率!T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10" s="86">
        <f>IF(過積載率!U10&gt;=1,ROUNDDOWN(((((1-1/MAX(100%,過積載率!U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10" s="86">
        <f>IF(過積載率!V10&gt;=1,ROUNDDOWN(((((1-1/MAX(100%,過積載率!V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10" s="86">
        <f>IF(過積載率!W10&gt;=1,ROUNDDOWN(((((1-1/MAX(100%,過積載率!W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10" s="86">
        <f>IF(過積載率!X10&gt;=1,ROUNDDOWN(((((1-1/MAX(100%,過積載率!X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10" s="86">
        <f>IF(過積載率!Y10&gt;=1,ROUNDDOWN(((((1-1/MAX(100%,過積載率!Y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10" s="86">
        <f>IF(過積載率!Z10&gt;=1,ROUNDDOWN(((((1-1/MAX(100%,過積載率!Z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10" s="86">
        <f>IF(過積載率!AA10&gt;=1,ROUNDDOWN(((((1-1/MAX(100%,過積載率!AA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10" s="86">
        <f>IF(過積載率!AB10&gt;=1,ROUNDDOWN(((((1-1/MAX(100%,過積載率!AB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39.81</v>
      </c>
      <c r="AC10" s="86">
        <f>IF(過積載率!AC10&gt;=1,ROUNDDOWN(((((1-1/MAX(100%,過積載率!AC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40.39</v>
      </c>
      <c r="AD10" s="86">
        <f>IF(過積載率!AD10&gt;=1,ROUNDDOWN(((((1-1/MAX(100%,過積載率!AD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40.81</v>
      </c>
      <c r="AE10" s="86">
        <f>IF(過積載率!AE10&gt;=1,ROUNDDOWN(((((1-1/MAX(100%,過積載率!AE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41.15</v>
      </c>
      <c r="AF10" s="86">
        <f>IF(過積載率!AF10&gt;=1,ROUNDDOWN(((((1-1/MAX(100%,過積載率!AF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41.43</v>
      </c>
      <c r="AG10" s="86">
        <f>IF(過積載率!AG10&gt;=1,ROUNDDOWN(((((1-1/MAX(100%,過積載率!AG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41.68</v>
      </c>
      <c r="AH10" s="86">
        <f>IF(過積載率!AH10&gt;=1,ROUNDDOWN(((((1-1/MAX(100%,過積載率!AH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41.89</v>
      </c>
      <c r="AI10" s="86">
        <f>IF(過積載率!AI10&gt;=1,ROUNDDOWN(((((1-1/MAX(100%,過積載率!AI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42.08</v>
      </c>
      <c r="AJ10" s="86">
        <f>IF(過積載率!AJ10&gt;=1,ROUNDDOWN(((((1-1/MAX(100%,過積載率!AJ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42.25</v>
      </c>
      <c r="AK10" s="86">
        <f>IF(過積載率!AK10&gt;=1,ROUNDDOWN(((((1-1/MAX(100%,過積載率!AK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42.4</v>
      </c>
      <c r="AL10" s="86">
        <f>IF(過積載率!AL10&gt;=1,ROUNDDOWN(((((1-1/MAX(100%,過積載率!AL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42.54</v>
      </c>
      <c r="AM10" s="86">
        <f>IF(過積載率!AM10&gt;=1,ROUNDDOWN(((((1-1/MAX(100%,過積載率!AM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42.67</v>
      </c>
      <c r="AN10" s="86">
        <f>IF(過積載率!AN10&gt;=1,ROUNDDOWN(((((1-1/MAX(100%,過積載率!AN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42.79</v>
      </c>
      <c r="AO10" s="86">
        <f>IF(過積載率!AO10&gt;=1,ROUNDDOWN(((((1-1/MAX(100%,過積載率!AO10)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42.9</v>
      </c>
    </row>
    <row r="11" spans="1:41">
      <c r="A11">
        <v>9</v>
      </c>
      <c r="B11" s="86">
        <f>IF(過積載率!B11&gt;=1,ROUNDDOWN(((((1-1/MAX(100%,過積載率!B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1" s="86">
        <f>IF(過積載率!C11&gt;=1,ROUNDDOWN(((((1-1/MAX(100%,過積載率!C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1" s="86">
        <f>IF(過積載率!D11&gt;=1,ROUNDDOWN(((((1-1/MAX(100%,過積載率!D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1" s="86">
        <f>IF(過積載率!E11&gt;=1,ROUNDDOWN(((((1-1/MAX(100%,過積載率!E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1" s="86">
        <f>IF(過積載率!F11&gt;=1,ROUNDDOWN(((((1-1/MAX(100%,過積載率!F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1" s="86">
        <f>IF(過積載率!G11&gt;=1,ROUNDDOWN(((((1-1/MAX(100%,過積載率!G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1" s="86">
        <f>IF(過積載率!H11&gt;=1,ROUNDDOWN(((((1-1/MAX(100%,過積載率!H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1" s="86">
        <f>IF(過積載率!I11&gt;=1,ROUNDDOWN(((((1-1/MAX(100%,過積載率!I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1" s="86">
        <f>IF(過積載率!J11&gt;=1,ROUNDDOWN(((((1-1/MAX(100%,過積載率!J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1" s="86">
        <f>IF(過積載率!K11&gt;=1,ROUNDDOWN(((((1-1/MAX(100%,過積載率!K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1" s="86">
        <f>IF(過積載率!L11&gt;=1,ROUNDDOWN(((((1-1/MAX(100%,過積載率!L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1" s="86">
        <f>IF(過積載率!M11&gt;=1,ROUNDDOWN(((((1-1/MAX(100%,過積載率!M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1" s="86">
        <f>IF(過積載率!N11&gt;=1,ROUNDDOWN(((((1-1/MAX(100%,過積載率!N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11" s="86">
        <f>IF(過積載率!O11&gt;=1,ROUNDDOWN(((((1-1/MAX(100%,過積載率!O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11" s="86">
        <f>IF(過積載率!P11&gt;=1,ROUNDDOWN(((((1-1/MAX(100%,過積載率!P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11" s="86">
        <f>IF(過積載率!Q11&gt;=1,ROUNDDOWN(((((1-1/MAX(100%,過積載率!Q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11" s="86">
        <f>IF(過積載率!R11&gt;=1,ROUNDDOWN(((((1-1/MAX(100%,過積載率!R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11" s="86">
        <f>IF(過積載率!S11&gt;=1,ROUNDDOWN(((((1-1/MAX(100%,過積載率!S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11" s="86">
        <f>IF(過積載率!T11&gt;=1,ROUNDDOWN(((((1-1/MAX(100%,過積載率!T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11" s="86">
        <f>IF(過積載率!U11&gt;=1,ROUNDDOWN(((((1-1/MAX(100%,過積載率!U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11" s="86">
        <f>IF(過積載率!V11&gt;=1,ROUNDDOWN(((((1-1/MAX(100%,過積載率!V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11" s="86">
        <f>IF(過積載率!W11&gt;=1,ROUNDDOWN(((((1-1/MAX(100%,過積載率!W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11" s="86">
        <f>IF(過積載率!X11&gt;=1,ROUNDDOWN(((((1-1/MAX(100%,過積載率!X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11" s="86">
        <f>IF(過積載率!Y11&gt;=1,ROUNDDOWN(((((1-1/MAX(100%,過積載率!Y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39.81</v>
      </c>
      <c r="Z11" s="86">
        <f>IF(過積載率!Z11&gt;=1,ROUNDDOWN(((((1-1/MAX(100%,過積載率!Z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40.450000000000003</v>
      </c>
      <c r="AA11" s="86">
        <f>IF(過積載率!AA11&gt;=1,ROUNDDOWN(((((1-1/MAX(100%,過積載率!AA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40.9</v>
      </c>
      <c r="AB11" s="86">
        <f>IF(過積載率!AB11&gt;=1,ROUNDDOWN(((((1-1/MAX(100%,過積載率!AB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41.26</v>
      </c>
      <c r="AC11" s="86">
        <f>IF(過積載率!AC11&gt;=1,ROUNDDOWN(((((1-1/MAX(100%,過積載率!AC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41.56</v>
      </c>
      <c r="AD11" s="86">
        <f>IF(過積載率!AD11&gt;=1,ROUNDDOWN(((((1-1/MAX(100%,過積載率!AD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41.81</v>
      </c>
      <c r="AE11" s="86">
        <f>IF(過積載率!AE11&gt;=1,ROUNDDOWN(((((1-1/MAX(100%,過積載率!AE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42.03</v>
      </c>
      <c r="AF11" s="86">
        <f>IF(過積載率!AF11&gt;=1,ROUNDDOWN(((((1-1/MAX(100%,過積載率!AF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42.23</v>
      </c>
      <c r="AG11" s="86">
        <f>IF(過積載率!AG11&gt;=1,ROUNDDOWN(((((1-1/MAX(100%,過積載率!AG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42.4</v>
      </c>
      <c r="AH11" s="86">
        <f>IF(過積載率!AH11&gt;=1,ROUNDDOWN(((((1-1/MAX(100%,過積載率!AH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42.56</v>
      </c>
      <c r="AI11" s="86">
        <f>IF(過積載率!AI11&gt;=1,ROUNDDOWN(((((1-1/MAX(100%,過積載率!AI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42.7</v>
      </c>
      <c r="AJ11" s="86">
        <f>IF(過積載率!AJ11&gt;=1,ROUNDDOWN(((((1-1/MAX(100%,過積載率!AJ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42.83</v>
      </c>
      <c r="AK11" s="86">
        <f>IF(過積載率!AK11&gt;=1,ROUNDDOWN(((((1-1/MAX(100%,過積載率!AK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42.95</v>
      </c>
      <c r="AL11" s="86">
        <f>IF(過積載率!AL11&gt;=1,ROUNDDOWN(((((1-1/MAX(100%,過積載率!AL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43.06</v>
      </c>
      <c r="AM11" s="86">
        <f>IF(過積載率!AM11&gt;=1,ROUNDDOWN(((((1-1/MAX(100%,過積載率!AM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43.17</v>
      </c>
      <c r="AN11" s="86">
        <f>IF(過積載率!AN11&gt;=1,ROUNDDOWN(((((1-1/MAX(100%,過積載率!AN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43.26</v>
      </c>
      <c r="AO11" s="86">
        <f>IF(過積載率!AO11&gt;=1,ROUNDDOWN(((((1-1/MAX(100%,過積載率!AO11)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43.35</v>
      </c>
    </row>
    <row r="12" spans="1:41">
      <c r="A12">
        <v>10</v>
      </c>
      <c r="B12" s="86">
        <f>IF(過積載率!B12&gt;=1,ROUNDDOWN(((((1-1/MAX(100%,過積載率!B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2" s="86">
        <f>IF(過積載率!C12&gt;=1,ROUNDDOWN(((((1-1/MAX(100%,過積載率!C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2" s="86">
        <f>IF(過積載率!D12&gt;=1,ROUNDDOWN(((((1-1/MAX(100%,過積載率!D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2" s="86">
        <f>IF(過積載率!E12&gt;=1,ROUNDDOWN(((((1-1/MAX(100%,過積載率!E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2" s="86">
        <f>IF(過積載率!F12&gt;=1,ROUNDDOWN(((((1-1/MAX(100%,過積載率!F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2" s="86">
        <f>IF(過積載率!G12&gt;=1,ROUNDDOWN(((((1-1/MAX(100%,過積載率!G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2" s="86">
        <f>IF(過積載率!H12&gt;=1,ROUNDDOWN(((((1-1/MAX(100%,過積載率!H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2" s="86">
        <f>IF(過積載率!I12&gt;=1,ROUNDDOWN(((((1-1/MAX(100%,過積載率!I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2" s="86">
        <f>IF(過積載率!J12&gt;=1,ROUNDDOWN(((((1-1/MAX(100%,過積載率!J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2" s="86">
        <f>IF(過積載率!K12&gt;=1,ROUNDDOWN(((((1-1/MAX(100%,過積載率!K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2" s="86">
        <f>IF(過積載率!L12&gt;=1,ROUNDDOWN(((((1-1/MAX(100%,過積載率!L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2" s="86">
        <f>IF(過積載率!M12&gt;=1,ROUNDDOWN(((((1-1/MAX(100%,過積載率!M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2" s="86">
        <f>IF(過積載率!N12&gt;=1,ROUNDDOWN(((((1-1/MAX(100%,過積載率!N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12" s="86">
        <f>IF(過積載率!O12&gt;=1,ROUNDDOWN(((((1-1/MAX(100%,過積載率!O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12" s="86">
        <f>IF(過積載率!P12&gt;=1,ROUNDDOWN(((((1-1/MAX(100%,過積載率!P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12" s="86">
        <f>IF(過積載率!Q12&gt;=1,ROUNDDOWN(((((1-1/MAX(100%,過積載率!Q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12" s="86">
        <f>IF(過積載率!R12&gt;=1,ROUNDDOWN(((((1-1/MAX(100%,過積載率!R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12" s="86">
        <f>IF(過積載率!S12&gt;=1,ROUNDDOWN(((((1-1/MAX(100%,過積載率!S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12" s="86">
        <f>IF(過積載率!T12&gt;=1,ROUNDDOWN(((((1-1/MAX(100%,過積載率!T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12" s="86">
        <f>IF(過積載率!U12&gt;=1,ROUNDDOWN(((((1-1/MAX(100%,過積載率!U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12" s="86">
        <f>IF(過積載率!V12&gt;=1,ROUNDDOWN(((((1-1/MAX(100%,過積載率!V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39.04</v>
      </c>
      <c r="W12" s="86">
        <f>IF(過積載率!W12&gt;=1,ROUNDDOWN(((((1-1/MAX(100%,過積載率!W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40.130000000000003</v>
      </c>
      <c r="X12" s="86">
        <f>IF(過積載率!X12&gt;=1,ROUNDDOWN(((((1-1/MAX(100%,過積載率!X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40.72</v>
      </c>
      <c r="Y12" s="86">
        <f>IF(過積載率!Y12&gt;=1,ROUNDDOWN(((((1-1/MAX(100%,過積載率!Y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41.15</v>
      </c>
      <c r="Z12" s="86">
        <f>IF(過積載率!Z12&gt;=1,ROUNDDOWN(((((1-1/MAX(100%,過積載率!Z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41.5</v>
      </c>
      <c r="AA12" s="86">
        <f>IF(過積載率!AA12&gt;=1,ROUNDDOWN(((((1-1/MAX(100%,過積載率!AA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41.79</v>
      </c>
      <c r="AB12" s="86">
        <f>IF(過積載率!AB12&gt;=1,ROUNDDOWN(((((1-1/MAX(100%,過積載率!AB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42.03</v>
      </c>
      <c r="AC12" s="86">
        <f>IF(過積載率!AC12&gt;=1,ROUNDDOWN(((((1-1/MAX(100%,過積載率!AC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42.25</v>
      </c>
      <c r="AD12" s="86">
        <f>IF(過積載率!AD12&gt;=1,ROUNDDOWN(((((1-1/MAX(100%,過積載率!AD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42.44</v>
      </c>
      <c r="AE12" s="86">
        <f>IF(過積載率!AE12&gt;=1,ROUNDDOWN(((((1-1/MAX(100%,過積載率!AE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42.61</v>
      </c>
      <c r="AF12" s="86">
        <f>IF(過積載率!AF12&gt;=1,ROUNDDOWN(((((1-1/MAX(100%,過積載率!AF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42.76</v>
      </c>
      <c r="AG12" s="86">
        <f>IF(過積載率!AG12&gt;=1,ROUNDDOWN(((((1-1/MAX(100%,過積載率!AG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42.9</v>
      </c>
      <c r="AH12" s="86">
        <f>IF(過積載率!AH12&gt;=1,ROUNDDOWN(((((1-1/MAX(100%,過積載率!AH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43.03</v>
      </c>
      <c r="AI12" s="86">
        <f>IF(過積載率!AI12&gt;=1,ROUNDDOWN(((((1-1/MAX(100%,過積載率!AI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43.14</v>
      </c>
      <c r="AJ12" s="86">
        <f>IF(過積載率!AJ12&gt;=1,ROUNDDOWN(((((1-1/MAX(100%,過積載率!AJ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43.25</v>
      </c>
      <c r="AK12" s="86">
        <f>IF(過積載率!AK12&gt;=1,ROUNDDOWN(((((1-1/MAX(100%,過積載率!AK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43.35</v>
      </c>
      <c r="AL12" s="86">
        <f>IF(過積載率!AL12&gt;=1,ROUNDDOWN(((((1-1/MAX(100%,過積載率!AL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43.44</v>
      </c>
      <c r="AM12" s="86">
        <f>IF(過積載率!AM12&gt;=1,ROUNDDOWN(((((1-1/MAX(100%,過積載率!AM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43.53</v>
      </c>
      <c r="AN12" s="86">
        <f>IF(過積載率!AN12&gt;=1,ROUNDDOWN(((((1-1/MAX(100%,過積載率!AN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43.61</v>
      </c>
      <c r="AO12" s="86">
        <f>IF(過積載率!AO12&gt;=1,ROUNDDOWN(((((1-1/MAX(100%,過積載率!AO12)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43.68</v>
      </c>
    </row>
    <row r="13" spans="1:41">
      <c r="A13">
        <v>11</v>
      </c>
      <c r="B13" s="86">
        <f>IF(過積載率!B13&gt;=1,ROUNDDOWN(((((1-1/MAX(100%,過積載率!B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3" s="86">
        <f>IF(過積載率!C13&gt;=1,ROUNDDOWN(((((1-1/MAX(100%,過積載率!C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3" s="86">
        <f>IF(過積載率!D13&gt;=1,ROUNDDOWN(((((1-1/MAX(100%,過積載率!D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3" s="86">
        <f>IF(過積載率!E13&gt;=1,ROUNDDOWN(((((1-1/MAX(100%,過積載率!E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3" s="86">
        <f>IF(過積載率!F13&gt;=1,ROUNDDOWN(((((1-1/MAX(100%,過積載率!F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3" s="86">
        <f>IF(過積載率!G13&gt;=1,ROUNDDOWN(((((1-1/MAX(100%,過積載率!G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3" s="86">
        <f>IF(過積載率!H13&gt;=1,ROUNDDOWN(((((1-1/MAX(100%,過積載率!H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3" s="86">
        <f>IF(過積載率!I13&gt;=1,ROUNDDOWN(((((1-1/MAX(100%,過積載率!I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3" s="86">
        <f>IF(過積載率!J13&gt;=1,ROUNDDOWN(((((1-1/MAX(100%,過積載率!J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3" s="86">
        <f>IF(過積載率!K13&gt;=1,ROUNDDOWN(((((1-1/MAX(100%,過積載率!K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3" s="86">
        <f>IF(過積載率!L13&gt;=1,ROUNDDOWN(((((1-1/MAX(100%,過積載率!L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3" s="86">
        <f>IF(過積載率!M13&gt;=1,ROUNDDOWN(((((1-1/MAX(100%,過積載率!M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3" s="86">
        <f>IF(過積載率!N13&gt;=1,ROUNDDOWN(((((1-1/MAX(100%,過積載率!N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13" s="86">
        <f>IF(過積載率!O13&gt;=1,ROUNDDOWN(((((1-1/MAX(100%,過積載率!O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13" s="86">
        <f>IF(過積載率!P13&gt;=1,ROUNDDOWN(((((1-1/MAX(100%,過積載率!P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13" s="86">
        <f>IF(過積載率!Q13&gt;=1,ROUNDDOWN(((((1-1/MAX(100%,過積載率!Q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13" s="86">
        <f>IF(過積載率!R13&gt;=1,ROUNDDOWN(((((1-1/MAX(100%,過積載率!R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13" s="86">
        <f>IF(過積載率!S13&gt;=1,ROUNDDOWN(((((1-1/MAX(100%,過積載率!S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13" s="86">
        <f>IF(過積載率!T13&gt;=1,ROUNDDOWN(((((1-1/MAX(100%,過積載率!T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38.79</v>
      </c>
      <c r="U13" s="86">
        <f>IF(過積載率!U13&gt;=1,ROUNDDOWN(((((1-1/MAX(100%,過積載率!U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40.130000000000003</v>
      </c>
      <c r="V13" s="86">
        <f>IF(過積載率!V13&gt;=1,ROUNDDOWN(((((1-1/MAX(100%,過積載率!V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40.770000000000003</v>
      </c>
      <c r="W13" s="86">
        <f>IF(過積載率!W13&gt;=1,ROUNDDOWN(((((1-1/MAX(100%,過積載率!W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41.23</v>
      </c>
      <c r="X13" s="86">
        <f>IF(過積載率!X13&gt;=1,ROUNDDOWN(((((1-1/MAX(100%,過積載率!X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41.59</v>
      </c>
      <c r="Y13" s="86">
        <f>IF(過積載率!Y13&gt;=1,ROUNDDOWN(((((1-1/MAX(100%,過積載率!Y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41.89</v>
      </c>
      <c r="Z13" s="86">
        <f>IF(過積載率!Z13&gt;=1,ROUNDDOWN(((((1-1/MAX(100%,過積載率!Z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42.14</v>
      </c>
      <c r="AA13" s="86">
        <f>IF(過積載率!AA13&gt;=1,ROUNDDOWN(((((1-1/MAX(100%,過積載率!AA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42.37</v>
      </c>
      <c r="AB13" s="86">
        <f>IF(過積載率!AB13&gt;=1,ROUNDDOWN(((((1-1/MAX(100%,過積載率!AB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42.56</v>
      </c>
      <c r="AC13" s="86">
        <f>IF(過積載率!AC13&gt;=1,ROUNDDOWN(((((1-1/MAX(100%,過積載率!AC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42.73</v>
      </c>
      <c r="AD13" s="86">
        <f>IF(過積載率!AD13&gt;=1,ROUNDDOWN(((((1-1/MAX(100%,過積載率!AD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42.89</v>
      </c>
      <c r="AE13" s="86">
        <f>IF(過積載率!AE13&gt;=1,ROUNDDOWN(((((1-1/MAX(100%,過積載率!AE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43.03</v>
      </c>
      <c r="AF13" s="86">
        <f>IF(過積載率!AF13&gt;=1,ROUNDDOWN(((((1-1/MAX(100%,過積載率!AF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43.16</v>
      </c>
      <c r="AG13" s="86">
        <f>IF(過積載率!AG13&gt;=1,ROUNDDOWN(((((1-1/MAX(100%,過積載率!AG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43.27</v>
      </c>
      <c r="AH13" s="86">
        <f>IF(過積載率!AH13&gt;=1,ROUNDDOWN(((((1-1/MAX(100%,過積載率!AH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43.38</v>
      </c>
      <c r="AI13" s="86">
        <f>IF(過積載率!AI13&gt;=1,ROUNDDOWN(((((1-1/MAX(100%,過積載率!AI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43.48</v>
      </c>
      <c r="AJ13" s="86">
        <f>IF(過積載率!AJ13&gt;=1,ROUNDDOWN(((((1-1/MAX(100%,過積載率!AJ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43.57</v>
      </c>
      <c r="AK13" s="86">
        <f>IF(過積載率!AK13&gt;=1,ROUNDDOWN(((((1-1/MAX(100%,過積載率!AK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43.65</v>
      </c>
      <c r="AL13" s="86">
        <f>IF(過積載率!AL13&gt;=1,ROUNDDOWN(((((1-1/MAX(100%,過積載率!AL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43.73</v>
      </c>
      <c r="AM13" s="86">
        <f>IF(過積載率!AM13&gt;=1,ROUNDDOWN(((((1-1/MAX(100%,過積載率!AM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43.81</v>
      </c>
      <c r="AN13" s="86">
        <f>IF(過積載率!AN13&gt;=1,ROUNDDOWN(((((1-1/MAX(100%,過積載率!AN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43.88</v>
      </c>
      <c r="AO13" s="86">
        <f>IF(過積載率!AO13&gt;=1,ROUNDDOWN(((((1-1/MAX(100%,過積載率!AO13)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43.94</v>
      </c>
    </row>
    <row r="14" spans="1:41">
      <c r="A14">
        <v>12</v>
      </c>
      <c r="B14" s="86">
        <f>IF(過積載率!B14&gt;=1,ROUNDDOWN(((((1-1/MAX(100%,過積載率!B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4" s="86">
        <f>IF(過積載率!C14&gt;=1,ROUNDDOWN(((((1-1/MAX(100%,過積載率!C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4" s="86">
        <f>IF(過積載率!D14&gt;=1,ROUNDDOWN(((((1-1/MAX(100%,過積載率!D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4" s="86">
        <f>IF(過積載率!E14&gt;=1,ROUNDDOWN(((((1-1/MAX(100%,過積載率!E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4" s="86">
        <f>IF(過積載率!F14&gt;=1,ROUNDDOWN(((((1-1/MAX(100%,過積載率!F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4" s="86">
        <f>IF(過積載率!G14&gt;=1,ROUNDDOWN(((((1-1/MAX(100%,過積載率!G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4" s="86">
        <f>IF(過積載率!H14&gt;=1,ROUNDDOWN(((((1-1/MAX(100%,過積載率!H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4" s="86">
        <f>IF(過積載率!I14&gt;=1,ROUNDDOWN(((((1-1/MAX(100%,過積載率!I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4" s="86">
        <f>IF(過積載率!J14&gt;=1,ROUNDDOWN(((((1-1/MAX(100%,過積載率!J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4" s="86">
        <f>IF(過積載率!K14&gt;=1,ROUNDDOWN(((((1-1/MAX(100%,過積載率!K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4" s="86">
        <f>IF(過積載率!L14&gt;=1,ROUNDDOWN(((((1-1/MAX(100%,過積載率!L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4" s="86">
        <f>IF(過積載率!M14&gt;=1,ROUNDDOWN(((((1-1/MAX(100%,過積載率!M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4" s="86">
        <f>IF(過積載率!N14&gt;=1,ROUNDDOWN(((((1-1/MAX(100%,過積載率!N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14" s="86">
        <f>IF(過積載率!O14&gt;=1,ROUNDDOWN(((((1-1/MAX(100%,過積載率!O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14" s="86">
        <f>IF(過積載率!P14&gt;=1,ROUNDDOWN(((((1-1/MAX(100%,過積載率!P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14" s="86">
        <f>IF(過積載率!Q14&gt;=1,ROUNDDOWN(((((1-1/MAX(100%,過積載率!Q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14" s="86">
        <f>IF(過積載率!R14&gt;=1,ROUNDDOWN(((((1-1/MAX(100%,過積載率!R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14" s="86">
        <f>IF(過積載率!S14&gt;=1,ROUNDDOWN(((((1-1/MAX(100%,過積載率!S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39.81</v>
      </c>
      <c r="T14" s="86">
        <f>IF(過積載率!T14&gt;=1,ROUNDDOWN(((((1-1/MAX(100%,過積載率!T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40.619999999999997</v>
      </c>
      <c r="U14" s="86">
        <f>IF(過積載率!U14&gt;=1,ROUNDDOWN(((((1-1/MAX(100%,過積載率!U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41.15</v>
      </c>
      <c r="V14" s="86">
        <f>IF(過積載率!V14&gt;=1,ROUNDDOWN(((((1-1/MAX(100%,過積載率!V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41.56</v>
      </c>
      <c r="W14" s="86">
        <f>IF(過積載率!W14&gt;=1,ROUNDDOWN(((((1-1/MAX(100%,過積載率!W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41.89</v>
      </c>
      <c r="X14" s="86">
        <f>IF(過積載率!X14&gt;=1,ROUNDDOWN(((((1-1/MAX(100%,過積載率!X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42.17</v>
      </c>
      <c r="Y14" s="86">
        <f>IF(過積載率!Y14&gt;=1,ROUNDDOWN(((((1-1/MAX(100%,過積載率!Y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42.4</v>
      </c>
      <c r="Z14" s="86">
        <f>IF(過積載率!Z14&gt;=1,ROUNDDOWN(((((1-1/MAX(100%,過積載率!Z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42.61</v>
      </c>
      <c r="AA14" s="86">
        <f>IF(過積載率!AA14&gt;=1,ROUNDDOWN(((((1-1/MAX(100%,過積載率!AA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42.79</v>
      </c>
      <c r="AB14" s="86">
        <f>IF(過積載率!AB14&gt;=1,ROUNDDOWN(((((1-1/MAX(100%,過積載率!AB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42.95</v>
      </c>
      <c r="AC14" s="86">
        <f>IF(過積載率!AC14&gt;=1,ROUNDDOWN(((((1-1/MAX(100%,過積載率!AC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43.1</v>
      </c>
      <c r="AD14" s="86">
        <f>IF(過積載率!AD14&gt;=1,ROUNDDOWN(((((1-1/MAX(100%,過積載率!AD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43.23</v>
      </c>
      <c r="AE14" s="86">
        <f>IF(過積載率!AE14&gt;=1,ROUNDDOWN(((((1-1/MAX(100%,過積載率!AE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43.35</v>
      </c>
      <c r="AF14" s="86">
        <f>IF(過積載率!AF14&gt;=1,ROUNDDOWN(((((1-1/MAX(100%,過積載率!AF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43.46</v>
      </c>
      <c r="AG14" s="86">
        <f>IF(過積載率!AG14&gt;=1,ROUNDDOWN(((((1-1/MAX(100%,過積載率!AG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43.56</v>
      </c>
      <c r="AH14" s="86">
        <f>IF(過積載率!AH14&gt;=1,ROUNDDOWN(((((1-1/MAX(100%,過積載率!AH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43.65</v>
      </c>
      <c r="AI14" s="86">
        <f>IF(過積載率!AI14&gt;=1,ROUNDDOWN(((((1-1/MAX(100%,過積載率!AI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43.74</v>
      </c>
      <c r="AJ14" s="86">
        <f>IF(過積載率!AJ14&gt;=1,ROUNDDOWN(((((1-1/MAX(100%,過積載率!AJ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43.82</v>
      </c>
      <c r="AK14" s="86">
        <f>IF(過積載率!AK14&gt;=1,ROUNDDOWN(((((1-1/MAX(100%,過積載率!AK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43.89</v>
      </c>
      <c r="AL14" s="86">
        <f>IF(過積載率!AL14&gt;=1,ROUNDDOWN(((((1-1/MAX(100%,過積載率!AL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43.96</v>
      </c>
      <c r="AM14" s="86">
        <f>IF(過積載率!AM14&gt;=1,ROUNDDOWN(((((1-1/MAX(100%,過積載率!AM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44.03</v>
      </c>
      <c r="AN14" s="86">
        <f>IF(過積載率!AN14&gt;=1,ROUNDDOWN(((((1-1/MAX(100%,過積載率!AN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44.09</v>
      </c>
      <c r="AO14" s="86">
        <f>IF(過積載率!AO14&gt;=1,ROUNDDOWN(((((1-1/MAX(100%,過積載率!AO14)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44.15</v>
      </c>
    </row>
    <row r="15" spans="1:41">
      <c r="A15">
        <v>13</v>
      </c>
      <c r="B15" s="86">
        <f>IF(過積載率!B15&gt;=1,ROUNDDOWN(((((1-1/MAX(100%,過積載率!B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5" s="86">
        <f>IF(過積載率!C15&gt;=1,ROUNDDOWN(((((1-1/MAX(100%,過積載率!C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5" s="86">
        <f>IF(過積載率!D15&gt;=1,ROUNDDOWN(((((1-1/MAX(100%,過積載率!D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5" s="86">
        <f>IF(過積載率!E15&gt;=1,ROUNDDOWN(((((1-1/MAX(100%,過積載率!E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5" s="86">
        <f>IF(過積載率!F15&gt;=1,ROUNDDOWN(((((1-1/MAX(100%,過積載率!F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5" s="86">
        <f>IF(過積載率!G15&gt;=1,ROUNDDOWN(((((1-1/MAX(100%,過積載率!G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5" s="86">
        <f>IF(過積載率!H15&gt;=1,ROUNDDOWN(((((1-1/MAX(100%,過積載率!H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5" s="86">
        <f>IF(過積載率!I15&gt;=1,ROUNDDOWN(((((1-1/MAX(100%,過積載率!I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5" s="86">
        <f>IF(過積載率!J15&gt;=1,ROUNDDOWN(((((1-1/MAX(100%,過積載率!J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5" s="86">
        <f>IF(過積載率!K15&gt;=1,ROUNDDOWN(((((1-1/MAX(100%,過積載率!K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5" s="86">
        <f>IF(過積載率!L15&gt;=1,ROUNDDOWN(((((1-1/MAX(100%,過積載率!L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5" s="86">
        <f>IF(過積載率!M15&gt;=1,ROUNDDOWN(((((1-1/MAX(100%,過積載率!M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5" s="86">
        <f>IF(過積載率!N15&gt;=1,ROUNDDOWN(((((1-1/MAX(100%,過積載率!N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15" s="86">
        <f>IF(過積載率!O15&gt;=1,ROUNDDOWN(((((1-1/MAX(100%,過積載率!O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15" s="86">
        <f>IF(過積載率!P15&gt;=1,ROUNDDOWN(((((1-1/MAX(100%,過積載率!P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15" s="86">
        <f>IF(過積載率!Q15&gt;=1,ROUNDDOWN(((((1-1/MAX(100%,過積載率!Q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15" s="86">
        <f>IF(過積載率!R15&gt;=1,ROUNDDOWN(((((1-1/MAX(100%,過積載率!R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40.200000000000003</v>
      </c>
      <c r="S15" s="86">
        <f>IF(過積載率!S15&gt;=1,ROUNDDOWN(((((1-1/MAX(100%,過積載率!S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40.9</v>
      </c>
      <c r="T15" s="86">
        <f>IF(過積載率!T15&gt;=1,ROUNDDOWN(((((1-1/MAX(100%,過積載率!T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41.4</v>
      </c>
      <c r="U15" s="86">
        <f>IF(過積載率!U15&gt;=1,ROUNDDOWN(((((1-1/MAX(100%,過積載率!U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41.79</v>
      </c>
      <c r="V15" s="86">
        <f>IF(過積載率!V15&gt;=1,ROUNDDOWN(((((1-1/MAX(100%,過積載率!V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42.1</v>
      </c>
      <c r="W15" s="86">
        <f>IF(過積載率!W15&gt;=1,ROUNDDOWN(((((1-1/MAX(100%,過積載率!W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42.37</v>
      </c>
      <c r="X15" s="86">
        <f>IF(過積載率!X15&gt;=1,ROUNDDOWN(((((1-1/MAX(100%,過積載率!X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42.59</v>
      </c>
      <c r="Y15" s="86">
        <f>IF(過積載率!Y15&gt;=1,ROUNDDOWN(((((1-1/MAX(100%,過積載率!Y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42.79</v>
      </c>
      <c r="Z15" s="86">
        <f>IF(過積載率!Z15&gt;=1,ROUNDDOWN(((((1-1/MAX(100%,過積載率!Z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42.97</v>
      </c>
      <c r="AA15" s="86">
        <f>IF(過積載率!AA15&gt;=1,ROUNDDOWN(((((1-1/MAX(100%,過積載率!AA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43.12</v>
      </c>
      <c r="AB15" s="86">
        <f>IF(過積載率!AB15&gt;=1,ROUNDDOWN(((((1-1/MAX(100%,過積載率!AB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43.26</v>
      </c>
      <c r="AC15" s="86">
        <f>IF(過積載率!AC15&gt;=1,ROUNDDOWN(((((1-1/MAX(100%,過積載率!AC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43.39</v>
      </c>
      <c r="AD15" s="86">
        <f>IF(過積載率!AD15&gt;=1,ROUNDDOWN(((((1-1/MAX(100%,過積載率!AD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43.5</v>
      </c>
      <c r="AE15" s="86">
        <f>IF(過積載率!AE15&gt;=1,ROUNDDOWN(((((1-1/MAX(100%,過積載率!AE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43.61</v>
      </c>
      <c r="AF15" s="86">
        <f>IF(過積載率!AF15&gt;=1,ROUNDDOWN(((((1-1/MAX(100%,過積載率!AF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43.7</v>
      </c>
      <c r="AG15" s="86">
        <f>IF(過積載率!AG15&gt;=1,ROUNDDOWN(((((1-1/MAX(100%,過積載率!AG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43.79</v>
      </c>
      <c r="AH15" s="86">
        <f>IF(過積載率!AH15&gt;=1,ROUNDDOWN(((((1-1/MAX(100%,過積載率!AH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43.88</v>
      </c>
      <c r="AI15" s="86">
        <f>IF(過積載率!AI15&gt;=1,ROUNDDOWN(((((1-1/MAX(100%,過積載率!AI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43.95</v>
      </c>
      <c r="AJ15" s="86">
        <f>IF(過積載率!AJ15&gt;=1,ROUNDDOWN(((((1-1/MAX(100%,過積載率!AJ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44.02</v>
      </c>
      <c r="AK15" s="86">
        <f>IF(過積載率!AK15&gt;=1,ROUNDDOWN(((((1-1/MAX(100%,過積載率!AK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44.09</v>
      </c>
      <c r="AL15" s="86">
        <f>IF(過積載率!AL15&gt;=1,ROUNDDOWN(((((1-1/MAX(100%,過積載率!AL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44.15</v>
      </c>
      <c r="AM15" s="86">
        <f>IF(過積載率!AM15&gt;=1,ROUNDDOWN(((((1-1/MAX(100%,過積載率!AM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44.21</v>
      </c>
      <c r="AN15" s="86">
        <f>IF(過積載率!AN15&gt;=1,ROUNDDOWN(((((1-1/MAX(100%,過積載率!AN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44.26</v>
      </c>
      <c r="AO15" s="86">
        <f>IF(過積載率!AO15&gt;=1,ROUNDDOWN(((((1-1/MAX(100%,過積載率!AO15)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44.31</v>
      </c>
    </row>
    <row r="16" spans="1:41">
      <c r="A16">
        <v>14</v>
      </c>
      <c r="B16" s="86">
        <f>IF(過積載率!B16&gt;=1,ROUNDDOWN(((((1-1/MAX(100%,過積載率!B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6" s="86">
        <f>IF(過積載率!C16&gt;=1,ROUNDDOWN(((((1-1/MAX(100%,過積載率!C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6" s="86">
        <f>IF(過積載率!D16&gt;=1,ROUNDDOWN(((((1-1/MAX(100%,過積載率!D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6" s="86">
        <f>IF(過積載率!E16&gt;=1,ROUNDDOWN(((((1-1/MAX(100%,過積載率!E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6" s="86">
        <f>IF(過積載率!F16&gt;=1,ROUNDDOWN(((((1-1/MAX(100%,過積載率!F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6" s="86">
        <f>IF(過積載率!G16&gt;=1,ROUNDDOWN(((((1-1/MAX(100%,過積載率!G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6" s="86">
        <f>IF(過積載率!H16&gt;=1,ROUNDDOWN(((((1-1/MAX(100%,過積載率!H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6" s="86">
        <f>IF(過積載率!I16&gt;=1,ROUNDDOWN(((((1-1/MAX(100%,過積載率!I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6" s="86">
        <f>IF(過積載率!J16&gt;=1,ROUNDDOWN(((((1-1/MAX(100%,過積載率!J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6" s="86">
        <f>IF(過積載率!K16&gt;=1,ROUNDDOWN(((((1-1/MAX(100%,過積載率!K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6" s="86">
        <f>IF(過積載率!L16&gt;=1,ROUNDDOWN(((((1-1/MAX(100%,過積載率!L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6" s="86">
        <f>IF(過積載率!M16&gt;=1,ROUNDDOWN(((((1-1/MAX(100%,過積載率!M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6" s="86">
        <f>IF(過積載率!N16&gt;=1,ROUNDDOWN(((((1-1/MAX(100%,過積載率!N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16" s="86">
        <f>IF(過積載率!O16&gt;=1,ROUNDDOWN(((((1-1/MAX(100%,過積載率!O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16" s="86">
        <f>IF(過積載率!P16&gt;=1,ROUNDDOWN(((((1-1/MAX(100%,過積載率!P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39.04</v>
      </c>
      <c r="Q16" s="86">
        <f>IF(過積載率!Q16&gt;=1,ROUNDDOWN(((((1-1/MAX(100%,過積載率!Q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40.39</v>
      </c>
      <c r="R16" s="86">
        <f>IF(過積載率!R16&gt;=1,ROUNDDOWN(((((1-1/MAX(100%,過積載率!R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41.07</v>
      </c>
      <c r="S16" s="86">
        <f>IF(過積載率!S16&gt;=1,ROUNDDOWN(((((1-1/MAX(100%,過積載率!S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41.56</v>
      </c>
      <c r="T16" s="86">
        <f>IF(過積載率!T16&gt;=1,ROUNDDOWN(((((1-1/MAX(100%,過積載率!T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41.94</v>
      </c>
      <c r="U16" s="86">
        <f>IF(過積載率!U16&gt;=1,ROUNDDOWN(((((1-1/MAX(100%,過積載率!U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42.25</v>
      </c>
      <c r="V16" s="86">
        <f>IF(過積載率!V16&gt;=1,ROUNDDOWN(((((1-1/MAX(100%,過積載率!V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42.51</v>
      </c>
      <c r="W16" s="86">
        <f>IF(過積載率!W16&gt;=1,ROUNDDOWN(((((1-1/MAX(100%,過積載率!W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42.73</v>
      </c>
      <c r="X16" s="86">
        <f>IF(過積載率!X16&gt;=1,ROUNDDOWN(((((1-1/MAX(100%,過積載率!X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42.93</v>
      </c>
      <c r="Y16" s="86">
        <f>IF(過積載率!Y16&gt;=1,ROUNDDOWN(((((1-1/MAX(100%,過積載率!Y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43.1</v>
      </c>
      <c r="Z16" s="86">
        <f>IF(過積載率!Z16&gt;=1,ROUNDDOWN(((((1-1/MAX(100%,過積載率!Z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43.25</v>
      </c>
      <c r="AA16" s="86">
        <f>IF(過積載率!AA16&gt;=1,ROUNDDOWN(((((1-1/MAX(100%,過積載率!AA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43.39</v>
      </c>
      <c r="AB16" s="86">
        <f>IF(過積載率!AB16&gt;=1,ROUNDDOWN(((((1-1/MAX(100%,過積載率!AB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43.51</v>
      </c>
      <c r="AC16" s="86">
        <f>IF(過積載率!AC16&gt;=1,ROUNDDOWN(((((1-1/MAX(100%,過積載率!AC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43.62</v>
      </c>
      <c r="AD16" s="86">
        <f>IF(過積載率!AD16&gt;=1,ROUNDDOWN(((((1-1/MAX(100%,過積載率!AD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43.73</v>
      </c>
      <c r="AE16" s="86">
        <f>IF(過積載率!AE16&gt;=1,ROUNDDOWN(((((1-1/MAX(100%,過積載率!AE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43.82</v>
      </c>
      <c r="AF16" s="86">
        <f>IF(過積載率!AF16&gt;=1,ROUNDDOWN(((((1-1/MAX(100%,過積載率!AF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43.91</v>
      </c>
      <c r="AG16" s="86">
        <f>IF(過積載率!AG16&gt;=1,ROUNDDOWN(((((1-1/MAX(100%,過積載率!AG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43.98</v>
      </c>
      <c r="AH16" s="86">
        <f>IF(過積載率!AH16&gt;=1,ROUNDDOWN(((((1-1/MAX(100%,過積載率!AH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44.06</v>
      </c>
      <c r="AI16" s="86">
        <f>IF(過積載率!AI16&gt;=1,ROUNDDOWN(((((1-1/MAX(100%,過積載率!AI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44.13</v>
      </c>
      <c r="AJ16" s="86">
        <f>IF(過積載率!AJ16&gt;=1,ROUNDDOWN(((((1-1/MAX(100%,過積載率!AJ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44.19</v>
      </c>
      <c r="AK16" s="86">
        <f>IF(過積載率!AK16&gt;=1,ROUNDDOWN(((((1-1/MAX(100%,過積載率!AK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44.25</v>
      </c>
      <c r="AL16" s="86">
        <f>IF(過積載率!AL16&gt;=1,ROUNDDOWN(((((1-1/MAX(100%,過積載率!AL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44.31</v>
      </c>
      <c r="AM16" s="86">
        <f>IF(過積載率!AM16&gt;=1,ROUNDDOWN(((((1-1/MAX(100%,過積載率!AM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44.36</v>
      </c>
      <c r="AN16" s="86">
        <f>IF(過積載率!AN16&gt;=1,ROUNDDOWN(((((1-1/MAX(100%,過積載率!AN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44.41</v>
      </c>
      <c r="AO16" s="86">
        <f>IF(過積載率!AO16&gt;=1,ROUNDDOWN(((((1-1/MAX(100%,過積載率!AO16)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44.45</v>
      </c>
    </row>
    <row r="17" spans="1:41">
      <c r="A17">
        <v>15</v>
      </c>
      <c r="B17" s="86">
        <f>IF(過積載率!B17&gt;=1,ROUNDDOWN(((((1-1/MAX(100%,過積載率!B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7" s="86">
        <f>IF(過積載率!C17&gt;=1,ROUNDDOWN(((((1-1/MAX(100%,過積載率!C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7" s="86">
        <f>IF(過積載率!D17&gt;=1,ROUNDDOWN(((((1-1/MAX(100%,過積載率!D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7" s="86">
        <f>IF(過積載率!E17&gt;=1,ROUNDDOWN(((((1-1/MAX(100%,過積載率!E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7" s="86">
        <f>IF(過積載率!F17&gt;=1,ROUNDDOWN(((((1-1/MAX(100%,過積載率!F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7" s="86">
        <f>IF(過積載率!G17&gt;=1,ROUNDDOWN(((((1-1/MAX(100%,過積載率!G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7" s="86">
        <f>IF(過積載率!H17&gt;=1,ROUNDDOWN(((((1-1/MAX(100%,過積載率!H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7" s="86">
        <f>IF(過積載率!I17&gt;=1,ROUNDDOWN(((((1-1/MAX(100%,過積載率!I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7" s="86">
        <f>IF(過積載率!J17&gt;=1,ROUNDDOWN(((((1-1/MAX(100%,過積載率!J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7" s="86">
        <f>IF(過積載率!K17&gt;=1,ROUNDDOWN(((((1-1/MAX(100%,過積載率!K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7" s="86">
        <f>IF(過積載率!L17&gt;=1,ROUNDDOWN(((((1-1/MAX(100%,過積載率!L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7" s="86">
        <f>IF(過積載率!M17&gt;=1,ROUNDDOWN(((((1-1/MAX(100%,過積載率!M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7" s="86">
        <f>IF(過積載率!N17&gt;=1,ROUNDDOWN(((((1-1/MAX(100%,過積載率!N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17" s="86">
        <f>IF(過積載率!O17&gt;=1,ROUNDDOWN(((((1-1/MAX(100%,過積載率!O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39.04</v>
      </c>
      <c r="P17" s="86">
        <f>IF(過積載率!P17&gt;=1,ROUNDDOWN(((((1-1/MAX(100%,過積載率!P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40.450000000000003</v>
      </c>
      <c r="Q17" s="86">
        <f>IF(過積載率!Q17&gt;=1,ROUNDDOWN(((((1-1/MAX(100%,過積載率!Q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41.15</v>
      </c>
      <c r="R17" s="86">
        <f>IF(過積載率!R17&gt;=1,ROUNDDOWN(((((1-1/MAX(100%,過積載率!R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41.65</v>
      </c>
      <c r="S17" s="86">
        <f>IF(過積載率!S17&gt;=1,ROUNDDOWN(((((1-1/MAX(100%,過積載率!S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42.03</v>
      </c>
      <c r="T17" s="86">
        <f>IF(過積載率!T17&gt;=1,ROUNDDOWN(((((1-1/MAX(100%,過積載率!T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42.35</v>
      </c>
      <c r="U17" s="86">
        <f>IF(過積載率!U17&gt;=1,ROUNDDOWN(((((1-1/MAX(100%,過積載率!U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42.61</v>
      </c>
      <c r="V17" s="86">
        <f>IF(過積載率!V17&gt;=1,ROUNDDOWN(((((1-1/MAX(100%,過積載率!V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42.83</v>
      </c>
      <c r="W17" s="86">
        <f>IF(過積載率!W17&gt;=1,ROUNDDOWN(((((1-1/MAX(100%,過積載率!W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43.03</v>
      </c>
      <c r="X17" s="86">
        <f>IF(過積載率!X17&gt;=1,ROUNDDOWN(((((1-1/MAX(100%,過積載率!X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43.2</v>
      </c>
      <c r="Y17" s="86">
        <f>IF(過積載率!Y17&gt;=1,ROUNDDOWN(((((1-1/MAX(100%,過積載率!Y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43.35</v>
      </c>
      <c r="Z17" s="86">
        <f>IF(過積載率!Z17&gt;=1,ROUNDDOWN(((((1-1/MAX(100%,過積載率!Z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43.49</v>
      </c>
      <c r="AA17" s="86">
        <f>IF(過積載率!AA17&gt;=1,ROUNDDOWN(((((1-1/MAX(100%,過積載率!AA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43.61</v>
      </c>
      <c r="AB17" s="86">
        <f>IF(過積載率!AB17&gt;=1,ROUNDDOWN(((((1-1/MAX(100%,過積載率!AB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43.72</v>
      </c>
      <c r="AC17" s="86">
        <f>IF(過積載率!AC17&gt;=1,ROUNDDOWN(((((1-1/MAX(100%,過積載率!AC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43.82</v>
      </c>
      <c r="AD17" s="86">
        <f>IF(過積載率!AD17&gt;=1,ROUNDDOWN(((((1-1/MAX(100%,過積載率!AD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43.91</v>
      </c>
      <c r="AE17" s="86">
        <f>IF(過積載率!AE17&gt;=1,ROUNDDOWN(((((1-1/MAX(100%,過積載率!AE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v>
      </c>
      <c r="AF17" s="86">
        <f>IF(過積載率!AF17&gt;=1,ROUNDDOWN(((((1-1/MAX(100%,過積載率!AF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44.07</v>
      </c>
      <c r="AG17" s="86">
        <f>IF(過積載率!AG17&gt;=1,ROUNDDOWN(((((1-1/MAX(100%,過積載率!AG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44.15</v>
      </c>
      <c r="AH17" s="86">
        <f>IF(過積載率!AH17&gt;=1,ROUNDDOWN(((((1-1/MAX(100%,過積載率!AH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44.21</v>
      </c>
      <c r="AI17" s="86">
        <f>IF(過積載率!AI17&gt;=1,ROUNDDOWN(((((1-1/MAX(100%,過積載率!AI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44.27</v>
      </c>
      <c r="AJ17" s="86">
        <f>IF(過積載率!AJ17&gt;=1,ROUNDDOWN(((((1-1/MAX(100%,過積載率!AJ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44.33</v>
      </c>
      <c r="AK17" s="86">
        <f>IF(過積載率!AK17&gt;=1,ROUNDDOWN(((((1-1/MAX(100%,過積載率!AK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44.39</v>
      </c>
      <c r="AL17" s="86">
        <f>IF(過積載率!AL17&gt;=1,ROUNDDOWN(((((1-1/MAX(100%,過積載率!AL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44.44</v>
      </c>
      <c r="AM17" s="86">
        <f>IF(過積載率!AM17&gt;=1,ROUNDDOWN(((((1-1/MAX(100%,過積載率!AM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44.49</v>
      </c>
      <c r="AN17" s="86">
        <f>IF(過積載率!AN17&gt;=1,ROUNDDOWN(((((1-1/MAX(100%,過積載率!AN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44.53</v>
      </c>
      <c r="AO17" s="86">
        <f>IF(過積載率!AO17&gt;=1,ROUNDDOWN(((((1-1/MAX(100%,過積載率!AO17)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44.57</v>
      </c>
    </row>
    <row r="18" spans="1:41">
      <c r="A18">
        <v>16</v>
      </c>
      <c r="B18" s="86">
        <f>IF(過積載率!B18&gt;=1,ROUNDDOWN(((((1-1/MAX(100%,過積載率!B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8" s="86">
        <f>IF(過積載率!C18&gt;=1,ROUNDDOWN(((((1-1/MAX(100%,過積載率!C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8" s="86">
        <f>IF(過積載率!D18&gt;=1,ROUNDDOWN(((((1-1/MAX(100%,過積載率!D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8" s="86">
        <f>IF(過積載率!E18&gt;=1,ROUNDDOWN(((((1-1/MAX(100%,過積載率!E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8" s="86">
        <f>IF(過積載率!F18&gt;=1,ROUNDDOWN(((((1-1/MAX(100%,過積載率!F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8" s="86">
        <f>IF(過積載率!G18&gt;=1,ROUNDDOWN(((((1-1/MAX(100%,過積載率!G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8" s="86">
        <f>IF(過積載率!H18&gt;=1,ROUNDDOWN(((((1-1/MAX(100%,過積載率!H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8" s="86">
        <f>IF(過積載率!I18&gt;=1,ROUNDDOWN(((((1-1/MAX(100%,過積載率!I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8" s="86">
        <f>IF(過積載率!J18&gt;=1,ROUNDDOWN(((((1-1/MAX(100%,過積載率!J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8" s="86">
        <f>IF(過積載率!K18&gt;=1,ROUNDDOWN(((((1-1/MAX(100%,過積載率!K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8" s="86">
        <f>IF(過積載率!L18&gt;=1,ROUNDDOWN(((((1-1/MAX(100%,過積載率!L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8" s="86">
        <f>IF(過積載率!M18&gt;=1,ROUNDDOWN(((((1-1/MAX(100%,過積載率!M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8" s="86">
        <f>IF(過積載率!N18&gt;=1,ROUNDDOWN(((((1-1/MAX(100%,過積載率!N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18" s="86">
        <f>IF(過積載率!O18&gt;=1,ROUNDDOWN(((((1-1/MAX(100%,過積載率!O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40.39</v>
      </c>
      <c r="P18" s="86">
        <f>IF(過積載率!P18&gt;=1,ROUNDDOWN(((((1-1/MAX(100%,過積載率!P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41.15</v>
      </c>
      <c r="Q18" s="86">
        <f>IF(過積載率!Q18&gt;=1,ROUNDDOWN(((((1-1/MAX(100%,過積載率!Q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41.68</v>
      </c>
      <c r="R18" s="86">
        <f>IF(過積載率!R18&gt;=1,ROUNDDOWN(((((1-1/MAX(100%,過積載率!R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42.08</v>
      </c>
      <c r="S18" s="86">
        <f>IF(過積載率!S18&gt;=1,ROUNDDOWN(((((1-1/MAX(100%,過積載率!S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42.4</v>
      </c>
      <c r="T18" s="86">
        <f>IF(過積載率!T18&gt;=1,ROUNDDOWN(((((1-1/MAX(100%,過積載率!T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42.67</v>
      </c>
      <c r="U18" s="86">
        <f>IF(過積載率!U18&gt;=1,ROUNDDOWN(((((1-1/MAX(100%,過積載率!U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42.9</v>
      </c>
      <c r="V18" s="86">
        <f>IF(過積載率!V18&gt;=1,ROUNDDOWN(((((1-1/MAX(100%,過積載率!V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43.1</v>
      </c>
      <c r="W18" s="86">
        <f>IF(過積載率!W18&gt;=1,ROUNDDOWN(((((1-1/MAX(100%,過積載率!W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43.27</v>
      </c>
      <c r="X18" s="86">
        <f>IF(過積載率!X18&gt;=1,ROUNDDOWN(((((1-1/MAX(100%,過積載率!X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43.42</v>
      </c>
      <c r="Y18" s="86">
        <f>IF(過積載率!Y18&gt;=1,ROUNDDOWN(((((1-1/MAX(100%,過積載率!Y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43.56</v>
      </c>
      <c r="Z18" s="86">
        <f>IF(過積載率!Z18&gt;=1,ROUNDDOWN(((((1-1/MAX(100%,過積載率!Z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43.68</v>
      </c>
      <c r="AA18" s="86">
        <f>IF(過積載率!AA18&gt;=1,ROUNDDOWN(((((1-1/MAX(100%,過積載率!AA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43.79</v>
      </c>
      <c r="AB18" s="86">
        <f>IF(過積載率!AB18&gt;=1,ROUNDDOWN(((((1-1/MAX(100%,過積載率!AB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43.89</v>
      </c>
      <c r="AC18" s="86">
        <f>IF(過積載率!AC18&gt;=1,ROUNDDOWN(((((1-1/MAX(100%,過積載率!AC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43.98</v>
      </c>
      <c r="AD18" s="86">
        <f>IF(過積載率!AD18&gt;=1,ROUNDDOWN(((((1-1/MAX(100%,過積載率!AD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44.07</v>
      </c>
      <c r="AE18" s="86">
        <f>IF(過積載率!AE18&gt;=1,ROUNDDOWN(((((1-1/MAX(100%,過積載率!AE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44.15</v>
      </c>
      <c r="AF18" s="86">
        <f>IF(過積載率!AF18&gt;=1,ROUNDDOWN(((((1-1/MAX(100%,過積載率!AF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44.22</v>
      </c>
      <c r="AG18" s="86">
        <f>IF(過積載率!AG18&gt;=1,ROUNDDOWN(((((1-1/MAX(100%,過積載率!AG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44.28</v>
      </c>
      <c r="AH18" s="86">
        <f>IF(過積載率!AH18&gt;=1,ROUNDDOWN(((((1-1/MAX(100%,過積載率!AH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44.34</v>
      </c>
      <c r="AI18" s="86">
        <f>IF(過積載率!AI18&gt;=1,ROUNDDOWN(((((1-1/MAX(100%,過積載率!AI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44.4</v>
      </c>
      <c r="AJ18" s="86">
        <f>IF(過積載率!AJ18&gt;=1,ROUNDDOWN(((((1-1/MAX(100%,過積載率!AJ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44.45</v>
      </c>
      <c r="AK18" s="86">
        <f>IF(過積載率!AK18&gt;=1,ROUNDDOWN(((((1-1/MAX(100%,過積載率!AK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44.5</v>
      </c>
      <c r="AL18" s="86">
        <f>IF(過積載率!AL18&gt;=1,ROUNDDOWN(((((1-1/MAX(100%,過積載率!AL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44.55</v>
      </c>
      <c r="AM18" s="86">
        <f>IF(過積載率!AM18&gt;=1,ROUNDDOWN(((((1-1/MAX(100%,過積載率!AM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44.6</v>
      </c>
      <c r="AN18" s="86">
        <f>IF(過積載率!AN18&gt;=1,ROUNDDOWN(((((1-1/MAX(100%,過積載率!AN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44.64</v>
      </c>
      <c r="AO18" s="86">
        <f>IF(過積載率!AO18&gt;=1,ROUNDDOWN(((((1-1/MAX(100%,過積載率!AO18)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44.68</v>
      </c>
    </row>
    <row r="19" spans="1:41">
      <c r="A19">
        <v>17</v>
      </c>
      <c r="B19" s="86">
        <f>IF(過積載率!B19&gt;=1,ROUNDDOWN(((((1-1/MAX(100%,過積載率!B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19" s="86">
        <f>IF(過積載率!C19&gt;=1,ROUNDDOWN(((((1-1/MAX(100%,過積載率!C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19" s="86">
        <f>IF(過積載率!D19&gt;=1,ROUNDDOWN(((((1-1/MAX(100%,過積載率!D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19" s="86">
        <f>IF(過積載率!E19&gt;=1,ROUNDDOWN(((((1-1/MAX(100%,過積載率!E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19" s="86">
        <f>IF(過積載率!F19&gt;=1,ROUNDDOWN(((((1-1/MAX(100%,過積載率!F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19" s="86">
        <f>IF(過積載率!G19&gt;=1,ROUNDDOWN(((((1-1/MAX(100%,過積載率!G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19" s="86">
        <f>IF(過積載率!H19&gt;=1,ROUNDDOWN(((((1-1/MAX(100%,過積載率!H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19" s="86">
        <f>IF(過積載率!I19&gt;=1,ROUNDDOWN(((((1-1/MAX(100%,過積載率!I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19" s="86">
        <f>IF(過積載率!J19&gt;=1,ROUNDDOWN(((((1-1/MAX(100%,過積載率!J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19" s="86">
        <f>IF(過積載率!K19&gt;=1,ROUNDDOWN(((((1-1/MAX(100%,過積載率!K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19" s="86">
        <f>IF(過積載率!L19&gt;=1,ROUNDDOWN(((((1-1/MAX(100%,過積載率!L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19" s="86">
        <f>IF(過積載率!M19&gt;=1,ROUNDDOWN(((((1-1/MAX(100%,過積載率!M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19" s="86">
        <f>IF(過積載率!N19&gt;=1,ROUNDDOWN(((((1-1/MAX(100%,過積載率!N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40.200000000000003</v>
      </c>
      <c r="O19" s="86">
        <f>IF(過積載率!O19&gt;=1,ROUNDDOWN(((((1-1/MAX(100%,過積載率!O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41.07</v>
      </c>
      <c r="P19" s="86">
        <f>IF(過積載率!P19&gt;=1,ROUNDDOWN(((((1-1/MAX(100%,過積載率!P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41.65</v>
      </c>
      <c r="Q19" s="86">
        <f>IF(過積載率!Q19&gt;=1,ROUNDDOWN(((((1-1/MAX(100%,過積載率!Q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42.08</v>
      </c>
      <c r="R19" s="86">
        <f>IF(過積載率!R19&gt;=1,ROUNDDOWN(((((1-1/MAX(100%,過積載率!R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42.42</v>
      </c>
      <c r="S19" s="86">
        <f>IF(過積載率!S19&gt;=1,ROUNDDOWN(((((1-1/MAX(100%,過積載率!S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42.7</v>
      </c>
      <c r="T19" s="86">
        <f>IF(過積載率!T19&gt;=1,ROUNDDOWN(((((1-1/MAX(100%,過積載率!T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42.94</v>
      </c>
      <c r="U19" s="86">
        <f>IF(過積載率!U19&gt;=1,ROUNDDOWN(((((1-1/MAX(100%,過積載率!U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43.14</v>
      </c>
      <c r="V19" s="86">
        <f>IF(過積載率!V19&gt;=1,ROUNDDOWN(((((1-1/MAX(100%,過積載率!V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43.32</v>
      </c>
      <c r="W19" s="86">
        <f>IF(過積載率!W19&gt;=1,ROUNDDOWN(((((1-1/MAX(100%,過積載率!W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43.48</v>
      </c>
      <c r="X19" s="86">
        <f>IF(過積載率!X19&gt;=1,ROUNDDOWN(((((1-1/MAX(100%,過積載率!X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43.62</v>
      </c>
      <c r="Y19" s="86">
        <f>IF(過積載率!Y19&gt;=1,ROUNDDOWN(((((1-1/MAX(100%,過積載率!Y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43.74</v>
      </c>
      <c r="Z19" s="86">
        <f>IF(過積載率!Z19&gt;=1,ROUNDDOWN(((((1-1/MAX(100%,過積載率!Z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43.85</v>
      </c>
      <c r="AA19" s="86">
        <f>IF(過積載率!AA19&gt;=1,ROUNDDOWN(((((1-1/MAX(100%,過積載率!AA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43.95</v>
      </c>
      <c r="AB19" s="86">
        <f>IF(過積載率!AB19&gt;=1,ROUNDDOWN(((((1-1/MAX(100%,過積載率!AB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44.04</v>
      </c>
      <c r="AC19" s="86">
        <f>IF(過積載率!AC19&gt;=1,ROUNDDOWN(((((1-1/MAX(100%,過積載率!AC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44.13</v>
      </c>
      <c r="AD19" s="86">
        <f>IF(過積載率!AD19&gt;=1,ROUNDDOWN(((((1-1/MAX(100%,過積載率!AD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v>
      </c>
      <c r="AE19" s="86">
        <f>IF(過積載率!AE19&gt;=1,ROUNDDOWN(((((1-1/MAX(100%,過積載率!AE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44.27</v>
      </c>
      <c r="AF19" s="86">
        <f>IF(過積載率!AF19&gt;=1,ROUNDDOWN(((((1-1/MAX(100%,過積載率!AF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44.34</v>
      </c>
      <c r="AG19" s="86">
        <f>IF(過積載率!AG19&gt;=1,ROUNDDOWN(((((1-1/MAX(100%,過積載率!AG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44.4</v>
      </c>
      <c r="AH19" s="86">
        <f>IF(過積載率!AH19&gt;=1,ROUNDDOWN(((((1-1/MAX(100%,過積載率!AH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44.46</v>
      </c>
      <c r="AI19" s="86">
        <f>IF(過積載率!AI19&gt;=1,ROUNDDOWN(((((1-1/MAX(100%,過積載率!AI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44.51</v>
      </c>
      <c r="AJ19" s="86">
        <f>IF(過積載率!AJ19&gt;=1,ROUNDDOWN(((((1-1/MAX(100%,過積載率!AJ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44.56</v>
      </c>
      <c r="AK19" s="86">
        <f>IF(過積載率!AK19&gt;=1,ROUNDDOWN(((((1-1/MAX(100%,過積載率!AK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44.61</v>
      </c>
      <c r="AL19" s="86">
        <f>IF(過積載率!AL19&gt;=1,ROUNDDOWN(((((1-1/MAX(100%,過積載率!AL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44.65</v>
      </c>
      <c r="AM19" s="86">
        <f>IF(過積載率!AM19&gt;=1,ROUNDDOWN(((((1-1/MAX(100%,過積載率!AM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44.69</v>
      </c>
      <c r="AN19" s="86">
        <f>IF(過積載率!AN19&gt;=1,ROUNDDOWN(((((1-1/MAX(100%,過積載率!AN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44.73</v>
      </c>
      <c r="AO19" s="86">
        <f>IF(過積載率!AO19&gt;=1,ROUNDDOWN(((((1-1/MAX(100%,過積載率!AO19)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44.77</v>
      </c>
    </row>
    <row r="20" spans="1:41">
      <c r="A20">
        <v>18</v>
      </c>
      <c r="B20" s="86">
        <f>IF(過積載率!B20&gt;=1,ROUNDDOWN(((((1-1/MAX(100%,過積載率!B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0" s="86">
        <f>IF(過積載率!C20&gt;=1,ROUNDDOWN(((((1-1/MAX(100%,過積載率!C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0" s="86">
        <f>IF(過積載率!D20&gt;=1,ROUNDDOWN(((((1-1/MAX(100%,過積載率!D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0" s="86">
        <f>IF(過積載率!E20&gt;=1,ROUNDDOWN(((((1-1/MAX(100%,過積載率!E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0" s="86">
        <f>IF(過積載率!F20&gt;=1,ROUNDDOWN(((((1-1/MAX(100%,過積載率!F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0" s="86">
        <f>IF(過積載率!G20&gt;=1,ROUNDDOWN(((((1-1/MAX(100%,過積載率!G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0" s="86">
        <f>IF(過積載率!H20&gt;=1,ROUNDDOWN(((((1-1/MAX(100%,過積載率!H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0" s="86">
        <f>IF(過積載率!I20&gt;=1,ROUNDDOWN(((((1-1/MAX(100%,過積載率!I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0" s="86">
        <f>IF(過積載率!J20&gt;=1,ROUNDDOWN(((((1-1/MAX(100%,過積載率!J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0" s="86">
        <f>IF(過積載率!K20&gt;=1,ROUNDDOWN(((((1-1/MAX(100%,過積載率!K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0" s="86">
        <f>IF(過積載率!L20&gt;=1,ROUNDDOWN(((((1-1/MAX(100%,過積載率!L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0" s="86">
        <f>IF(過積載率!M20&gt;=1,ROUNDDOWN(((((1-1/MAX(100%,過積載率!M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39.81</v>
      </c>
      <c r="N20" s="86">
        <f>IF(過積載率!N20&gt;=1,ROUNDDOWN(((((1-1/MAX(100%,過積載率!N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40.9</v>
      </c>
      <c r="O20" s="86">
        <f>IF(過積載率!O20&gt;=1,ROUNDDOWN(((((1-1/MAX(100%,過積載率!O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41.56</v>
      </c>
      <c r="P20" s="86">
        <f>IF(過積載率!P20&gt;=1,ROUNDDOWN(((((1-1/MAX(100%,過積載率!P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42.03</v>
      </c>
      <c r="Q20" s="86">
        <f>IF(過積載率!Q20&gt;=1,ROUNDDOWN(((((1-1/MAX(100%,過積載率!Q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42.4</v>
      </c>
      <c r="R20" s="86">
        <f>IF(過積載率!R20&gt;=1,ROUNDDOWN(((((1-1/MAX(100%,過積載率!R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42.7</v>
      </c>
      <c r="S20" s="86">
        <f>IF(過積載率!S20&gt;=1,ROUNDDOWN(((((1-1/MAX(100%,過積載率!S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42.95</v>
      </c>
      <c r="T20" s="86">
        <f>IF(過積載率!T20&gt;=1,ROUNDDOWN(((((1-1/MAX(100%,過積載率!T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43.17</v>
      </c>
      <c r="U20" s="86">
        <f>IF(過積載率!U20&gt;=1,ROUNDDOWN(((((1-1/MAX(100%,過積載率!U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43.35</v>
      </c>
      <c r="V20" s="86">
        <f>IF(過積載率!V20&gt;=1,ROUNDDOWN(((((1-1/MAX(100%,過積載率!V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43.51</v>
      </c>
      <c r="W20" s="86">
        <f>IF(過積載率!W20&gt;=1,ROUNDDOWN(((((1-1/MAX(100%,過積載率!W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43.65</v>
      </c>
      <c r="X20" s="86">
        <f>IF(過積載率!X20&gt;=1,ROUNDDOWN(((((1-1/MAX(100%,過積載率!X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43.78</v>
      </c>
      <c r="Y20" s="86">
        <f>IF(過積載率!Y20&gt;=1,ROUNDDOWN(((((1-1/MAX(100%,過積載率!Y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43.89</v>
      </c>
      <c r="Z20" s="86">
        <f>IF(過積載率!Z20&gt;=1,ROUNDDOWN(((((1-1/MAX(100%,過積載率!Z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v>
      </c>
      <c r="AA20" s="86">
        <f>IF(過積載率!AA20&gt;=1,ROUNDDOWN(((((1-1/MAX(100%,過積載率!AA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44.09</v>
      </c>
      <c r="AB20" s="86">
        <f>IF(過積載率!AB20&gt;=1,ROUNDDOWN(((((1-1/MAX(100%,過積載率!AB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44.17</v>
      </c>
      <c r="AC20" s="86">
        <f>IF(過積載率!AC20&gt;=1,ROUNDDOWN(((((1-1/MAX(100%,過積載率!AC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44.25</v>
      </c>
      <c r="AD20" s="86">
        <f>IF(過積載率!AD20&gt;=1,ROUNDDOWN(((((1-1/MAX(100%,過積載率!AD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44.32</v>
      </c>
      <c r="AE20" s="86">
        <f>IF(過積載率!AE20&gt;=1,ROUNDDOWN(((((1-1/MAX(100%,過積載率!AE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44.39</v>
      </c>
      <c r="AF20" s="86">
        <f>IF(過積載率!AF20&gt;=1,ROUNDDOWN(((((1-1/MAX(100%,過積載率!AF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44.45</v>
      </c>
      <c r="AG20" s="86">
        <f>IF(過積載率!AG20&gt;=1,ROUNDDOWN(((((1-1/MAX(100%,過積載率!AG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44.5</v>
      </c>
      <c r="AH20" s="86">
        <f>IF(過積載率!AH20&gt;=1,ROUNDDOWN(((((1-1/MAX(100%,過積載率!AH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44.56</v>
      </c>
      <c r="AI20" s="86">
        <f>IF(過積載率!AI20&gt;=1,ROUNDDOWN(((((1-1/MAX(100%,過積載率!AI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44.61</v>
      </c>
      <c r="AJ20" s="86">
        <f>IF(過積載率!AJ20&gt;=1,ROUNDDOWN(((((1-1/MAX(100%,過積載率!AJ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44.65</v>
      </c>
      <c r="AK20" s="86">
        <f>IF(過積載率!AK20&gt;=1,ROUNDDOWN(((((1-1/MAX(100%,過積載率!AK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44.69</v>
      </c>
      <c r="AL20" s="86">
        <f>IF(過積載率!AL20&gt;=1,ROUNDDOWN(((((1-1/MAX(100%,過積載率!AL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44.74</v>
      </c>
      <c r="AM20" s="86">
        <f>IF(過積載率!AM20&gt;=1,ROUNDDOWN(((((1-1/MAX(100%,過積載率!AM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44.77</v>
      </c>
      <c r="AN20" s="86">
        <f>IF(過積載率!AN20&gt;=1,ROUNDDOWN(((((1-1/MAX(100%,過積載率!AN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44.81</v>
      </c>
      <c r="AO20" s="86">
        <f>IF(過積載率!AO20&gt;=1,ROUNDDOWN(((((1-1/MAX(100%,過積載率!AO20)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44.84</v>
      </c>
    </row>
    <row r="21" spans="1:41">
      <c r="A21">
        <v>19</v>
      </c>
      <c r="B21" s="86">
        <f>IF(過積載率!B21&gt;=1,ROUNDDOWN(((((1-1/MAX(100%,過積載率!B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1" s="86">
        <f>IF(過積載率!C21&gt;=1,ROUNDDOWN(((((1-1/MAX(100%,過積載率!C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1" s="86">
        <f>IF(過積載率!D21&gt;=1,ROUNDDOWN(((((1-1/MAX(100%,過積載率!D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1" s="86">
        <f>IF(過積載率!E21&gt;=1,ROUNDDOWN(((((1-1/MAX(100%,過積載率!E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1" s="86">
        <f>IF(過積載率!F21&gt;=1,ROUNDDOWN(((((1-1/MAX(100%,過積載率!F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1" s="86">
        <f>IF(過積載率!G21&gt;=1,ROUNDDOWN(((((1-1/MAX(100%,過積載率!G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1" s="86">
        <f>IF(過積載率!H21&gt;=1,ROUNDDOWN(((((1-1/MAX(100%,過積載率!H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1" s="86">
        <f>IF(過積載率!I21&gt;=1,ROUNDDOWN(((((1-1/MAX(100%,過積載率!I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1" s="86">
        <f>IF(過積載率!J21&gt;=1,ROUNDDOWN(((((1-1/MAX(100%,過積載率!J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1" s="86">
        <f>IF(過積載率!K21&gt;=1,ROUNDDOWN(((((1-1/MAX(100%,過積載率!K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1" s="86">
        <f>IF(過積載率!L21&gt;=1,ROUNDDOWN(((((1-1/MAX(100%,過積載率!L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1" s="86">
        <f>IF(過積載率!M21&gt;=1,ROUNDDOWN(((((1-1/MAX(100%,過積載率!M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21" s="86">
        <f>IF(過積載率!N21&gt;=1,ROUNDDOWN(((((1-1/MAX(100%,過積載率!N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21" s="86">
        <f>IF(過積載率!O21&gt;=1,ROUNDDOWN(((((1-1/MAX(100%,過積載率!O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21" s="86">
        <f>IF(過積載率!P21&gt;=1,ROUNDDOWN(((((1-1/MAX(100%,過積載率!P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21" s="86">
        <f>IF(過積載率!Q21&gt;=1,ROUNDDOWN(((((1-1/MAX(100%,過積載率!Q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21" s="86">
        <f>IF(過積載率!R21&gt;=1,ROUNDDOWN(((((1-1/MAX(100%,過積載率!R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21" s="86">
        <f>IF(過積載率!S21&gt;=1,ROUNDDOWN(((((1-1/MAX(100%,過積載率!S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21" s="86">
        <f>IF(過積載率!T21&gt;=1,ROUNDDOWN(((((1-1/MAX(100%,過積載率!T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21" s="86">
        <f>IF(過積載率!U21&gt;=1,ROUNDDOWN(((((1-1/MAX(100%,過積載率!U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21" s="86">
        <f>IF(過積載率!V21&gt;=1,ROUNDDOWN(((((1-1/MAX(100%,過積載率!V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21" s="86">
        <f>IF(過積載率!W21&gt;=1,ROUNDDOWN(((((1-1/MAX(100%,過積載率!W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21" s="86">
        <f>IF(過積載率!X21&gt;=1,ROUNDDOWN(((((1-1/MAX(100%,過積載率!X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21" s="86">
        <f>IF(過積載率!Y21&gt;=1,ROUNDDOWN(((((1-1/MAX(100%,過積載率!Y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21" s="86">
        <f>IF(過積載率!Z21&gt;=1,ROUNDDOWN(((((1-1/MAX(100%,過積載率!Z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21" s="86">
        <f>IF(過積載率!AA21&gt;=1,ROUNDDOWN(((((1-1/MAX(100%,過積載率!AA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21" s="86">
        <f>IF(過積載率!AB21&gt;=1,ROUNDDOWN(((((1-1/MAX(100%,過積載率!AB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21" s="86">
        <f>IF(過積載率!AC21&gt;=1,ROUNDDOWN(((((1-1/MAX(100%,過積載率!AC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21" s="86">
        <f>IF(過積載率!AD21&gt;=1,ROUNDDOWN(((((1-1/MAX(100%,過積載率!AD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21" s="86">
        <f>IF(過積載率!AE21&gt;=1,ROUNDDOWN(((((1-1/MAX(100%,過積載率!AE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21" s="86">
        <f>IF(過積載率!AF21&gt;=1,ROUNDDOWN(((((1-1/MAX(100%,過積載率!AF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21" s="86">
        <f>IF(過積載率!AG21&gt;=1,ROUNDDOWN(((((1-1/MAX(100%,過積載率!AG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21" s="86">
        <f>IF(過積載率!AH21&gt;=1,ROUNDDOWN(((((1-1/MAX(100%,過積載率!AH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21" s="86">
        <f>IF(過積載率!AI21&gt;=1,ROUNDDOWN(((((1-1/MAX(100%,過積載率!AI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21" s="86">
        <f>IF(過積載率!AJ21&gt;=1,ROUNDDOWN(((((1-1/MAX(100%,過積載率!AJ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21" s="86">
        <f>IF(過積載率!AK21&gt;=1,ROUNDDOWN(((((1-1/MAX(100%,過積載率!AK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21" s="86">
        <f>IF(過積載率!AL21&gt;=1,ROUNDDOWN(((((1-1/MAX(100%,過積載率!AL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21" s="86">
        <f>IF(過積載率!AM21&gt;=1,ROUNDDOWN(((((1-1/MAX(100%,過積載率!AM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21" s="86">
        <f>IF(過積載率!AN21&gt;=1,ROUNDDOWN(((((1-1/MAX(100%,過積載率!AN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21" s="86">
        <f>IF(過積載率!AO21&gt;=1,ROUNDDOWN(((((1-1/MAX(100%,過積載率!AO21)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22" spans="1:41">
      <c r="A22">
        <v>20</v>
      </c>
      <c r="B22" s="86">
        <f>IF(過積載率!B22&gt;=1,ROUNDDOWN(((((1-1/MAX(100%,過積載率!B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2" s="86">
        <f>IF(過積載率!C22&gt;=1,ROUNDDOWN(((((1-1/MAX(100%,過積載率!C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2" s="86">
        <f>IF(過積載率!D22&gt;=1,ROUNDDOWN(((((1-1/MAX(100%,過積載率!D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2" s="86">
        <f>IF(過積載率!E22&gt;=1,ROUNDDOWN(((((1-1/MAX(100%,過積載率!E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2" s="86">
        <f>IF(過積載率!F22&gt;=1,ROUNDDOWN(((((1-1/MAX(100%,過積載率!F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2" s="86">
        <f>IF(過積載率!G22&gt;=1,ROUNDDOWN(((((1-1/MAX(100%,過積載率!G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2" s="86">
        <f>IF(過積載率!H22&gt;=1,ROUNDDOWN(((((1-1/MAX(100%,過積載率!H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2" s="86">
        <f>IF(過積載率!I22&gt;=1,ROUNDDOWN(((((1-1/MAX(100%,過積載率!I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2" s="86">
        <f>IF(過積載率!J22&gt;=1,ROUNDDOWN(((((1-1/MAX(100%,過積載率!J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2" s="86">
        <f>IF(過積載率!K22&gt;=1,ROUNDDOWN(((((1-1/MAX(100%,過積載率!K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2" s="86">
        <f>IF(過積載率!L22&gt;=1,ROUNDDOWN(((((1-1/MAX(100%,過積載率!L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2" s="86">
        <f>IF(過積載率!M22&gt;=1,ROUNDDOWN(((((1-1/MAX(100%,過積載率!M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22" s="86">
        <f>IF(過積載率!N22&gt;=1,ROUNDDOWN(((((1-1/MAX(100%,過積載率!N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22" s="86">
        <f>IF(過積載率!O22&gt;=1,ROUNDDOWN(((((1-1/MAX(100%,過積載率!O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22" s="86">
        <f>IF(過積載率!P22&gt;=1,ROUNDDOWN(((((1-1/MAX(100%,過積載率!P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22" s="86">
        <f>IF(過積載率!Q22&gt;=1,ROUNDDOWN(((((1-1/MAX(100%,過積載率!Q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22" s="86">
        <f>IF(過積載率!R22&gt;=1,ROUNDDOWN(((((1-1/MAX(100%,過積載率!R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22" s="86">
        <f>IF(過積載率!S22&gt;=1,ROUNDDOWN(((((1-1/MAX(100%,過積載率!S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22" s="86">
        <f>IF(過積載率!T22&gt;=1,ROUNDDOWN(((((1-1/MAX(100%,過積載率!T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22" s="86">
        <f>IF(過積載率!U22&gt;=1,ROUNDDOWN(((((1-1/MAX(100%,過積載率!U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22" s="86">
        <f>IF(過積載率!V22&gt;=1,ROUNDDOWN(((((1-1/MAX(100%,過積載率!V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22" s="86">
        <f>IF(過積載率!W22&gt;=1,ROUNDDOWN(((((1-1/MAX(100%,過積載率!W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22" s="86">
        <f>IF(過積載率!X22&gt;=1,ROUNDDOWN(((((1-1/MAX(100%,過積載率!X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22" s="86">
        <f>IF(過積載率!Y22&gt;=1,ROUNDDOWN(((((1-1/MAX(100%,過積載率!Y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22" s="86">
        <f>IF(過積載率!Z22&gt;=1,ROUNDDOWN(((((1-1/MAX(100%,過積載率!Z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22" s="86">
        <f>IF(過積載率!AA22&gt;=1,ROUNDDOWN(((((1-1/MAX(100%,過積載率!AA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22" s="86">
        <f>IF(過積載率!AB22&gt;=1,ROUNDDOWN(((((1-1/MAX(100%,過積載率!AB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22" s="86">
        <f>IF(過積載率!AC22&gt;=1,ROUNDDOWN(((((1-1/MAX(100%,過積載率!AC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22" s="86">
        <f>IF(過積載率!AD22&gt;=1,ROUNDDOWN(((((1-1/MAX(100%,過積載率!AD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22" s="86">
        <f>IF(過積載率!AE22&gt;=1,ROUNDDOWN(((((1-1/MAX(100%,過積載率!AE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22" s="86">
        <f>IF(過積載率!AF22&gt;=1,ROUNDDOWN(((((1-1/MAX(100%,過積載率!AF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22" s="86">
        <f>IF(過積載率!AG22&gt;=1,ROUNDDOWN(((((1-1/MAX(100%,過積載率!AG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22" s="86">
        <f>IF(過積載率!AH22&gt;=1,ROUNDDOWN(((((1-1/MAX(100%,過積載率!AH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22" s="86">
        <f>IF(過積載率!AI22&gt;=1,ROUNDDOWN(((((1-1/MAX(100%,過積載率!AI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22" s="86">
        <f>IF(過積載率!AJ22&gt;=1,ROUNDDOWN(((((1-1/MAX(100%,過積載率!AJ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22" s="86">
        <f>IF(過積載率!AK22&gt;=1,ROUNDDOWN(((((1-1/MAX(100%,過積載率!AK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22" s="86">
        <f>IF(過積載率!AL22&gt;=1,ROUNDDOWN(((((1-1/MAX(100%,過積載率!AL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22" s="86">
        <f>IF(過積載率!AM22&gt;=1,ROUNDDOWN(((((1-1/MAX(100%,過積載率!AM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22" s="86">
        <f>IF(過積載率!AN22&gt;=1,ROUNDDOWN(((((1-1/MAX(100%,過積載率!AN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22" s="86">
        <f>IF(過積載率!AO22&gt;=1,ROUNDDOWN(((((1-1/MAX(100%,過積載率!AO22)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23" spans="1:41">
      <c r="A23">
        <v>21</v>
      </c>
      <c r="B23" s="86">
        <f>IF(過積載率!B23&gt;=1,ROUNDDOWN(((((1-1/MAX(100%,過積載率!B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3" s="86">
        <f>IF(過積載率!C23&gt;=1,ROUNDDOWN(((((1-1/MAX(100%,過積載率!C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3" s="86">
        <f>IF(過積載率!D23&gt;=1,ROUNDDOWN(((((1-1/MAX(100%,過積載率!D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3" s="86">
        <f>IF(過積載率!E23&gt;=1,ROUNDDOWN(((((1-1/MAX(100%,過積載率!E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3" s="86">
        <f>IF(過積載率!F23&gt;=1,ROUNDDOWN(((((1-1/MAX(100%,過積載率!F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3" s="86">
        <f>IF(過積載率!G23&gt;=1,ROUNDDOWN(((((1-1/MAX(100%,過積載率!G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3" s="86">
        <f>IF(過積載率!H23&gt;=1,ROUNDDOWN(((((1-1/MAX(100%,過積載率!H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3" s="86">
        <f>IF(過積載率!I23&gt;=1,ROUNDDOWN(((((1-1/MAX(100%,過積載率!I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3" s="86">
        <f>IF(過積載率!J23&gt;=1,ROUNDDOWN(((((1-1/MAX(100%,過積載率!J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3" s="86">
        <f>IF(過積載率!K23&gt;=1,ROUNDDOWN(((((1-1/MAX(100%,過積載率!K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3" s="86">
        <f>IF(過積載率!L23&gt;=1,ROUNDDOWN(((((1-1/MAX(100%,過積載率!L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3" s="86">
        <f>IF(過積載率!M23&gt;=1,ROUNDDOWN(((((1-1/MAX(100%,過積載率!M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23" s="86">
        <f>IF(過積載率!N23&gt;=1,ROUNDDOWN(((((1-1/MAX(100%,過積載率!N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23" s="86">
        <f>IF(過積載率!O23&gt;=1,ROUNDDOWN(((((1-1/MAX(100%,過積載率!O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23" s="86">
        <f>IF(過積載率!P23&gt;=1,ROUNDDOWN(((((1-1/MAX(100%,過積載率!P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23" s="86">
        <f>IF(過積載率!Q23&gt;=1,ROUNDDOWN(((((1-1/MAX(100%,過積載率!Q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23" s="86">
        <f>IF(過積載率!R23&gt;=1,ROUNDDOWN(((((1-1/MAX(100%,過積載率!R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23" s="86">
        <f>IF(過積載率!S23&gt;=1,ROUNDDOWN(((((1-1/MAX(100%,過積載率!S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23" s="86">
        <f>IF(過積載率!T23&gt;=1,ROUNDDOWN(((((1-1/MAX(100%,過積載率!T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23" s="86">
        <f>IF(過積載率!U23&gt;=1,ROUNDDOWN(((((1-1/MAX(100%,過積載率!U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23" s="86">
        <f>IF(過積載率!V23&gt;=1,ROUNDDOWN(((((1-1/MAX(100%,過積載率!V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23" s="86">
        <f>IF(過積載率!W23&gt;=1,ROUNDDOWN(((((1-1/MAX(100%,過積載率!W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23" s="86">
        <f>IF(過積載率!X23&gt;=1,ROUNDDOWN(((((1-1/MAX(100%,過積載率!X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23" s="86">
        <f>IF(過積載率!Y23&gt;=1,ROUNDDOWN(((((1-1/MAX(100%,過積載率!Y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23" s="86">
        <f>IF(過積載率!Z23&gt;=1,ROUNDDOWN(((((1-1/MAX(100%,過積載率!Z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23" s="86">
        <f>IF(過積載率!AA23&gt;=1,ROUNDDOWN(((((1-1/MAX(100%,過積載率!AA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23" s="86">
        <f>IF(過積載率!AB23&gt;=1,ROUNDDOWN(((((1-1/MAX(100%,過積載率!AB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23" s="86">
        <f>IF(過積載率!AC23&gt;=1,ROUNDDOWN(((((1-1/MAX(100%,過積載率!AC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23" s="86">
        <f>IF(過積載率!AD23&gt;=1,ROUNDDOWN(((((1-1/MAX(100%,過積載率!AD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23" s="86">
        <f>IF(過積載率!AE23&gt;=1,ROUNDDOWN(((((1-1/MAX(100%,過積載率!AE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23" s="86">
        <f>IF(過積載率!AF23&gt;=1,ROUNDDOWN(((((1-1/MAX(100%,過積載率!AF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23" s="86">
        <f>IF(過積載率!AG23&gt;=1,ROUNDDOWN(((((1-1/MAX(100%,過積載率!AG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23" s="86">
        <f>IF(過積載率!AH23&gt;=1,ROUNDDOWN(((((1-1/MAX(100%,過積載率!AH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23" s="86">
        <f>IF(過積載率!AI23&gt;=1,ROUNDDOWN(((((1-1/MAX(100%,過積載率!AI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23" s="86">
        <f>IF(過積載率!AJ23&gt;=1,ROUNDDOWN(((((1-1/MAX(100%,過積載率!AJ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23" s="86">
        <f>IF(過積載率!AK23&gt;=1,ROUNDDOWN(((((1-1/MAX(100%,過積載率!AK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23" s="86">
        <f>IF(過積載率!AL23&gt;=1,ROUNDDOWN(((((1-1/MAX(100%,過積載率!AL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23" s="86">
        <f>IF(過積載率!AM23&gt;=1,ROUNDDOWN(((((1-1/MAX(100%,過積載率!AM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23" s="86">
        <f>IF(過積載率!AN23&gt;=1,ROUNDDOWN(((((1-1/MAX(100%,過積載率!AN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23" s="86">
        <f>IF(過積載率!AO23&gt;=1,ROUNDDOWN(((((1-1/MAX(100%,過積載率!AO23))^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24" spans="1:41">
      <c r="A24">
        <v>22</v>
      </c>
      <c r="B24" s="86">
        <f>IF(過積載率!B24&gt;=1,ROUNDDOWN(((((1-1/MAX(100%,過積載率!B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4" s="86">
        <f>IF(過積載率!C24&gt;=1,ROUNDDOWN(((((1-1/MAX(100%,過積載率!C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4" s="86">
        <f>IF(過積載率!D24&gt;=1,ROUNDDOWN(((((1-1/MAX(100%,過積載率!D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4" s="86">
        <f>IF(過積載率!E24&gt;=1,ROUNDDOWN(((((1-1/MAX(100%,過積載率!E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4" s="86">
        <f>IF(過積載率!F24&gt;=1,ROUNDDOWN(((((1-1/MAX(100%,過積載率!F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4" s="86">
        <f>IF(過積載率!G24&gt;=1,ROUNDDOWN(((((1-1/MAX(100%,過積載率!G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4" s="86">
        <f>IF(過積載率!H24&gt;=1,ROUNDDOWN(((((1-1/MAX(100%,過積載率!H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4" s="86">
        <f>IF(過積載率!I24&gt;=1,ROUNDDOWN(((((1-1/MAX(100%,過積載率!I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4" s="86">
        <f>IF(過積載率!J24&gt;=1,ROUNDDOWN(((((1-1/MAX(100%,過積載率!J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4" s="86">
        <f>IF(過積載率!K24&gt;=1,ROUNDDOWN(((((1-1/MAX(100%,過積載率!K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4" s="86">
        <f>IF(過積載率!L24&gt;=1,ROUNDDOWN(((((1-1/MAX(100%,過積載率!L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4" s="86">
        <f>IF(過積載率!M24&gt;=1,ROUNDDOWN(((((1-1/MAX(100%,過積載率!M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24" s="86">
        <f>IF(過積載率!N24&gt;=1,ROUNDDOWN(((((1-1/MAX(100%,過積載率!N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24" s="86">
        <f>IF(過積載率!O24&gt;=1,ROUNDDOWN(((((1-1/MAX(100%,過積載率!O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24" s="86">
        <f>IF(過積載率!P24&gt;=1,ROUNDDOWN(((((1-1/MAX(100%,過積載率!P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24" s="86">
        <f>IF(過積載率!Q24&gt;=1,ROUNDDOWN(((((1-1/MAX(100%,過積載率!Q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24" s="86">
        <f>IF(過積載率!R24&gt;=1,ROUNDDOWN(((((1-1/MAX(100%,過積載率!R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24" s="86">
        <f>IF(過積載率!S24&gt;=1,ROUNDDOWN(((((1-1/MAX(100%,過積載率!S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24" s="86">
        <f>IF(過積載率!T24&gt;=1,ROUNDDOWN(((((1-1/MAX(100%,過積載率!T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24" s="86">
        <f>IF(過積載率!U24&gt;=1,ROUNDDOWN(((((1-1/MAX(100%,過積載率!U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24" s="86">
        <f>IF(過積載率!V24&gt;=1,ROUNDDOWN(((((1-1/MAX(100%,過積載率!V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24" s="86">
        <f>IF(過積載率!W24&gt;=1,ROUNDDOWN(((((1-1/MAX(100%,過積載率!W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24" s="86">
        <f>IF(過積載率!X24&gt;=1,ROUNDDOWN(((((1-1/MAX(100%,過積載率!X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24" s="86">
        <f>IF(過積載率!Y24&gt;=1,ROUNDDOWN(((((1-1/MAX(100%,過積載率!Y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24" s="86">
        <f>IF(過積載率!Z24&gt;=1,ROUNDDOWN(((((1-1/MAX(100%,過積載率!Z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24" s="86">
        <f>IF(過積載率!AA24&gt;=1,ROUNDDOWN(((((1-1/MAX(100%,過積載率!AA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24" s="86">
        <f>IF(過積載率!AB24&gt;=1,ROUNDDOWN(((((1-1/MAX(100%,過積載率!AB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24" s="86">
        <f>IF(過積載率!AC24&gt;=1,ROUNDDOWN(((((1-1/MAX(100%,過積載率!AC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24" s="86">
        <f>IF(過積載率!AD24&gt;=1,ROUNDDOWN(((((1-1/MAX(100%,過積載率!AD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24" s="86">
        <f>IF(過積載率!AE24&gt;=1,ROUNDDOWN(((((1-1/MAX(100%,過積載率!AE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24" s="86">
        <f>IF(過積載率!AF24&gt;=1,ROUNDDOWN(((((1-1/MAX(100%,過積載率!AF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24" s="86">
        <f>IF(過積載率!AG24&gt;=1,ROUNDDOWN(((((1-1/MAX(100%,過積載率!AG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24" s="86">
        <f>IF(過積載率!AH24&gt;=1,ROUNDDOWN(((((1-1/MAX(100%,過積載率!AH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24" s="86">
        <f>IF(過積載率!AI24&gt;=1,ROUNDDOWN(((((1-1/MAX(100%,過積載率!AI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24" s="86">
        <f>IF(過積載率!AJ24&gt;=1,ROUNDDOWN(((((1-1/MAX(100%,過積載率!AJ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24" s="86">
        <f>IF(過積載率!AK24&gt;=1,ROUNDDOWN(((((1-1/MAX(100%,過積載率!AK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24" s="86">
        <f>IF(過積載率!AL24&gt;=1,ROUNDDOWN(((((1-1/MAX(100%,過積載率!AL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24" s="86">
        <f>IF(過積載率!AM24&gt;=1,ROUNDDOWN(((((1-1/MAX(100%,過積載率!AM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24" s="86">
        <f>IF(過積載率!AN24&gt;=1,ROUNDDOWN(((((1-1/MAX(100%,過積載率!AN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24" s="86">
        <f>IF(過積載率!AO24&gt;=1,ROUNDDOWN(((((1-1/MAX(100%,過積載率!AO24))^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25" spans="1:41">
      <c r="A25">
        <v>23</v>
      </c>
      <c r="B25" s="86">
        <f>IF(過積載率!B25&gt;=1,ROUNDDOWN(((((1-1/MAX(100%,過積載率!B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5" s="86">
        <f>IF(過積載率!C25&gt;=1,ROUNDDOWN(((((1-1/MAX(100%,過積載率!C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5" s="86">
        <f>IF(過積載率!D25&gt;=1,ROUNDDOWN(((((1-1/MAX(100%,過積載率!D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5" s="86">
        <f>IF(過積載率!E25&gt;=1,ROUNDDOWN(((((1-1/MAX(100%,過積載率!E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5" s="86">
        <f>IF(過積載率!F25&gt;=1,ROUNDDOWN(((((1-1/MAX(100%,過積載率!F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5" s="86">
        <f>IF(過積載率!G25&gt;=1,ROUNDDOWN(((((1-1/MAX(100%,過積載率!G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5" s="86">
        <f>IF(過積載率!H25&gt;=1,ROUNDDOWN(((((1-1/MAX(100%,過積載率!H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5" s="86">
        <f>IF(過積載率!I25&gt;=1,ROUNDDOWN(((((1-1/MAX(100%,過積載率!I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5" s="86">
        <f>IF(過積載率!J25&gt;=1,ROUNDDOWN(((((1-1/MAX(100%,過積載率!J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5" s="86">
        <f>IF(過積載率!K25&gt;=1,ROUNDDOWN(((((1-1/MAX(100%,過積載率!K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5" s="86">
        <f>IF(過積載率!L25&gt;=1,ROUNDDOWN(((((1-1/MAX(100%,過積載率!L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5" s="86">
        <f>IF(過積載率!M25&gt;=1,ROUNDDOWN(((((1-1/MAX(100%,過積載率!M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25" s="86">
        <f>IF(過積載率!N25&gt;=1,ROUNDDOWN(((((1-1/MAX(100%,過積載率!N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25" s="86">
        <f>IF(過積載率!O25&gt;=1,ROUNDDOWN(((((1-1/MAX(100%,過積載率!O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25" s="86">
        <f>IF(過積載率!P25&gt;=1,ROUNDDOWN(((((1-1/MAX(100%,過積載率!P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25" s="86">
        <f>IF(過積載率!Q25&gt;=1,ROUNDDOWN(((((1-1/MAX(100%,過積載率!Q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25" s="86">
        <f>IF(過積載率!R25&gt;=1,ROUNDDOWN(((((1-1/MAX(100%,過積載率!R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25" s="86">
        <f>IF(過積載率!S25&gt;=1,ROUNDDOWN(((((1-1/MAX(100%,過積載率!S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25" s="86">
        <f>IF(過積載率!T25&gt;=1,ROUNDDOWN(((((1-1/MAX(100%,過積載率!T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25" s="86">
        <f>IF(過積載率!U25&gt;=1,ROUNDDOWN(((((1-1/MAX(100%,過積載率!U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25" s="86">
        <f>IF(過積載率!V25&gt;=1,ROUNDDOWN(((((1-1/MAX(100%,過積載率!V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25" s="86">
        <f>IF(過積載率!W25&gt;=1,ROUNDDOWN(((((1-1/MAX(100%,過積載率!W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25" s="86">
        <f>IF(過積載率!X25&gt;=1,ROUNDDOWN(((((1-1/MAX(100%,過積載率!X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25" s="86">
        <f>IF(過積載率!Y25&gt;=1,ROUNDDOWN(((((1-1/MAX(100%,過積載率!Y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25" s="86">
        <f>IF(過積載率!Z25&gt;=1,ROUNDDOWN(((((1-1/MAX(100%,過積載率!Z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25" s="86">
        <f>IF(過積載率!AA25&gt;=1,ROUNDDOWN(((((1-1/MAX(100%,過積載率!AA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25" s="86">
        <f>IF(過積載率!AB25&gt;=1,ROUNDDOWN(((((1-1/MAX(100%,過積載率!AB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25" s="86">
        <f>IF(過積載率!AC25&gt;=1,ROUNDDOWN(((((1-1/MAX(100%,過積載率!AC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25" s="86">
        <f>IF(過積載率!AD25&gt;=1,ROUNDDOWN(((((1-1/MAX(100%,過積載率!AD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25" s="86">
        <f>IF(過積載率!AE25&gt;=1,ROUNDDOWN(((((1-1/MAX(100%,過積載率!AE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25" s="86">
        <f>IF(過積載率!AF25&gt;=1,ROUNDDOWN(((((1-1/MAX(100%,過積載率!AF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25" s="86">
        <f>IF(過積載率!AG25&gt;=1,ROUNDDOWN(((((1-1/MAX(100%,過積載率!AG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25" s="86">
        <f>IF(過積載率!AH25&gt;=1,ROUNDDOWN(((((1-1/MAX(100%,過積載率!AH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25" s="86">
        <f>IF(過積載率!AI25&gt;=1,ROUNDDOWN(((((1-1/MAX(100%,過積載率!AI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25" s="86">
        <f>IF(過積載率!AJ25&gt;=1,ROUNDDOWN(((((1-1/MAX(100%,過積載率!AJ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25" s="86">
        <f>IF(過積載率!AK25&gt;=1,ROUNDDOWN(((((1-1/MAX(100%,過積載率!AK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25" s="86">
        <f>IF(過積載率!AL25&gt;=1,ROUNDDOWN(((((1-1/MAX(100%,過積載率!AL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25" s="86">
        <f>IF(過積載率!AM25&gt;=1,ROUNDDOWN(((((1-1/MAX(100%,過積載率!AM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25" s="86">
        <f>IF(過積載率!AN25&gt;=1,ROUNDDOWN(((((1-1/MAX(100%,過積載率!AN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25" s="86">
        <f>IF(過積載率!AO25&gt;=1,ROUNDDOWN(((((1-1/MAX(100%,過積載率!AO25))^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26" spans="1:41">
      <c r="A26">
        <v>24</v>
      </c>
      <c r="B26" s="86">
        <f>IF(過積載率!B26&gt;=1,ROUNDDOWN(((((1-1/MAX(100%,過積載率!B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6" s="86">
        <f>IF(過積載率!C26&gt;=1,ROUNDDOWN(((((1-1/MAX(100%,過積載率!C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6" s="86">
        <f>IF(過積載率!D26&gt;=1,ROUNDDOWN(((((1-1/MAX(100%,過積載率!D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6" s="86">
        <f>IF(過積載率!E26&gt;=1,ROUNDDOWN(((((1-1/MAX(100%,過積載率!E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6" s="86">
        <f>IF(過積載率!F26&gt;=1,ROUNDDOWN(((((1-1/MAX(100%,過積載率!F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6" s="86">
        <f>IF(過積載率!G26&gt;=1,ROUNDDOWN(((((1-1/MAX(100%,過積載率!G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6" s="86">
        <f>IF(過積載率!H26&gt;=1,ROUNDDOWN(((((1-1/MAX(100%,過積載率!H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6" s="86">
        <f>IF(過積載率!I26&gt;=1,ROUNDDOWN(((((1-1/MAX(100%,過積載率!I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6" s="86">
        <f>IF(過積載率!J26&gt;=1,ROUNDDOWN(((((1-1/MAX(100%,過積載率!J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6" s="86">
        <f>IF(過積載率!K26&gt;=1,ROUNDDOWN(((((1-1/MAX(100%,過積載率!K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6" s="86">
        <f>IF(過積載率!L26&gt;=1,ROUNDDOWN(((((1-1/MAX(100%,過積載率!L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6" s="86">
        <f>IF(過積載率!M26&gt;=1,ROUNDDOWN(((((1-1/MAX(100%,過積載率!M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26" s="86">
        <f>IF(過積載率!N26&gt;=1,ROUNDDOWN(((((1-1/MAX(100%,過積載率!N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26" s="86">
        <f>IF(過積載率!O26&gt;=1,ROUNDDOWN(((((1-1/MAX(100%,過積載率!O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26" s="86">
        <f>IF(過積載率!P26&gt;=1,ROUNDDOWN(((((1-1/MAX(100%,過積載率!P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26" s="86">
        <f>IF(過積載率!Q26&gt;=1,ROUNDDOWN(((((1-1/MAX(100%,過積載率!Q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26" s="86">
        <f>IF(過積載率!R26&gt;=1,ROUNDDOWN(((((1-1/MAX(100%,過積載率!R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26" s="86">
        <f>IF(過積載率!S26&gt;=1,ROUNDDOWN(((((1-1/MAX(100%,過積載率!S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26" s="86">
        <f>IF(過積載率!T26&gt;=1,ROUNDDOWN(((((1-1/MAX(100%,過積載率!T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26" s="86">
        <f>IF(過積載率!U26&gt;=1,ROUNDDOWN(((((1-1/MAX(100%,過積載率!U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26" s="86">
        <f>IF(過積載率!V26&gt;=1,ROUNDDOWN(((((1-1/MAX(100%,過積載率!V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26" s="86">
        <f>IF(過積載率!W26&gt;=1,ROUNDDOWN(((((1-1/MAX(100%,過積載率!W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26" s="86">
        <f>IF(過積載率!X26&gt;=1,ROUNDDOWN(((((1-1/MAX(100%,過積載率!X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26" s="86">
        <f>IF(過積載率!Y26&gt;=1,ROUNDDOWN(((((1-1/MAX(100%,過積載率!Y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26" s="86">
        <f>IF(過積載率!Z26&gt;=1,ROUNDDOWN(((((1-1/MAX(100%,過積載率!Z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26" s="86">
        <f>IF(過積載率!AA26&gt;=1,ROUNDDOWN(((((1-1/MAX(100%,過積載率!AA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26" s="86">
        <f>IF(過積載率!AB26&gt;=1,ROUNDDOWN(((((1-1/MAX(100%,過積載率!AB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26" s="86">
        <f>IF(過積載率!AC26&gt;=1,ROUNDDOWN(((((1-1/MAX(100%,過積載率!AC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26" s="86">
        <f>IF(過積載率!AD26&gt;=1,ROUNDDOWN(((((1-1/MAX(100%,過積載率!AD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26" s="86">
        <f>IF(過積載率!AE26&gt;=1,ROUNDDOWN(((((1-1/MAX(100%,過積載率!AE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26" s="86">
        <f>IF(過積載率!AF26&gt;=1,ROUNDDOWN(((((1-1/MAX(100%,過積載率!AF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26" s="86">
        <f>IF(過積載率!AG26&gt;=1,ROUNDDOWN(((((1-1/MAX(100%,過積載率!AG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26" s="86">
        <f>IF(過積載率!AH26&gt;=1,ROUNDDOWN(((((1-1/MAX(100%,過積載率!AH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26" s="86">
        <f>IF(過積載率!AI26&gt;=1,ROUNDDOWN(((((1-1/MAX(100%,過積載率!AI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26" s="86">
        <f>IF(過積載率!AJ26&gt;=1,ROUNDDOWN(((((1-1/MAX(100%,過積載率!AJ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26" s="86">
        <f>IF(過積載率!AK26&gt;=1,ROUNDDOWN(((((1-1/MAX(100%,過積載率!AK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26" s="86">
        <f>IF(過積載率!AL26&gt;=1,ROUNDDOWN(((((1-1/MAX(100%,過積載率!AL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26" s="86">
        <f>IF(過積載率!AM26&gt;=1,ROUNDDOWN(((((1-1/MAX(100%,過積載率!AM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26" s="86">
        <f>IF(過積載率!AN26&gt;=1,ROUNDDOWN(((((1-1/MAX(100%,過積載率!AN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26" s="86">
        <f>IF(過積載率!AO26&gt;=1,ROUNDDOWN(((((1-1/MAX(100%,過積載率!AO26))^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27" spans="1:41">
      <c r="A27">
        <v>25</v>
      </c>
      <c r="B27" s="86">
        <f>IF(過積載率!B27&gt;=1,ROUNDDOWN(((((1-1/MAX(100%,過積載率!B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7" s="86">
        <f>IF(過積載率!C27&gt;=1,ROUNDDOWN(((((1-1/MAX(100%,過積載率!C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7" s="86">
        <f>IF(過積載率!D27&gt;=1,ROUNDDOWN(((((1-1/MAX(100%,過積載率!D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7" s="86">
        <f>IF(過積載率!E27&gt;=1,ROUNDDOWN(((((1-1/MAX(100%,過積載率!E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7" s="86">
        <f>IF(過積載率!F27&gt;=1,ROUNDDOWN(((((1-1/MAX(100%,過積載率!F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7" s="86">
        <f>IF(過積載率!G27&gt;=1,ROUNDDOWN(((((1-1/MAX(100%,過積載率!G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7" s="86">
        <f>IF(過積載率!H27&gt;=1,ROUNDDOWN(((((1-1/MAX(100%,過積載率!H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7" s="86">
        <f>IF(過積載率!I27&gt;=1,ROUNDDOWN(((((1-1/MAX(100%,過積載率!I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7" s="86">
        <f>IF(過積載率!J27&gt;=1,ROUNDDOWN(((((1-1/MAX(100%,過積載率!J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7" s="86">
        <f>IF(過積載率!K27&gt;=1,ROUNDDOWN(((((1-1/MAX(100%,過積載率!K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7" s="86">
        <f>IF(過積載率!L27&gt;=1,ROUNDDOWN(((((1-1/MAX(100%,過積載率!L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7" s="86">
        <f>IF(過積載率!M27&gt;=1,ROUNDDOWN(((((1-1/MAX(100%,過積載率!M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27" s="86">
        <f>IF(過積載率!N27&gt;=1,ROUNDDOWN(((((1-1/MAX(100%,過積載率!N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27" s="86">
        <f>IF(過積載率!O27&gt;=1,ROUNDDOWN(((((1-1/MAX(100%,過積載率!O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27" s="86">
        <f>IF(過積載率!P27&gt;=1,ROUNDDOWN(((((1-1/MAX(100%,過積載率!P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27" s="86">
        <f>IF(過積載率!Q27&gt;=1,ROUNDDOWN(((((1-1/MAX(100%,過積載率!Q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27" s="86">
        <f>IF(過積載率!R27&gt;=1,ROUNDDOWN(((((1-1/MAX(100%,過積載率!R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27" s="86">
        <f>IF(過積載率!S27&gt;=1,ROUNDDOWN(((((1-1/MAX(100%,過積載率!S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27" s="86">
        <f>IF(過積載率!T27&gt;=1,ROUNDDOWN(((((1-1/MAX(100%,過積載率!T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27" s="86">
        <f>IF(過積載率!U27&gt;=1,ROUNDDOWN(((((1-1/MAX(100%,過積載率!U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27" s="86">
        <f>IF(過積載率!V27&gt;=1,ROUNDDOWN(((((1-1/MAX(100%,過積載率!V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27" s="86">
        <f>IF(過積載率!W27&gt;=1,ROUNDDOWN(((((1-1/MAX(100%,過積載率!W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27" s="86">
        <f>IF(過積載率!X27&gt;=1,ROUNDDOWN(((((1-1/MAX(100%,過積載率!X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27" s="86">
        <f>IF(過積載率!Y27&gt;=1,ROUNDDOWN(((((1-1/MAX(100%,過積載率!Y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27" s="86">
        <f>IF(過積載率!Z27&gt;=1,ROUNDDOWN(((((1-1/MAX(100%,過積載率!Z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27" s="86">
        <f>IF(過積載率!AA27&gt;=1,ROUNDDOWN(((((1-1/MAX(100%,過積載率!AA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27" s="86">
        <f>IF(過積載率!AB27&gt;=1,ROUNDDOWN(((((1-1/MAX(100%,過積載率!AB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27" s="86">
        <f>IF(過積載率!AC27&gt;=1,ROUNDDOWN(((((1-1/MAX(100%,過積載率!AC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27" s="86">
        <f>IF(過積載率!AD27&gt;=1,ROUNDDOWN(((((1-1/MAX(100%,過積載率!AD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27" s="86">
        <f>IF(過積載率!AE27&gt;=1,ROUNDDOWN(((((1-1/MAX(100%,過積載率!AE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27" s="86">
        <f>IF(過積載率!AF27&gt;=1,ROUNDDOWN(((((1-1/MAX(100%,過積載率!AF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27" s="86">
        <f>IF(過積載率!AG27&gt;=1,ROUNDDOWN(((((1-1/MAX(100%,過積載率!AG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27" s="86">
        <f>IF(過積載率!AH27&gt;=1,ROUNDDOWN(((((1-1/MAX(100%,過積載率!AH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27" s="86">
        <f>IF(過積載率!AI27&gt;=1,ROUNDDOWN(((((1-1/MAX(100%,過積載率!AI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27" s="86">
        <f>IF(過積載率!AJ27&gt;=1,ROUNDDOWN(((((1-1/MAX(100%,過積載率!AJ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27" s="86">
        <f>IF(過積載率!AK27&gt;=1,ROUNDDOWN(((((1-1/MAX(100%,過積載率!AK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27" s="86">
        <f>IF(過積載率!AL27&gt;=1,ROUNDDOWN(((((1-1/MAX(100%,過積載率!AL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27" s="86">
        <f>IF(過積載率!AM27&gt;=1,ROUNDDOWN(((((1-1/MAX(100%,過積載率!AM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27" s="86">
        <f>IF(過積載率!AN27&gt;=1,ROUNDDOWN(((((1-1/MAX(100%,過積載率!AN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27" s="86">
        <f>IF(過積載率!AO27&gt;=1,ROUNDDOWN(((((1-1/MAX(100%,過積載率!AO27))^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28" spans="1:41">
      <c r="A28">
        <v>26</v>
      </c>
      <c r="B28" s="86">
        <f>IF(過積載率!B28&gt;=1,ROUNDDOWN(((((1-1/MAX(100%,過積載率!B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8" s="86">
        <f>IF(過積載率!C28&gt;=1,ROUNDDOWN(((((1-1/MAX(100%,過積載率!C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8" s="86">
        <f>IF(過積載率!D28&gt;=1,ROUNDDOWN(((((1-1/MAX(100%,過積載率!D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8" s="86">
        <f>IF(過積載率!E28&gt;=1,ROUNDDOWN(((((1-1/MAX(100%,過積載率!E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8" s="86">
        <f>IF(過積載率!F28&gt;=1,ROUNDDOWN(((((1-1/MAX(100%,過積載率!F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8" s="86">
        <f>IF(過積載率!G28&gt;=1,ROUNDDOWN(((((1-1/MAX(100%,過積載率!G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8" s="86">
        <f>IF(過積載率!H28&gt;=1,ROUNDDOWN(((((1-1/MAX(100%,過積載率!H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8" s="86">
        <f>IF(過積載率!I28&gt;=1,ROUNDDOWN(((((1-1/MAX(100%,過積載率!I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8" s="86">
        <f>IF(過積載率!J28&gt;=1,ROUNDDOWN(((((1-1/MAX(100%,過積載率!J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8" s="86">
        <f>IF(過積載率!K28&gt;=1,ROUNDDOWN(((((1-1/MAX(100%,過積載率!K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8" s="86">
        <f>IF(過積載率!L28&gt;=1,ROUNDDOWN(((((1-1/MAX(100%,過積載率!L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8" s="86">
        <f>IF(過積載率!M28&gt;=1,ROUNDDOWN(((((1-1/MAX(100%,過積載率!M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28" s="86">
        <f>IF(過積載率!N28&gt;=1,ROUNDDOWN(((((1-1/MAX(100%,過積載率!N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28" s="86">
        <f>IF(過積載率!O28&gt;=1,ROUNDDOWN(((((1-1/MAX(100%,過積載率!O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28" s="86">
        <f>IF(過積載率!P28&gt;=1,ROUNDDOWN(((((1-1/MAX(100%,過積載率!P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28" s="86">
        <f>IF(過積載率!Q28&gt;=1,ROUNDDOWN(((((1-1/MAX(100%,過積載率!Q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28" s="86">
        <f>IF(過積載率!R28&gt;=1,ROUNDDOWN(((((1-1/MAX(100%,過積載率!R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28" s="86">
        <f>IF(過積載率!S28&gt;=1,ROUNDDOWN(((((1-1/MAX(100%,過積載率!S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28" s="86">
        <f>IF(過積載率!T28&gt;=1,ROUNDDOWN(((((1-1/MAX(100%,過積載率!T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28" s="86">
        <f>IF(過積載率!U28&gt;=1,ROUNDDOWN(((((1-1/MAX(100%,過積載率!U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28" s="86">
        <f>IF(過積載率!V28&gt;=1,ROUNDDOWN(((((1-1/MAX(100%,過積載率!V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28" s="86">
        <f>IF(過積載率!W28&gt;=1,ROUNDDOWN(((((1-1/MAX(100%,過積載率!W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28" s="86">
        <f>IF(過積載率!X28&gt;=1,ROUNDDOWN(((((1-1/MAX(100%,過積載率!X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28" s="86">
        <f>IF(過積載率!Y28&gt;=1,ROUNDDOWN(((((1-1/MAX(100%,過積載率!Y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28" s="86">
        <f>IF(過積載率!Z28&gt;=1,ROUNDDOWN(((((1-1/MAX(100%,過積載率!Z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28" s="86">
        <f>IF(過積載率!AA28&gt;=1,ROUNDDOWN(((((1-1/MAX(100%,過積載率!AA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28" s="86">
        <f>IF(過積載率!AB28&gt;=1,ROUNDDOWN(((((1-1/MAX(100%,過積載率!AB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28" s="86">
        <f>IF(過積載率!AC28&gt;=1,ROUNDDOWN(((((1-1/MAX(100%,過積載率!AC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28" s="86">
        <f>IF(過積載率!AD28&gt;=1,ROUNDDOWN(((((1-1/MAX(100%,過積載率!AD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28" s="86">
        <f>IF(過積載率!AE28&gt;=1,ROUNDDOWN(((((1-1/MAX(100%,過積載率!AE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28" s="86">
        <f>IF(過積載率!AF28&gt;=1,ROUNDDOWN(((((1-1/MAX(100%,過積載率!AF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28" s="86">
        <f>IF(過積載率!AG28&gt;=1,ROUNDDOWN(((((1-1/MAX(100%,過積載率!AG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28" s="86">
        <f>IF(過積載率!AH28&gt;=1,ROUNDDOWN(((((1-1/MAX(100%,過積載率!AH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28" s="86">
        <f>IF(過積載率!AI28&gt;=1,ROUNDDOWN(((((1-1/MAX(100%,過積載率!AI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28" s="86">
        <f>IF(過積載率!AJ28&gt;=1,ROUNDDOWN(((((1-1/MAX(100%,過積載率!AJ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28" s="86">
        <f>IF(過積載率!AK28&gt;=1,ROUNDDOWN(((((1-1/MAX(100%,過積載率!AK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28" s="86">
        <f>IF(過積載率!AL28&gt;=1,ROUNDDOWN(((((1-1/MAX(100%,過積載率!AL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28" s="86">
        <f>IF(過積載率!AM28&gt;=1,ROUNDDOWN(((((1-1/MAX(100%,過積載率!AM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28" s="86">
        <f>IF(過積載率!AN28&gt;=1,ROUNDDOWN(((((1-1/MAX(100%,過積載率!AN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28" s="86">
        <f>IF(過積載率!AO28&gt;=1,ROUNDDOWN(((((1-1/MAX(100%,過積載率!AO28))^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29" spans="1:41">
      <c r="A29">
        <v>27</v>
      </c>
      <c r="B29" s="86">
        <f>IF(過積載率!B29&gt;=1,ROUNDDOWN(((((1-1/MAX(100%,過積載率!B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29" s="86">
        <f>IF(過積載率!C29&gt;=1,ROUNDDOWN(((((1-1/MAX(100%,過積載率!C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29" s="86">
        <f>IF(過積載率!D29&gt;=1,ROUNDDOWN(((((1-1/MAX(100%,過積載率!D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29" s="86">
        <f>IF(過積載率!E29&gt;=1,ROUNDDOWN(((((1-1/MAX(100%,過積載率!E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29" s="86">
        <f>IF(過積載率!F29&gt;=1,ROUNDDOWN(((((1-1/MAX(100%,過積載率!F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29" s="86">
        <f>IF(過積載率!G29&gt;=1,ROUNDDOWN(((((1-1/MAX(100%,過積載率!G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29" s="86">
        <f>IF(過積載率!H29&gt;=1,ROUNDDOWN(((((1-1/MAX(100%,過積載率!H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29" s="86">
        <f>IF(過積載率!I29&gt;=1,ROUNDDOWN(((((1-1/MAX(100%,過積載率!I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29" s="86">
        <f>IF(過積載率!J29&gt;=1,ROUNDDOWN(((((1-1/MAX(100%,過積載率!J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29" s="86">
        <f>IF(過積載率!K29&gt;=1,ROUNDDOWN(((((1-1/MAX(100%,過積載率!K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29" s="86">
        <f>IF(過積載率!L29&gt;=1,ROUNDDOWN(((((1-1/MAX(100%,過積載率!L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29" s="86">
        <f>IF(過積載率!M29&gt;=1,ROUNDDOWN(((((1-1/MAX(100%,過積載率!M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29" s="86">
        <f>IF(過積載率!N29&gt;=1,ROUNDDOWN(((((1-1/MAX(100%,過積載率!N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29" s="86">
        <f>IF(過積載率!O29&gt;=1,ROUNDDOWN(((((1-1/MAX(100%,過積載率!O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29" s="86">
        <f>IF(過積載率!P29&gt;=1,ROUNDDOWN(((((1-1/MAX(100%,過積載率!P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29" s="86">
        <f>IF(過積載率!Q29&gt;=1,ROUNDDOWN(((((1-1/MAX(100%,過積載率!Q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29" s="86">
        <f>IF(過積載率!R29&gt;=1,ROUNDDOWN(((((1-1/MAX(100%,過積載率!R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29" s="86">
        <f>IF(過積載率!S29&gt;=1,ROUNDDOWN(((((1-1/MAX(100%,過積載率!S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29" s="86">
        <f>IF(過積載率!T29&gt;=1,ROUNDDOWN(((((1-1/MAX(100%,過積載率!T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29" s="86">
        <f>IF(過積載率!U29&gt;=1,ROUNDDOWN(((((1-1/MAX(100%,過積載率!U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29" s="86">
        <f>IF(過積載率!V29&gt;=1,ROUNDDOWN(((((1-1/MAX(100%,過積載率!V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29" s="86">
        <f>IF(過積載率!W29&gt;=1,ROUNDDOWN(((((1-1/MAX(100%,過積載率!W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29" s="86">
        <f>IF(過積載率!X29&gt;=1,ROUNDDOWN(((((1-1/MAX(100%,過積載率!X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29" s="86">
        <f>IF(過積載率!Y29&gt;=1,ROUNDDOWN(((((1-1/MAX(100%,過積載率!Y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29" s="86">
        <f>IF(過積載率!Z29&gt;=1,ROUNDDOWN(((((1-1/MAX(100%,過積載率!Z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29" s="86">
        <f>IF(過積載率!AA29&gt;=1,ROUNDDOWN(((((1-1/MAX(100%,過積載率!AA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29" s="86">
        <f>IF(過積載率!AB29&gt;=1,ROUNDDOWN(((((1-1/MAX(100%,過積載率!AB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29" s="86">
        <f>IF(過積載率!AC29&gt;=1,ROUNDDOWN(((((1-1/MAX(100%,過積載率!AC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29" s="86">
        <f>IF(過積載率!AD29&gt;=1,ROUNDDOWN(((((1-1/MAX(100%,過積載率!AD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29" s="86">
        <f>IF(過積載率!AE29&gt;=1,ROUNDDOWN(((((1-1/MAX(100%,過積載率!AE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29" s="86">
        <f>IF(過積載率!AF29&gt;=1,ROUNDDOWN(((((1-1/MAX(100%,過積載率!AF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29" s="86">
        <f>IF(過積載率!AG29&gt;=1,ROUNDDOWN(((((1-1/MAX(100%,過積載率!AG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29" s="86">
        <f>IF(過積載率!AH29&gt;=1,ROUNDDOWN(((((1-1/MAX(100%,過積載率!AH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29" s="86">
        <f>IF(過積載率!AI29&gt;=1,ROUNDDOWN(((((1-1/MAX(100%,過積載率!AI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29" s="86">
        <f>IF(過積載率!AJ29&gt;=1,ROUNDDOWN(((((1-1/MAX(100%,過積載率!AJ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29" s="86">
        <f>IF(過積載率!AK29&gt;=1,ROUNDDOWN(((((1-1/MAX(100%,過積載率!AK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29" s="86">
        <f>IF(過積載率!AL29&gt;=1,ROUNDDOWN(((((1-1/MAX(100%,過積載率!AL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29" s="86">
        <f>IF(過積載率!AM29&gt;=1,ROUNDDOWN(((((1-1/MAX(100%,過積載率!AM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29" s="86">
        <f>IF(過積載率!AN29&gt;=1,ROUNDDOWN(((((1-1/MAX(100%,過積載率!AN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29" s="86">
        <f>IF(過積載率!AO29&gt;=1,ROUNDDOWN(((((1-1/MAX(100%,過積載率!AO29))^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30" spans="1:41">
      <c r="A30">
        <v>28</v>
      </c>
      <c r="B30" s="86">
        <f>IF(過積載率!B30&gt;=1,ROUNDDOWN(((((1-1/MAX(100%,過積載率!B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30" s="86">
        <f>IF(過積載率!C30&gt;=1,ROUNDDOWN(((((1-1/MAX(100%,過積載率!C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30" s="86">
        <f>IF(過積載率!D30&gt;=1,ROUNDDOWN(((((1-1/MAX(100%,過積載率!D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30" s="86">
        <f>IF(過積載率!E30&gt;=1,ROUNDDOWN(((((1-1/MAX(100%,過積載率!E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30" s="86">
        <f>IF(過積載率!F30&gt;=1,ROUNDDOWN(((((1-1/MAX(100%,過積載率!F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30" s="86">
        <f>IF(過積載率!G30&gt;=1,ROUNDDOWN(((((1-1/MAX(100%,過積載率!G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30" s="86">
        <f>IF(過積載率!H30&gt;=1,ROUNDDOWN(((((1-1/MAX(100%,過積載率!H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30" s="86">
        <f>IF(過積載率!I30&gt;=1,ROUNDDOWN(((((1-1/MAX(100%,過積載率!I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30" s="86">
        <f>IF(過積載率!J30&gt;=1,ROUNDDOWN(((((1-1/MAX(100%,過積載率!J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30" s="86">
        <f>IF(過積載率!K30&gt;=1,ROUNDDOWN(((((1-1/MAX(100%,過積載率!K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30" s="86">
        <f>IF(過積載率!L30&gt;=1,ROUNDDOWN(((((1-1/MAX(100%,過積載率!L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30" s="86">
        <f>IF(過積載率!M30&gt;=1,ROUNDDOWN(((((1-1/MAX(100%,過積載率!M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30" s="86">
        <f>IF(過積載率!N30&gt;=1,ROUNDDOWN(((((1-1/MAX(100%,過積載率!N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30" s="86">
        <f>IF(過積載率!O30&gt;=1,ROUNDDOWN(((((1-1/MAX(100%,過積載率!O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30" s="86">
        <f>IF(過積載率!P30&gt;=1,ROUNDDOWN(((((1-1/MAX(100%,過積載率!P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30" s="86">
        <f>IF(過積載率!Q30&gt;=1,ROUNDDOWN(((((1-1/MAX(100%,過積載率!Q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30" s="86">
        <f>IF(過積載率!R30&gt;=1,ROUNDDOWN(((((1-1/MAX(100%,過積載率!R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30" s="86">
        <f>IF(過積載率!S30&gt;=1,ROUNDDOWN(((((1-1/MAX(100%,過積載率!S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30" s="86">
        <f>IF(過積載率!T30&gt;=1,ROUNDDOWN(((((1-1/MAX(100%,過積載率!T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30" s="86">
        <f>IF(過積載率!U30&gt;=1,ROUNDDOWN(((((1-1/MAX(100%,過積載率!U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30" s="86">
        <f>IF(過積載率!V30&gt;=1,ROUNDDOWN(((((1-1/MAX(100%,過積載率!V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30" s="86">
        <f>IF(過積載率!W30&gt;=1,ROUNDDOWN(((((1-1/MAX(100%,過積載率!W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30" s="86">
        <f>IF(過積載率!X30&gt;=1,ROUNDDOWN(((((1-1/MAX(100%,過積載率!X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30" s="86">
        <f>IF(過積載率!Y30&gt;=1,ROUNDDOWN(((((1-1/MAX(100%,過積載率!Y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30" s="86">
        <f>IF(過積載率!Z30&gt;=1,ROUNDDOWN(((((1-1/MAX(100%,過積載率!Z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30" s="86">
        <f>IF(過積載率!AA30&gt;=1,ROUNDDOWN(((((1-1/MAX(100%,過積載率!AA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30" s="86">
        <f>IF(過積載率!AB30&gt;=1,ROUNDDOWN(((((1-1/MAX(100%,過積載率!AB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30" s="86">
        <f>IF(過積載率!AC30&gt;=1,ROUNDDOWN(((((1-1/MAX(100%,過積載率!AC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30" s="86">
        <f>IF(過積載率!AD30&gt;=1,ROUNDDOWN(((((1-1/MAX(100%,過積載率!AD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30" s="86">
        <f>IF(過積載率!AE30&gt;=1,ROUNDDOWN(((((1-1/MAX(100%,過積載率!AE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30" s="86">
        <f>IF(過積載率!AF30&gt;=1,ROUNDDOWN(((((1-1/MAX(100%,過積載率!AF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30" s="86">
        <f>IF(過積載率!AG30&gt;=1,ROUNDDOWN(((((1-1/MAX(100%,過積載率!AG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30" s="86">
        <f>IF(過積載率!AH30&gt;=1,ROUNDDOWN(((((1-1/MAX(100%,過積載率!AH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30" s="86">
        <f>IF(過積載率!AI30&gt;=1,ROUNDDOWN(((((1-1/MAX(100%,過積載率!AI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30" s="86">
        <f>IF(過積載率!AJ30&gt;=1,ROUNDDOWN(((((1-1/MAX(100%,過積載率!AJ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30" s="86">
        <f>IF(過積載率!AK30&gt;=1,ROUNDDOWN(((((1-1/MAX(100%,過積載率!AK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30" s="86">
        <f>IF(過積載率!AL30&gt;=1,ROUNDDOWN(((((1-1/MAX(100%,過積載率!AL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30" s="86">
        <f>IF(過積載率!AM30&gt;=1,ROUNDDOWN(((((1-1/MAX(100%,過積載率!AM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30" s="86">
        <f>IF(過積載率!AN30&gt;=1,ROUNDDOWN(((((1-1/MAX(100%,過積載率!AN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30" s="86">
        <f>IF(過積載率!AO30&gt;=1,ROUNDDOWN(((((1-1/MAX(100%,過積載率!AO30))^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31" spans="1:41">
      <c r="A31">
        <v>29</v>
      </c>
      <c r="B31" s="86">
        <f>IF(過積載率!B31&gt;=1,ROUNDDOWN(((((1-1/MAX(100%,過積載率!B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31" s="86">
        <f>IF(過積載率!C31&gt;=1,ROUNDDOWN(((((1-1/MAX(100%,過積載率!C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31" s="86">
        <f>IF(過積載率!D31&gt;=1,ROUNDDOWN(((((1-1/MAX(100%,過積載率!D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31" s="86">
        <f>IF(過積載率!E31&gt;=1,ROUNDDOWN(((((1-1/MAX(100%,過積載率!E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31" s="86">
        <f>IF(過積載率!F31&gt;=1,ROUNDDOWN(((((1-1/MAX(100%,過積載率!F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31" s="86">
        <f>IF(過積載率!G31&gt;=1,ROUNDDOWN(((((1-1/MAX(100%,過積載率!G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31" s="86">
        <f>IF(過積載率!H31&gt;=1,ROUNDDOWN(((((1-1/MAX(100%,過積載率!H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31" s="86">
        <f>IF(過積載率!I31&gt;=1,ROUNDDOWN(((((1-1/MAX(100%,過積載率!I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31" s="86">
        <f>IF(過積載率!J31&gt;=1,ROUNDDOWN(((((1-1/MAX(100%,過積載率!J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31" s="86">
        <f>IF(過積載率!K31&gt;=1,ROUNDDOWN(((((1-1/MAX(100%,過積載率!K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31" s="86">
        <f>IF(過積載率!L31&gt;=1,ROUNDDOWN(((((1-1/MAX(100%,過積載率!L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31" s="86">
        <f>IF(過積載率!M31&gt;=1,ROUNDDOWN(((((1-1/MAX(100%,過積載率!M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31" s="86">
        <f>IF(過積載率!N31&gt;=1,ROUNDDOWN(((((1-1/MAX(100%,過積載率!N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31" s="86">
        <f>IF(過積載率!O31&gt;=1,ROUNDDOWN(((((1-1/MAX(100%,過積載率!O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31" s="86">
        <f>IF(過積載率!P31&gt;=1,ROUNDDOWN(((((1-1/MAX(100%,過積載率!P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31" s="86">
        <f>IF(過積載率!Q31&gt;=1,ROUNDDOWN(((((1-1/MAX(100%,過積載率!Q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31" s="86">
        <f>IF(過積載率!R31&gt;=1,ROUNDDOWN(((((1-1/MAX(100%,過積載率!R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31" s="86">
        <f>IF(過積載率!S31&gt;=1,ROUNDDOWN(((((1-1/MAX(100%,過積載率!S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31" s="86">
        <f>IF(過積載率!T31&gt;=1,ROUNDDOWN(((((1-1/MAX(100%,過積載率!T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31" s="86">
        <f>IF(過積載率!U31&gt;=1,ROUNDDOWN(((((1-1/MAX(100%,過積載率!U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31" s="86">
        <f>IF(過積載率!V31&gt;=1,ROUNDDOWN(((((1-1/MAX(100%,過積載率!V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31" s="86">
        <f>IF(過積載率!W31&gt;=1,ROUNDDOWN(((((1-1/MAX(100%,過積載率!W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31" s="86">
        <f>IF(過積載率!X31&gt;=1,ROUNDDOWN(((((1-1/MAX(100%,過積載率!X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31" s="86">
        <f>IF(過積載率!Y31&gt;=1,ROUNDDOWN(((((1-1/MAX(100%,過積載率!Y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31" s="86">
        <f>IF(過積載率!Z31&gt;=1,ROUNDDOWN(((((1-1/MAX(100%,過積載率!Z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31" s="86">
        <f>IF(過積載率!AA31&gt;=1,ROUNDDOWN(((((1-1/MAX(100%,過積載率!AA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31" s="86">
        <f>IF(過積載率!AB31&gt;=1,ROUNDDOWN(((((1-1/MAX(100%,過積載率!AB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31" s="86">
        <f>IF(過積載率!AC31&gt;=1,ROUNDDOWN(((((1-1/MAX(100%,過積載率!AC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31" s="86">
        <f>IF(過積載率!AD31&gt;=1,ROUNDDOWN(((((1-1/MAX(100%,過積載率!AD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31" s="86">
        <f>IF(過積載率!AE31&gt;=1,ROUNDDOWN(((((1-1/MAX(100%,過積載率!AE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31" s="86">
        <f>IF(過積載率!AF31&gt;=1,ROUNDDOWN(((((1-1/MAX(100%,過積載率!AF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31" s="86">
        <f>IF(過積載率!AG31&gt;=1,ROUNDDOWN(((((1-1/MAX(100%,過積載率!AG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31" s="86">
        <f>IF(過積載率!AH31&gt;=1,ROUNDDOWN(((((1-1/MAX(100%,過積載率!AH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31" s="86">
        <f>IF(過積載率!AI31&gt;=1,ROUNDDOWN(((((1-1/MAX(100%,過積載率!AI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31" s="86">
        <f>IF(過積載率!AJ31&gt;=1,ROUNDDOWN(((((1-1/MAX(100%,過積載率!AJ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31" s="86">
        <f>IF(過積載率!AK31&gt;=1,ROUNDDOWN(((((1-1/MAX(100%,過積載率!AK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31" s="86">
        <f>IF(過積載率!AL31&gt;=1,ROUNDDOWN(((((1-1/MAX(100%,過積載率!AL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31" s="86">
        <f>IF(過積載率!AM31&gt;=1,ROUNDDOWN(((((1-1/MAX(100%,過積載率!AM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31" s="86">
        <f>IF(過積載率!AN31&gt;=1,ROUNDDOWN(((((1-1/MAX(100%,過積載率!AN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31" s="86">
        <f>IF(過積載率!AO31&gt;=1,ROUNDDOWN(((((1-1/MAX(100%,過積載率!AO31))^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row r="32" spans="1:41">
      <c r="A32">
        <v>30</v>
      </c>
      <c r="B32" s="86">
        <f>IF(過積載率!B32&gt;=1,ROUNDDOWN(((((1-1/MAX(100%,過積載率!B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C32" s="86">
        <f>IF(過積載率!C32&gt;=1,ROUNDDOWN(((((1-1/MAX(100%,過積載率!C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D32" s="86">
        <f>IF(過積載率!D32&gt;=1,ROUNDDOWN(((((1-1/MAX(100%,過積載率!D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E32" s="86">
        <f>IF(過積載率!E32&gt;=1,ROUNDDOWN(((((1-1/MAX(100%,過積載率!E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F32" s="86">
        <f>IF(過積載率!F32&gt;=1,ROUNDDOWN(((((1-1/MAX(100%,過積載率!F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G32" s="86">
        <f>IF(過積載率!G32&gt;=1,ROUNDDOWN(((((1-1/MAX(100%,過積載率!G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H32" s="86">
        <f>IF(過積載率!H32&gt;=1,ROUNDDOWN(((((1-1/MAX(100%,過積載率!H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I32" s="86">
        <f>IF(過積載率!I32&gt;=1,ROUNDDOWN(((((1-1/MAX(100%,過積載率!I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J32" s="86">
        <f>IF(過積載率!J32&gt;=1,ROUNDDOWN(((((1-1/MAX(100%,過積載率!J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K32" s="86">
        <f>IF(過積載率!K32&gt;=1,ROUNDDOWN(((((1-1/MAX(100%,過積載率!K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L32" s="86">
        <f>IF(過積載率!L32&gt;=1,ROUNDDOWN(((((1-1/MAX(100%,過積載率!L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M32" s="86">
        <f>IF(過積載率!M32&gt;=1,ROUNDDOWN(((((1-1/MAX(100%,過積載率!M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N32" s="86">
        <f>IF(過積載率!N32&gt;=1,ROUNDDOWN(((((1-1/MAX(100%,過積載率!N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O32" s="86">
        <f>IF(過積載率!O32&gt;=1,ROUNDDOWN(((((1-1/MAX(100%,過積載率!O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P32" s="86">
        <f>IF(過積載率!P32&gt;=1,ROUNDDOWN(((((1-1/MAX(100%,過積載率!P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Q32" s="86">
        <f>IF(過積載率!Q32&gt;=1,ROUNDDOWN(((((1-1/MAX(100%,過積載率!Q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R32" s="86">
        <f>IF(過積載率!R32&gt;=1,ROUNDDOWN(((((1-1/MAX(100%,過積載率!R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S32" s="86">
        <f>IF(過積載率!S32&gt;=1,ROUNDDOWN(((((1-1/MAX(100%,過積載率!S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T32" s="86">
        <f>IF(過積載率!T32&gt;=1,ROUNDDOWN(((((1-1/MAX(100%,過積載率!T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U32" s="86">
        <f>IF(過積載率!U32&gt;=1,ROUNDDOWN(((((1-1/MAX(100%,過積載率!U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V32" s="86">
        <f>IF(過積載率!V32&gt;=1,ROUNDDOWN(((((1-1/MAX(100%,過積載率!V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W32" s="86">
        <f>IF(過積載率!W32&gt;=1,ROUNDDOWN(((((1-1/MAX(100%,過積載率!W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X32" s="86">
        <f>IF(過積載率!X32&gt;=1,ROUNDDOWN(((((1-1/MAX(100%,過積載率!X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Y32" s="86">
        <f>IF(過積載率!Y32&gt;=1,ROUNDDOWN(((((1-1/MAX(100%,過積載率!Y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Z32" s="86">
        <f>IF(過積載率!Z32&gt;=1,ROUNDDOWN(((((1-1/MAX(100%,過積載率!Z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A32" s="86">
        <f>IF(過積載率!AA32&gt;=1,ROUNDDOWN(((((1-1/MAX(100%,過積載率!AA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B32" s="86">
        <f>IF(過積載率!AB32&gt;=1,ROUNDDOWN(((((1-1/MAX(100%,過積載率!AB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C32" s="86">
        <f>IF(過積載率!AC32&gt;=1,ROUNDDOWN(((((1-1/MAX(100%,過積載率!AC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D32" s="86">
        <f>IF(過積載率!AD32&gt;=1,ROUNDDOWN(((((1-1/MAX(100%,過積載率!AD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E32" s="86">
        <f>IF(過積載率!AE32&gt;=1,ROUNDDOWN(((((1-1/MAX(100%,過積載率!AE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F32" s="86">
        <f>IF(過積載率!AF32&gt;=1,ROUNDDOWN(((((1-1/MAX(100%,過積載率!AF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G32" s="86">
        <f>IF(過積載率!AG32&gt;=1,ROUNDDOWN(((((1-1/MAX(100%,過積載率!AG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H32" s="86">
        <f>IF(過積載率!AH32&gt;=1,ROUNDDOWN(((((1-1/MAX(100%,過積載率!AH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I32" s="86">
        <f>IF(過積載率!AI32&gt;=1,ROUNDDOWN(((((1-1/MAX(100%,過積載率!AI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J32" s="86">
        <f>IF(過積載率!AJ32&gt;=1,ROUNDDOWN(((((1-1/MAX(100%,過積載率!AJ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K32" s="86">
        <f>IF(過積載率!AK32&gt;=1,ROUNDDOWN(((((1-1/MAX(100%,過積載率!AK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L32" s="86">
        <f>IF(過積載率!AL32&gt;=1,ROUNDDOWN(((((1-1/MAX(100%,過積載率!AL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M32" s="86">
        <f>IF(過積載率!AM32&gt;=1,ROUNDDOWN(((((1-1/MAX(100%,過積載率!AM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N32" s="86">
        <f>IF(過積載率!AN32&gt;=1,ROUNDDOWN(((((1-1/MAX(100%,過積載率!AN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c r="AO32" s="86">
        <f>IF(過積載率!AO32&gt;=1,ROUNDDOWN(((((1-1/MAX(100%,過積載率!AO32))^0.5*(HUAWEI製ＰＣＳ接続枚数計算ツール!$I$6-HUAWEI製ＰＣＳ接続枚数計算ツール!$G$6)+HUAWEI製ＰＣＳ接続枚数計算ツール!$G$6)*(1+(HUAWEI製ＰＣＳ接続枚数計算ツール!$C$15-25+HUAWEI製ＰＣＳ接続枚数計算ツール!$D$18)*HUAWEI製ＰＣＳ接続枚数計算ツール!$L$6))*(VLOOKUP(HUAWEI製ＰＣＳ接続枚数計算ツール!$C$9, HUAWEI製ＰＣＳ接続枚数計算ツール!$B$119:$P$149,10,FALSE)-HUAWEI製ＰＣＳ接続枚数計算ツール!$G$18)),2),HUAWEI製ＰＣＳ接続枚数計算ツール!$H$103)</f>
        <v>37.96</v>
      </c>
    </row>
  </sheetData>
  <phoneticPr fontId="2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dimension ref="A1:AO32"/>
  <sheetViews>
    <sheetView topLeftCell="A16" workbookViewId="0">
      <selection activeCell="M11" sqref="M11"/>
    </sheetView>
  </sheetViews>
  <sheetFormatPr defaultRowHeight="14.1"/>
  <sheetData>
    <row r="1" spans="1:41">
      <c r="A1" t="s">
        <v>1882</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s="85">
        <f>HUAWEI製ＰＣＳ接続枚数計算ツール!$C$6*枚数!B3/(VLOOKUP(HUAWEI製ＰＣＳ接続枚数計算ツール!$C$9, HUAWEI製ＰＣＳ接続枚数計算ツール!$B$119:$P$149,2,FALSE)*1000*HUAWEI製ＰＣＳ接続枚数計算ツール!$Y$113)</f>
        <v>4.7999999999999996E-3</v>
      </c>
      <c r="C3" s="85">
        <f>HUAWEI製ＰＣＳ接続枚数計算ツール!$C$6*枚数!C3/(VLOOKUP(HUAWEI製ＰＣＳ接続枚数計算ツール!$C$9, HUAWEI製ＰＣＳ接続枚数計算ツール!$B$119:$P$149,2,FALSE)*1000*HUAWEI製ＰＣＳ接続枚数計算ツール!Y113)</f>
        <v>9.5999999999999992E-3</v>
      </c>
      <c r="D3" s="85">
        <f>HUAWEI製ＰＣＳ接続枚数計算ツール!$C$6*枚数!D3/(VLOOKUP(HUAWEI製ＰＣＳ接続枚数計算ツール!$C$9, HUAWEI製ＰＣＳ接続枚数計算ツール!$B$119:$P$149,2,FALSE)*1000*HUAWEI製ＰＣＳ接続枚数計算ツール!Y113)</f>
        <v>1.44E-2</v>
      </c>
      <c r="E3" s="85">
        <f>HUAWEI製ＰＣＳ接続枚数計算ツール!$C$6*枚数!E3/(VLOOKUP(HUAWEI製ＰＣＳ接続枚数計算ツール!$C$9, HUAWEI製ＰＣＳ接続枚数計算ツール!$B$119:$P$149,2,FALSE)*1000*HUAWEI製ＰＣＳ接続枚数計算ツール!Y113)</f>
        <v>1.9199999999999998E-2</v>
      </c>
      <c r="F3" s="85">
        <f>HUAWEI製ＰＣＳ接続枚数計算ツール!$C$6*枚数!F3/(VLOOKUP(HUAWEI製ＰＣＳ接続枚数計算ツール!$C$9, HUAWEI製ＰＣＳ接続枚数計算ツール!$B$119:$P$149,2,FALSE)*1000*HUAWEI製ＰＣＳ接続枚数計算ツール!Y113)</f>
        <v>2.4E-2</v>
      </c>
      <c r="G3" s="85">
        <f>HUAWEI製ＰＣＳ接続枚数計算ツール!$C$6*枚数!G3/(VLOOKUP(HUAWEI製ＰＣＳ接続枚数計算ツール!$C$9, HUAWEI製ＰＣＳ接続枚数計算ツール!$B$119:$P$149,2,FALSE)*1000*HUAWEI製ＰＣＳ接続枚数計算ツール!Y113)</f>
        <v>2.8799999999999999E-2</v>
      </c>
      <c r="H3" s="85">
        <f>HUAWEI製ＰＣＳ接続枚数計算ツール!$C$6*枚数!H3/(VLOOKUP(HUAWEI製ＰＣＳ接続枚数計算ツール!$C$9, HUAWEI製ＰＣＳ接続枚数計算ツール!$B$119:$P$149,2,FALSE)*1000*HUAWEI製ＰＣＳ接続枚数計算ツール!Y113)</f>
        <v>3.3599999999999998E-2</v>
      </c>
      <c r="I3" s="85">
        <f>HUAWEI製ＰＣＳ接続枚数計算ツール!$C$6*枚数!I3/(VLOOKUP(HUAWEI製ＰＣＳ接続枚数計算ツール!$C$9, HUAWEI製ＰＣＳ接続枚数計算ツール!$B$119:$P$149,2,FALSE)*1000*HUAWEI製ＰＣＳ接続枚数計算ツール!Y113)</f>
        <v>3.8399999999999997E-2</v>
      </c>
      <c r="J3" s="85">
        <f>HUAWEI製ＰＣＳ接続枚数計算ツール!$C$6*枚数!J3/(VLOOKUP(HUAWEI製ＰＣＳ接続枚数計算ツール!$C$9, HUAWEI製ＰＣＳ接続枚数計算ツール!$B$119:$P$149,2,FALSE)*1000*HUAWEI製ＰＣＳ接続枚数計算ツール!Y113)</f>
        <v>4.3200000000000002E-2</v>
      </c>
      <c r="K3" s="85">
        <f>HUAWEI製ＰＣＳ接続枚数計算ツール!$C$6*枚数!K3/(VLOOKUP(HUAWEI製ＰＣＳ接続枚数計算ツール!$C$9, HUAWEI製ＰＣＳ接続枚数計算ツール!$B$119:$P$149,2,FALSE)*1000*HUAWEI製ＰＣＳ接続枚数計算ツール!Y113)</f>
        <v>4.8000000000000001E-2</v>
      </c>
      <c r="L3" s="85">
        <f>HUAWEI製ＰＣＳ接続枚数計算ツール!$C$6*枚数!L3/(VLOOKUP(HUAWEI製ＰＣＳ接続枚数計算ツール!$C$9, HUAWEI製ＰＣＳ接続枚数計算ツール!$B$119:$P$149,2,FALSE)*1000*HUAWEI製ＰＣＳ接続枚数計算ツール!Y113)</f>
        <v>5.28E-2</v>
      </c>
      <c r="M3" s="85">
        <f>HUAWEI製ＰＣＳ接続枚数計算ツール!$C$6*枚数!M3/(VLOOKUP(HUAWEI製ＰＣＳ接続枚数計算ツール!$C$9, HUAWEI製ＰＣＳ接続枚数計算ツール!$B$119:$P$149,2,FALSE)*1000*HUAWEI製ＰＣＳ接続枚数計算ツール!Y113)</f>
        <v>5.7599999999999998E-2</v>
      </c>
      <c r="N3" s="85">
        <f>HUAWEI製ＰＣＳ接続枚数計算ツール!$C$6*枚数!N3/(VLOOKUP(HUAWEI製ＰＣＳ接続枚数計算ツール!$C$9, HUAWEI製ＰＣＳ接続枚数計算ツール!$B$119:$P$149,2,FALSE)*1000*HUAWEI製ＰＣＳ接続枚数計算ツール!Y113)</f>
        <v>6.2399999999999997E-2</v>
      </c>
      <c r="O3" s="85">
        <f>HUAWEI製ＰＣＳ接続枚数計算ツール!$C$6*枚数!O3/(VLOOKUP(HUAWEI製ＰＣＳ接続枚数計算ツール!$C$9, HUAWEI製ＰＣＳ接続枚数計算ツール!$B$119:$P$149,2,FALSE)*1000*HUAWEI製ＰＣＳ接続枚数計算ツール!Y113)</f>
        <v>6.7199999999999996E-2</v>
      </c>
      <c r="P3" s="85">
        <f>HUAWEI製ＰＣＳ接続枚数計算ツール!$C$6*枚数!P3/(VLOOKUP(HUAWEI製ＰＣＳ接続枚数計算ツール!$C$9, HUAWEI製ＰＣＳ接続枚数計算ツール!$B$119:$P$149,2,FALSE)*1000*HUAWEI製ＰＣＳ接続枚数計算ツール!Y113)</f>
        <v>7.1999999999999995E-2</v>
      </c>
      <c r="Q3" s="85">
        <f>HUAWEI製ＰＣＳ接続枚数計算ツール!$C$6*枚数!Q3/(VLOOKUP(HUAWEI製ＰＣＳ接続枚数計算ツール!$C$9, HUAWEI製ＰＣＳ接続枚数計算ツール!$B$119:$P$149,2,FALSE)*1000*HUAWEI製ＰＣＳ接続枚数計算ツール!Y113)</f>
        <v>7.6799999999999993E-2</v>
      </c>
      <c r="R3" s="85">
        <f>HUAWEI製ＰＣＳ接続枚数計算ツール!$C$6*枚数!R3/(VLOOKUP(HUAWEI製ＰＣＳ接続枚数計算ツール!$C$9, HUAWEI製ＰＣＳ接続枚数計算ツール!$B$119:$P$149,2,FALSE)*1000*HUAWEI製ＰＣＳ接続枚数計算ツール!Y113)</f>
        <v>8.1600000000000006E-2</v>
      </c>
      <c r="S3" s="85">
        <f>HUAWEI製ＰＣＳ接続枚数計算ツール!$C$6*枚数!S3/(VLOOKUP(HUAWEI製ＰＣＳ接続枚数計算ツール!$C$9, HUAWEI製ＰＣＳ接続枚数計算ツール!$B$119:$P$149,2,FALSE)*1000*HUAWEI製ＰＣＳ接続枚数計算ツール!Y113)</f>
        <v>8.6400000000000005E-2</v>
      </c>
      <c r="T3" s="85">
        <f>HUAWEI製ＰＣＳ接続枚数計算ツール!$C$6*枚数!T3/(VLOOKUP(HUAWEI製ＰＣＳ接続枚数計算ツール!$C$9, HUAWEI製ＰＣＳ接続枚数計算ツール!$B$119:$P$149,2,FALSE)*1000*HUAWEI製ＰＣＳ接続枚数計算ツール!Y113)</f>
        <v>9.1200000000000003E-2</v>
      </c>
      <c r="U3" s="85">
        <f>HUAWEI製ＰＣＳ接続枚数計算ツール!$C$6*枚数!U3/(VLOOKUP(HUAWEI製ＰＣＳ接続枚数計算ツール!$C$9, HUAWEI製ＰＣＳ接続枚数計算ツール!$B$119:$P$149,2,FALSE)*1000*HUAWEI製ＰＣＳ接続枚数計算ツール!Y113)</f>
        <v>9.6000000000000002E-2</v>
      </c>
      <c r="V3" s="85">
        <f>HUAWEI製ＰＣＳ接続枚数計算ツール!$C$6*枚数!V3/(VLOOKUP(HUAWEI製ＰＣＳ接続枚数計算ツール!$C$9, HUAWEI製ＰＣＳ接続枚数計算ツール!$B$119:$P$149,2,FALSE)*1000*HUAWEI製ＰＣＳ接続枚数計算ツール!Y113)</f>
        <v>0.1008</v>
      </c>
      <c r="W3" s="85">
        <f>HUAWEI製ＰＣＳ接続枚数計算ツール!$C$6*枚数!W3/(VLOOKUP(HUAWEI製ＰＣＳ接続枚数計算ツール!$C$9, HUAWEI製ＰＣＳ接続枚数計算ツール!$B$119:$P$149,2,FALSE)*1000*HUAWEI製ＰＣＳ接続枚数計算ツール!Y113)</f>
        <v>0.1056</v>
      </c>
      <c r="X3" s="85">
        <f>HUAWEI製ＰＣＳ接続枚数計算ツール!$C$6*枚数!X3/(VLOOKUP(HUAWEI製ＰＣＳ接続枚数計算ツール!$C$9, HUAWEI製ＰＣＳ接続枚数計算ツール!$B$119:$P$149,2,FALSE)*1000*HUAWEI製ＰＣＳ接続枚数計算ツール!Y113)</f>
        <v>0.1104</v>
      </c>
      <c r="Y3" s="85">
        <f>HUAWEI製ＰＣＳ接続枚数計算ツール!$C$6*枚数!Y3/(VLOOKUP(HUAWEI製ＰＣＳ接続枚数計算ツール!$C$9, HUAWEI製ＰＣＳ接続枚数計算ツール!$B$119:$P$149,2,FALSE)*1000*HUAWEI製ＰＣＳ接続枚数計算ツール!Y113)</f>
        <v>0.1152</v>
      </c>
      <c r="Z3" s="85">
        <f>HUAWEI製ＰＣＳ接続枚数計算ツール!$C$6*枚数!Z3/(VLOOKUP(HUAWEI製ＰＣＳ接続枚数計算ツール!$C$9, HUAWEI製ＰＣＳ接続枚数計算ツール!$B$119:$P$149,2,FALSE)*1000*HUAWEI製ＰＣＳ接続枚数計算ツール!Y113)</f>
        <v>0.12</v>
      </c>
      <c r="AA3" s="85">
        <f>HUAWEI製ＰＣＳ接続枚数計算ツール!$C$6*枚数!AA3/(VLOOKUP(HUAWEI製ＰＣＳ接続枚数計算ツール!$C$9, HUAWEI製ＰＣＳ接続枚数計算ツール!$B$119:$P$149,2,FALSE)*1000*HUAWEI製ＰＣＳ接続枚数計算ツール!Y113)</f>
        <v>0.12479999999999999</v>
      </c>
      <c r="AB3" s="85">
        <f>HUAWEI製ＰＣＳ接続枚数計算ツール!$C$6*枚数!AB3/(VLOOKUP(HUAWEI製ＰＣＳ接続枚数計算ツール!$C$9, HUAWEI製ＰＣＳ接続枚数計算ツール!$B$119:$P$149,2,FALSE)*1000*HUAWEI製ＰＣＳ接続枚数計算ツール!Y113)</f>
        <v>0.12959999999999999</v>
      </c>
      <c r="AC3" s="85">
        <f>HUAWEI製ＰＣＳ接続枚数計算ツール!$C$6*枚数!AC3/(VLOOKUP(HUAWEI製ＰＣＳ接続枚数計算ツール!$C$9, HUAWEI製ＰＣＳ接続枚数計算ツール!$B$119:$P$149,2,FALSE)*1000*HUAWEI製ＰＣＳ接続枚数計算ツール!Y113)</f>
        <v>0.13439999999999999</v>
      </c>
      <c r="AD3" s="85">
        <f>HUAWEI製ＰＣＳ接続枚数計算ツール!$C$6*枚数!AD3/(VLOOKUP(HUAWEI製ＰＣＳ接続枚数計算ツール!$C$9, HUAWEI製ＰＣＳ接続枚数計算ツール!$B$119:$P$149,2,FALSE)*1000*HUAWEI製ＰＣＳ接続枚数計算ツール!Y113)</f>
        <v>0.13919999999999999</v>
      </c>
      <c r="AE3" s="85">
        <f>HUAWEI製ＰＣＳ接続枚数計算ツール!$C$6*枚数!AE3/(VLOOKUP(HUAWEI製ＰＣＳ接続枚数計算ツール!$C$9, HUAWEI製ＰＣＳ接続枚数計算ツール!$B$119:$P$149,2,FALSE)*1000*HUAWEI製ＰＣＳ接続枚数計算ツール!Y113)</f>
        <v>0.14399999999999999</v>
      </c>
      <c r="AF3" s="85">
        <f>HUAWEI製ＰＣＳ接続枚数計算ツール!$C$6*枚数!AF3/(VLOOKUP(HUAWEI製ＰＣＳ接続枚数計算ツール!$C$9, HUAWEI製ＰＣＳ接続枚数計算ツール!$B$119:$P$149,2,FALSE)*1000*HUAWEI製ＰＣＳ接続枚数計算ツール!Y113)</f>
        <v>0.14879999999999999</v>
      </c>
      <c r="AG3" s="85">
        <f>HUAWEI製ＰＣＳ接続枚数計算ツール!$C$6*枚数!AG3/(VLOOKUP(HUAWEI製ＰＣＳ接続枚数計算ツール!$C$9, HUAWEI製ＰＣＳ接続枚数計算ツール!$B$119:$P$149,2,FALSE)*1000*HUAWEI製ＰＣＳ接続枚数計算ツール!Y113)</f>
        <v>0.15359999999999999</v>
      </c>
      <c r="AH3" s="85">
        <f>HUAWEI製ＰＣＳ接続枚数計算ツール!$C$6*枚数!AH3/(VLOOKUP(HUAWEI製ＰＣＳ接続枚数計算ツール!$C$9, HUAWEI製ＰＣＳ接続枚数計算ツール!$B$119:$P$149,2,FALSE)*1000*HUAWEI製ＰＣＳ接続枚数計算ツール!Y113)</f>
        <v>0.15840000000000001</v>
      </c>
      <c r="AI3" s="85">
        <f>HUAWEI製ＰＣＳ接続枚数計算ツール!$C$6*枚数!AI3/(VLOOKUP(HUAWEI製ＰＣＳ接続枚数計算ツール!$C$9, HUAWEI製ＰＣＳ接続枚数計算ツール!$B$119:$P$149,2,FALSE)*1000*HUAWEI製ＰＣＳ接続枚数計算ツール!Y113)</f>
        <v>0.16320000000000001</v>
      </c>
      <c r="AJ3" s="85">
        <f>HUAWEI製ＰＣＳ接続枚数計算ツール!$C$6*枚数!AJ3/(VLOOKUP(HUAWEI製ＰＣＳ接続枚数計算ツール!$C$9, HUAWEI製ＰＣＳ接続枚数計算ツール!$B$119:$P$149,2,FALSE)*1000*HUAWEI製ＰＣＳ接続枚数計算ツール!Y113)</f>
        <v>0.16800000000000001</v>
      </c>
      <c r="AK3" s="85">
        <f>HUAWEI製ＰＣＳ接続枚数計算ツール!$C$6*枚数!AK3/(VLOOKUP(HUAWEI製ＰＣＳ接続枚数計算ツール!$C$9, HUAWEI製ＰＣＳ接続枚数計算ツール!$B$119:$P$149,2,FALSE)*1000*HUAWEI製ＰＣＳ接続枚数計算ツール!Y113)</f>
        <v>0.17280000000000001</v>
      </c>
      <c r="AL3" s="85">
        <f>HUAWEI製ＰＣＳ接続枚数計算ツール!$C$6*枚数!AL3/(VLOOKUP(HUAWEI製ＰＣＳ接続枚数計算ツール!$C$9, HUAWEI製ＰＣＳ接続枚数計算ツール!$B$119:$P$149,2,FALSE)*1000*HUAWEI製ＰＣＳ接続枚数計算ツール!Y113)</f>
        <v>0.17760000000000001</v>
      </c>
      <c r="AM3" s="85">
        <f>HUAWEI製ＰＣＳ接続枚数計算ツール!$C$6*枚数!AM3/(VLOOKUP(HUAWEI製ＰＣＳ接続枚数計算ツール!$C$9, HUAWEI製ＰＣＳ接続枚数計算ツール!$B$119:$P$149,2,FALSE)*1000*HUAWEI製ＰＣＳ接続枚数計算ツール!Y113)</f>
        <v>0.18240000000000001</v>
      </c>
      <c r="AN3" s="85">
        <f>HUAWEI製ＰＣＳ接続枚数計算ツール!$C$6*枚数!AN3/(VLOOKUP(HUAWEI製ＰＣＳ接続枚数計算ツール!$C$9, HUAWEI製ＰＣＳ接続枚数計算ツール!$B$119:$P$149,2,FALSE)*1000*HUAWEI製ＰＣＳ接続枚数計算ツール!Y113)</f>
        <v>0.18720000000000001</v>
      </c>
      <c r="AO3" s="85">
        <f>HUAWEI製ＰＣＳ接続枚数計算ツール!$C$6*枚数!AO3/(VLOOKUP(HUAWEI製ＰＣＳ接続枚数計算ツール!$C$9, HUAWEI製ＰＣＳ接続枚数計算ツール!$B$119:$P$149,2,FALSE)*1000*HUAWEI製ＰＣＳ接続枚数計算ツール!Y113)</f>
        <v>0.192</v>
      </c>
    </row>
    <row r="4" spans="1:41">
      <c r="A4">
        <v>2</v>
      </c>
      <c r="B4" s="85">
        <f>HUAWEI製ＰＣＳ接続枚数計算ツール!$C$6*枚数!B4/(VLOOKUP(HUAWEI製ＰＣＳ接続枚数計算ツール!$C$9, HUAWEI製ＰＣＳ接続枚数計算ツール!$B$119:$P$149,2,FALSE)*1000*HUAWEI製ＰＣＳ接続枚数計算ツール!Y113)</f>
        <v>9.5999999999999992E-3</v>
      </c>
      <c r="C4" s="85">
        <f>HUAWEI製ＰＣＳ接続枚数計算ツール!$C$6*枚数!C4/(VLOOKUP(HUAWEI製ＰＣＳ接続枚数計算ツール!$C$9, HUAWEI製ＰＣＳ接続枚数計算ツール!$B$119:$P$149,2,FALSE)*1000*HUAWEI製ＰＣＳ接続枚数計算ツール!Y113)</f>
        <v>1.9199999999999998E-2</v>
      </c>
      <c r="D4" s="85">
        <f>HUAWEI製ＰＣＳ接続枚数計算ツール!$C$6*枚数!D4/(VLOOKUP(HUAWEI製ＰＣＳ接続枚数計算ツール!$C$9, HUAWEI製ＰＣＳ接続枚数計算ツール!$B$119:$P$149,2,FALSE)*1000*HUAWEI製ＰＣＳ接続枚数計算ツール!Y113)</f>
        <v>2.8799999999999999E-2</v>
      </c>
      <c r="E4" s="85">
        <f>HUAWEI製ＰＣＳ接続枚数計算ツール!$C$6*枚数!E4/(VLOOKUP(HUAWEI製ＰＣＳ接続枚数計算ツール!$C$9, HUAWEI製ＰＣＳ接続枚数計算ツール!$B$119:$P$149,2,FALSE)*1000*HUAWEI製ＰＣＳ接続枚数計算ツール!Y113)</f>
        <v>3.8399999999999997E-2</v>
      </c>
      <c r="F4" s="85">
        <f>HUAWEI製ＰＣＳ接続枚数計算ツール!$C$6*枚数!F4/(VLOOKUP(HUAWEI製ＰＣＳ接続枚数計算ツール!$C$9, HUAWEI製ＰＣＳ接続枚数計算ツール!$B$119:$P$149,2,FALSE)*1000*HUAWEI製ＰＣＳ接続枚数計算ツール!Y113)</f>
        <v>4.8000000000000001E-2</v>
      </c>
      <c r="G4" s="85">
        <f>HUAWEI製ＰＣＳ接続枚数計算ツール!$C$6*枚数!G4/(VLOOKUP(HUAWEI製ＰＣＳ接続枚数計算ツール!$C$9, HUAWEI製ＰＣＳ接続枚数計算ツール!$B$119:$P$149,2,FALSE)*1000*HUAWEI製ＰＣＳ接続枚数計算ツール!Y113)</f>
        <v>5.7599999999999998E-2</v>
      </c>
      <c r="H4" s="85">
        <f>HUAWEI製ＰＣＳ接続枚数計算ツール!$C$6*枚数!H4/(VLOOKUP(HUAWEI製ＰＣＳ接続枚数計算ツール!$C$9, HUAWEI製ＰＣＳ接続枚数計算ツール!$B$119:$P$149,2,FALSE)*1000*HUAWEI製ＰＣＳ接続枚数計算ツール!Y113)</f>
        <v>6.7199999999999996E-2</v>
      </c>
      <c r="I4" s="85">
        <f>HUAWEI製ＰＣＳ接続枚数計算ツール!$C$6*枚数!I4/(VLOOKUP(HUAWEI製ＰＣＳ接続枚数計算ツール!$C$9, HUAWEI製ＰＣＳ接続枚数計算ツール!$B$119:$P$149,2,FALSE)*1000*HUAWEI製ＰＣＳ接続枚数計算ツール!Y113)</f>
        <v>7.6799999999999993E-2</v>
      </c>
      <c r="J4" s="85">
        <f>HUAWEI製ＰＣＳ接続枚数計算ツール!$C$6*枚数!J4/(VLOOKUP(HUAWEI製ＰＣＳ接続枚数計算ツール!$C$9, HUAWEI製ＰＣＳ接続枚数計算ツール!$B$119:$P$149,2,FALSE)*1000*HUAWEI製ＰＣＳ接続枚数計算ツール!Y113)</f>
        <v>8.6400000000000005E-2</v>
      </c>
      <c r="K4" s="85">
        <f>HUAWEI製ＰＣＳ接続枚数計算ツール!$C$6*枚数!K4/(VLOOKUP(HUAWEI製ＰＣＳ接続枚数計算ツール!$C$9, HUAWEI製ＰＣＳ接続枚数計算ツール!$B$119:$P$149,2,FALSE)*1000*HUAWEI製ＰＣＳ接続枚数計算ツール!Y113)</f>
        <v>9.6000000000000002E-2</v>
      </c>
      <c r="L4" s="85">
        <f>HUAWEI製ＰＣＳ接続枚数計算ツール!$C$6*枚数!L4/(VLOOKUP(HUAWEI製ＰＣＳ接続枚数計算ツール!$C$9, HUAWEI製ＰＣＳ接続枚数計算ツール!$B$119:$P$149,2,FALSE)*1000*HUAWEI製ＰＣＳ接続枚数計算ツール!Y113)</f>
        <v>0.1056</v>
      </c>
      <c r="M4" s="85">
        <f>HUAWEI製ＰＣＳ接続枚数計算ツール!$C$6*枚数!M4/(VLOOKUP(HUAWEI製ＰＣＳ接続枚数計算ツール!$C$9, HUAWEI製ＰＣＳ接続枚数計算ツール!$B$119:$P$149,2,FALSE)*1000*HUAWEI製ＰＣＳ接続枚数計算ツール!Y113)</f>
        <v>0.1152</v>
      </c>
      <c r="N4" s="85">
        <f>HUAWEI製ＰＣＳ接続枚数計算ツール!$C$6*枚数!N4/(VLOOKUP(HUAWEI製ＰＣＳ接続枚数計算ツール!$C$9, HUAWEI製ＰＣＳ接続枚数計算ツール!$B$119:$P$149,2,FALSE)*1000*HUAWEI製ＰＣＳ接続枚数計算ツール!Y113)</f>
        <v>0.12479999999999999</v>
      </c>
      <c r="O4" s="85">
        <f>HUAWEI製ＰＣＳ接続枚数計算ツール!$C$6*枚数!O4/(VLOOKUP(HUAWEI製ＰＣＳ接続枚数計算ツール!$C$9, HUAWEI製ＰＣＳ接続枚数計算ツール!$B$119:$P$149,2,FALSE)*1000*HUAWEI製ＰＣＳ接続枚数計算ツール!Y113)</f>
        <v>0.13439999999999999</v>
      </c>
      <c r="P4" s="85">
        <f>HUAWEI製ＰＣＳ接続枚数計算ツール!$C$6*枚数!P4/(VLOOKUP(HUAWEI製ＰＣＳ接続枚数計算ツール!$C$9, HUAWEI製ＰＣＳ接続枚数計算ツール!$B$119:$P$149,2,FALSE)*1000*HUAWEI製ＰＣＳ接続枚数計算ツール!Y113)</f>
        <v>0.14399999999999999</v>
      </c>
      <c r="Q4" s="85">
        <f>HUAWEI製ＰＣＳ接続枚数計算ツール!$C$6*枚数!Q4/(VLOOKUP(HUAWEI製ＰＣＳ接続枚数計算ツール!$C$9, HUAWEI製ＰＣＳ接続枚数計算ツール!$B$119:$P$149,2,FALSE)*1000*HUAWEI製ＰＣＳ接続枚数計算ツール!Y113)</f>
        <v>0.15359999999999999</v>
      </c>
      <c r="R4" s="85">
        <f>HUAWEI製ＰＣＳ接続枚数計算ツール!$C$6*枚数!R4/(VLOOKUP(HUAWEI製ＰＣＳ接続枚数計算ツール!$C$9, HUAWEI製ＰＣＳ接続枚数計算ツール!$B$119:$P$149,2,FALSE)*1000*HUAWEI製ＰＣＳ接続枚数計算ツール!Y113)</f>
        <v>0.16320000000000001</v>
      </c>
      <c r="S4" s="85">
        <f>HUAWEI製ＰＣＳ接続枚数計算ツール!$C$6*枚数!S4/(VLOOKUP(HUAWEI製ＰＣＳ接続枚数計算ツール!$C$9, HUAWEI製ＰＣＳ接続枚数計算ツール!$B$119:$P$149,2,FALSE)*1000*HUAWEI製ＰＣＳ接続枚数計算ツール!Y113)</f>
        <v>0.17280000000000001</v>
      </c>
      <c r="T4" s="85">
        <f>HUAWEI製ＰＣＳ接続枚数計算ツール!$C$6*枚数!T4/(VLOOKUP(HUAWEI製ＰＣＳ接続枚数計算ツール!$C$9, HUAWEI製ＰＣＳ接続枚数計算ツール!$B$119:$P$149,2,FALSE)*1000*HUAWEI製ＰＣＳ接続枚数計算ツール!Y113)</f>
        <v>0.18240000000000001</v>
      </c>
      <c r="U4" s="85">
        <f>HUAWEI製ＰＣＳ接続枚数計算ツール!$C$6*枚数!U4/(VLOOKUP(HUAWEI製ＰＣＳ接続枚数計算ツール!$C$9, HUAWEI製ＰＣＳ接続枚数計算ツール!$B$119:$P$149,2,FALSE)*1000*HUAWEI製ＰＣＳ接続枚数計算ツール!Y113)</f>
        <v>0.192</v>
      </c>
      <c r="V4" s="85">
        <f>HUAWEI製ＰＣＳ接続枚数計算ツール!$C$6*枚数!V4/(VLOOKUP(HUAWEI製ＰＣＳ接続枚数計算ツール!$C$9, HUAWEI製ＰＣＳ接続枚数計算ツール!$B$119:$P$149,2,FALSE)*1000*HUAWEI製ＰＣＳ接続枚数計算ツール!Y113)</f>
        <v>0.2016</v>
      </c>
      <c r="W4" s="85">
        <f>HUAWEI製ＰＣＳ接続枚数計算ツール!$C$6*枚数!W4/(VLOOKUP(HUAWEI製ＰＣＳ接続枚数計算ツール!$C$9, HUAWEI製ＰＣＳ接続枚数計算ツール!$B$119:$P$149,2,FALSE)*1000*HUAWEI製ＰＣＳ接続枚数計算ツール!Y113)</f>
        <v>0.2112</v>
      </c>
      <c r="X4" s="85">
        <f>HUAWEI製ＰＣＳ接続枚数計算ツール!$C$6*枚数!X4/(VLOOKUP(HUAWEI製ＰＣＳ接続枚数計算ツール!$C$9, HUAWEI製ＰＣＳ接続枚数計算ツール!$B$119:$P$149,2,FALSE)*1000*HUAWEI製ＰＣＳ接続枚数計算ツール!Y113)</f>
        <v>0.2208</v>
      </c>
      <c r="Y4" s="85">
        <f>HUAWEI製ＰＣＳ接続枚数計算ツール!$C$6*枚数!Y4/(VLOOKUP(HUAWEI製ＰＣＳ接続枚数計算ツール!$C$9, HUAWEI製ＰＣＳ接続枚数計算ツール!$B$119:$P$149,2,FALSE)*1000*HUAWEI製ＰＣＳ接続枚数計算ツール!Y113)</f>
        <v>0.23039999999999999</v>
      </c>
      <c r="Z4" s="85">
        <f>HUAWEI製ＰＣＳ接続枚数計算ツール!$C$6*枚数!Z4/(VLOOKUP(HUAWEI製ＰＣＳ接続枚数計算ツール!$C$9, HUAWEI製ＰＣＳ接続枚数計算ツール!$B$119:$P$149,2,FALSE)*1000*HUAWEI製ＰＣＳ接続枚数計算ツール!Y113)</f>
        <v>0.24</v>
      </c>
      <c r="AA4" s="85">
        <f>HUAWEI製ＰＣＳ接続枚数計算ツール!$C$6*枚数!AA4/(VLOOKUP(HUAWEI製ＰＣＳ接続枚数計算ツール!$C$9, HUAWEI製ＰＣＳ接続枚数計算ツール!$B$119:$P$149,2,FALSE)*1000*HUAWEI製ＰＣＳ接続枚数計算ツール!Y113)</f>
        <v>0.24959999999999999</v>
      </c>
      <c r="AB4" s="85">
        <f>HUAWEI製ＰＣＳ接続枚数計算ツール!$C$6*枚数!AB4/(VLOOKUP(HUAWEI製ＰＣＳ接続枚数計算ツール!$C$9, HUAWEI製ＰＣＳ接続枚数計算ツール!$B$119:$P$149,2,FALSE)*1000*HUAWEI製ＰＣＳ接続枚数計算ツール!Y113)</f>
        <v>0.25919999999999999</v>
      </c>
      <c r="AC4" s="85">
        <f>HUAWEI製ＰＣＳ接続枚数計算ツール!$C$6*枚数!AC4/(VLOOKUP(HUAWEI製ＰＣＳ接続枚数計算ツール!$C$9, HUAWEI製ＰＣＳ接続枚数計算ツール!$B$119:$P$149,2,FALSE)*1000*HUAWEI製ＰＣＳ接続枚数計算ツール!Y113)</f>
        <v>0.26879999999999998</v>
      </c>
      <c r="AD4" s="85">
        <f>HUAWEI製ＰＣＳ接続枚数計算ツール!$C$6*枚数!AD4/(VLOOKUP(HUAWEI製ＰＣＳ接続枚数計算ツール!$C$9, HUAWEI製ＰＣＳ接続枚数計算ツール!$B$119:$P$149,2,FALSE)*1000*HUAWEI製ＰＣＳ接続枚数計算ツール!Y113)</f>
        <v>0.27839999999999998</v>
      </c>
      <c r="AE4" s="85">
        <f>HUAWEI製ＰＣＳ接続枚数計算ツール!$C$6*枚数!AE4/(VLOOKUP(HUAWEI製ＰＣＳ接続枚数計算ツール!$C$9, HUAWEI製ＰＣＳ接続枚数計算ツール!$B$119:$P$149,2,FALSE)*1000*HUAWEI製ＰＣＳ接続枚数計算ツール!Y113)</f>
        <v>0.28799999999999998</v>
      </c>
      <c r="AF4" s="85">
        <f>HUAWEI製ＰＣＳ接続枚数計算ツール!$C$6*枚数!AF4/(VLOOKUP(HUAWEI製ＰＣＳ接続枚数計算ツール!$C$9, HUAWEI製ＰＣＳ接続枚数計算ツール!$B$119:$P$149,2,FALSE)*1000*HUAWEI製ＰＣＳ接続枚数計算ツール!Y113)</f>
        <v>0.29759999999999998</v>
      </c>
      <c r="AG4" s="85">
        <f>HUAWEI製ＰＣＳ接続枚数計算ツール!$C$6*枚数!AG4/(VLOOKUP(HUAWEI製ＰＣＳ接続枚数計算ツール!$C$9, HUAWEI製ＰＣＳ接続枚数計算ツール!$B$119:$P$149,2,FALSE)*1000*HUAWEI製ＰＣＳ接続枚数計算ツール!Y113)</f>
        <v>0.30719999999999997</v>
      </c>
      <c r="AH4" s="85">
        <f>HUAWEI製ＰＣＳ接続枚数計算ツール!$C$6*枚数!AH4/(VLOOKUP(HUAWEI製ＰＣＳ接続枚数計算ツール!$C$9, HUAWEI製ＰＣＳ接続枚数計算ツール!$B$119:$P$149,2,FALSE)*1000*HUAWEI製ＰＣＳ接続枚数計算ツール!Y113)</f>
        <v>0.31680000000000003</v>
      </c>
      <c r="AI4" s="85">
        <f>HUAWEI製ＰＣＳ接続枚数計算ツール!$C$6*枚数!AI4/(VLOOKUP(HUAWEI製ＰＣＳ接続枚数計算ツール!$C$9, HUAWEI製ＰＣＳ接続枚数計算ツール!$B$119:$P$149,2,FALSE)*1000*HUAWEI製ＰＣＳ接続枚数計算ツール!Y113)</f>
        <v>0.32640000000000002</v>
      </c>
      <c r="AJ4" s="85">
        <f>HUAWEI製ＰＣＳ接続枚数計算ツール!$C$6*枚数!AJ4/(VLOOKUP(HUAWEI製ＰＣＳ接続枚数計算ツール!$C$9, HUAWEI製ＰＣＳ接続枚数計算ツール!$B$119:$P$149,2,FALSE)*1000*HUAWEI製ＰＣＳ接続枚数計算ツール!Y113)</f>
        <v>0.33600000000000002</v>
      </c>
      <c r="AK4" s="85">
        <f>HUAWEI製ＰＣＳ接続枚数計算ツール!$C$6*枚数!AK4/(VLOOKUP(HUAWEI製ＰＣＳ接続枚数計算ツール!$C$9, HUAWEI製ＰＣＳ接続枚数計算ツール!$B$119:$P$149,2,FALSE)*1000*HUAWEI製ＰＣＳ接続枚数計算ツール!Y113)</f>
        <v>0.34560000000000002</v>
      </c>
      <c r="AL4" s="85">
        <f>HUAWEI製ＰＣＳ接続枚数計算ツール!$C$6*枚数!AL4/(VLOOKUP(HUAWEI製ＰＣＳ接続枚数計算ツール!$C$9, HUAWEI製ＰＣＳ接続枚数計算ツール!$B$119:$P$149,2,FALSE)*1000*HUAWEI製ＰＣＳ接続枚数計算ツール!Y113)</f>
        <v>0.35520000000000002</v>
      </c>
      <c r="AM4" s="85">
        <f>HUAWEI製ＰＣＳ接続枚数計算ツール!$C$6*枚数!AM4/(VLOOKUP(HUAWEI製ＰＣＳ接続枚数計算ツール!$C$9, HUAWEI製ＰＣＳ接続枚数計算ツール!$B$119:$P$149,2,FALSE)*1000*HUAWEI製ＰＣＳ接続枚数計算ツール!Y113)</f>
        <v>0.36480000000000001</v>
      </c>
      <c r="AN4" s="85">
        <f>HUAWEI製ＰＣＳ接続枚数計算ツール!$C$6*枚数!AN4/(VLOOKUP(HUAWEI製ＰＣＳ接続枚数計算ツール!$C$9, HUAWEI製ＰＣＳ接続枚数計算ツール!$B$119:$P$149,2,FALSE)*1000*HUAWEI製ＰＣＳ接続枚数計算ツール!Y113)</f>
        <v>0.37440000000000001</v>
      </c>
      <c r="AO4" s="85">
        <f>HUAWEI製ＰＣＳ接続枚数計算ツール!$C$6*枚数!AO4/(VLOOKUP(HUAWEI製ＰＣＳ接続枚数計算ツール!$C$9, HUAWEI製ＰＣＳ接続枚数計算ツール!$B$119:$P$149,2,FALSE)*1000*HUAWEI製ＰＣＳ接続枚数計算ツール!Y113)</f>
        <v>0.38400000000000001</v>
      </c>
    </row>
    <row r="5" spans="1:41">
      <c r="A5">
        <v>3</v>
      </c>
      <c r="B5" s="85">
        <f>HUAWEI製ＰＣＳ接続枚数計算ツール!$C$6*枚数!B5/(VLOOKUP(HUAWEI製ＰＣＳ接続枚数計算ツール!$C$9, HUAWEI製ＰＣＳ接続枚数計算ツール!$B$119:$P$149,2,FALSE)*1000*HUAWEI製ＰＣＳ接続枚数計算ツール!Y113)</f>
        <v>1.44E-2</v>
      </c>
      <c r="C5" s="85">
        <f>HUAWEI製ＰＣＳ接続枚数計算ツール!$C$6*枚数!C5/(VLOOKUP(HUAWEI製ＰＣＳ接続枚数計算ツール!$C$9, HUAWEI製ＰＣＳ接続枚数計算ツール!$B$119:$P$149,2,FALSE)*1000*HUAWEI製ＰＣＳ接続枚数計算ツール!Y113)</f>
        <v>2.8799999999999999E-2</v>
      </c>
      <c r="D5" s="85">
        <f>HUAWEI製ＰＣＳ接続枚数計算ツール!$C$6*枚数!D5/(VLOOKUP(HUAWEI製ＰＣＳ接続枚数計算ツール!$C$9, HUAWEI製ＰＣＳ接続枚数計算ツール!$B$119:$P$149,2,FALSE)*1000*HUAWEI製ＰＣＳ接続枚数計算ツール!Y113)</f>
        <v>4.3200000000000002E-2</v>
      </c>
      <c r="E5" s="85">
        <f>HUAWEI製ＰＣＳ接続枚数計算ツール!$C$6*枚数!E5/(VLOOKUP(HUAWEI製ＰＣＳ接続枚数計算ツール!$C$9, HUAWEI製ＰＣＳ接続枚数計算ツール!$B$119:$P$149,2,FALSE)*1000*HUAWEI製ＰＣＳ接続枚数計算ツール!Y113)</f>
        <v>5.7599999999999998E-2</v>
      </c>
      <c r="F5" s="85">
        <f>HUAWEI製ＰＣＳ接続枚数計算ツール!$C$6*枚数!F5/(VLOOKUP(HUAWEI製ＰＣＳ接続枚数計算ツール!$C$9, HUAWEI製ＰＣＳ接続枚数計算ツール!$B$119:$P$149,2,FALSE)*1000*HUAWEI製ＰＣＳ接続枚数計算ツール!Y113)</f>
        <v>7.1999999999999995E-2</v>
      </c>
      <c r="G5" s="85">
        <f>HUAWEI製ＰＣＳ接続枚数計算ツール!$C$6*枚数!G5/(VLOOKUP(HUAWEI製ＰＣＳ接続枚数計算ツール!$C$9, HUAWEI製ＰＣＳ接続枚数計算ツール!$B$119:$P$149,2,FALSE)*1000*HUAWEI製ＰＣＳ接続枚数計算ツール!Y113)</f>
        <v>8.6400000000000005E-2</v>
      </c>
      <c r="H5" s="85">
        <f>HUAWEI製ＰＣＳ接続枚数計算ツール!$C$6*枚数!H5/(VLOOKUP(HUAWEI製ＰＣＳ接続枚数計算ツール!$C$9, HUAWEI製ＰＣＳ接続枚数計算ツール!$B$119:$P$149,2,FALSE)*1000*HUAWEI製ＰＣＳ接続枚数計算ツール!Y113)</f>
        <v>0.1008</v>
      </c>
      <c r="I5" s="85">
        <f>HUAWEI製ＰＣＳ接続枚数計算ツール!$C$6*枚数!I5/(VLOOKUP(HUAWEI製ＰＣＳ接続枚数計算ツール!$C$9, HUAWEI製ＰＣＳ接続枚数計算ツール!$B$119:$P$149,2,FALSE)*1000*HUAWEI製ＰＣＳ接続枚数計算ツール!Y113)</f>
        <v>0.1152</v>
      </c>
      <c r="J5" s="85">
        <f>HUAWEI製ＰＣＳ接続枚数計算ツール!$C$6*枚数!J5/(VLOOKUP(HUAWEI製ＰＣＳ接続枚数計算ツール!$C$9, HUAWEI製ＰＣＳ接続枚数計算ツール!$B$119:$P$149,2,FALSE)*1000*HUAWEI製ＰＣＳ接続枚数計算ツール!Y113)</f>
        <v>0.12959999999999999</v>
      </c>
      <c r="K5" s="85">
        <f>HUAWEI製ＰＣＳ接続枚数計算ツール!$C$6*枚数!K5/(VLOOKUP(HUAWEI製ＰＣＳ接続枚数計算ツール!$C$9, HUAWEI製ＰＣＳ接続枚数計算ツール!$B$119:$P$149,2,FALSE)*1000*HUAWEI製ＰＣＳ接続枚数計算ツール!Y113)</f>
        <v>0.14399999999999999</v>
      </c>
      <c r="L5" s="85">
        <f>HUAWEI製ＰＣＳ接続枚数計算ツール!$C$6*枚数!L5/(VLOOKUP(HUAWEI製ＰＣＳ接続枚数計算ツール!$C$9, HUAWEI製ＰＣＳ接続枚数計算ツール!$B$119:$P$149,2,FALSE)*1000*HUAWEI製ＰＣＳ接続枚数計算ツール!Y113)</f>
        <v>0.15840000000000001</v>
      </c>
      <c r="M5" s="85">
        <f>HUAWEI製ＰＣＳ接続枚数計算ツール!$C$6*枚数!M5/(VLOOKUP(HUAWEI製ＰＣＳ接続枚数計算ツール!$C$9, HUAWEI製ＰＣＳ接続枚数計算ツール!$B$119:$P$149,2,FALSE)*1000*HUAWEI製ＰＣＳ接続枚数計算ツール!Y113)</f>
        <v>0.17280000000000001</v>
      </c>
      <c r="N5" s="85">
        <f>HUAWEI製ＰＣＳ接続枚数計算ツール!$C$6*枚数!N5/(VLOOKUP(HUAWEI製ＰＣＳ接続枚数計算ツール!$C$9, HUAWEI製ＰＣＳ接続枚数計算ツール!$B$119:$P$149,2,FALSE)*1000*HUAWEI製ＰＣＳ接続枚数計算ツール!Y113)</f>
        <v>0.18720000000000001</v>
      </c>
      <c r="O5" s="85">
        <f>HUAWEI製ＰＣＳ接続枚数計算ツール!$C$6*枚数!O5/(VLOOKUP(HUAWEI製ＰＣＳ接続枚数計算ツール!$C$9, HUAWEI製ＰＣＳ接続枚数計算ツール!$B$119:$P$149,2,FALSE)*1000*HUAWEI製ＰＣＳ接続枚数計算ツール!Y113)</f>
        <v>0.2016</v>
      </c>
      <c r="P5" s="85">
        <f>HUAWEI製ＰＣＳ接続枚数計算ツール!$C$6*枚数!P5/(VLOOKUP(HUAWEI製ＰＣＳ接続枚数計算ツール!$C$9, HUAWEI製ＰＣＳ接続枚数計算ツール!$B$119:$P$149,2,FALSE)*1000*HUAWEI製ＰＣＳ接続枚数計算ツール!Y113)</f>
        <v>0.216</v>
      </c>
      <c r="Q5" s="85">
        <f>HUAWEI製ＰＣＳ接続枚数計算ツール!$C$6*枚数!Q5/(VLOOKUP(HUAWEI製ＰＣＳ接続枚数計算ツール!$C$9, HUAWEI製ＰＣＳ接続枚数計算ツール!$B$119:$P$149,2,FALSE)*1000*HUAWEI製ＰＣＳ接続枚数計算ツール!Y113)</f>
        <v>0.23039999999999999</v>
      </c>
      <c r="R5" s="85">
        <f>HUAWEI製ＰＣＳ接続枚数計算ツール!$C$6*枚数!R5/(VLOOKUP(HUAWEI製ＰＣＳ接続枚数計算ツール!$C$9, HUAWEI製ＰＣＳ接続枚数計算ツール!$B$119:$P$149,2,FALSE)*1000*HUAWEI製ＰＣＳ接続枚数計算ツール!Y113)</f>
        <v>0.24479999999999999</v>
      </c>
      <c r="S5" s="85">
        <f>HUAWEI製ＰＣＳ接続枚数計算ツール!$C$6*枚数!S5/(VLOOKUP(HUAWEI製ＰＣＳ接続枚数計算ツール!$C$9, HUAWEI製ＰＣＳ接続枚数計算ツール!$B$119:$P$149,2,FALSE)*1000*HUAWEI製ＰＣＳ接続枚数計算ツール!Y113)</f>
        <v>0.25919999999999999</v>
      </c>
      <c r="T5" s="85">
        <f>HUAWEI製ＰＣＳ接続枚数計算ツール!$C$6*枚数!T5/(VLOOKUP(HUAWEI製ＰＣＳ接続枚数計算ツール!$C$9, HUAWEI製ＰＣＳ接続枚数計算ツール!$B$119:$P$149,2,FALSE)*1000*HUAWEI製ＰＣＳ接続枚数計算ツール!Y113)</f>
        <v>0.27360000000000001</v>
      </c>
      <c r="U5" s="85">
        <f>HUAWEI製ＰＣＳ接続枚数計算ツール!$C$6*枚数!U5/(VLOOKUP(HUAWEI製ＰＣＳ接続枚数計算ツール!$C$9, HUAWEI製ＰＣＳ接続枚数計算ツール!$B$119:$P$149,2,FALSE)*1000*HUAWEI製ＰＣＳ接続枚数計算ツール!Y113)</f>
        <v>0.28799999999999998</v>
      </c>
      <c r="V5" s="85">
        <f>HUAWEI製ＰＣＳ接続枚数計算ツール!$C$6*枚数!V5/(VLOOKUP(HUAWEI製ＰＣＳ接続枚数計算ツール!$C$9, HUAWEI製ＰＣＳ接続枚数計算ツール!$B$119:$P$149,2,FALSE)*1000*HUAWEI製ＰＣＳ接続枚数計算ツール!Y113)</f>
        <v>0.3024</v>
      </c>
      <c r="W5" s="85">
        <f>HUAWEI製ＰＣＳ接続枚数計算ツール!$C$6*枚数!W5/(VLOOKUP(HUAWEI製ＰＣＳ接続枚数計算ツール!$C$9, HUAWEI製ＰＣＳ接続枚数計算ツール!$B$119:$P$149,2,FALSE)*1000*HUAWEI製ＰＣＳ接続枚数計算ツール!Y113)</f>
        <v>0.31680000000000003</v>
      </c>
      <c r="X5" s="85">
        <f>HUAWEI製ＰＣＳ接続枚数計算ツール!$C$6*枚数!X5/(VLOOKUP(HUAWEI製ＰＣＳ接続枚数計算ツール!$C$9, HUAWEI製ＰＣＳ接続枚数計算ツール!$B$119:$P$149,2,FALSE)*1000*HUAWEI製ＰＣＳ接続枚数計算ツール!Y113)</f>
        <v>0.33119999999999999</v>
      </c>
      <c r="Y5" s="85">
        <f>HUAWEI製ＰＣＳ接続枚数計算ツール!$C$6*枚数!Y5/(VLOOKUP(HUAWEI製ＰＣＳ接続枚数計算ツール!$C$9, HUAWEI製ＰＣＳ接続枚数計算ツール!$B$119:$P$149,2,FALSE)*1000*HUAWEI製ＰＣＳ接続枚数計算ツール!Y113)</f>
        <v>0.34560000000000002</v>
      </c>
      <c r="Z5" s="85">
        <f>HUAWEI製ＰＣＳ接続枚数計算ツール!$C$6*枚数!Z5/(VLOOKUP(HUAWEI製ＰＣＳ接続枚数計算ツール!$C$9, HUAWEI製ＰＣＳ接続枚数計算ツール!$B$119:$P$149,2,FALSE)*1000*HUAWEI製ＰＣＳ接続枚数計算ツール!Y113)</f>
        <v>0.36</v>
      </c>
      <c r="AA5" s="85">
        <f>HUAWEI製ＰＣＳ接続枚数計算ツール!$C$6*枚数!AA5/(VLOOKUP(HUAWEI製ＰＣＳ接続枚数計算ツール!$C$9, HUAWEI製ＰＣＳ接続枚数計算ツール!$B$119:$P$149,2,FALSE)*1000*HUAWEI製ＰＣＳ接続枚数計算ツール!Y113)</f>
        <v>0.37440000000000001</v>
      </c>
      <c r="AB5" s="85">
        <f>HUAWEI製ＰＣＳ接続枚数計算ツール!$C$6*枚数!AB5/(VLOOKUP(HUAWEI製ＰＣＳ接続枚数計算ツール!$C$9, HUAWEI製ＰＣＳ接続枚数計算ツール!$B$119:$P$149,2,FALSE)*1000*HUAWEI製ＰＣＳ接続枚数計算ツール!Y113)</f>
        <v>0.38879999999999998</v>
      </c>
      <c r="AC5" s="85">
        <f>HUAWEI製ＰＣＳ接続枚数計算ツール!$C$6*枚数!AC5/(VLOOKUP(HUAWEI製ＰＣＳ接続枚数計算ツール!$C$9, HUAWEI製ＰＣＳ接続枚数計算ツール!$B$119:$P$149,2,FALSE)*1000*HUAWEI製ＰＣＳ接続枚数計算ツール!Y113)</f>
        <v>0.4032</v>
      </c>
      <c r="AD5" s="85">
        <f>HUAWEI製ＰＣＳ接続枚数計算ツール!$C$6*枚数!AD5/(VLOOKUP(HUAWEI製ＰＣＳ接続枚数計算ツール!$C$9, HUAWEI製ＰＣＳ接続枚数計算ツール!$B$119:$P$149,2,FALSE)*1000*HUAWEI製ＰＣＳ接続枚数計算ツール!Y113)</f>
        <v>0.41760000000000003</v>
      </c>
      <c r="AE5" s="85">
        <f>HUAWEI製ＰＣＳ接続枚数計算ツール!$C$6*枚数!AE5/(VLOOKUP(HUAWEI製ＰＣＳ接続枚数計算ツール!$C$9, HUAWEI製ＰＣＳ接続枚数計算ツール!$B$119:$P$149,2,FALSE)*1000*HUAWEI製ＰＣＳ接続枚数計算ツール!Y113)</f>
        <v>0.432</v>
      </c>
      <c r="AF5" s="85">
        <f>HUAWEI製ＰＣＳ接続枚数計算ツール!$C$6*枚数!AF5/(VLOOKUP(HUAWEI製ＰＣＳ接続枚数計算ツール!$C$9, HUAWEI製ＰＣＳ接続枚数計算ツール!$B$119:$P$149,2,FALSE)*1000*HUAWEI製ＰＣＳ接続枚数計算ツール!Y113)</f>
        <v>0.44640000000000002</v>
      </c>
      <c r="AG5" s="85">
        <f>HUAWEI製ＰＣＳ接続枚数計算ツール!$C$6*枚数!AG5/(VLOOKUP(HUAWEI製ＰＣＳ接続枚数計算ツール!$C$9, HUAWEI製ＰＣＳ接続枚数計算ツール!$B$119:$P$149,2,FALSE)*1000*HUAWEI製ＰＣＳ接続枚数計算ツール!Y113)</f>
        <v>0.46079999999999999</v>
      </c>
      <c r="AH5" s="85">
        <f>HUAWEI製ＰＣＳ接続枚数計算ツール!$C$6*枚数!AH5/(VLOOKUP(HUAWEI製ＰＣＳ接続枚数計算ツール!$C$9, HUAWEI製ＰＣＳ接続枚数計算ツール!$B$119:$P$149,2,FALSE)*1000*HUAWEI製ＰＣＳ接続枚数計算ツール!Y113)</f>
        <v>0.47520000000000001</v>
      </c>
      <c r="AI5" s="85">
        <f>HUAWEI製ＰＣＳ接続枚数計算ツール!$C$6*枚数!AI5/(VLOOKUP(HUAWEI製ＰＣＳ接続枚数計算ツール!$C$9, HUAWEI製ＰＣＳ接続枚数計算ツール!$B$119:$P$149,2,FALSE)*1000*HUAWEI製ＰＣＳ接続枚数計算ツール!Y113)</f>
        <v>0.48959999999999998</v>
      </c>
      <c r="AJ5" s="85">
        <f>HUAWEI製ＰＣＳ接続枚数計算ツール!$C$6*枚数!AJ5/(VLOOKUP(HUAWEI製ＰＣＳ接続枚数計算ツール!$C$9, HUAWEI製ＰＣＳ接続枚数計算ツール!$B$119:$P$149,2,FALSE)*1000*HUAWEI製ＰＣＳ接続枚数計算ツール!Y113)</f>
        <v>0.504</v>
      </c>
      <c r="AK5" s="85">
        <f>HUAWEI製ＰＣＳ接続枚数計算ツール!$C$6*枚数!AK5/(VLOOKUP(HUAWEI製ＰＣＳ接続枚数計算ツール!$C$9, HUAWEI製ＰＣＳ接続枚数計算ツール!$B$119:$P$149,2,FALSE)*1000*HUAWEI製ＰＣＳ接続枚数計算ツール!Y113)</f>
        <v>0.51839999999999997</v>
      </c>
      <c r="AL5" s="85">
        <f>HUAWEI製ＰＣＳ接続枚数計算ツール!$C$6*枚数!AL5/(VLOOKUP(HUAWEI製ＰＣＳ接続枚数計算ツール!$C$9, HUAWEI製ＰＣＳ接続枚数計算ツール!$B$119:$P$149,2,FALSE)*1000*HUAWEI製ＰＣＳ接続枚数計算ツール!Y113)</f>
        <v>0.53280000000000005</v>
      </c>
      <c r="AM5" s="85">
        <f>HUAWEI製ＰＣＳ接続枚数計算ツール!$C$6*枚数!AM5/(VLOOKUP(HUAWEI製ＰＣＳ接続枚数計算ツール!$C$9, HUAWEI製ＰＣＳ接続枚数計算ツール!$B$119:$P$149,2,FALSE)*1000*HUAWEI製ＰＣＳ接続枚数計算ツール!Y113)</f>
        <v>0.54720000000000002</v>
      </c>
      <c r="AN5" s="85">
        <f>HUAWEI製ＰＣＳ接続枚数計算ツール!$C$6*枚数!AN5/(VLOOKUP(HUAWEI製ＰＣＳ接続枚数計算ツール!$C$9, HUAWEI製ＰＣＳ接続枚数計算ツール!$B$119:$P$149,2,FALSE)*1000*HUAWEI製ＰＣＳ接続枚数計算ツール!Y113)</f>
        <v>0.56159999999999999</v>
      </c>
      <c r="AO5" s="85">
        <f>HUAWEI製ＰＣＳ接続枚数計算ツール!$C$6*枚数!AO5/(VLOOKUP(HUAWEI製ＰＣＳ接続枚数計算ツール!$C$9, HUAWEI製ＰＣＳ接続枚数計算ツール!$B$119:$P$149,2,FALSE)*1000*HUAWEI製ＰＣＳ接続枚数計算ツール!Y113)</f>
        <v>0.57599999999999996</v>
      </c>
    </row>
    <row r="6" spans="1:41">
      <c r="A6">
        <v>4</v>
      </c>
      <c r="B6" s="85">
        <f>HUAWEI製ＰＣＳ接続枚数計算ツール!$C$6*枚数!B6/(VLOOKUP(HUAWEI製ＰＣＳ接続枚数計算ツール!$C$9, HUAWEI製ＰＣＳ接続枚数計算ツール!$B$119:$P$149,2,FALSE)*1000*HUAWEI製ＰＣＳ接続枚数計算ツール!Y113)</f>
        <v>1.9199999999999998E-2</v>
      </c>
      <c r="C6" s="85">
        <f>HUAWEI製ＰＣＳ接続枚数計算ツール!$C$6*枚数!C6/(VLOOKUP(HUAWEI製ＰＣＳ接続枚数計算ツール!$C$9, HUAWEI製ＰＣＳ接続枚数計算ツール!$B$119:$P$149,2,FALSE)*1000*HUAWEI製ＰＣＳ接続枚数計算ツール!Y113)</f>
        <v>3.8399999999999997E-2</v>
      </c>
      <c r="D6" s="85">
        <f>HUAWEI製ＰＣＳ接続枚数計算ツール!$C$6*枚数!D6/(VLOOKUP(HUAWEI製ＰＣＳ接続枚数計算ツール!$C$9, HUAWEI製ＰＣＳ接続枚数計算ツール!$B$119:$P$149,2,FALSE)*1000*HUAWEI製ＰＣＳ接続枚数計算ツール!Y113)</f>
        <v>5.7599999999999998E-2</v>
      </c>
      <c r="E6" s="85">
        <f>HUAWEI製ＰＣＳ接続枚数計算ツール!$C$6*枚数!E6/(VLOOKUP(HUAWEI製ＰＣＳ接続枚数計算ツール!$C$9, HUAWEI製ＰＣＳ接続枚数計算ツール!$B$119:$P$149,2,FALSE)*1000*HUAWEI製ＰＣＳ接続枚数計算ツール!Y113)</f>
        <v>7.6799999999999993E-2</v>
      </c>
      <c r="F6" s="85">
        <f>HUAWEI製ＰＣＳ接続枚数計算ツール!$C$6*枚数!F6/(VLOOKUP(HUAWEI製ＰＣＳ接続枚数計算ツール!$C$9, HUAWEI製ＰＣＳ接続枚数計算ツール!$B$119:$P$149,2,FALSE)*1000*HUAWEI製ＰＣＳ接続枚数計算ツール!Y113)</f>
        <v>9.6000000000000002E-2</v>
      </c>
      <c r="G6" s="85">
        <f>HUAWEI製ＰＣＳ接続枚数計算ツール!$C$6*枚数!G6/(VLOOKUP(HUAWEI製ＰＣＳ接続枚数計算ツール!$C$9, HUAWEI製ＰＣＳ接続枚数計算ツール!$B$119:$P$149,2,FALSE)*1000*HUAWEI製ＰＣＳ接続枚数計算ツール!Y113)</f>
        <v>0.1152</v>
      </c>
      <c r="H6" s="85">
        <f>HUAWEI製ＰＣＳ接続枚数計算ツール!$C$6*枚数!H6/(VLOOKUP(HUAWEI製ＰＣＳ接続枚数計算ツール!$C$9, HUAWEI製ＰＣＳ接続枚数計算ツール!$B$119:$P$149,2,FALSE)*1000*HUAWEI製ＰＣＳ接続枚数計算ツール!Y113)</f>
        <v>0.13439999999999999</v>
      </c>
      <c r="I6" s="85">
        <f>HUAWEI製ＰＣＳ接続枚数計算ツール!$C$6*枚数!I6/(VLOOKUP(HUAWEI製ＰＣＳ接続枚数計算ツール!$C$9, HUAWEI製ＰＣＳ接続枚数計算ツール!$B$119:$P$149,2,FALSE)*1000*HUAWEI製ＰＣＳ接続枚数計算ツール!Y113)</f>
        <v>0.15359999999999999</v>
      </c>
      <c r="J6" s="85">
        <f>HUAWEI製ＰＣＳ接続枚数計算ツール!$C$6*枚数!J6/(VLOOKUP(HUAWEI製ＰＣＳ接続枚数計算ツール!$C$9, HUAWEI製ＰＣＳ接続枚数計算ツール!$B$119:$P$149,2,FALSE)*1000*HUAWEI製ＰＣＳ接続枚数計算ツール!Y113)</f>
        <v>0.17280000000000001</v>
      </c>
      <c r="K6" s="85">
        <f>HUAWEI製ＰＣＳ接続枚数計算ツール!$C$6*枚数!K6/(VLOOKUP(HUAWEI製ＰＣＳ接続枚数計算ツール!$C$9, HUAWEI製ＰＣＳ接続枚数計算ツール!$B$119:$P$149,2,FALSE)*1000*HUAWEI製ＰＣＳ接続枚数計算ツール!Y113)</f>
        <v>0.192</v>
      </c>
      <c r="L6" s="85">
        <f>HUAWEI製ＰＣＳ接続枚数計算ツール!$C$6*枚数!L6/(VLOOKUP(HUAWEI製ＰＣＳ接続枚数計算ツール!$C$9, HUAWEI製ＰＣＳ接続枚数計算ツール!$B$119:$P$149,2,FALSE)*1000*HUAWEI製ＰＣＳ接続枚数計算ツール!Y113)</f>
        <v>0.2112</v>
      </c>
      <c r="M6" s="85">
        <f>HUAWEI製ＰＣＳ接続枚数計算ツール!$C$6*枚数!M6/(VLOOKUP(HUAWEI製ＰＣＳ接続枚数計算ツール!$C$9, HUAWEI製ＰＣＳ接続枚数計算ツール!$B$119:$P$149,2,FALSE)*1000*HUAWEI製ＰＣＳ接続枚数計算ツール!Y113)</f>
        <v>0.23039999999999999</v>
      </c>
      <c r="N6" s="85">
        <f>HUAWEI製ＰＣＳ接続枚数計算ツール!$C$6*枚数!N6/(VLOOKUP(HUAWEI製ＰＣＳ接続枚数計算ツール!$C$9, HUAWEI製ＰＣＳ接続枚数計算ツール!$B$119:$P$149,2,FALSE)*1000*HUAWEI製ＰＣＳ接続枚数計算ツール!Y113)</f>
        <v>0.24959999999999999</v>
      </c>
      <c r="O6" s="85">
        <f>HUAWEI製ＰＣＳ接続枚数計算ツール!$C$6*枚数!O6/(VLOOKUP(HUAWEI製ＰＣＳ接続枚数計算ツール!$C$9, HUAWEI製ＰＣＳ接続枚数計算ツール!$B$119:$P$149,2,FALSE)*1000*HUAWEI製ＰＣＳ接続枚数計算ツール!Y113)</f>
        <v>0.26879999999999998</v>
      </c>
      <c r="P6" s="85">
        <f>HUAWEI製ＰＣＳ接続枚数計算ツール!$C$6*枚数!P6/(VLOOKUP(HUAWEI製ＰＣＳ接続枚数計算ツール!$C$9, HUAWEI製ＰＣＳ接続枚数計算ツール!$B$119:$P$149,2,FALSE)*1000*HUAWEI製ＰＣＳ接続枚数計算ツール!Y113)</f>
        <v>0.28799999999999998</v>
      </c>
      <c r="Q6" s="85">
        <f>HUAWEI製ＰＣＳ接続枚数計算ツール!$C$6*枚数!Q6/(VLOOKUP(HUAWEI製ＰＣＳ接続枚数計算ツール!$C$9, HUAWEI製ＰＣＳ接続枚数計算ツール!$B$119:$P$149,2,FALSE)*1000*HUAWEI製ＰＣＳ接続枚数計算ツール!Y113)</f>
        <v>0.30719999999999997</v>
      </c>
      <c r="R6" s="85">
        <f>HUAWEI製ＰＣＳ接続枚数計算ツール!$C$6*枚数!R6/(VLOOKUP(HUAWEI製ＰＣＳ接続枚数計算ツール!$C$9, HUAWEI製ＰＣＳ接続枚数計算ツール!$B$119:$P$149,2,FALSE)*1000*HUAWEI製ＰＣＳ接続枚数計算ツール!Y113)</f>
        <v>0.32640000000000002</v>
      </c>
      <c r="S6" s="85">
        <f>HUAWEI製ＰＣＳ接続枚数計算ツール!$C$6*枚数!S6/(VLOOKUP(HUAWEI製ＰＣＳ接続枚数計算ツール!$C$9, HUAWEI製ＰＣＳ接続枚数計算ツール!$B$119:$P$149,2,FALSE)*1000*HUAWEI製ＰＣＳ接続枚数計算ツール!Y113)</f>
        <v>0.34560000000000002</v>
      </c>
      <c r="T6" s="85">
        <f>HUAWEI製ＰＣＳ接続枚数計算ツール!$C$6*枚数!T6/(VLOOKUP(HUAWEI製ＰＣＳ接続枚数計算ツール!$C$9, HUAWEI製ＰＣＳ接続枚数計算ツール!$B$119:$P$149,2,FALSE)*1000*HUAWEI製ＰＣＳ接続枚数計算ツール!Y113)</f>
        <v>0.36480000000000001</v>
      </c>
      <c r="U6" s="85">
        <f>HUAWEI製ＰＣＳ接続枚数計算ツール!$C$6*枚数!U6/(VLOOKUP(HUAWEI製ＰＣＳ接続枚数計算ツール!$C$9, HUAWEI製ＰＣＳ接続枚数計算ツール!$B$119:$P$149,2,FALSE)*1000*HUAWEI製ＰＣＳ接続枚数計算ツール!Y113)</f>
        <v>0.38400000000000001</v>
      </c>
      <c r="V6" s="85">
        <f>HUAWEI製ＰＣＳ接続枚数計算ツール!$C$6*枚数!V6/(VLOOKUP(HUAWEI製ＰＣＳ接続枚数計算ツール!$C$9, HUAWEI製ＰＣＳ接続枚数計算ツール!$B$119:$P$149,2,FALSE)*1000*HUAWEI製ＰＣＳ接続枚数計算ツール!Y113)</f>
        <v>0.4032</v>
      </c>
      <c r="W6" s="85">
        <f>HUAWEI製ＰＣＳ接続枚数計算ツール!$C$6*枚数!W6/(VLOOKUP(HUAWEI製ＰＣＳ接続枚数計算ツール!$C$9, HUAWEI製ＰＣＳ接続枚数計算ツール!$B$119:$P$149,2,FALSE)*1000*HUAWEI製ＰＣＳ接続枚数計算ツール!Y113)</f>
        <v>0.4224</v>
      </c>
      <c r="X6" s="85">
        <f>HUAWEI製ＰＣＳ接続枚数計算ツール!$C$6*枚数!X6/(VLOOKUP(HUAWEI製ＰＣＳ接続枚数計算ツール!$C$9, HUAWEI製ＰＣＳ接続枚数計算ツール!$B$119:$P$149,2,FALSE)*1000*HUAWEI製ＰＣＳ接続枚数計算ツール!Y113)</f>
        <v>0.44159999999999999</v>
      </c>
      <c r="Y6" s="85">
        <f>HUAWEI製ＰＣＳ接続枚数計算ツール!$C$6*枚数!Y6/(VLOOKUP(HUAWEI製ＰＣＳ接続枚数計算ツール!$C$9, HUAWEI製ＰＣＳ接続枚数計算ツール!$B$119:$P$149,2,FALSE)*1000*HUAWEI製ＰＣＳ接続枚数計算ツール!Y113)</f>
        <v>0.46079999999999999</v>
      </c>
      <c r="Z6" s="85">
        <f>HUAWEI製ＰＣＳ接続枚数計算ツール!$C$6*枚数!Z6/(VLOOKUP(HUAWEI製ＰＣＳ接続枚数計算ツール!$C$9, HUAWEI製ＰＣＳ接続枚数計算ツール!$B$119:$P$149,2,FALSE)*1000*HUAWEI製ＰＣＳ接続枚数計算ツール!Y113)</f>
        <v>0.48</v>
      </c>
      <c r="AA6" s="85">
        <f>HUAWEI製ＰＣＳ接続枚数計算ツール!$C$6*枚数!AA6/(VLOOKUP(HUAWEI製ＰＣＳ接続枚数計算ツール!$C$9, HUAWEI製ＰＣＳ接続枚数計算ツール!$B$119:$P$149,2,FALSE)*1000*HUAWEI製ＰＣＳ接続枚数計算ツール!Y113)</f>
        <v>0.49919999999999998</v>
      </c>
      <c r="AB6" s="85">
        <f>HUAWEI製ＰＣＳ接続枚数計算ツール!$C$6*枚数!AB6/(VLOOKUP(HUAWEI製ＰＣＳ接続枚数計算ツール!$C$9, HUAWEI製ＰＣＳ接続枚数計算ツール!$B$119:$P$149,2,FALSE)*1000*HUAWEI製ＰＣＳ接続枚数計算ツール!Y113)</f>
        <v>0.51839999999999997</v>
      </c>
      <c r="AC6" s="85">
        <f>HUAWEI製ＰＣＳ接続枚数計算ツール!$C$6*枚数!AC6/(VLOOKUP(HUAWEI製ＰＣＳ接続枚数計算ツール!$C$9, HUAWEI製ＰＣＳ接続枚数計算ツール!$B$119:$P$149,2,FALSE)*1000*HUAWEI製ＰＣＳ接続枚数計算ツール!Y113)</f>
        <v>0.53759999999999997</v>
      </c>
      <c r="AD6" s="85">
        <f>HUAWEI製ＰＣＳ接続枚数計算ツール!$C$6*枚数!AD6/(VLOOKUP(HUAWEI製ＰＣＳ接続枚数計算ツール!$C$9, HUAWEI製ＰＣＳ接続枚数計算ツール!$B$119:$P$149,2,FALSE)*1000*HUAWEI製ＰＣＳ接続枚数計算ツール!Y113)</f>
        <v>0.55679999999999996</v>
      </c>
      <c r="AE6" s="85">
        <f>HUAWEI製ＰＣＳ接続枚数計算ツール!$C$6*枚数!AE6/(VLOOKUP(HUAWEI製ＰＣＳ接続枚数計算ツール!$C$9, HUAWEI製ＰＣＳ接続枚数計算ツール!$B$119:$P$149,2,FALSE)*1000*HUAWEI製ＰＣＳ接続枚数計算ツール!Y113)</f>
        <v>0.57599999999999996</v>
      </c>
      <c r="AF6" s="85">
        <f>HUAWEI製ＰＣＳ接続枚数計算ツール!$C$6*枚数!AF6/(VLOOKUP(HUAWEI製ＰＣＳ接続枚数計算ツール!$C$9, HUAWEI製ＰＣＳ接続枚数計算ツール!$B$119:$P$149,2,FALSE)*1000*HUAWEI製ＰＣＳ接続枚数計算ツール!Y113)</f>
        <v>0.59519999999999995</v>
      </c>
      <c r="AG6" s="85">
        <f>HUAWEI製ＰＣＳ接続枚数計算ツール!$C$6*枚数!AG6/(VLOOKUP(HUAWEI製ＰＣＳ接続枚数計算ツール!$C$9, HUAWEI製ＰＣＳ接続枚数計算ツール!$B$119:$P$149,2,FALSE)*1000*HUAWEI製ＰＣＳ接続枚数計算ツール!Y113)</f>
        <v>0.61439999999999995</v>
      </c>
      <c r="AH6" s="85">
        <f>HUAWEI製ＰＣＳ接続枚数計算ツール!$C$6*枚数!AH6/(VLOOKUP(HUAWEI製ＰＣＳ接続枚数計算ツール!$C$9, HUAWEI製ＰＣＳ接続枚数計算ツール!$B$119:$P$149,2,FALSE)*1000*HUAWEI製ＰＣＳ接続枚数計算ツール!Y113)</f>
        <v>0.63360000000000005</v>
      </c>
      <c r="AI6" s="85">
        <f>HUAWEI製ＰＣＳ接続枚数計算ツール!$C$6*枚数!AI6/(VLOOKUP(HUAWEI製ＰＣＳ接続枚数計算ツール!$C$9, HUAWEI製ＰＣＳ接続枚数計算ツール!$B$119:$P$149,2,FALSE)*1000*HUAWEI製ＰＣＳ接続枚数計算ツール!Y113)</f>
        <v>0.65280000000000005</v>
      </c>
      <c r="AJ6" s="85">
        <f>HUAWEI製ＰＣＳ接続枚数計算ツール!$C$6*枚数!AJ6/(VLOOKUP(HUAWEI製ＰＣＳ接続枚数計算ツール!$C$9, HUAWEI製ＰＣＳ接続枚数計算ツール!$B$119:$P$149,2,FALSE)*1000*HUAWEI製ＰＣＳ接続枚数計算ツール!Y113)</f>
        <v>0.67200000000000004</v>
      </c>
      <c r="AK6" s="85">
        <f>HUAWEI製ＰＣＳ接続枚数計算ツール!$C$6*枚数!AK6/(VLOOKUP(HUAWEI製ＰＣＳ接続枚数計算ツール!$C$9, HUAWEI製ＰＣＳ接続枚数計算ツール!$B$119:$P$149,2,FALSE)*1000*HUAWEI製ＰＣＳ接続枚数計算ツール!Y113)</f>
        <v>0.69120000000000004</v>
      </c>
      <c r="AL6" s="85">
        <f>HUAWEI製ＰＣＳ接続枚数計算ツール!$C$6*枚数!AL6/(VLOOKUP(HUAWEI製ＰＣＳ接続枚数計算ツール!$C$9, HUAWEI製ＰＣＳ接続枚数計算ツール!$B$119:$P$149,2,FALSE)*1000*HUAWEI製ＰＣＳ接続枚数計算ツール!Y113)</f>
        <v>0.71040000000000003</v>
      </c>
      <c r="AM6" s="85">
        <f>HUAWEI製ＰＣＳ接続枚数計算ツール!$C$6*枚数!AM6/(VLOOKUP(HUAWEI製ＰＣＳ接続枚数計算ツール!$C$9, HUAWEI製ＰＣＳ接続枚数計算ツール!$B$119:$P$149,2,FALSE)*1000*HUAWEI製ＰＣＳ接続枚数計算ツール!Y113)</f>
        <v>0.72960000000000003</v>
      </c>
      <c r="AN6" s="85">
        <f>HUAWEI製ＰＣＳ接続枚数計算ツール!$C$6*枚数!AN6/(VLOOKUP(HUAWEI製ＰＣＳ接続枚数計算ツール!$C$9, HUAWEI製ＰＣＳ接続枚数計算ツール!$B$119:$P$149,2,FALSE)*1000*HUAWEI製ＰＣＳ接続枚数計算ツール!Y113)</f>
        <v>0.74880000000000002</v>
      </c>
      <c r="AO6" s="85">
        <f>HUAWEI製ＰＣＳ接続枚数計算ツール!$C$6*枚数!AO6/(VLOOKUP(HUAWEI製ＰＣＳ接続枚数計算ツール!$C$9, HUAWEI製ＰＣＳ接続枚数計算ツール!$B$119:$P$149,2,FALSE)*1000*HUAWEI製ＰＣＳ接続枚数計算ツール!Y113)</f>
        <v>0.76800000000000002</v>
      </c>
    </row>
    <row r="7" spans="1:41">
      <c r="A7">
        <v>5</v>
      </c>
      <c r="B7" s="85">
        <f>HUAWEI製ＰＣＳ接続枚数計算ツール!$C$6*枚数!B7/(VLOOKUP(HUAWEI製ＰＣＳ接続枚数計算ツール!$C$9, HUAWEI製ＰＣＳ接続枚数計算ツール!$B$119:$P$149,2,FALSE)*1000*HUAWEI製ＰＣＳ接続枚数計算ツール!Y113)</f>
        <v>2.4E-2</v>
      </c>
      <c r="C7" s="85">
        <f>HUAWEI製ＰＣＳ接続枚数計算ツール!$C$6*枚数!C7/(VLOOKUP(HUAWEI製ＰＣＳ接続枚数計算ツール!$C$9, HUAWEI製ＰＣＳ接続枚数計算ツール!$B$119:$P$149,2,FALSE)*1000*HUAWEI製ＰＣＳ接続枚数計算ツール!Y113)</f>
        <v>4.8000000000000001E-2</v>
      </c>
      <c r="D7" s="85">
        <f>HUAWEI製ＰＣＳ接続枚数計算ツール!$C$6*枚数!D7/(VLOOKUP(HUAWEI製ＰＣＳ接続枚数計算ツール!$C$9, HUAWEI製ＰＣＳ接続枚数計算ツール!$B$119:$P$149,2,FALSE)*1000*HUAWEI製ＰＣＳ接続枚数計算ツール!Y113)</f>
        <v>7.1999999999999995E-2</v>
      </c>
      <c r="E7" s="85">
        <f>HUAWEI製ＰＣＳ接続枚数計算ツール!$C$6*枚数!E7/(VLOOKUP(HUAWEI製ＰＣＳ接続枚数計算ツール!$C$9, HUAWEI製ＰＣＳ接続枚数計算ツール!$B$119:$P$149,2,FALSE)*1000*HUAWEI製ＰＣＳ接続枚数計算ツール!Y113)</f>
        <v>9.6000000000000002E-2</v>
      </c>
      <c r="F7" s="85">
        <f>HUAWEI製ＰＣＳ接続枚数計算ツール!$C$6*枚数!F7/(VLOOKUP(HUAWEI製ＰＣＳ接続枚数計算ツール!$C$9, HUAWEI製ＰＣＳ接続枚数計算ツール!$B$119:$P$149,2,FALSE)*1000*HUAWEI製ＰＣＳ接続枚数計算ツール!Y113)</f>
        <v>0.12</v>
      </c>
      <c r="G7" s="85">
        <f>HUAWEI製ＰＣＳ接続枚数計算ツール!$C$6*枚数!G7/(VLOOKUP(HUAWEI製ＰＣＳ接続枚数計算ツール!$C$9, HUAWEI製ＰＣＳ接続枚数計算ツール!$B$119:$P$149,2,FALSE)*1000*HUAWEI製ＰＣＳ接続枚数計算ツール!Y113)</f>
        <v>0.14399999999999999</v>
      </c>
      <c r="H7" s="85">
        <f>HUAWEI製ＰＣＳ接続枚数計算ツール!$C$6*枚数!H7/(VLOOKUP(HUAWEI製ＰＣＳ接続枚数計算ツール!$C$9, HUAWEI製ＰＣＳ接続枚数計算ツール!$B$119:$P$149,2,FALSE)*1000*HUAWEI製ＰＣＳ接続枚数計算ツール!Y113)</f>
        <v>0.16800000000000001</v>
      </c>
      <c r="I7" s="85">
        <f>HUAWEI製ＰＣＳ接続枚数計算ツール!$C$6*枚数!I7/(VLOOKUP(HUAWEI製ＰＣＳ接続枚数計算ツール!$C$9, HUAWEI製ＰＣＳ接続枚数計算ツール!$B$119:$P$149,2,FALSE)*1000*HUAWEI製ＰＣＳ接続枚数計算ツール!Y113)</f>
        <v>0.192</v>
      </c>
      <c r="J7" s="85">
        <f>HUAWEI製ＰＣＳ接続枚数計算ツール!$C$6*枚数!J7/(VLOOKUP(HUAWEI製ＰＣＳ接続枚数計算ツール!$C$9, HUAWEI製ＰＣＳ接続枚数計算ツール!$B$119:$P$149,2,FALSE)*1000*HUAWEI製ＰＣＳ接続枚数計算ツール!Y113)</f>
        <v>0.216</v>
      </c>
      <c r="K7" s="85">
        <f>HUAWEI製ＰＣＳ接続枚数計算ツール!$C$6*枚数!K7/(VLOOKUP(HUAWEI製ＰＣＳ接続枚数計算ツール!$C$9, HUAWEI製ＰＣＳ接続枚数計算ツール!$B$119:$P$149,2,FALSE)*1000*HUAWEI製ＰＣＳ接続枚数計算ツール!Y113)</f>
        <v>0.24</v>
      </c>
      <c r="L7" s="85">
        <f>HUAWEI製ＰＣＳ接続枚数計算ツール!$C$6*枚数!L7/(VLOOKUP(HUAWEI製ＰＣＳ接続枚数計算ツール!$C$9, HUAWEI製ＰＣＳ接続枚数計算ツール!$B$119:$P$149,2,FALSE)*1000*HUAWEI製ＰＣＳ接続枚数計算ツール!Y113)</f>
        <v>0.26400000000000001</v>
      </c>
      <c r="M7" s="85">
        <f>HUAWEI製ＰＣＳ接続枚数計算ツール!$C$6*枚数!M7/(VLOOKUP(HUAWEI製ＰＣＳ接続枚数計算ツール!$C$9, HUAWEI製ＰＣＳ接続枚数計算ツール!$B$119:$P$149,2,FALSE)*1000*HUAWEI製ＰＣＳ接続枚数計算ツール!Y113)</f>
        <v>0.28799999999999998</v>
      </c>
      <c r="N7" s="85">
        <f>HUAWEI製ＰＣＳ接続枚数計算ツール!$C$6*枚数!N7/(VLOOKUP(HUAWEI製ＰＣＳ接続枚数計算ツール!$C$9, HUAWEI製ＰＣＳ接続枚数計算ツール!$B$119:$P$149,2,FALSE)*1000*HUAWEI製ＰＣＳ接続枚数計算ツール!Y113)</f>
        <v>0.312</v>
      </c>
      <c r="O7" s="85">
        <f>HUAWEI製ＰＣＳ接続枚数計算ツール!$C$6*枚数!O7/(VLOOKUP(HUAWEI製ＰＣＳ接続枚数計算ツール!$C$9, HUAWEI製ＰＣＳ接続枚数計算ツール!$B$119:$P$149,2,FALSE)*1000*HUAWEI製ＰＣＳ接続枚数計算ツール!Y113)</f>
        <v>0.33600000000000002</v>
      </c>
      <c r="P7" s="85">
        <f>HUAWEI製ＰＣＳ接続枚数計算ツール!$C$6*枚数!P7/(VLOOKUP(HUAWEI製ＰＣＳ接続枚数計算ツール!$C$9, HUAWEI製ＰＣＳ接続枚数計算ツール!$B$119:$P$149,2,FALSE)*1000*HUAWEI製ＰＣＳ接続枚数計算ツール!Y113)</f>
        <v>0.36</v>
      </c>
      <c r="Q7" s="85">
        <f>HUAWEI製ＰＣＳ接続枚数計算ツール!$C$6*枚数!Q7/(VLOOKUP(HUAWEI製ＰＣＳ接続枚数計算ツール!$C$9, HUAWEI製ＰＣＳ接続枚数計算ツール!$B$119:$P$149,2,FALSE)*1000*HUAWEI製ＰＣＳ接続枚数計算ツール!Y113)</f>
        <v>0.38400000000000001</v>
      </c>
      <c r="R7" s="85">
        <f>HUAWEI製ＰＣＳ接続枚数計算ツール!$C$6*枚数!R7/(VLOOKUP(HUAWEI製ＰＣＳ接続枚数計算ツール!$C$9, HUAWEI製ＰＣＳ接続枚数計算ツール!$B$119:$P$149,2,FALSE)*1000*HUAWEI製ＰＣＳ接続枚数計算ツール!Y113)</f>
        <v>0.40799999999999997</v>
      </c>
      <c r="S7" s="85">
        <f>HUAWEI製ＰＣＳ接続枚数計算ツール!$C$6*枚数!S7/(VLOOKUP(HUAWEI製ＰＣＳ接続枚数計算ツール!$C$9, HUAWEI製ＰＣＳ接続枚数計算ツール!$B$119:$P$149,2,FALSE)*1000*HUAWEI製ＰＣＳ接続枚数計算ツール!Y113)</f>
        <v>0.432</v>
      </c>
      <c r="T7" s="85">
        <f>HUAWEI製ＰＣＳ接続枚数計算ツール!$C$6*枚数!T7/(VLOOKUP(HUAWEI製ＰＣＳ接続枚数計算ツール!$C$9, HUAWEI製ＰＣＳ接続枚数計算ツール!$B$119:$P$149,2,FALSE)*1000*HUAWEI製ＰＣＳ接続枚数計算ツール!Y113)</f>
        <v>0.45600000000000002</v>
      </c>
      <c r="U7" s="85">
        <f>HUAWEI製ＰＣＳ接続枚数計算ツール!$C$6*枚数!U7/(VLOOKUP(HUAWEI製ＰＣＳ接続枚数計算ツール!$C$9, HUAWEI製ＰＣＳ接続枚数計算ツール!$B$119:$P$149,2,FALSE)*1000*HUAWEI製ＰＣＳ接続枚数計算ツール!Y113)</f>
        <v>0.48</v>
      </c>
      <c r="V7" s="85">
        <f>HUAWEI製ＰＣＳ接続枚数計算ツール!$C$6*枚数!V7/(VLOOKUP(HUAWEI製ＰＣＳ接続枚数計算ツール!$C$9, HUAWEI製ＰＣＳ接続枚数計算ツール!$B$119:$P$149,2,FALSE)*1000*HUAWEI製ＰＣＳ接続枚数計算ツール!Y113)</f>
        <v>0.504</v>
      </c>
      <c r="W7" s="85">
        <f>HUAWEI製ＰＣＳ接続枚数計算ツール!$C$6*枚数!W7/(VLOOKUP(HUAWEI製ＰＣＳ接続枚数計算ツール!$C$9, HUAWEI製ＰＣＳ接続枚数計算ツール!$B$119:$P$149,2,FALSE)*1000*HUAWEI製ＰＣＳ接続枚数計算ツール!Y113)</f>
        <v>0.52800000000000002</v>
      </c>
      <c r="X7" s="85">
        <f>HUAWEI製ＰＣＳ接続枚数計算ツール!$C$6*枚数!X7/(VLOOKUP(HUAWEI製ＰＣＳ接続枚数計算ツール!$C$9, HUAWEI製ＰＣＳ接続枚数計算ツール!$B$119:$P$149,2,FALSE)*1000*HUAWEI製ＰＣＳ接続枚数計算ツール!Y113)</f>
        <v>0.55200000000000005</v>
      </c>
      <c r="Y7" s="85">
        <f>HUAWEI製ＰＣＳ接続枚数計算ツール!$C$6*枚数!Y7/(VLOOKUP(HUAWEI製ＰＣＳ接続枚数計算ツール!$C$9, HUAWEI製ＰＣＳ接続枚数計算ツール!$B$119:$P$149,2,FALSE)*1000*HUAWEI製ＰＣＳ接続枚数計算ツール!Y113)</f>
        <v>0.57599999999999996</v>
      </c>
      <c r="Z7" s="85">
        <f>HUAWEI製ＰＣＳ接続枚数計算ツール!$C$6*枚数!Z7/(VLOOKUP(HUAWEI製ＰＣＳ接続枚数計算ツール!$C$9, HUAWEI製ＰＣＳ接続枚数計算ツール!$B$119:$P$149,2,FALSE)*1000*HUAWEI製ＰＣＳ接続枚数計算ツール!Y113)</f>
        <v>0.6</v>
      </c>
      <c r="AA7" s="85">
        <f>HUAWEI製ＰＣＳ接続枚数計算ツール!$C$6*枚数!AA7/(VLOOKUP(HUAWEI製ＰＣＳ接続枚数計算ツール!$C$9, HUAWEI製ＰＣＳ接続枚数計算ツール!$B$119:$P$149,2,FALSE)*1000*HUAWEI製ＰＣＳ接続枚数計算ツール!Y113)</f>
        <v>0.624</v>
      </c>
      <c r="AB7" s="85">
        <f>HUAWEI製ＰＣＳ接続枚数計算ツール!$C$6*枚数!AB7/(VLOOKUP(HUAWEI製ＰＣＳ接続枚数計算ツール!$C$9, HUAWEI製ＰＣＳ接続枚数計算ツール!$B$119:$P$149,2,FALSE)*1000*HUAWEI製ＰＣＳ接続枚数計算ツール!Y113)</f>
        <v>0.64800000000000002</v>
      </c>
      <c r="AC7" s="85">
        <f>HUAWEI製ＰＣＳ接続枚数計算ツール!$C$6*枚数!AC7/(VLOOKUP(HUAWEI製ＰＣＳ接続枚数計算ツール!$C$9, HUAWEI製ＰＣＳ接続枚数計算ツール!$B$119:$P$149,2,FALSE)*1000*HUAWEI製ＰＣＳ接続枚数計算ツール!Y113)</f>
        <v>0.67200000000000004</v>
      </c>
      <c r="AD7" s="85">
        <f>HUAWEI製ＰＣＳ接続枚数計算ツール!$C$6*枚数!AD7/(VLOOKUP(HUAWEI製ＰＣＳ接続枚数計算ツール!$C$9, HUAWEI製ＰＣＳ接続枚数計算ツール!$B$119:$P$149,2,FALSE)*1000*HUAWEI製ＰＣＳ接続枚数計算ツール!Y113)</f>
        <v>0.69599999999999995</v>
      </c>
      <c r="AE7" s="85">
        <f>HUAWEI製ＰＣＳ接続枚数計算ツール!$C$6*枚数!AE7/(VLOOKUP(HUAWEI製ＰＣＳ接続枚数計算ツール!$C$9, HUAWEI製ＰＣＳ接続枚数計算ツール!$B$119:$P$149,2,FALSE)*1000*HUAWEI製ＰＣＳ接続枚数計算ツール!Y113)</f>
        <v>0.72</v>
      </c>
      <c r="AF7" s="85">
        <f>HUAWEI製ＰＣＳ接続枚数計算ツール!$C$6*枚数!AF7/(VLOOKUP(HUAWEI製ＰＣＳ接続枚数計算ツール!$C$9, HUAWEI製ＰＣＳ接続枚数計算ツール!$B$119:$P$149,2,FALSE)*1000*HUAWEI製ＰＣＳ接続枚数計算ツール!Y113)</f>
        <v>0.74399999999999999</v>
      </c>
      <c r="AG7" s="85">
        <f>HUAWEI製ＰＣＳ接続枚数計算ツール!$C$6*枚数!AG7/(VLOOKUP(HUAWEI製ＰＣＳ接続枚数計算ツール!$C$9, HUAWEI製ＰＣＳ接続枚数計算ツール!$B$119:$P$149,2,FALSE)*1000*HUAWEI製ＰＣＳ接続枚数計算ツール!Y113)</f>
        <v>0.76800000000000002</v>
      </c>
      <c r="AH7" s="85">
        <f>HUAWEI製ＰＣＳ接続枚数計算ツール!$C$6*枚数!AH7/(VLOOKUP(HUAWEI製ＰＣＳ接続枚数計算ツール!$C$9, HUAWEI製ＰＣＳ接続枚数計算ツール!$B$119:$P$149,2,FALSE)*1000*HUAWEI製ＰＣＳ接続枚数計算ツール!Y113)</f>
        <v>0.79200000000000004</v>
      </c>
      <c r="AI7" s="85">
        <f>HUAWEI製ＰＣＳ接続枚数計算ツール!$C$6*枚数!AI7/(VLOOKUP(HUAWEI製ＰＣＳ接続枚数計算ツール!$C$9, HUAWEI製ＰＣＳ接続枚数計算ツール!$B$119:$P$149,2,FALSE)*1000*HUAWEI製ＰＣＳ接続枚数計算ツール!Y113)</f>
        <v>0.81599999999999995</v>
      </c>
      <c r="AJ7" s="85">
        <f>HUAWEI製ＰＣＳ接続枚数計算ツール!$C$6*枚数!AJ7/(VLOOKUP(HUAWEI製ＰＣＳ接続枚数計算ツール!$C$9, HUAWEI製ＰＣＳ接続枚数計算ツール!$B$119:$P$149,2,FALSE)*1000*HUAWEI製ＰＣＳ接続枚数計算ツール!Y113)</f>
        <v>0.84</v>
      </c>
      <c r="AK7" s="85">
        <f>HUAWEI製ＰＣＳ接続枚数計算ツール!$C$6*枚数!AK7/(VLOOKUP(HUAWEI製ＰＣＳ接続枚数計算ツール!$C$9, HUAWEI製ＰＣＳ接続枚数計算ツール!$B$119:$P$149,2,FALSE)*1000*HUAWEI製ＰＣＳ接続枚数計算ツール!Y113)</f>
        <v>0.86399999999999999</v>
      </c>
      <c r="AL7" s="85">
        <f>HUAWEI製ＰＣＳ接続枚数計算ツール!$C$6*枚数!AL7/(VLOOKUP(HUAWEI製ＰＣＳ接続枚数計算ツール!$C$9, HUAWEI製ＰＣＳ接続枚数計算ツール!$B$119:$P$149,2,FALSE)*1000*HUAWEI製ＰＣＳ接続枚数計算ツール!Y113)</f>
        <v>0.88800000000000001</v>
      </c>
      <c r="AM7" s="85">
        <f>HUAWEI製ＰＣＳ接続枚数計算ツール!$C$6*枚数!AM7/(VLOOKUP(HUAWEI製ＰＣＳ接続枚数計算ツール!$C$9, HUAWEI製ＰＣＳ接続枚数計算ツール!$B$119:$P$149,2,FALSE)*1000*HUAWEI製ＰＣＳ接続枚数計算ツール!Y113)</f>
        <v>0.91200000000000003</v>
      </c>
      <c r="AN7" s="85">
        <f>HUAWEI製ＰＣＳ接続枚数計算ツール!$C$6*枚数!AN7/(VLOOKUP(HUAWEI製ＰＣＳ接続枚数計算ツール!$C$9, HUAWEI製ＰＣＳ接続枚数計算ツール!$B$119:$P$149,2,FALSE)*1000*HUAWEI製ＰＣＳ接続枚数計算ツール!Y113)</f>
        <v>0.93600000000000005</v>
      </c>
      <c r="AO7" s="85">
        <f>HUAWEI製ＰＣＳ接続枚数計算ツール!$C$6*枚数!AO7/(VLOOKUP(HUAWEI製ＰＣＳ接続枚数計算ツール!$C$9, HUAWEI製ＰＣＳ接続枚数計算ツール!$B$119:$P$149,2,FALSE)*1000*HUAWEI製ＰＣＳ接続枚数計算ツール!Y113)</f>
        <v>0.96</v>
      </c>
    </row>
    <row r="8" spans="1:41">
      <c r="A8">
        <v>6</v>
      </c>
      <c r="B8" s="85">
        <f>HUAWEI製ＰＣＳ接続枚数計算ツール!$C$6*枚数!B8/(VLOOKUP(HUAWEI製ＰＣＳ接続枚数計算ツール!$C$9, HUAWEI製ＰＣＳ接続枚数計算ツール!$B$119:$P$149,2,FALSE)*1000*HUAWEI製ＰＣＳ接続枚数計算ツール!Y113)</f>
        <v>2.8799999999999999E-2</v>
      </c>
      <c r="C8" s="85">
        <f>HUAWEI製ＰＣＳ接続枚数計算ツール!$C$6*枚数!C8/(VLOOKUP(HUAWEI製ＰＣＳ接続枚数計算ツール!$C$9, HUAWEI製ＰＣＳ接続枚数計算ツール!$B$119:$P$149,2,FALSE)*1000*HUAWEI製ＰＣＳ接続枚数計算ツール!Y113)</f>
        <v>5.7599999999999998E-2</v>
      </c>
      <c r="D8" s="85">
        <f>HUAWEI製ＰＣＳ接続枚数計算ツール!$C$6*枚数!D8/(VLOOKUP(HUAWEI製ＰＣＳ接続枚数計算ツール!$C$9, HUAWEI製ＰＣＳ接続枚数計算ツール!$B$119:$P$149,2,FALSE)*1000*HUAWEI製ＰＣＳ接続枚数計算ツール!Y113)</f>
        <v>8.6400000000000005E-2</v>
      </c>
      <c r="E8" s="85">
        <f>HUAWEI製ＰＣＳ接続枚数計算ツール!$C$6*枚数!E8/(VLOOKUP(HUAWEI製ＰＣＳ接続枚数計算ツール!$C$9, HUAWEI製ＰＣＳ接続枚数計算ツール!$B$119:$P$149,2,FALSE)*1000*HUAWEI製ＰＣＳ接続枚数計算ツール!Y113)</f>
        <v>0.1152</v>
      </c>
      <c r="F8" s="85">
        <f>HUAWEI製ＰＣＳ接続枚数計算ツール!$C$6*枚数!F8/(VLOOKUP(HUAWEI製ＰＣＳ接続枚数計算ツール!$C$9, HUAWEI製ＰＣＳ接続枚数計算ツール!$B$119:$P$149,2,FALSE)*1000*HUAWEI製ＰＣＳ接続枚数計算ツール!Y113)</f>
        <v>0.14399999999999999</v>
      </c>
      <c r="G8" s="85">
        <f>HUAWEI製ＰＣＳ接続枚数計算ツール!$C$6*枚数!G8/(VLOOKUP(HUAWEI製ＰＣＳ接続枚数計算ツール!$C$9, HUAWEI製ＰＣＳ接続枚数計算ツール!$B$119:$P$149,2,FALSE)*1000*HUAWEI製ＰＣＳ接続枚数計算ツール!Y113)</f>
        <v>0.17280000000000001</v>
      </c>
      <c r="H8" s="85">
        <f>HUAWEI製ＰＣＳ接続枚数計算ツール!$C$6*枚数!H8/(VLOOKUP(HUAWEI製ＰＣＳ接続枚数計算ツール!$C$9, HUAWEI製ＰＣＳ接続枚数計算ツール!$B$119:$P$149,2,FALSE)*1000*HUAWEI製ＰＣＳ接続枚数計算ツール!Y113)</f>
        <v>0.2016</v>
      </c>
      <c r="I8" s="85">
        <f>HUAWEI製ＰＣＳ接続枚数計算ツール!$C$6*枚数!I8/(VLOOKUP(HUAWEI製ＰＣＳ接続枚数計算ツール!$C$9, HUAWEI製ＰＣＳ接続枚数計算ツール!$B$119:$P$149,2,FALSE)*1000*HUAWEI製ＰＣＳ接続枚数計算ツール!Y113)</f>
        <v>0.23039999999999999</v>
      </c>
      <c r="J8" s="85">
        <f>HUAWEI製ＰＣＳ接続枚数計算ツール!$C$6*枚数!J8/(VLOOKUP(HUAWEI製ＰＣＳ接続枚数計算ツール!$C$9, HUAWEI製ＰＣＳ接続枚数計算ツール!$B$119:$P$149,2,FALSE)*1000*HUAWEI製ＰＣＳ接続枚数計算ツール!Y113)</f>
        <v>0.25919999999999999</v>
      </c>
      <c r="K8" s="85">
        <f>HUAWEI製ＰＣＳ接続枚数計算ツール!$C$6*枚数!K8/(VLOOKUP(HUAWEI製ＰＣＳ接続枚数計算ツール!$C$9, HUAWEI製ＰＣＳ接続枚数計算ツール!$B$119:$P$149,2,FALSE)*1000*HUAWEI製ＰＣＳ接続枚数計算ツール!Y113)</f>
        <v>0.28799999999999998</v>
      </c>
      <c r="L8" s="85">
        <f>HUAWEI製ＰＣＳ接続枚数計算ツール!$C$6*枚数!L8/(VLOOKUP(HUAWEI製ＰＣＳ接続枚数計算ツール!$C$9, HUAWEI製ＰＣＳ接続枚数計算ツール!$B$119:$P$149,2,FALSE)*1000*HUAWEI製ＰＣＳ接続枚数計算ツール!Y113)</f>
        <v>0.31680000000000003</v>
      </c>
      <c r="M8" s="85">
        <f>HUAWEI製ＰＣＳ接続枚数計算ツール!$C$6*枚数!M8/(VLOOKUP(HUAWEI製ＰＣＳ接続枚数計算ツール!$C$9, HUAWEI製ＰＣＳ接続枚数計算ツール!$B$119:$P$149,2,FALSE)*1000*HUAWEI製ＰＣＳ接続枚数計算ツール!Y113)</f>
        <v>0.34560000000000002</v>
      </c>
      <c r="N8" s="85">
        <f>HUAWEI製ＰＣＳ接続枚数計算ツール!$C$6*枚数!N8/(VLOOKUP(HUAWEI製ＰＣＳ接続枚数計算ツール!$C$9, HUAWEI製ＰＣＳ接続枚数計算ツール!$B$119:$P$149,2,FALSE)*1000*HUAWEI製ＰＣＳ接続枚数計算ツール!Y113)</f>
        <v>0.37440000000000001</v>
      </c>
      <c r="O8" s="85">
        <f>HUAWEI製ＰＣＳ接続枚数計算ツール!$C$6*枚数!O8/(VLOOKUP(HUAWEI製ＰＣＳ接続枚数計算ツール!$C$9, HUAWEI製ＰＣＳ接続枚数計算ツール!$B$119:$P$149,2,FALSE)*1000*HUAWEI製ＰＣＳ接続枚数計算ツール!Y113)</f>
        <v>0.4032</v>
      </c>
      <c r="P8" s="85">
        <f>HUAWEI製ＰＣＳ接続枚数計算ツール!$C$6*枚数!P8/(VLOOKUP(HUAWEI製ＰＣＳ接続枚数計算ツール!$C$9, HUAWEI製ＰＣＳ接続枚数計算ツール!$B$119:$P$149,2,FALSE)*1000*HUAWEI製ＰＣＳ接続枚数計算ツール!Y113)</f>
        <v>0.432</v>
      </c>
      <c r="Q8" s="85">
        <f>HUAWEI製ＰＣＳ接続枚数計算ツール!$C$6*枚数!Q8/(VLOOKUP(HUAWEI製ＰＣＳ接続枚数計算ツール!$C$9, HUAWEI製ＰＣＳ接続枚数計算ツール!$B$119:$P$149,2,FALSE)*1000*HUAWEI製ＰＣＳ接続枚数計算ツール!Y113)</f>
        <v>0.46079999999999999</v>
      </c>
      <c r="R8" s="85">
        <f>HUAWEI製ＰＣＳ接続枚数計算ツール!$C$6*枚数!R8/(VLOOKUP(HUAWEI製ＰＣＳ接続枚数計算ツール!$C$9, HUAWEI製ＰＣＳ接続枚数計算ツール!$B$119:$P$149,2,FALSE)*1000*HUAWEI製ＰＣＳ接続枚数計算ツール!Y113)</f>
        <v>0.48959999999999998</v>
      </c>
      <c r="S8" s="85">
        <f>HUAWEI製ＰＣＳ接続枚数計算ツール!$C$6*枚数!S8/(VLOOKUP(HUAWEI製ＰＣＳ接続枚数計算ツール!$C$9, HUAWEI製ＰＣＳ接続枚数計算ツール!$B$119:$P$149,2,FALSE)*1000*HUAWEI製ＰＣＳ接続枚数計算ツール!Y113)</f>
        <v>0.51839999999999997</v>
      </c>
      <c r="T8" s="85">
        <f>HUAWEI製ＰＣＳ接続枚数計算ツール!$C$6*枚数!T8/(VLOOKUP(HUAWEI製ＰＣＳ接続枚数計算ツール!$C$9, HUAWEI製ＰＣＳ接続枚数計算ツール!$B$119:$P$149,2,FALSE)*1000*HUAWEI製ＰＣＳ接続枚数計算ツール!Y113)</f>
        <v>0.54720000000000002</v>
      </c>
      <c r="U8" s="85">
        <f>HUAWEI製ＰＣＳ接続枚数計算ツール!$C$6*枚数!U8/(VLOOKUP(HUAWEI製ＰＣＳ接続枚数計算ツール!$C$9, HUAWEI製ＰＣＳ接続枚数計算ツール!$B$119:$P$149,2,FALSE)*1000*HUAWEI製ＰＣＳ接続枚数計算ツール!Y113)</f>
        <v>0.57599999999999996</v>
      </c>
      <c r="V8" s="85">
        <f>HUAWEI製ＰＣＳ接続枚数計算ツール!$C$6*枚数!V8/(VLOOKUP(HUAWEI製ＰＣＳ接続枚数計算ツール!$C$9, HUAWEI製ＰＣＳ接続枚数計算ツール!$B$119:$P$149,2,FALSE)*1000*HUAWEI製ＰＣＳ接続枚数計算ツール!Y113)</f>
        <v>0.6048</v>
      </c>
      <c r="W8" s="85">
        <f>HUAWEI製ＰＣＳ接続枚数計算ツール!$C$6*枚数!W8/(VLOOKUP(HUAWEI製ＰＣＳ接続枚数計算ツール!$C$9, HUAWEI製ＰＣＳ接続枚数計算ツール!$B$119:$P$149,2,FALSE)*1000*HUAWEI製ＰＣＳ接続枚数計算ツール!Y113)</f>
        <v>0.63360000000000005</v>
      </c>
      <c r="X8" s="85">
        <f>HUAWEI製ＰＣＳ接続枚数計算ツール!$C$6*枚数!X8/(VLOOKUP(HUAWEI製ＰＣＳ接続枚数計算ツール!$C$9, HUAWEI製ＰＣＳ接続枚数計算ツール!$B$119:$P$149,2,FALSE)*1000*HUAWEI製ＰＣＳ接続枚数計算ツール!Y113)</f>
        <v>0.66239999999999999</v>
      </c>
      <c r="Y8" s="85">
        <f>HUAWEI製ＰＣＳ接続枚数計算ツール!$C$6*枚数!Y8/(VLOOKUP(HUAWEI製ＰＣＳ接続枚数計算ツール!$C$9, HUAWEI製ＰＣＳ接続枚数計算ツール!$B$119:$P$149,2,FALSE)*1000*HUAWEI製ＰＣＳ接続枚数計算ツール!Y113)</f>
        <v>0.69120000000000004</v>
      </c>
      <c r="Z8" s="85">
        <f>HUAWEI製ＰＣＳ接続枚数計算ツール!$C$6*枚数!Z8/(VLOOKUP(HUAWEI製ＰＣＳ接続枚数計算ツール!$C$9, HUAWEI製ＰＣＳ接続枚数計算ツール!$B$119:$P$149,2,FALSE)*1000*HUAWEI製ＰＣＳ接続枚数計算ツール!Y113)</f>
        <v>0.72</v>
      </c>
      <c r="AA8" s="85">
        <f>HUAWEI製ＰＣＳ接続枚数計算ツール!$C$6*枚数!AA8/(VLOOKUP(HUAWEI製ＰＣＳ接続枚数計算ツール!$C$9, HUAWEI製ＰＣＳ接続枚数計算ツール!$B$119:$P$149,2,FALSE)*1000*HUAWEI製ＰＣＳ接続枚数計算ツール!Y113)</f>
        <v>0.74880000000000002</v>
      </c>
      <c r="AB8" s="85">
        <f>HUAWEI製ＰＣＳ接続枚数計算ツール!$C$6*枚数!AB8/(VLOOKUP(HUAWEI製ＰＣＳ接続枚数計算ツール!$C$9, HUAWEI製ＰＣＳ接続枚数計算ツール!$B$119:$P$149,2,FALSE)*1000*HUAWEI製ＰＣＳ接続枚数計算ツール!Y113)</f>
        <v>0.77759999999999996</v>
      </c>
      <c r="AC8" s="85">
        <f>HUAWEI製ＰＣＳ接続枚数計算ツール!$C$6*枚数!AC8/(VLOOKUP(HUAWEI製ＰＣＳ接続枚数計算ツール!$C$9, HUAWEI製ＰＣＳ接続枚数計算ツール!$B$119:$P$149,2,FALSE)*1000*HUAWEI製ＰＣＳ接続枚数計算ツール!Y113)</f>
        <v>0.80640000000000001</v>
      </c>
      <c r="AD8" s="85">
        <f>HUAWEI製ＰＣＳ接続枚数計算ツール!$C$6*枚数!AD8/(VLOOKUP(HUAWEI製ＰＣＳ接続枚数計算ツール!$C$9, HUAWEI製ＰＣＳ接続枚数計算ツール!$B$119:$P$149,2,FALSE)*1000*HUAWEI製ＰＣＳ接続枚数計算ツール!Y113)</f>
        <v>0.83520000000000005</v>
      </c>
      <c r="AE8" s="85">
        <f>HUAWEI製ＰＣＳ接続枚数計算ツール!$C$6*枚数!AE8/(VLOOKUP(HUAWEI製ＰＣＳ接続枚数計算ツール!$C$9, HUAWEI製ＰＣＳ接続枚数計算ツール!$B$119:$P$149,2,FALSE)*1000*HUAWEI製ＰＣＳ接続枚数計算ツール!Y113)</f>
        <v>0.86399999999999999</v>
      </c>
      <c r="AF8" s="85">
        <f>HUAWEI製ＰＣＳ接続枚数計算ツール!$C$6*枚数!AF8/(VLOOKUP(HUAWEI製ＰＣＳ接続枚数計算ツール!$C$9, HUAWEI製ＰＣＳ接続枚数計算ツール!$B$119:$P$149,2,FALSE)*1000*HUAWEI製ＰＣＳ接続枚数計算ツール!Y113)</f>
        <v>0.89280000000000004</v>
      </c>
      <c r="AG8" s="85">
        <f>HUAWEI製ＰＣＳ接続枚数計算ツール!$C$6*枚数!AG8/(VLOOKUP(HUAWEI製ＰＣＳ接続枚数計算ツール!$C$9, HUAWEI製ＰＣＳ接続枚数計算ツール!$B$119:$P$149,2,FALSE)*1000*HUAWEI製ＰＣＳ接続枚数計算ツール!Y113)</f>
        <v>0.92159999999999997</v>
      </c>
      <c r="AH8" s="85">
        <f>HUAWEI製ＰＣＳ接続枚数計算ツール!$C$6*枚数!AH8/(VLOOKUP(HUAWEI製ＰＣＳ接続枚数計算ツール!$C$9, HUAWEI製ＰＣＳ接続枚数計算ツール!$B$119:$P$149,2,FALSE)*1000*HUAWEI製ＰＣＳ接続枚数計算ツール!Y113)</f>
        <v>0.95040000000000002</v>
      </c>
      <c r="AI8" s="85">
        <f>HUAWEI製ＰＣＳ接続枚数計算ツール!$C$6*枚数!AI8/(VLOOKUP(HUAWEI製ＰＣＳ接続枚数計算ツール!$C$9, HUAWEI製ＰＣＳ接続枚数計算ツール!$B$119:$P$149,2,FALSE)*1000*HUAWEI製ＰＣＳ接続枚数計算ツール!Y113)</f>
        <v>0.97919999999999996</v>
      </c>
      <c r="AJ8" s="85">
        <f>HUAWEI製ＰＣＳ接続枚数計算ツール!$C$6*枚数!AJ8/(VLOOKUP(HUAWEI製ＰＣＳ接続枚数計算ツール!$C$9, HUAWEI製ＰＣＳ接続枚数計算ツール!$B$119:$P$149,2,FALSE)*1000*HUAWEI製ＰＣＳ接続枚数計算ツール!Y113)</f>
        <v>1.008</v>
      </c>
      <c r="AK8" s="85">
        <f>HUAWEI製ＰＣＳ接続枚数計算ツール!$C$6*枚数!AK8/(VLOOKUP(HUAWEI製ＰＣＳ接続枚数計算ツール!$C$9, HUAWEI製ＰＣＳ接続枚数計算ツール!$B$119:$P$149,2,FALSE)*1000*HUAWEI製ＰＣＳ接続枚数計算ツール!Y113)</f>
        <v>1.0367999999999999</v>
      </c>
      <c r="AL8" s="85">
        <f>HUAWEI製ＰＣＳ接続枚数計算ツール!$C$6*枚数!AL8/(VLOOKUP(HUAWEI製ＰＣＳ接続枚数計算ツール!$C$9, HUAWEI製ＰＣＳ接続枚数計算ツール!$B$119:$P$149,2,FALSE)*1000*HUAWEI製ＰＣＳ接続枚数計算ツール!Y113)</f>
        <v>1.0656000000000001</v>
      </c>
      <c r="AM8" s="85">
        <f>HUAWEI製ＰＣＳ接続枚数計算ツール!$C$6*枚数!AM8/(VLOOKUP(HUAWEI製ＰＣＳ接続枚数計算ツール!$C$9, HUAWEI製ＰＣＳ接続枚数計算ツール!$B$119:$P$149,2,FALSE)*1000*HUAWEI製ＰＣＳ接続枚数計算ツール!Y113)</f>
        <v>1.0944</v>
      </c>
      <c r="AN8" s="85">
        <f>HUAWEI製ＰＣＳ接続枚数計算ツール!$C$6*枚数!AN8/(VLOOKUP(HUAWEI製ＰＣＳ接続枚数計算ツール!$C$9, HUAWEI製ＰＣＳ接続枚数計算ツール!$B$119:$P$149,2,FALSE)*1000*HUAWEI製ＰＣＳ接続枚数計算ツール!Y113)</f>
        <v>1.1232</v>
      </c>
      <c r="AO8" s="85">
        <f>HUAWEI製ＰＣＳ接続枚数計算ツール!$C$6*枚数!AO8/(VLOOKUP(HUAWEI製ＰＣＳ接続枚数計算ツール!$C$9, HUAWEI製ＰＣＳ接続枚数計算ツール!$B$119:$P$149,2,FALSE)*1000*HUAWEI製ＰＣＳ接続枚数計算ツール!Y113)</f>
        <v>1.1519999999999999</v>
      </c>
    </row>
    <row r="9" spans="1:41">
      <c r="A9">
        <v>7</v>
      </c>
      <c r="B9" s="85">
        <f>HUAWEI製ＰＣＳ接続枚数計算ツール!$C$6*枚数!B9/(VLOOKUP(HUAWEI製ＰＣＳ接続枚数計算ツール!$C$9, HUAWEI製ＰＣＳ接続枚数計算ツール!$B$119:$P$149,2,FALSE)*1000*HUAWEI製ＰＣＳ接続枚数計算ツール!Y113)</f>
        <v>3.3599999999999998E-2</v>
      </c>
      <c r="C9" s="85">
        <f>HUAWEI製ＰＣＳ接続枚数計算ツール!$C$6*枚数!C9/(VLOOKUP(HUAWEI製ＰＣＳ接続枚数計算ツール!$C$9, HUAWEI製ＰＣＳ接続枚数計算ツール!$B$119:$P$149,2,FALSE)*1000*HUAWEI製ＰＣＳ接続枚数計算ツール!Y113)</f>
        <v>6.7199999999999996E-2</v>
      </c>
      <c r="D9" s="85">
        <f>HUAWEI製ＰＣＳ接続枚数計算ツール!$C$6*枚数!D9/(VLOOKUP(HUAWEI製ＰＣＳ接続枚数計算ツール!$C$9, HUAWEI製ＰＣＳ接続枚数計算ツール!$B$119:$P$149,2,FALSE)*1000*HUAWEI製ＰＣＳ接続枚数計算ツール!Y113)</f>
        <v>0.1008</v>
      </c>
      <c r="E9" s="85">
        <f>HUAWEI製ＰＣＳ接続枚数計算ツール!$C$6*枚数!E9/(VLOOKUP(HUAWEI製ＰＣＳ接続枚数計算ツール!$C$9, HUAWEI製ＰＣＳ接続枚数計算ツール!$B$119:$P$149,2,FALSE)*1000*HUAWEI製ＰＣＳ接続枚数計算ツール!Y113)</f>
        <v>0.13439999999999999</v>
      </c>
      <c r="F9" s="85">
        <f>HUAWEI製ＰＣＳ接続枚数計算ツール!$C$6*枚数!F9/(VLOOKUP(HUAWEI製ＰＣＳ接続枚数計算ツール!$C$9, HUAWEI製ＰＣＳ接続枚数計算ツール!$B$119:$P$149,2,FALSE)*1000*HUAWEI製ＰＣＳ接続枚数計算ツール!Y113)</f>
        <v>0.16800000000000001</v>
      </c>
      <c r="G9" s="85">
        <f>HUAWEI製ＰＣＳ接続枚数計算ツール!$C$6*枚数!G9/(VLOOKUP(HUAWEI製ＰＣＳ接続枚数計算ツール!$C$9, HUAWEI製ＰＣＳ接続枚数計算ツール!$B$119:$P$149,2,FALSE)*1000*HUAWEI製ＰＣＳ接続枚数計算ツール!Y113)</f>
        <v>0.2016</v>
      </c>
      <c r="H9" s="85">
        <f>HUAWEI製ＰＣＳ接続枚数計算ツール!$C$6*枚数!H9/(VLOOKUP(HUAWEI製ＰＣＳ接続枚数計算ツール!$C$9, HUAWEI製ＰＣＳ接続枚数計算ツール!$B$119:$P$149,2,FALSE)*1000*HUAWEI製ＰＣＳ接続枚数計算ツール!Y113)</f>
        <v>0.23519999999999999</v>
      </c>
      <c r="I9" s="85">
        <f>HUAWEI製ＰＣＳ接続枚数計算ツール!$C$6*枚数!I9/(VLOOKUP(HUAWEI製ＰＣＳ接続枚数計算ツール!$C$9, HUAWEI製ＰＣＳ接続枚数計算ツール!$B$119:$P$149,2,FALSE)*1000*HUAWEI製ＰＣＳ接続枚数計算ツール!Y113)</f>
        <v>0.26879999999999998</v>
      </c>
      <c r="J9" s="85">
        <f>HUAWEI製ＰＣＳ接続枚数計算ツール!$C$6*枚数!J9/(VLOOKUP(HUAWEI製ＰＣＳ接続枚数計算ツール!$C$9, HUAWEI製ＰＣＳ接続枚数計算ツール!$B$119:$P$149,2,FALSE)*1000*HUAWEI製ＰＣＳ接続枚数計算ツール!Y113)</f>
        <v>0.3024</v>
      </c>
      <c r="K9" s="85">
        <f>HUAWEI製ＰＣＳ接続枚数計算ツール!$C$6*枚数!K9/(VLOOKUP(HUAWEI製ＰＣＳ接続枚数計算ツール!$C$9, HUAWEI製ＰＣＳ接続枚数計算ツール!$B$119:$P$149,2,FALSE)*1000*HUAWEI製ＰＣＳ接続枚数計算ツール!Y113)</f>
        <v>0.33600000000000002</v>
      </c>
      <c r="L9" s="85">
        <f>HUAWEI製ＰＣＳ接続枚数計算ツール!$C$6*枚数!L9/(VLOOKUP(HUAWEI製ＰＣＳ接続枚数計算ツール!$C$9, HUAWEI製ＰＣＳ接続枚数計算ツール!$B$119:$P$149,2,FALSE)*1000*HUAWEI製ＰＣＳ接続枚数計算ツール!Y113)</f>
        <v>0.36959999999999998</v>
      </c>
      <c r="M9" s="85">
        <f>HUAWEI製ＰＣＳ接続枚数計算ツール!$C$6*枚数!M9/(VLOOKUP(HUAWEI製ＰＣＳ接続枚数計算ツール!$C$9, HUAWEI製ＰＣＳ接続枚数計算ツール!$B$119:$P$149,2,FALSE)*1000*HUAWEI製ＰＣＳ接続枚数計算ツール!Y113)</f>
        <v>0.4032</v>
      </c>
      <c r="N9" s="85">
        <f>HUAWEI製ＰＣＳ接続枚数計算ツール!$C$6*枚数!N9/(VLOOKUP(HUAWEI製ＰＣＳ接続枚数計算ツール!$C$9, HUAWEI製ＰＣＳ接続枚数計算ツール!$B$119:$P$149,2,FALSE)*1000*HUAWEI製ＰＣＳ接続枚数計算ツール!Y113)</f>
        <v>0.43680000000000002</v>
      </c>
      <c r="O9" s="85">
        <f>HUAWEI製ＰＣＳ接続枚数計算ツール!$C$6*枚数!O9/(VLOOKUP(HUAWEI製ＰＣＳ接続枚数計算ツール!$C$9, HUAWEI製ＰＣＳ接続枚数計算ツール!$B$119:$P$149,2,FALSE)*1000*HUAWEI製ＰＣＳ接続枚数計算ツール!Y113)</f>
        <v>0.47039999999999998</v>
      </c>
      <c r="P9" s="85">
        <f>HUAWEI製ＰＣＳ接続枚数計算ツール!$C$6*枚数!P9/(VLOOKUP(HUAWEI製ＰＣＳ接続枚数計算ツール!$C$9, HUAWEI製ＰＣＳ接続枚数計算ツール!$B$119:$P$149,2,FALSE)*1000*HUAWEI製ＰＣＳ接続枚数計算ツール!Y113)</f>
        <v>0.504</v>
      </c>
      <c r="Q9" s="85">
        <f>HUAWEI製ＰＣＳ接続枚数計算ツール!$C$6*枚数!Q9/(VLOOKUP(HUAWEI製ＰＣＳ接続枚数計算ツール!$C$9, HUAWEI製ＰＣＳ接続枚数計算ツール!$B$119:$P$149,2,FALSE)*1000*HUAWEI製ＰＣＳ接続枚数計算ツール!Y113)</f>
        <v>0.53759999999999997</v>
      </c>
      <c r="R9" s="85">
        <f>HUAWEI製ＰＣＳ接続枚数計算ツール!$C$6*枚数!R9/(VLOOKUP(HUAWEI製ＰＣＳ接続枚数計算ツール!$C$9, HUAWEI製ＰＣＳ接続枚数計算ツール!$B$119:$P$149,2,FALSE)*1000*HUAWEI製ＰＣＳ接続枚数計算ツール!Y113)</f>
        <v>0.57120000000000004</v>
      </c>
      <c r="S9" s="85">
        <f>HUAWEI製ＰＣＳ接続枚数計算ツール!$C$6*枚数!S9/(VLOOKUP(HUAWEI製ＰＣＳ接続枚数計算ツール!$C$9, HUAWEI製ＰＣＳ接続枚数計算ツール!$B$119:$P$149,2,FALSE)*1000*HUAWEI製ＰＣＳ接続枚数計算ツール!Y113)</f>
        <v>0.6048</v>
      </c>
      <c r="T9" s="85">
        <f>HUAWEI製ＰＣＳ接続枚数計算ツール!$C$6*枚数!T9/(VLOOKUP(HUAWEI製ＰＣＳ接続枚数計算ツール!$C$9, HUAWEI製ＰＣＳ接続枚数計算ツール!$B$119:$P$149,2,FALSE)*1000*HUAWEI製ＰＣＳ接続枚数計算ツール!Y113)</f>
        <v>0.63839999999999997</v>
      </c>
      <c r="U9" s="85">
        <f>HUAWEI製ＰＣＳ接続枚数計算ツール!$C$6*枚数!U9/(VLOOKUP(HUAWEI製ＰＣＳ接続枚数計算ツール!$C$9, HUAWEI製ＰＣＳ接続枚数計算ツール!$B$119:$P$149,2,FALSE)*1000*HUAWEI製ＰＣＳ接続枚数計算ツール!Y113)</f>
        <v>0.67200000000000004</v>
      </c>
      <c r="V9" s="85">
        <f>HUAWEI製ＰＣＳ接続枚数計算ツール!$C$6*枚数!V9/(VLOOKUP(HUAWEI製ＰＣＳ接続枚数計算ツール!$C$9, HUAWEI製ＰＣＳ接続枚数計算ツール!$B$119:$P$149,2,FALSE)*1000*HUAWEI製ＰＣＳ接続枚数計算ツール!Y113)</f>
        <v>0.7056</v>
      </c>
      <c r="W9" s="85">
        <f>HUAWEI製ＰＣＳ接続枚数計算ツール!$C$6*枚数!W9/(VLOOKUP(HUAWEI製ＰＣＳ接続枚数計算ツール!$C$9, HUAWEI製ＰＣＳ接続枚数計算ツール!$B$119:$P$149,2,FALSE)*1000*HUAWEI製ＰＣＳ接続枚数計算ツール!Y113)</f>
        <v>0.73919999999999997</v>
      </c>
      <c r="X9" s="85">
        <f>HUAWEI製ＰＣＳ接続枚数計算ツール!$C$6*枚数!X9/(VLOOKUP(HUAWEI製ＰＣＳ接続枚数計算ツール!$C$9, HUAWEI製ＰＣＳ接続枚数計算ツール!$B$119:$P$149,2,FALSE)*1000*HUAWEI製ＰＣＳ接続枚数計算ツール!Y113)</f>
        <v>0.77280000000000004</v>
      </c>
      <c r="Y9" s="85">
        <f>HUAWEI製ＰＣＳ接続枚数計算ツール!$C$6*枚数!Y9/(VLOOKUP(HUAWEI製ＰＣＳ接続枚数計算ツール!$C$9, HUAWEI製ＰＣＳ接続枚数計算ツール!$B$119:$P$149,2,FALSE)*1000*HUAWEI製ＰＣＳ接続枚数計算ツール!Y113)</f>
        <v>0.80640000000000001</v>
      </c>
      <c r="Z9" s="85">
        <f>HUAWEI製ＰＣＳ接続枚数計算ツール!$C$6*枚数!Z9/(VLOOKUP(HUAWEI製ＰＣＳ接続枚数計算ツール!$C$9, HUAWEI製ＰＣＳ接続枚数計算ツール!$B$119:$P$149,2,FALSE)*1000*HUAWEI製ＰＣＳ接続枚数計算ツール!Y113)</f>
        <v>0.84</v>
      </c>
      <c r="AA9" s="85">
        <f>HUAWEI製ＰＣＳ接続枚数計算ツール!$C$6*枚数!AA9/(VLOOKUP(HUAWEI製ＰＣＳ接続枚数計算ツール!$C$9, HUAWEI製ＰＣＳ接続枚数計算ツール!$B$119:$P$149,2,FALSE)*1000*HUAWEI製ＰＣＳ接続枚数計算ツール!Y113)</f>
        <v>0.87360000000000004</v>
      </c>
      <c r="AB9" s="85">
        <f>HUAWEI製ＰＣＳ接続枚数計算ツール!$C$6*枚数!AB9/(VLOOKUP(HUAWEI製ＰＣＳ接続枚数計算ツール!$C$9, HUAWEI製ＰＣＳ接続枚数計算ツール!$B$119:$P$149,2,FALSE)*1000*HUAWEI製ＰＣＳ接続枚数計算ツール!Y113)</f>
        <v>0.90720000000000001</v>
      </c>
      <c r="AC9" s="85">
        <f>HUAWEI製ＰＣＳ接続枚数計算ツール!$C$6*枚数!AC9/(VLOOKUP(HUAWEI製ＰＣＳ接続枚数計算ツール!$C$9, HUAWEI製ＰＣＳ接続枚数計算ツール!$B$119:$P$149,2,FALSE)*1000*HUAWEI製ＰＣＳ接続枚数計算ツール!Y113)</f>
        <v>0.94079999999999997</v>
      </c>
      <c r="AD9" s="85">
        <f>HUAWEI製ＰＣＳ接続枚数計算ツール!$C$6*枚数!AD9/(VLOOKUP(HUAWEI製ＰＣＳ接続枚数計算ツール!$C$9, HUAWEI製ＰＣＳ接続枚数計算ツール!$B$119:$P$149,2,FALSE)*1000*HUAWEI製ＰＣＳ接続枚数計算ツール!Y113)</f>
        <v>0.97440000000000004</v>
      </c>
      <c r="AE9" s="85">
        <f>HUAWEI製ＰＣＳ接続枚数計算ツール!$C$6*枚数!AE9/(VLOOKUP(HUAWEI製ＰＣＳ接続枚数計算ツール!$C$9, HUAWEI製ＰＣＳ接続枚数計算ツール!$B$119:$P$149,2,FALSE)*1000*HUAWEI製ＰＣＳ接続枚数計算ツール!Y113)</f>
        <v>1.008</v>
      </c>
      <c r="AF9" s="85">
        <f>HUAWEI製ＰＣＳ接続枚数計算ツール!$C$6*枚数!AF9/(VLOOKUP(HUAWEI製ＰＣＳ接続枚数計算ツール!$C$9, HUAWEI製ＰＣＳ接続枚数計算ツール!$B$119:$P$149,2,FALSE)*1000*HUAWEI製ＰＣＳ接続枚数計算ツール!Y113)</f>
        <v>1.0416000000000001</v>
      </c>
      <c r="AG9" s="85">
        <f>HUAWEI製ＰＣＳ接続枚数計算ツール!$C$6*枚数!AG9/(VLOOKUP(HUAWEI製ＰＣＳ接続枚数計算ツール!$C$9, HUAWEI製ＰＣＳ接続枚数計算ツール!$B$119:$P$149,2,FALSE)*1000*HUAWEI製ＰＣＳ接続枚数計算ツール!Y113)</f>
        <v>1.0751999999999999</v>
      </c>
      <c r="AH9" s="85">
        <f>HUAWEI製ＰＣＳ接続枚数計算ツール!$C$6*枚数!AH9/(VLOOKUP(HUAWEI製ＰＣＳ接続枚数計算ツール!$C$9, HUAWEI製ＰＣＳ接続枚数計算ツール!$B$119:$P$149,2,FALSE)*1000*HUAWEI製ＰＣＳ接続枚数計算ツール!Y113)</f>
        <v>1.1088</v>
      </c>
      <c r="AI9" s="85">
        <f>HUAWEI製ＰＣＳ接続枚数計算ツール!$C$6*枚数!AI9/(VLOOKUP(HUAWEI製ＰＣＳ接続枚数計算ツール!$C$9, HUAWEI製ＰＣＳ接続枚数計算ツール!$B$119:$P$149,2,FALSE)*1000*HUAWEI製ＰＣＳ接続枚数計算ツール!Y113)</f>
        <v>1.1424000000000001</v>
      </c>
      <c r="AJ9" s="85">
        <f>HUAWEI製ＰＣＳ接続枚数計算ツール!$C$6*枚数!AJ9/(VLOOKUP(HUAWEI製ＰＣＳ接続枚数計算ツール!$C$9, HUAWEI製ＰＣＳ接続枚数計算ツール!$B$119:$P$149,2,FALSE)*1000*HUAWEI製ＰＣＳ接続枚数計算ツール!Y113)</f>
        <v>1.1759999999999999</v>
      </c>
      <c r="AK9" s="85">
        <f>HUAWEI製ＰＣＳ接続枚数計算ツール!$C$6*枚数!AK9/(VLOOKUP(HUAWEI製ＰＣＳ接続枚数計算ツール!$C$9, HUAWEI製ＰＣＳ接続枚数計算ツール!$B$119:$P$149,2,FALSE)*1000*HUAWEI製ＰＣＳ接続枚数計算ツール!Y113)</f>
        <v>1.2096</v>
      </c>
      <c r="AL9" s="85">
        <f>HUAWEI製ＰＣＳ接続枚数計算ツール!$C$6*枚数!AL9/(VLOOKUP(HUAWEI製ＰＣＳ接続枚数計算ツール!$C$9, HUAWEI製ＰＣＳ接続枚数計算ツール!$B$119:$P$149,2,FALSE)*1000*HUAWEI製ＰＣＳ接続枚数計算ツール!Y113)</f>
        <v>1.2432000000000001</v>
      </c>
      <c r="AM9" s="85">
        <f>HUAWEI製ＰＣＳ接続枚数計算ツール!$C$6*枚数!AM9/(VLOOKUP(HUAWEI製ＰＣＳ接続枚数計算ツール!$C$9, HUAWEI製ＰＣＳ接続枚数計算ツール!$B$119:$P$149,2,FALSE)*1000*HUAWEI製ＰＣＳ接続枚数計算ツール!Y113)</f>
        <v>1.2767999999999999</v>
      </c>
      <c r="AN9" s="85">
        <f>HUAWEI製ＰＣＳ接続枚数計算ツール!$C$6*枚数!AN9/(VLOOKUP(HUAWEI製ＰＣＳ接続枚数計算ツール!$C$9, HUAWEI製ＰＣＳ接続枚数計算ツール!$B$119:$P$149,2,FALSE)*1000*HUAWEI製ＰＣＳ接続枚数計算ツール!Y113)</f>
        <v>1.3104</v>
      </c>
      <c r="AO9" s="85">
        <f>HUAWEI製ＰＣＳ接続枚数計算ツール!$C$6*枚数!AO9/(VLOOKUP(HUAWEI製ＰＣＳ接続枚数計算ツール!$C$9, HUAWEI製ＰＣＳ接続枚数計算ツール!$B$119:$P$149,2,FALSE)*1000*HUAWEI製ＰＣＳ接続枚数計算ツール!Y113)</f>
        <v>1.3440000000000001</v>
      </c>
    </row>
    <row r="10" spans="1:41">
      <c r="A10">
        <v>8</v>
      </c>
      <c r="B10" s="85">
        <f>HUAWEI製ＰＣＳ接続枚数計算ツール!$C$6*枚数!B10/(VLOOKUP(HUAWEI製ＰＣＳ接続枚数計算ツール!$C$9, HUAWEI製ＰＣＳ接続枚数計算ツール!$B$119:$P$149,2,FALSE)*1000*HUAWEI製ＰＣＳ接続枚数計算ツール!Y113)</f>
        <v>3.8399999999999997E-2</v>
      </c>
      <c r="C10" s="85">
        <f>HUAWEI製ＰＣＳ接続枚数計算ツール!$C$6*枚数!C10/(VLOOKUP(HUAWEI製ＰＣＳ接続枚数計算ツール!$C$9, HUAWEI製ＰＣＳ接続枚数計算ツール!$B$119:$P$149,2,FALSE)*1000*HUAWEI製ＰＣＳ接続枚数計算ツール!Y113)</f>
        <v>7.6799999999999993E-2</v>
      </c>
      <c r="D10" s="85">
        <f>HUAWEI製ＰＣＳ接続枚数計算ツール!$C$6*枚数!D10/(VLOOKUP(HUAWEI製ＰＣＳ接続枚数計算ツール!$C$9, HUAWEI製ＰＣＳ接続枚数計算ツール!$B$119:$P$149,2,FALSE)*1000*HUAWEI製ＰＣＳ接続枚数計算ツール!Y113)</f>
        <v>0.1152</v>
      </c>
      <c r="E10" s="85">
        <f>HUAWEI製ＰＣＳ接続枚数計算ツール!$C$6*枚数!E10/(VLOOKUP(HUAWEI製ＰＣＳ接続枚数計算ツール!$C$9, HUAWEI製ＰＣＳ接続枚数計算ツール!$B$119:$P$149,2,FALSE)*1000*HUAWEI製ＰＣＳ接続枚数計算ツール!Y113)</f>
        <v>0.15359999999999999</v>
      </c>
      <c r="F10" s="85">
        <f>HUAWEI製ＰＣＳ接続枚数計算ツール!$C$6*枚数!F10/(VLOOKUP(HUAWEI製ＰＣＳ接続枚数計算ツール!$C$9, HUAWEI製ＰＣＳ接続枚数計算ツール!$B$119:$P$149,2,FALSE)*1000*HUAWEI製ＰＣＳ接続枚数計算ツール!Y113)</f>
        <v>0.192</v>
      </c>
      <c r="G10" s="85">
        <f>HUAWEI製ＰＣＳ接続枚数計算ツール!$C$6*枚数!G10/(VLOOKUP(HUAWEI製ＰＣＳ接続枚数計算ツール!$C$9, HUAWEI製ＰＣＳ接続枚数計算ツール!$B$119:$P$149,2,FALSE)*1000*HUAWEI製ＰＣＳ接続枚数計算ツール!Y113)</f>
        <v>0.23039999999999999</v>
      </c>
      <c r="H10" s="85">
        <f>HUAWEI製ＰＣＳ接続枚数計算ツール!$C$6*枚数!H10/(VLOOKUP(HUAWEI製ＰＣＳ接続枚数計算ツール!$C$9, HUAWEI製ＰＣＳ接続枚数計算ツール!$B$119:$P$149,2,FALSE)*1000*HUAWEI製ＰＣＳ接続枚数計算ツール!Y113)</f>
        <v>0.26879999999999998</v>
      </c>
      <c r="I10" s="85">
        <f>HUAWEI製ＰＣＳ接続枚数計算ツール!$C$6*枚数!I10/(VLOOKUP(HUAWEI製ＰＣＳ接続枚数計算ツール!$C$9, HUAWEI製ＰＣＳ接続枚数計算ツール!$B$119:$P$149,2,FALSE)*1000*HUAWEI製ＰＣＳ接続枚数計算ツール!Y113)</f>
        <v>0.30719999999999997</v>
      </c>
      <c r="J10" s="85">
        <f>HUAWEI製ＰＣＳ接続枚数計算ツール!$C$6*枚数!J10/(VLOOKUP(HUAWEI製ＰＣＳ接続枚数計算ツール!$C$9, HUAWEI製ＰＣＳ接続枚数計算ツール!$B$119:$P$149,2,FALSE)*1000*HUAWEI製ＰＣＳ接続枚数計算ツール!Y113)</f>
        <v>0.34560000000000002</v>
      </c>
      <c r="K10" s="85">
        <f>HUAWEI製ＰＣＳ接続枚数計算ツール!$C$6*枚数!K10/(VLOOKUP(HUAWEI製ＰＣＳ接続枚数計算ツール!$C$9, HUAWEI製ＰＣＳ接続枚数計算ツール!$B$119:$P$149,2,FALSE)*1000*HUAWEI製ＰＣＳ接続枚数計算ツール!Y113)</f>
        <v>0.38400000000000001</v>
      </c>
      <c r="L10" s="85">
        <f>HUAWEI製ＰＣＳ接続枚数計算ツール!$C$6*枚数!L10/(VLOOKUP(HUAWEI製ＰＣＳ接続枚数計算ツール!$C$9, HUAWEI製ＰＣＳ接続枚数計算ツール!$B$119:$P$149,2,FALSE)*1000*HUAWEI製ＰＣＳ接続枚数計算ツール!Y113)</f>
        <v>0.4224</v>
      </c>
      <c r="M10" s="85">
        <f>HUAWEI製ＰＣＳ接続枚数計算ツール!$C$6*枚数!M10/(VLOOKUP(HUAWEI製ＰＣＳ接続枚数計算ツール!$C$9, HUAWEI製ＰＣＳ接続枚数計算ツール!$B$119:$P$149,2,FALSE)*1000*HUAWEI製ＰＣＳ接続枚数計算ツール!Y113)</f>
        <v>0.46079999999999999</v>
      </c>
      <c r="N10" s="85">
        <f>HUAWEI製ＰＣＳ接続枚数計算ツール!$C$6*枚数!N10/(VLOOKUP(HUAWEI製ＰＣＳ接続枚数計算ツール!$C$9, HUAWEI製ＰＣＳ接続枚数計算ツール!$B$119:$P$149,2,FALSE)*1000*HUAWEI製ＰＣＳ接続枚数計算ツール!Y113)</f>
        <v>0.49919999999999998</v>
      </c>
      <c r="O10" s="85">
        <f>HUAWEI製ＰＣＳ接続枚数計算ツール!$C$6*枚数!O10/(VLOOKUP(HUAWEI製ＰＣＳ接続枚数計算ツール!$C$9, HUAWEI製ＰＣＳ接続枚数計算ツール!$B$119:$P$149,2,FALSE)*1000*HUAWEI製ＰＣＳ接続枚数計算ツール!Y113)</f>
        <v>0.53759999999999997</v>
      </c>
      <c r="P10" s="85">
        <f>HUAWEI製ＰＣＳ接続枚数計算ツール!$C$6*枚数!P10/(VLOOKUP(HUAWEI製ＰＣＳ接続枚数計算ツール!$C$9, HUAWEI製ＰＣＳ接続枚数計算ツール!$B$119:$P$149,2,FALSE)*1000*HUAWEI製ＰＣＳ接続枚数計算ツール!Y113)</f>
        <v>0.57599999999999996</v>
      </c>
      <c r="Q10" s="85">
        <f>HUAWEI製ＰＣＳ接続枚数計算ツール!$C$6*枚数!Q10/(VLOOKUP(HUAWEI製ＰＣＳ接続枚数計算ツール!$C$9, HUAWEI製ＰＣＳ接続枚数計算ツール!$B$119:$P$149,2,FALSE)*1000*HUAWEI製ＰＣＳ接続枚数計算ツール!Y113)</f>
        <v>0.61439999999999995</v>
      </c>
      <c r="R10" s="85">
        <f>HUAWEI製ＰＣＳ接続枚数計算ツール!$C$6*枚数!R10/(VLOOKUP(HUAWEI製ＰＣＳ接続枚数計算ツール!$C$9, HUAWEI製ＰＣＳ接続枚数計算ツール!$B$119:$P$149,2,FALSE)*1000*HUAWEI製ＰＣＳ接続枚数計算ツール!Y113)</f>
        <v>0.65280000000000005</v>
      </c>
      <c r="S10" s="85">
        <f>HUAWEI製ＰＣＳ接続枚数計算ツール!$C$6*枚数!S10/(VLOOKUP(HUAWEI製ＰＣＳ接続枚数計算ツール!$C$9, HUAWEI製ＰＣＳ接続枚数計算ツール!$B$119:$P$149,2,FALSE)*1000*HUAWEI製ＰＣＳ接続枚数計算ツール!Y113)</f>
        <v>0.69120000000000004</v>
      </c>
      <c r="T10" s="85">
        <f>HUAWEI製ＰＣＳ接続枚数計算ツール!$C$6*枚数!T10/(VLOOKUP(HUAWEI製ＰＣＳ接続枚数計算ツール!$C$9, HUAWEI製ＰＣＳ接続枚数計算ツール!$B$119:$P$149,2,FALSE)*1000*HUAWEI製ＰＣＳ接続枚数計算ツール!Y113)</f>
        <v>0.72960000000000003</v>
      </c>
      <c r="U10" s="85">
        <f>HUAWEI製ＰＣＳ接続枚数計算ツール!$C$6*枚数!U10/(VLOOKUP(HUAWEI製ＰＣＳ接続枚数計算ツール!$C$9, HUAWEI製ＰＣＳ接続枚数計算ツール!$B$119:$P$149,2,FALSE)*1000*HUAWEI製ＰＣＳ接続枚数計算ツール!Y113)</f>
        <v>0.76800000000000002</v>
      </c>
      <c r="V10" s="85">
        <f>HUAWEI製ＰＣＳ接続枚数計算ツール!$C$6*枚数!V10/(VLOOKUP(HUAWEI製ＰＣＳ接続枚数計算ツール!$C$9, HUAWEI製ＰＣＳ接続枚数計算ツール!$B$119:$P$149,2,FALSE)*1000*HUAWEI製ＰＣＳ接続枚数計算ツール!Y113)</f>
        <v>0.80640000000000001</v>
      </c>
      <c r="W10" s="85">
        <f>HUAWEI製ＰＣＳ接続枚数計算ツール!$C$6*枚数!W10/(VLOOKUP(HUAWEI製ＰＣＳ接続枚数計算ツール!$C$9, HUAWEI製ＰＣＳ接続枚数計算ツール!$B$119:$P$149,2,FALSE)*1000*HUAWEI製ＰＣＳ接続枚数計算ツール!Y113)</f>
        <v>0.8448</v>
      </c>
      <c r="X10" s="85">
        <f>HUAWEI製ＰＣＳ接続枚数計算ツール!$C$6*枚数!X10/(VLOOKUP(HUAWEI製ＰＣＳ接続枚数計算ツール!$C$9, HUAWEI製ＰＣＳ接続枚数計算ツール!$B$119:$P$149,2,FALSE)*1000*HUAWEI製ＰＣＳ接続枚数計算ツール!Y113)</f>
        <v>0.88319999999999999</v>
      </c>
      <c r="Y10" s="85">
        <f>HUAWEI製ＰＣＳ接続枚数計算ツール!$C$6*枚数!Y10/(VLOOKUP(HUAWEI製ＰＣＳ接続枚数計算ツール!$C$9, HUAWEI製ＰＣＳ接続枚数計算ツール!$B$119:$P$149,2,FALSE)*1000*HUAWEI製ＰＣＳ接続枚数計算ツール!Y113)</f>
        <v>0.92159999999999997</v>
      </c>
      <c r="Z10" s="85">
        <f>HUAWEI製ＰＣＳ接続枚数計算ツール!$C$6*枚数!Z10/(VLOOKUP(HUAWEI製ＰＣＳ接続枚数計算ツール!$C$9, HUAWEI製ＰＣＳ接続枚数計算ツール!$B$119:$P$149,2,FALSE)*1000*HUAWEI製ＰＣＳ接続枚数計算ツール!Y113)</f>
        <v>0.96</v>
      </c>
      <c r="AA10" s="85">
        <f>HUAWEI製ＰＣＳ接続枚数計算ツール!$C$6*枚数!AA10/(VLOOKUP(HUAWEI製ＰＣＳ接続枚数計算ツール!$C$9, HUAWEI製ＰＣＳ接続枚数計算ツール!$B$119:$P$149,2,FALSE)*1000*HUAWEI製ＰＣＳ接続枚数計算ツール!Y113)</f>
        <v>0.99839999999999995</v>
      </c>
      <c r="AB10" s="85">
        <f>HUAWEI製ＰＣＳ接続枚数計算ツール!$C$6*枚数!AB10/(VLOOKUP(HUAWEI製ＰＣＳ接続枚数計算ツール!$C$9, HUAWEI製ＰＣＳ接続枚数計算ツール!$B$119:$P$149,2,FALSE)*1000*HUAWEI製ＰＣＳ接続枚数計算ツール!Y113)</f>
        <v>1.0367999999999999</v>
      </c>
      <c r="AC10" s="85">
        <f>HUAWEI製ＰＣＳ接続枚数計算ツール!$C$6*枚数!AC10/(VLOOKUP(HUAWEI製ＰＣＳ接続枚数計算ツール!$C$9, HUAWEI製ＰＣＳ接続枚数計算ツール!$B$119:$P$149,2,FALSE)*1000*HUAWEI製ＰＣＳ接続枚数計算ツール!Y113)</f>
        <v>1.0751999999999999</v>
      </c>
      <c r="AD10" s="85">
        <f>HUAWEI製ＰＣＳ接続枚数計算ツール!$C$6*枚数!AD10/(VLOOKUP(HUAWEI製ＰＣＳ接続枚数計算ツール!$C$9, HUAWEI製ＰＣＳ接続枚数計算ツール!$B$119:$P$149,2,FALSE)*1000*HUAWEI製ＰＣＳ接続枚数計算ツール!Y113)</f>
        <v>1.1135999999999999</v>
      </c>
      <c r="AE10" s="85">
        <f>HUAWEI製ＰＣＳ接続枚数計算ツール!$C$6*枚数!AE10/(VLOOKUP(HUAWEI製ＰＣＳ接続枚数計算ツール!$C$9, HUAWEI製ＰＣＳ接続枚数計算ツール!$B$119:$P$149,2,FALSE)*1000*HUAWEI製ＰＣＳ接続枚数計算ツール!Y113)</f>
        <v>1.1519999999999999</v>
      </c>
      <c r="AF10" s="85">
        <f>HUAWEI製ＰＣＳ接続枚数計算ツール!$C$6*枚数!AF10/(VLOOKUP(HUAWEI製ＰＣＳ接続枚数計算ツール!$C$9, HUAWEI製ＰＣＳ接続枚数計算ツール!$B$119:$P$149,2,FALSE)*1000*HUAWEI製ＰＣＳ接続枚数計算ツール!Y113)</f>
        <v>1.1903999999999999</v>
      </c>
      <c r="AG10" s="85">
        <f>HUAWEI製ＰＣＳ接続枚数計算ツール!$C$6*枚数!AG10/(VLOOKUP(HUAWEI製ＰＣＳ接続枚数計算ツール!$C$9, HUAWEI製ＰＣＳ接続枚数計算ツール!$B$119:$P$149,2,FALSE)*1000*HUAWEI製ＰＣＳ接続枚数計算ツール!Y113)</f>
        <v>1.2287999999999999</v>
      </c>
      <c r="AH10" s="85">
        <f>HUAWEI製ＰＣＳ接続枚数計算ツール!$C$6*枚数!AH10/(VLOOKUP(HUAWEI製ＰＣＳ接続枚数計算ツール!$C$9, HUAWEI製ＰＣＳ接続枚数計算ツール!$B$119:$P$149,2,FALSE)*1000*HUAWEI製ＰＣＳ接続枚数計算ツール!Y113)</f>
        <v>1.2672000000000001</v>
      </c>
      <c r="AI10" s="85">
        <f>HUAWEI製ＰＣＳ接続枚数計算ツール!$C$6*枚数!AI10/(VLOOKUP(HUAWEI製ＰＣＳ接続枚数計算ツール!$C$9, HUAWEI製ＰＣＳ接続枚数計算ツール!$B$119:$P$149,2,FALSE)*1000*HUAWEI製ＰＣＳ接続枚数計算ツール!Y113)</f>
        <v>1.3056000000000001</v>
      </c>
      <c r="AJ10" s="85">
        <f>HUAWEI製ＰＣＳ接続枚数計算ツール!$C$6*枚数!AJ10/(VLOOKUP(HUAWEI製ＰＣＳ接続枚数計算ツール!$C$9, HUAWEI製ＰＣＳ接続枚数計算ツール!$B$119:$P$149,2,FALSE)*1000*HUAWEI製ＰＣＳ接続枚数計算ツール!Y113)</f>
        <v>1.3440000000000001</v>
      </c>
      <c r="AK10" s="85">
        <f>HUAWEI製ＰＣＳ接続枚数計算ツール!$C$6*枚数!AK10/(VLOOKUP(HUAWEI製ＰＣＳ接続枚数計算ツール!$C$9, HUAWEI製ＰＣＳ接続枚数計算ツール!$B$119:$P$149,2,FALSE)*1000*HUAWEI製ＰＣＳ接続枚数計算ツール!Y113)</f>
        <v>1.3824000000000001</v>
      </c>
      <c r="AL10" s="85">
        <f>HUAWEI製ＰＣＳ接続枚数計算ツール!$C$6*枚数!AL10/(VLOOKUP(HUAWEI製ＰＣＳ接続枚数計算ツール!$C$9, HUAWEI製ＰＣＳ接続枚数計算ツール!$B$119:$P$149,2,FALSE)*1000*HUAWEI製ＰＣＳ接続枚数計算ツール!Y113)</f>
        <v>1.4208000000000001</v>
      </c>
      <c r="AM10" s="85">
        <f>HUAWEI製ＰＣＳ接続枚数計算ツール!$C$6*枚数!AM10/(VLOOKUP(HUAWEI製ＰＣＳ接続枚数計算ツール!$C$9, HUAWEI製ＰＣＳ接続枚数計算ツール!$B$119:$P$149,2,FALSE)*1000*HUAWEI製ＰＣＳ接続枚数計算ツール!Y113)</f>
        <v>1.4592000000000001</v>
      </c>
      <c r="AN10" s="85">
        <f>HUAWEI製ＰＣＳ接続枚数計算ツール!$C$6*枚数!AN10/(VLOOKUP(HUAWEI製ＰＣＳ接続枚数計算ツール!$C$9, HUAWEI製ＰＣＳ接続枚数計算ツール!$B$119:$P$149,2,FALSE)*1000*HUAWEI製ＰＣＳ接続枚数計算ツール!Y113)</f>
        <v>1.4976</v>
      </c>
      <c r="AO10" s="85">
        <f>HUAWEI製ＰＣＳ接続枚数計算ツール!$C$6*枚数!AO10/(VLOOKUP(HUAWEI製ＰＣＳ接続枚数計算ツール!$C$9, HUAWEI製ＰＣＳ接続枚数計算ツール!$B$119:$P$149,2,FALSE)*1000*HUAWEI製ＰＣＳ接続枚数計算ツール!Y113)</f>
        <v>1.536</v>
      </c>
    </row>
    <row r="11" spans="1:41">
      <c r="A11">
        <v>9</v>
      </c>
      <c r="B11" s="85">
        <f>HUAWEI製ＰＣＳ接続枚数計算ツール!$C$6*枚数!B11/(VLOOKUP(HUAWEI製ＰＣＳ接続枚数計算ツール!$C$9, HUAWEI製ＰＣＳ接続枚数計算ツール!$B$119:$P$149,2,FALSE)*1000*HUAWEI製ＰＣＳ接続枚数計算ツール!Y113)</f>
        <v>4.3200000000000002E-2</v>
      </c>
      <c r="C11" s="85">
        <f>HUAWEI製ＰＣＳ接続枚数計算ツール!$C$6*枚数!C11/(VLOOKUP(HUAWEI製ＰＣＳ接続枚数計算ツール!$C$9, HUAWEI製ＰＣＳ接続枚数計算ツール!$B$119:$P$149,2,FALSE)*1000*HUAWEI製ＰＣＳ接続枚数計算ツール!Y113)</f>
        <v>8.6400000000000005E-2</v>
      </c>
      <c r="D11" s="85">
        <f>HUAWEI製ＰＣＳ接続枚数計算ツール!$C$6*枚数!D11/(VLOOKUP(HUAWEI製ＰＣＳ接続枚数計算ツール!$C$9, HUAWEI製ＰＣＳ接続枚数計算ツール!$B$119:$P$149,2,FALSE)*1000*HUAWEI製ＰＣＳ接続枚数計算ツール!Y113)</f>
        <v>0.12959999999999999</v>
      </c>
      <c r="E11" s="85">
        <f>HUAWEI製ＰＣＳ接続枚数計算ツール!$C$6*枚数!E11/(VLOOKUP(HUAWEI製ＰＣＳ接続枚数計算ツール!$C$9, HUAWEI製ＰＣＳ接続枚数計算ツール!$B$119:$P$149,2,FALSE)*1000*HUAWEI製ＰＣＳ接続枚数計算ツール!Y113)</f>
        <v>0.17280000000000001</v>
      </c>
      <c r="F11" s="85">
        <f>HUAWEI製ＰＣＳ接続枚数計算ツール!$C$6*枚数!F11/(VLOOKUP(HUAWEI製ＰＣＳ接続枚数計算ツール!$C$9, HUAWEI製ＰＣＳ接続枚数計算ツール!$B$119:$P$149,2,FALSE)*1000*HUAWEI製ＰＣＳ接続枚数計算ツール!Y113)</f>
        <v>0.216</v>
      </c>
      <c r="G11" s="85">
        <f>HUAWEI製ＰＣＳ接続枚数計算ツール!$C$6*枚数!G11/(VLOOKUP(HUAWEI製ＰＣＳ接続枚数計算ツール!$C$9, HUAWEI製ＰＣＳ接続枚数計算ツール!$B$119:$P$149,2,FALSE)*1000*HUAWEI製ＰＣＳ接続枚数計算ツール!Y113)</f>
        <v>0.25919999999999999</v>
      </c>
      <c r="H11" s="85">
        <f>HUAWEI製ＰＣＳ接続枚数計算ツール!$C$6*枚数!H11/(VLOOKUP(HUAWEI製ＰＣＳ接続枚数計算ツール!$C$9, HUAWEI製ＰＣＳ接続枚数計算ツール!$B$119:$P$149,2,FALSE)*1000*HUAWEI製ＰＣＳ接続枚数計算ツール!Y113)</f>
        <v>0.3024</v>
      </c>
      <c r="I11" s="85">
        <f>HUAWEI製ＰＣＳ接続枚数計算ツール!$C$6*枚数!I11/(VLOOKUP(HUAWEI製ＰＣＳ接続枚数計算ツール!$C$9, HUAWEI製ＰＣＳ接続枚数計算ツール!$B$119:$P$149,2,FALSE)*1000*HUAWEI製ＰＣＳ接続枚数計算ツール!Y113)</f>
        <v>0.34560000000000002</v>
      </c>
      <c r="J11" s="85">
        <f>HUAWEI製ＰＣＳ接続枚数計算ツール!$C$6*枚数!J11/(VLOOKUP(HUAWEI製ＰＣＳ接続枚数計算ツール!$C$9, HUAWEI製ＰＣＳ接続枚数計算ツール!$B$119:$P$149,2,FALSE)*1000*HUAWEI製ＰＣＳ接続枚数計算ツール!Y113)</f>
        <v>0.38879999999999998</v>
      </c>
      <c r="K11" s="85">
        <f>HUAWEI製ＰＣＳ接続枚数計算ツール!$C$6*枚数!K11/(VLOOKUP(HUAWEI製ＰＣＳ接続枚数計算ツール!$C$9, HUAWEI製ＰＣＳ接続枚数計算ツール!$B$119:$P$149,2,FALSE)*1000*HUAWEI製ＰＣＳ接続枚数計算ツール!Y113)</f>
        <v>0.432</v>
      </c>
      <c r="L11" s="85">
        <f>HUAWEI製ＰＣＳ接続枚数計算ツール!$C$6*枚数!L11/(VLOOKUP(HUAWEI製ＰＣＳ接続枚数計算ツール!$C$9, HUAWEI製ＰＣＳ接続枚数計算ツール!$B$119:$P$149,2,FALSE)*1000*HUAWEI製ＰＣＳ接続枚数計算ツール!Y113)</f>
        <v>0.47520000000000001</v>
      </c>
      <c r="M11" s="85">
        <f>HUAWEI製ＰＣＳ接続枚数計算ツール!$C$6*枚数!M11/(VLOOKUP(HUAWEI製ＰＣＳ接続枚数計算ツール!$C$9, HUAWEI製ＰＣＳ接続枚数計算ツール!$B$119:$P$149,2,FALSE)*1000*HUAWEI製ＰＣＳ接続枚数計算ツール!Y113)</f>
        <v>0.51839999999999997</v>
      </c>
      <c r="N11" s="85">
        <f>HUAWEI製ＰＣＳ接続枚数計算ツール!$C$6*枚数!N11/(VLOOKUP(HUAWEI製ＰＣＳ接続枚数計算ツール!$C$9, HUAWEI製ＰＣＳ接続枚数計算ツール!$B$119:$P$149,2,FALSE)*1000*HUAWEI製ＰＣＳ接続枚数計算ツール!Y113)</f>
        <v>0.56159999999999999</v>
      </c>
      <c r="O11" s="85">
        <f>HUAWEI製ＰＣＳ接続枚数計算ツール!$C$6*枚数!O11/(VLOOKUP(HUAWEI製ＰＣＳ接続枚数計算ツール!$C$9, HUAWEI製ＰＣＳ接続枚数計算ツール!$B$119:$P$149,2,FALSE)*1000*HUAWEI製ＰＣＳ接続枚数計算ツール!Y113)</f>
        <v>0.6048</v>
      </c>
      <c r="P11" s="85">
        <f>HUAWEI製ＰＣＳ接続枚数計算ツール!$C$6*枚数!P11/(VLOOKUP(HUAWEI製ＰＣＳ接続枚数計算ツール!$C$9, HUAWEI製ＰＣＳ接続枚数計算ツール!$B$119:$P$149,2,FALSE)*1000*HUAWEI製ＰＣＳ接続枚数計算ツール!Y113)</f>
        <v>0.64800000000000002</v>
      </c>
      <c r="Q11" s="85">
        <f>HUAWEI製ＰＣＳ接続枚数計算ツール!$C$6*枚数!Q11/(VLOOKUP(HUAWEI製ＰＣＳ接続枚数計算ツール!$C$9, HUAWEI製ＰＣＳ接続枚数計算ツール!$B$119:$P$149,2,FALSE)*1000*HUAWEI製ＰＣＳ接続枚数計算ツール!Y113)</f>
        <v>0.69120000000000004</v>
      </c>
      <c r="R11" s="85">
        <f>HUAWEI製ＰＣＳ接続枚数計算ツール!$C$6*枚数!R11/(VLOOKUP(HUAWEI製ＰＣＳ接続枚数計算ツール!$C$9, HUAWEI製ＰＣＳ接続枚数計算ツール!$B$119:$P$149,2,FALSE)*1000*HUAWEI製ＰＣＳ接続枚数計算ツール!Y113)</f>
        <v>0.73440000000000005</v>
      </c>
      <c r="S11" s="85">
        <f>HUAWEI製ＰＣＳ接続枚数計算ツール!$C$6*枚数!S11/(VLOOKUP(HUAWEI製ＰＣＳ接続枚数計算ツール!$C$9, HUAWEI製ＰＣＳ接続枚数計算ツール!$B$119:$P$149,2,FALSE)*1000*HUAWEI製ＰＣＳ接続枚数計算ツール!Y113)</f>
        <v>0.77759999999999996</v>
      </c>
      <c r="T11" s="85">
        <f>HUAWEI製ＰＣＳ接続枚数計算ツール!$C$6*枚数!T11/(VLOOKUP(HUAWEI製ＰＣＳ接続枚数計算ツール!$C$9, HUAWEI製ＰＣＳ接続枚数計算ツール!$B$119:$P$149,2,FALSE)*1000*HUAWEI製ＰＣＳ接続枚数計算ツール!Y113)</f>
        <v>0.82079999999999997</v>
      </c>
      <c r="U11" s="85">
        <f>HUAWEI製ＰＣＳ接続枚数計算ツール!$C$6*枚数!U11/(VLOOKUP(HUAWEI製ＰＣＳ接続枚数計算ツール!$C$9, HUAWEI製ＰＣＳ接続枚数計算ツール!$B$119:$P$149,2,FALSE)*1000*HUAWEI製ＰＣＳ接続枚数計算ツール!Y113)</f>
        <v>0.86399999999999999</v>
      </c>
      <c r="V11" s="85">
        <f>HUAWEI製ＰＣＳ接続枚数計算ツール!$C$6*枚数!V11/(VLOOKUP(HUAWEI製ＰＣＳ接続枚数計算ツール!$C$9, HUAWEI製ＰＣＳ接続枚数計算ツール!$B$119:$P$149,2,FALSE)*1000*HUAWEI製ＰＣＳ接続枚数計算ツール!Y113)</f>
        <v>0.90720000000000001</v>
      </c>
      <c r="W11" s="85">
        <f>HUAWEI製ＰＣＳ接続枚数計算ツール!$C$6*枚数!W11/(VLOOKUP(HUAWEI製ＰＣＳ接続枚数計算ツール!$C$9, HUAWEI製ＰＣＳ接続枚数計算ツール!$B$119:$P$149,2,FALSE)*1000*HUAWEI製ＰＣＳ接続枚数計算ツール!Y113)</f>
        <v>0.95040000000000002</v>
      </c>
      <c r="X11" s="85">
        <f>HUAWEI製ＰＣＳ接続枚数計算ツール!$C$6*枚数!X11/(VLOOKUP(HUAWEI製ＰＣＳ接続枚数計算ツール!$C$9, HUAWEI製ＰＣＳ接続枚数計算ツール!$B$119:$P$149,2,FALSE)*1000*HUAWEI製ＰＣＳ接続枚数計算ツール!Y113)</f>
        <v>0.99360000000000004</v>
      </c>
      <c r="Y11" s="85">
        <f>HUAWEI製ＰＣＳ接続枚数計算ツール!$C$6*枚数!Y11/(VLOOKUP(HUAWEI製ＰＣＳ接続枚数計算ツール!$C$9, HUAWEI製ＰＣＳ接続枚数計算ツール!$B$119:$P$149,2,FALSE)*1000*HUAWEI製ＰＣＳ接続枚数計算ツール!Y113)</f>
        <v>1.0367999999999999</v>
      </c>
      <c r="Z11" s="85">
        <f>HUAWEI製ＰＣＳ接続枚数計算ツール!$C$6*枚数!Z11/(VLOOKUP(HUAWEI製ＰＣＳ接続枚数計算ツール!$C$9, HUAWEI製ＰＣＳ接続枚数計算ツール!$B$119:$P$149,2,FALSE)*1000*HUAWEI製ＰＣＳ接続枚数計算ツール!Y113)</f>
        <v>1.08</v>
      </c>
      <c r="AA11" s="85">
        <f>HUAWEI製ＰＣＳ接続枚数計算ツール!$C$6*枚数!AA11/(VLOOKUP(HUAWEI製ＰＣＳ接続枚数計算ツール!$C$9, HUAWEI製ＰＣＳ接続枚数計算ツール!$B$119:$P$149,2,FALSE)*1000*HUAWEI製ＰＣＳ接続枚数計算ツール!Y113)</f>
        <v>1.1232</v>
      </c>
      <c r="AB11" s="85">
        <f>HUAWEI製ＰＣＳ接続枚数計算ツール!$C$6*枚数!AB11/(VLOOKUP(HUAWEI製ＰＣＳ接続枚数計算ツール!$C$9, HUAWEI製ＰＣＳ接続枚数計算ツール!$B$119:$P$149,2,FALSE)*1000*HUAWEI製ＰＣＳ接続枚数計算ツール!Y113)</f>
        <v>1.1664000000000001</v>
      </c>
      <c r="AC11" s="85">
        <f>HUAWEI製ＰＣＳ接続枚数計算ツール!$C$6*枚数!AC11/(VLOOKUP(HUAWEI製ＰＣＳ接続枚数計算ツール!$C$9, HUAWEI製ＰＣＳ接続枚数計算ツール!$B$119:$P$149,2,FALSE)*1000*HUAWEI製ＰＣＳ接続枚数計算ツール!Y113)</f>
        <v>1.2096</v>
      </c>
      <c r="AD11" s="85">
        <f>HUAWEI製ＰＣＳ接続枚数計算ツール!$C$6*枚数!AD11/(VLOOKUP(HUAWEI製ＰＣＳ接続枚数計算ツール!$C$9, HUAWEI製ＰＣＳ接続枚数計算ツール!$B$119:$P$149,2,FALSE)*1000*HUAWEI製ＰＣＳ接続枚数計算ツール!Y113)</f>
        <v>1.2527999999999999</v>
      </c>
      <c r="AE11" s="85">
        <f>HUAWEI製ＰＣＳ接続枚数計算ツール!$C$6*枚数!AE11/(VLOOKUP(HUAWEI製ＰＣＳ接続枚数計算ツール!$C$9, HUAWEI製ＰＣＳ接続枚数計算ツール!$B$119:$P$149,2,FALSE)*1000*HUAWEI製ＰＣＳ接続枚数計算ツール!Y113)</f>
        <v>1.296</v>
      </c>
      <c r="AF11" s="85">
        <f>HUAWEI製ＰＣＳ接続枚数計算ツール!$C$6*枚数!AF11/(VLOOKUP(HUAWEI製ＰＣＳ接続枚数計算ツール!$C$9, HUAWEI製ＰＣＳ接続枚数計算ツール!$B$119:$P$149,2,FALSE)*1000*HUAWEI製ＰＣＳ接続枚数計算ツール!Y113)</f>
        <v>1.3391999999999999</v>
      </c>
      <c r="AG11" s="85">
        <f>HUAWEI製ＰＣＳ接続枚数計算ツール!$C$6*枚数!AG11/(VLOOKUP(HUAWEI製ＰＣＳ接続枚数計算ツール!$C$9, HUAWEI製ＰＣＳ接続枚数計算ツール!$B$119:$P$149,2,FALSE)*1000*HUAWEI製ＰＣＳ接続枚数計算ツール!Y113)</f>
        <v>1.3824000000000001</v>
      </c>
      <c r="AH11" s="85">
        <f>HUAWEI製ＰＣＳ接続枚数計算ツール!$C$6*枚数!AH11/(VLOOKUP(HUAWEI製ＰＣＳ接続枚数計算ツール!$C$9, HUAWEI製ＰＣＳ接続枚数計算ツール!$B$119:$P$149,2,FALSE)*1000*HUAWEI製ＰＣＳ接続枚数計算ツール!Y113)</f>
        <v>1.4256</v>
      </c>
      <c r="AI11" s="85">
        <f>HUAWEI製ＰＣＳ接続枚数計算ツール!$C$6*枚数!AI11/(VLOOKUP(HUAWEI製ＰＣＳ接続枚数計算ツール!$C$9, HUAWEI製ＰＣＳ接続枚数計算ツール!$B$119:$P$149,2,FALSE)*1000*HUAWEI製ＰＣＳ接続枚数計算ツール!Y113)</f>
        <v>1.4688000000000001</v>
      </c>
      <c r="AJ11" s="85">
        <f>HUAWEI製ＰＣＳ接続枚数計算ツール!$C$6*枚数!AJ11/(VLOOKUP(HUAWEI製ＰＣＳ接続枚数計算ツール!$C$9, HUAWEI製ＰＣＳ接続枚数計算ツール!$B$119:$P$149,2,FALSE)*1000*HUAWEI製ＰＣＳ接続枚数計算ツール!Y113)</f>
        <v>1.512</v>
      </c>
      <c r="AK11" s="85">
        <f>HUAWEI製ＰＣＳ接続枚数計算ツール!$C$6*枚数!AK11/(VLOOKUP(HUAWEI製ＰＣＳ接続枚数計算ツール!$C$9, HUAWEI製ＰＣＳ接続枚数計算ツール!$B$119:$P$149,2,FALSE)*1000*HUAWEI製ＰＣＳ接続枚数計算ツール!Y113)</f>
        <v>1.5551999999999999</v>
      </c>
      <c r="AL11" s="85">
        <f>HUAWEI製ＰＣＳ接続枚数計算ツール!$C$6*枚数!AL11/(VLOOKUP(HUAWEI製ＰＣＳ接続枚数計算ツール!$C$9, HUAWEI製ＰＣＳ接続枚数計算ツール!$B$119:$P$149,2,FALSE)*1000*HUAWEI製ＰＣＳ接続枚数計算ツール!Y113)</f>
        <v>1.5984</v>
      </c>
      <c r="AM11" s="85">
        <f>HUAWEI製ＰＣＳ接続枚数計算ツール!$C$6*枚数!AM11/(VLOOKUP(HUAWEI製ＰＣＳ接続枚数計算ツール!$C$9, HUAWEI製ＰＣＳ接続枚数計算ツール!$B$119:$P$149,2,FALSE)*1000*HUAWEI製ＰＣＳ接続枚数計算ツール!Y113)</f>
        <v>1.6415999999999999</v>
      </c>
      <c r="AN11" s="85">
        <f>HUAWEI製ＰＣＳ接続枚数計算ツール!$C$6*枚数!AN11/(VLOOKUP(HUAWEI製ＰＣＳ接続枚数計算ツール!$C$9, HUAWEI製ＰＣＳ接続枚数計算ツール!$B$119:$P$149,2,FALSE)*1000*HUAWEI製ＰＣＳ接続枚数計算ツール!Y113)</f>
        <v>1.6848000000000001</v>
      </c>
      <c r="AO11" s="85">
        <f>HUAWEI製ＰＣＳ接続枚数計算ツール!$C$6*枚数!AO11/(VLOOKUP(HUAWEI製ＰＣＳ接続枚数計算ツール!$C$9, HUAWEI製ＰＣＳ接続枚数計算ツール!$B$119:$P$149,2,FALSE)*1000*HUAWEI製ＰＣＳ接続枚数計算ツール!Y113)</f>
        <v>1.728</v>
      </c>
    </row>
    <row r="12" spans="1:41">
      <c r="A12">
        <v>10</v>
      </c>
      <c r="B12" s="85">
        <f>HUAWEI製ＰＣＳ接続枚数計算ツール!$C$6*枚数!B12/(VLOOKUP(HUAWEI製ＰＣＳ接続枚数計算ツール!$C$9, HUAWEI製ＰＣＳ接続枚数計算ツール!$B$119:$P$149,2,FALSE)*1000*HUAWEI製ＰＣＳ接続枚数計算ツール!Y113)</f>
        <v>4.8000000000000001E-2</v>
      </c>
      <c r="C12" s="85">
        <f>HUAWEI製ＰＣＳ接続枚数計算ツール!$C$6*枚数!C12/(VLOOKUP(HUAWEI製ＰＣＳ接続枚数計算ツール!$C$9, HUAWEI製ＰＣＳ接続枚数計算ツール!$B$119:$P$149,2,FALSE)*1000*HUAWEI製ＰＣＳ接続枚数計算ツール!Y113)</f>
        <v>9.6000000000000002E-2</v>
      </c>
      <c r="D12" s="85">
        <f>HUAWEI製ＰＣＳ接続枚数計算ツール!$C$6*枚数!D12/(VLOOKUP(HUAWEI製ＰＣＳ接続枚数計算ツール!$C$9, HUAWEI製ＰＣＳ接続枚数計算ツール!$B$119:$P$149,2,FALSE)*1000*HUAWEI製ＰＣＳ接続枚数計算ツール!Y113)</f>
        <v>0.14399999999999999</v>
      </c>
      <c r="E12" s="85">
        <f>HUAWEI製ＰＣＳ接続枚数計算ツール!$C$6*枚数!E12/(VLOOKUP(HUAWEI製ＰＣＳ接続枚数計算ツール!$C$9, HUAWEI製ＰＣＳ接続枚数計算ツール!$B$119:$P$149,2,FALSE)*1000*HUAWEI製ＰＣＳ接続枚数計算ツール!Y113)</f>
        <v>0.192</v>
      </c>
      <c r="F12" s="85">
        <f>HUAWEI製ＰＣＳ接続枚数計算ツール!$C$6*枚数!F12/(VLOOKUP(HUAWEI製ＰＣＳ接続枚数計算ツール!$C$9, HUAWEI製ＰＣＳ接続枚数計算ツール!$B$119:$P$149,2,FALSE)*1000*HUAWEI製ＰＣＳ接続枚数計算ツール!Y113)</f>
        <v>0.24</v>
      </c>
      <c r="G12" s="85">
        <f>HUAWEI製ＰＣＳ接続枚数計算ツール!$C$6*枚数!G12/(VLOOKUP(HUAWEI製ＰＣＳ接続枚数計算ツール!$C$9, HUAWEI製ＰＣＳ接続枚数計算ツール!$B$119:$P$149,2,FALSE)*1000*HUAWEI製ＰＣＳ接続枚数計算ツール!Y113)</f>
        <v>0.28799999999999998</v>
      </c>
      <c r="H12" s="85">
        <f>HUAWEI製ＰＣＳ接続枚数計算ツール!$C$6*枚数!H12/(VLOOKUP(HUAWEI製ＰＣＳ接続枚数計算ツール!$C$9, HUAWEI製ＰＣＳ接続枚数計算ツール!$B$119:$P$149,2,FALSE)*1000*HUAWEI製ＰＣＳ接続枚数計算ツール!Y113)</f>
        <v>0.33600000000000002</v>
      </c>
      <c r="I12" s="85">
        <f>HUAWEI製ＰＣＳ接続枚数計算ツール!$C$6*枚数!I12/(VLOOKUP(HUAWEI製ＰＣＳ接続枚数計算ツール!$C$9, HUAWEI製ＰＣＳ接続枚数計算ツール!$B$119:$P$149,2,FALSE)*1000*HUAWEI製ＰＣＳ接続枚数計算ツール!Y113)</f>
        <v>0.38400000000000001</v>
      </c>
      <c r="J12" s="85">
        <f>HUAWEI製ＰＣＳ接続枚数計算ツール!$C$6*枚数!J12/(VLOOKUP(HUAWEI製ＰＣＳ接続枚数計算ツール!$C$9, HUAWEI製ＰＣＳ接続枚数計算ツール!$B$119:$P$149,2,FALSE)*1000*HUAWEI製ＰＣＳ接続枚数計算ツール!Y113)</f>
        <v>0.432</v>
      </c>
      <c r="K12" s="85">
        <f>HUAWEI製ＰＣＳ接続枚数計算ツール!$C$6*枚数!K12/(VLOOKUP(HUAWEI製ＰＣＳ接続枚数計算ツール!$C$9, HUAWEI製ＰＣＳ接続枚数計算ツール!$B$119:$P$149,2,FALSE)*1000*HUAWEI製ＰＣＳ接続枚数計算ツール!Y113)</f>
        <v>0.48</v>
      </c>
      <c r="L12" s="85">
        <f>HUAWEI製ＰＣＳ接続枚数計算ツール!$C$6*枚数!L12/(VLOOKUP(HUAWEI製ＰＣＳ接続枚数計算ツール!$C$9, HUAWEI製ＰＣＳ接続枚数計算ツール!$B$119:$P$149,2,FALSE)*1000*HUAWEI製ＰＣＳ接続枚数計算ツール!Y113)</f>
        <v>0.52800000000000002</v>
      </c>
      <c r="M12" s="85">
        <f>HUAWEI製ＰＣＳ接続枚数計算ツール!$C$6*枚数!M12/(VLOOKUP(HUAWEI製ＰＣＳ接続枚数計算ツール!$C$9, HUAWEI製ＰＣＳ接続枚数計算ツール!$B$119:$P$149,2,FALSE)*1000*HUAWEI製ＰＣＳ接続枚数計算ツール!Y113)</f>
        <v>0.57599999999999996</v>
      </c>
      <c r="N12" s="85">
        <f>HUAWEI製ＰＣＳ接続枚数計算ツール!$C$6*枚数!N12/(VLOOKUP(HUAWEI製ＰＣＳ接続枚数計算ツール!$C$9, HUAWEI製ＰＣＳ接続枚数計算ツール!$B$119:$P$149,2,FALSE)*1000*HUAWEI製ＰＣＳ接続枚数計算ツール!Y113)</f>
        <v>0.624</v>
      </c>
      <c r="O12" s="85">
        <f>HUAWEI製ＰＣＳ接続枚数計算ツール!$C$6*枚数!O12/(VLOOKUP(HUAWEI製ＰＣＳ接続枚数計算ツール!$C$9, HUAWEI製ＰＣＳ接続枚数計算ツール!$B$119:$P$149,2,FALSE)*1000*HUAWEI製ＰＣＳ接続枚数計算ツール!Y113)</f>
        <v>0.67200000000000004</v>
      </c>
      <c r="P12" s="85">
        <f>HUAWEI製ＰＣＳ接続枚数計算ツール!$C$6*枚数!P12/(VLOOKUP(HUAWEI製ＰＣＳ接続枚数計算ツール!$C$9, HUAWEI製ＰＣＳ接続枚数計算ツール!$B$119:$P$149,2,FALSE)*1000*HUAWEI製ＰＣＳ接続枚数計算ツール!Y113)</f>
        <v>0.72</v>
      </c>
      <c r="Q12" s="85">
        <f>HUAWEI製ＰＣＳ接続枚数計算ツール!$C$6*枚数!Q12/(VLOOKUP(HUAWEI製ＰＣＳ接続枚数計算ツール!$C$9, HUAWEI製ＰＣＳ接続枚数計算ツール!$B$119:$P$149,2,FALSE)*1000*HUAWEI製ＰＣＳ接続枚数計算ツール!Y113)</f>
        <v>0.76800000000000002</v>
      </c>
      <c r="R12" s="85">
        <f>HUAWEI製ＰＣＳ接続枚数計算ツール!$C$6*枚数!R12/(VLOOKUP(HUAWEI製ＰＣＳ接続枚数計算ツール!$C$9, HUAWEI製ＰＣＳ接続枚数計算ツール!$B$119:$P$149,2,FALSE)*1000*HUAWEI製ＰＣＳ接続枚数計算ツール!Y113)</f>
        <v>0.81599999999999995</v>
      </c>
      <c r="S12" s="85">
        <f>HUAWEI製ＰＣＳ接続枚数計算ツール!$C$6*枚数!S12/(VLOOKUP(HUAWEI製ＰＣＳ接続枚数計算ツール!$C$9, HUAWEI製ＰＣＳ接続枚数計算ツール!$B$119:$P$149,2,FALSE)*1000*HUAWEI製ＰＣＳ接続枚数計算ツール!Y113)</f>
        <v>0.86399999999999999</v>
      </c>
      <c r="T12" s="85">
        <f>HUAWEI製ＰＣＳ接続枚数計算ツール!$C$6*枚数!T12/(VLOOKUP(HUAWEI製ＰＣＳ接続枚数計算ツール!$C$9, HUAWEI製ＰＣＳ接続枚数計算ツール!$B$119:$P$149,2,FALSE)*1000*HUAWEI製ＰＣＳ接続枚数計算ツール!Y113)</f>
        <v>0.91200000000000003</v>
      </c>
      <c r="U12" s="85">
        <f>HUAWEI製ＰＣＳ接続枚数計算ツール!$C$6*枚数!U12/(VLOOKUP(HUAWEI製ＰＣＳ接続枚数計算ツール!$C$9, HUAWEI製ＰＣＳ接続枚数計算ツール!$B$119:$P$149,2,FALSE)*1000*HUAWEI製ＰＣＳ接続枚数計算ツール!Y113)</f>
        <v>0.96</v>
      </c>
      <c r="V12" s="85">
        <f>HUAWEI製ＰＣＳ接続枚数計算ツール!$C$6*枚数!V12/(VLOOKUP(HUAWEI製ＰＣＳ接続枚数計算ツール!$C$9, HUAWEI製ＰＣＳ接続枚数計算ツール!$B$119:$P$149,2,FALSE)*1000*HUAWEI製ＰＣＳ接続枚数計算ツール!Y113)</f>
        <v>1.008</v>
      </c>
      <c r="W12" s="85">
        <f>HUAWEI製ＰＣＳ接続枚数計算ツール!$C$6*枚数!W12/(VLOOKUP(HUAWEI製ＰＣＳ接続枚数計算ツール!$C$9, HUAWEI製ＰＣＳ接続枚数計算ツール!$B$119:$P$149,2,FALSE)*1000*HUAWEI製ＰＣＳ接続枚数計算ツール!Y113)</f>
        <v>1.056</v>
      </c>
      <c r="X12" s="85">
        <f>HUAWEI製ＰＣＳ接続枚数計算ツール!$C$6*枚数!X12/(VLOOKUP(HUAWEI製ＰＣＳ接続枚数計算ツール!$C$9, HUAWEI製ＰＣＳ接続枚数計算ツール!$B$119:$P$149,2,FALSE)*1000*HUAWEI製ＰＣＳ接続枚数計算ツール!Y113)</f>
        <v>1.1040000000000001</v>
      </c>
      <c r="Y12" s="85">
        <f>HUAWEI製ＰＣＳ接続枚数計算ツール!$C$6*枚数!Y12/(VLOOKUP(HUAWEI製ＰＣＳ接続枚数計算ツール!$C$9, HUAWEI製ＰＣＳ接続枚数計算ツール!$B$119:$P$149,2,FALSE)*1000*HUAWEI製ＰＣＳ接続枚数計算ツール!Y113)</f>
        <v>1.1519999999999999</v>
      </c>
      <c r="Z12" s="85">
        <f>HUAWEI製ＰＣＳ接続枚数計算ツール!$C$6*枚数!Z12/(VLOOKUP(HUAWEI製ＰＣＳ接続枚数計算ツール!$C$9, HUAWEI製ＰＣＳ接続枚数計算ツール!$B$119:$P$149,2,FALSE)*1000*HUAWEI製ＰＣＳ接続枚数計算ツール!Y113)</f>
        <v>1.2</v>
      </c>
      <c r="AA12" s="85">
        <f>HUAWEI製ＰＣＳ接続枚数計算ツール!$C$6*枚数!AA12/(VLOOKUP(HUAWEI製ＰＣＳ接続枚数計算ツール!$C$9, HUAWEI製ＰＣＳ接続枚数計算ツール!$B$119:$P$149,2,FALSE)*1000*HUAWEI製ＰＣＳ接続枚数計算ツール!Y113)</f>
        <v>1.248</v>
      </c>
      <c r="AB12" s="85">
        <f>HUAWEI製ＰＣＳ接続枚数計算ツール!$C$6*枚数!AB12/(VLOOKUP(HUAWEI製ＰＣＳ接続枚数計算ツール!$C$9, HUAWEI製ＰＣＳ接続枚数計算ツール!$B$119:$P$149,2,FALSE)*1000*HUAWEI製ＰＣＳ接続枚数計算ツール!Y113)</f>
        <v>1.296</v>
      </c>
      <c r="AC12" s="85">
        <f>HUAWEI製ＰＣＳ接続枚数計算ツール!$C$6*枚数!AC12/(VLOOKUP(HUAWEI製ＰＣＳ接続枚数計算ツール!$C$9, HUAWEI製ＰＣＳ接続枚数計算ツール!$B$119:$P$149,2,FALSE)*1000*HUAWEI製ＰＣＳ接続枚数計算ツール!Y113)</f>
        <v>1.3440000000000001</v>
      </c>
      <c r="AD12" s="85">
        <f>HUAWEI製ＰＣＳ接続枚数計算ツール!$C$6*枚数!AD12/(VLOOKUP(HUAWEI製ＰＣＳ接続枚数計算ツール!$C$9, HUAWEI製ＰＣＳ接続枚数計算ツール!$B$119:$P$149,2,FALSE)*1000*HUAWEI製ＰＣＳ接続枚数計算ツール!Y113)</f>
        <v>1.3919999999999999</v>
      </c>
      <c r="AE12" s="85">
        <f>HUAWEI製ＰＣＳ接続枚数計算ツール!$C$6*枚数!AE12/(VLOOKUP(HUAWEI製ＰＣＳ接続枚数計算ツール!$C$9, HUAWEI製ＰＣＳ接続枚数計算ツール!$B$119:$P$149,2,FALSE)*1000*HUAWEI製ＰＣＳ接続枚数計算ツール!Y113)</f>
        <v>1.44</v>
      </c>
      <c r="AF12" s="85">
        <f>HUAWEI製ＰＣＳ接続枚数計算ツール!$C$6*枚数!AF12/(VLOOKUP(HUAWEI製ＰＣＳ接続枚数計算ツール!$C$9, HUAWEI製ＰＣＳ接続枚数計算ツール!$B$119:$P$149,2,FALSE)*1000*HUAWEI製ＰＣＳ接続枚数計算ツール!Y113)</f>
        <v>1.488</v>
      </c>
      <c r="AG12" s="85">
        <f>HUAWEI製ＰＣＳ接続枚数計算ツール!$C$6*枚数!AG12/(VLOOKUP(HUAWEI製ＰＣＳ接続枚数計算ツール!$C$9, HUAWEI製ＰＣＳ接続枚数計算ツール!$B$119:$P$149,2,FALSE)*1000*HUAWEI製ＰＣＳ接続枚数計算ツール!Y113)</f>
        <v>1.536</v>
      </c>
      <c r="AH12" s="85">
        <f>HUAWEI製ＰＣＳ接続枚数計算ツール!$C$6*枚数!AH12/(VLOOKUP(HUAWEI製ＰＣＳ接続枚数計算ツール!$C$9, HUAWEI製ＰＣＳ接続枚数計算ツール!$B$119:$P$149,2,FALSE)*1000*HUAWEI製ＰＣＳ接続枚数計算ツール!Y113)</f>
        <v>1.5840000000000001</v>
      </c>
      <c r="AI12" s="85">
        <f>HUAWEI製ＰＣＳ接続枚数計算ツール!$C$6*枚数!AI12/(VLOOKUP(HUAWEI製ＰＣＳ接続枚数計算ツール!$C$9, HUAWEI製ＰＣＳ接続枚数計算ツール!$B$119:$P$149,2,FALSE)*1000*HUAWEI製ＰＣＳ接続枚数計算ツール!Y113)</f>
        <v>1.6319999999999999</v>
      </c>
      <c r="AJ12" s="85">
        <f>HUAWEI製ＰＣＳ接続枚数計算ツール!$C$6*枚数!AJ12/(VLOOKUP(HUAWEI製ＰＣＳ接続枚数計算ツール!$C$9, HUAWEI製ＰＣＳ接続枚数計算ツール!$B$119:$P$149,2,FALSE)*1000*HUAWEI製ＰＣＳ接続枚数計算ツール!Y113)</f>
        <v>1.68</v>
      </c>
      <c r="AK12" s="85">
        <f>HUAWEI製ＰＣＳ接続枚数計算ツール!$C$6*枚数!AK12/(VLOOKUP(HUAWEI製ＰＣＳ接続枚数計算ツール!$C$9, HUAWEI製ＰＣＳ接続枚数計算ツール!$B$119:$P$149,2,FALSE)*1000*HUAWEI製ＰＣＳ接続枚数計算ツール!Y113)</f>
        <v>1.728</v>
      </c>
      <c r="AL12" s="85">
        <f>HUAWEI製ＰＣＳ接続枚数計算ツール!$C$6*枚数!AL12/(VLOOKUP(HUAWEI製ＰＣＳ接続枚数計算ツール!$C$9, HUAWEI製ＰＣＳ接続枚数計算ツール!$B$119:$P$149,2,FALSE)*1000*HUAWEI製ＰＣＳ接続枚数計算ツール!Y113)</f>
        <v>1.776</v>
      </c>
      <c r="AM12" s="85">
        <f>HUAWEI製ＰＣＳ接続枚数計算ツール!$C$6*枚数!AM12/(VLOOKUP(HUAWEI製ＰＣＳ接続枚数計算ツール!$C$9, HUAWEI製ＰＣＳ接続枚数計算ツール!$B$119:$P$149,2,FALSE)*1000*HUAWEI製ＰＣＳ接続枚数計算ツール!Y113)</f>
        <v>1.8240000000000001</v>
      </c>
      <c r="AN12" s="85">
        <f>HUAWEI製ＰＣＳ接続枚数計算ツール!$C$6*枚数!AN12/(VLOOKUP(HUAWEI製ＰＣＳ接続枚数計算ツール!$C$9, HUAWEI製ＰＣＳ接続枚数計算ツール!$B$119:$P$149,2,FALSE)*1000*HUAWEI製ＰＣＳ接続枚数計算ツール!Y113)</f>
        <v>1.8720000000000001</v>
      </c>
      <c r="AO12" s="85">
        <f>HUAWEI製ＰＣＳ接続枚数計算ツール!$C$6*枚数!AO12/(VLOOKUP(HUAWEI製ＰＣＳ接続枚数計算ツール!$C$9, HUAWEI製ＰＣＳ接続枚数計算ツール!$B$119:$P$149,2,FALSE)*1000*HUAWEI製ＰＣＳ接続枚数計算ツール!Y113)</f>
        <v>1.92</v>
      </c>
    </row>
    <row r="13" spans="1:41">
      <c r="A13">
        <v>11</v>
      </c>
      <c r="B13" s="85">
        <f>HUAWEI製ＰＣＳ接続枚数計算ツール!$C$6*枚数!B13/(VLOOKUP(HUAWEI製ＰＣＳ接続枚数計算ツール!$C$9, HUAWEI製ＰＣＳ接続枚数計算ツール!$B$119:$P$149,2,FALSE)*1000*HUAWEI製ＰＣＳ接続枚数計算ツール!Y113)</f>
        <v>5.28E-2</v>
      </c>
      <c r="C13" s="85">
        <f>HUAWEI製ＰＣＳ接続枚数計算ツール!$C$6*枚数!C13/(VLOOKUP(HUAWEI製ＰＣＳ接続枚数計算ツール!$C$9, HUAWEI製ＰＣＳ接続枚数計算ツール!$B$119:$P$149,2,FALSE)*1000*HUAWEI製ＰＣＳ接続枚数計算ツール!Y113)</f>
        <v>0.1056</v>
      </c>
      <c r="D13" s="85">
        <f>HUAWEI製ＰＣＳ接続枚数計算ツール!$C$6*枚数!D13/(VLOOKUP(HUAWEI製ＰＣＳ接続枚数計算ツール!$C$9, HUAWEI製ＰＣＳ接続枚数計算ツール!$B$119:$P$149,2,FALSE)*1000*HUAWEI製ＰＣＳ接続枚数計算ツール!Y113)</f>
        <v>0.15840000000000001</v>
      </c>
      <c r="E13" s="85">
        <f>HUAWEI製ＰＣＳ接続枚数計算ツール!$C$6*枚数!E13/(VLOOKUP(HUAWEI製ＰＣＳ接続枚数計算ツール!$C$9, HUAWEI製ＰＣＳ接続枚数計算ツール!$B$119:$P$149,2,FALSE)*1000*HUAWEI製ＰＣＳ接続枚数計算ツール!Y113)</f>
        <v>0.2112</v>
      </c>
      <c r="F13" s="85">
        <f>HUAWEI製ＰＣＳ接続枚数計算ツール!$C$6*枚数!F13/(VLOOKUP(HUAWEI製ＰＣＳ接続枚数計算ツール!$C$9, HUAWEI製ＰＣＳ接続枚数計算ツール!$B$119:$P$149,2,FALSE)*1000*HUAWEI製ＰＣＳ接続枚数計算ツール!Y113)</f>
        <v>0.26400000000000001</v>
      </c>
      <c r="G13" s="85">
        <f>HUAWEI製ＰＣＳ接続枚数計算ツール!$C$6*枚数!G13/(VLOOKUP(HUAWEI製ＰＣＳ接続枚数計算ツール!$C$9, HUAWEI製ＰＣＳ接続枚数計算ツール!$B$119:$P$149,2,FALSE)*1000*HUAWEI製ＰＣＳ接続枚数計算ツール!Y113)</f>
        <v>0.31680000000000003</v>
      </c>
      <c r="H13" s="85">
        <f>HUAWEI製ＰＣＳ接続枚数計算ツール!$C$6*枚数!H13/(VLOOKUP(HUAWEI製ＰＣＳ接続枚数計算ツール!$C$9, HUAWEI製ＰＣＳ接続枚数計算ツール!$B$119:$P$149,2,FALSE)*1000*HUAWEI製ＰＣＳ接続枚数計算ツール!Y113)</f>
        <v>0.36959999999999998</v>
      </c>
      <c r="I13" s="85">
        <f>HUAWEI製ＰＣＳ接続枚数計算ツール!$C$6*枚数!I13/(VLOOKUP(HUAWEI製ＰＣＳ接続枚数計算ツール!$C$9, HUAWEI製ＰＣＳ接続枚数計算ツール!$B$119:$P$149,2,FALSE)*1000*HUAWEI製ＰＣＳ接続枚数計算ツール!Y113)</f>
        <v>0.4224</v>
      </c>
      <c r="J13" s="85">
        <f>HUAWEI製ＰＣＳ接続枚数計算ツール!$C$6*枚数!J13/(VLOOKUP(HUAWEI製ＰＣＳ接続枚数計算ツール!$C$9, HUAWEI製ＰＣＳ接続枚数計算ツール!$B$119:$P$149,2,FALSE)*1000*HUAWEI製ＰＣＳ接続枚数計算ツール!Y113)</f>
        <v>0.47520000000000001</v>
      </c>
      <c r="K13" s="85">
        <f>HUAWEI製ＰＣＳ接続枚数計算ツール!$C$6*枚数!K13/(VLOOKUP(HUAWEI製ＰＣＳ接続枚数計算ツール!$C$9, HUAWEI製ＰＣＳ接続枚数計算ツール!$B$119:$P$149,2,FALSE)*1000*HUAWEI製ＰＣＳ接続枚数計算ツール!Y113)</f>
        <v>0.52800000000000002</v>
      </c>
      <c r="L13" s="85">
        <f>HUAWEI製ＰＣＳ接続枚数計算ツール!$C$6*枚数!L13/(VLOOKUP(HUAWEI製ＰＣＳ接続枚数計算ツール!$C$9, HUAWEI製ＰＣＳ接続枚数計算ツール!$B$119:$P$149,2,FALSE)*1000*HUAWEI製ＰＣＳ接続枚数計算ツール!Y113)</f>
        <v>0.58079999999999998</v>
      </c>
      <c r="M13" s="85">
        <f>HUAWEI製ＰＣＳ接続枚数計算ツール!$C$6*枚数!M13/(VLOOKUP(HUAWEI製ＰＣＳ接続枚数計算ツール!$C$9, HUAWEI製ＰＣＳ接続枚数計算ツール!$B$119:$P$149,2,FALSE)*1000*HUAWEI製ＰＣＳ接続枚数計算ツール!Y113)</f>
        <v>0.63360000000000005</v>
      </c>
      <c r="N13" s="85">
        <f>HUAWEI製ＰＣＳ接続枚数計算ツール!$C$6*枚数!N13/(VLOOKUP(HUAWEI製ＰＣＳ接続枚数計算ツール!$C$9, HUAWEI製ＰＣＳ接続枚数計算ツール!$B$119:$P$149,2,FALSE)*1000*HUAWEI製ＰＣＳ接続枚数計算ツール!Y113)</f>
        <v>0.68640000000000001</v>
      </c>
      <c r="O13" s="85">
        <f>HUAWEI製ＰＣＳ接続枚数計算ツール!$C$6*枚数!O13/(VLOOKUP(HUAWEI製ＰＣＳ接続枚数計算ツール!$C$9, HUAWEI製ＰＣＳ接続枚数計算ツール!$B$119:$P$149,2,FALSE)*1000*HUAWEI製ＰＣＳ接続枚数計算ツール!Y113)</f>
        <v>0.73919999999999997</v>
      </c>
      <c r="P13" s="85">
        <f>HUAWEI製ＰＣＳ接続枚数計算ツール!$C$6*枚数!P13/(VLOOKUP(HUAWEI製ＰＣＳ接続枚数計算ツール!$C$9, HUAWEI製ＰＣＳ接続枚数計算ツール!$B$119:$P$149,2,FALSE)*1000*HUAWEI製ＰＣＳ接続枚数計算ツール!Y113)</f>
        <v>0.79200000000000004</v>
      </c>
      <c r="Q13" s="85">
        <f>HUAWEI製ＰＣＳ接続枚数計算ツール!$C$6*枚数!Q13/(VLOOKUP(HUAWEI製ＰＣＳ接続枚数計算ツール!$C$9, HUAWEI製ＰＣＳ接続枚数計算ツール!$B$119:$P$149,2,FALSE)*1000*HUAWEI製ＰＣＳ接続枚数計算ツール!Y113)</f>
        <v>0.8448</v>
      </c>
      <c r="R13" s="85">
        <f>HUAWEI製ＰＣＳ接続枚数計算ツール!$C$6*枚数!R13/(VLOOKUP(HUAWEI製ＰＣＳ接続枚数計算ツール!$C$9, HUAWEI製ＰＣＳ接続枚数計算ツール!$B$119:$P$149,2,FALSE)*1000*HUAWEI製ＰＣＳ接続枚数計算ツール!Y113)</f>
        <v>0.89759999999999995</v>
      </c>
      <c r="S13" s="85">
        <f>HUAWEI製ＰＣＳ接続枚数計算ツール!$C$6*枚数!S13/(VLOOKUP(HUAWEI製ＰＣＳ接続枚数計算ツール!$C$9, HUAWEI製ＰＣＳ接続枚数計算ツール!$B$119:$P$149,2,FALSE)*1000*HUAWEI製ＰＣＳ接続枚数計算ツール!Y113)</f>
        <v>0.95040000000000002</v>
      </c>
      <c r="T13" s="85">
        <f>HUAWEI製ＰＣＳ接続枚数計算ツール!$C$6*枚数!T13/(VLOOKUP(HUAWEI製ＰＣＳ接続枚数計算ツール!$C$9, HUAWEI製ＰＣＳ接続枚数計算ツール!$B$119:$P$149,2,FALSE)*1000*HUAWEI製ＰＣＳ接続枚数計算ツール!Y113)</f>
        <v>1.0032000000000001</v>
      </c>
      <c r="U13" s="85">
        <f>HUAWEI製ＰＣＳ接続枚数計算ツール!$C$6*枚数!U13/(VLOOKUP(HUAWEI製ＰＣＳ接続枚数計算ツール!$C$9, HUAWEI製ＰＣＳ接続枚数計算ツール!$B$119:$P$149,2,FALSE)*1000*HUAWEI製ＰＣＳ接続枚数計算ツール!Y113)</f>
        <v>1.056</v>
      </c>
      <c r="V13" s="85">
        <f>HUAWEI製ＰＣＳ接続枚数計算ツール!$C$6*枚数!V13/(VLOOKUP(HUAWEI製ＰＣＳ接続枚数計算ツール!$C$9, HUAWEI製ＰＣＳ接続枚数計算ツール!$B$119:$P$149,2,FALSE)*1000*HUAWEI製ＰＣＳ接続枚数計算ツール!Y113)</f>
        <v>1.1088</v>
      </c>
      <c r="W13" s="85">
        <f>HUAWEI製ＰＣＳ接続枚数計算ツール!$C$6*枚数!W13/(VLOOKUP(HUAWEI製ＰＣＳ接続枚数計算ツール!$C$9, HUAWEI製ＰＣＳ接続枚数計算ツール!$B$119:$P$149,2,FALSE)*1000*HUAWEI製ＰＣＳ接続枚数計算ツール!Y113)</f>
        <v>1.1616</v>
      </c>
      <c r="X13" s="85">
        <f>HUAWEI製ＰＣＳ接続枚数計算ツール!$C$6*枚数!X13/(VLOOKUP(HUAWEI製ＰＣＳ接続枚数計算ツール!$C$9, HUAWEI製ＰＣＳ接続枚数計算ツール!$B$119:$P$149,2,FALSE)*1000*HUAWEI製ＰＣＳ接続枚数計算ツール!Y113)</f>
        <v>1.2143999999999999</v>
      </c>
      <c r="Y13" s="85">
        <f>HUAWEI製ＰＣＳ接続枚数計算ツール!$C$6*枚数!Y13/(VLOOKUP(HUAWEI製ＰＣＳ接続枚数計算ツール!$C$9, HUAWEI製ＰＣＳ接続枚数計算ツール!$B$119:$P$149,2,FALSE)*1000*HUAWEI製ＰＣＳ接続枚数計算ツール!Y113)</f>
        <v>1.2672000000000001</v>
      </c>
      <c r="Z13" s="85">
        <f>HUAWEI製ＰＣＳ接続枚数計算ツール!$C$6*枚数!Z13/(VLOOKUP(HUAWEI製ＰＣＳ接続枚数計算ツール!$C$9, HUAWEI製ＰＣＳ接続枚数計算ツール!$B$119:$P$149,2,FALSE)*1000*HUAWEI製ＰＣＳ接続枚数計算ツール!Y113)</f>
        <v>1.32</v>
      </c>
      <c r="AA13" s="85">
        <f>HUAWEI製ＰＣＳ接続枚数計算ツール!$C$6*枚数!AA13/(VLOOKUP(HUAWEI製ＰＣＳ接続枚数計算ツール!$C$9, HUAWEI製ＰＣＳ接続枚数計算ツール!$B$119:$P$149,2,FALSE)*1000*HUAWEI製ＰＣＳ接続枚数計算ツール!Y113)</f>
        <v>1.3728</v>
      </c>
      <c r="AB13" s="85">
        <f>HUAWEI製ＰＣＳ接続枚数計算ツール!$C$6*枚数!AB13/(VLOOKUP(HUAWEI製ＰＣＳ接続枚数計算ツール!$C$9, HUAWEI製ＰＣＳ接続枚数計算ツール!$B$119:$P$149,2,FALSE)*1000*HUAWEI製ＰＣＳ接続枚数計算ツール!Y113)</f>
        <v>1.4256</v>
      </c>
      <c r="AC13" s="85">
        <f>HUAWEI製ＰＣＳ接続枚数計算ツール!$C$6*枚数!AC13/(VLOOKUP(HUAWEI製ＰＣＳ接続枚数計算ツール!$C$9, HUAWEI製ＰＣＳ接続枚数計算ツール!$B$119:$P$149,2,FALSE)*1000*HUAWEI製ＰＣＳ接続枚数計算ツール!Y113)</f>
        <v>1.4783999999999999</v>
      </c>
      <c r="AD13" s="85">
        <f>HUAWEI製ＰＣＳ接続枚数計算ツール!$C$6*枚数!AD13/(VLOOKUP(HUAWEI製ＰＣＳ接続枚数計算ツール!$C$9, HUAWEI製ＰＣＳ接続枚数計算ツール!$B$119:$P$149,2,FALSE)*1000*HUAWEI製ＰＣＳ接続枚数計算ツール!Y113)</f>
        <v>1.5311999999999999</v>
      </c>
      <c r="AE13" s="85">
        <f>HUAWEI製ＰＣＳ接続枚数計算ツール!$C$6*枚数!AE13/(VLOOKUP(HUAWEI製ＰＣＳ接続枚数計算ツール!$C$9, HUAWEI製ＰＣＳ接続枚数計算ツール!$B$119:$P$149,2,FALSE)*1000*HUAWEI製ＰＣＳ接続枚数計算ツール!Y113)</f>
        <v>1.5840000000000001</v>
      </c>
      <c r="AF13" s="85">
        <f>HUAWEI製ＰＣＳ接続枚数計算ツール!$C$6*枚数!AF13/(VLOOKUP(HUAWEI製ＰＣＳ接続枚数計算ツール!$C$9, HUAWEI製ＰＣＳ接続枚数計算ツール!$B$119:$P$149,2,FALSE)*1000*HUAWEI製ＰＣＳ接続枚数計算ツール!Y113)</f>
        <v>1.6368</v>
      </c>
      <c r="AG13" s="85">
        <f>HUAWEI製ＰＣＳ接続枚数計算ツール!$C$6*枚数!AG13/(VLOOKUP(HUAWEI製ＰＣＳ接続枚数計算ツール!$C$9, HUAWEI製ＰＣＳ接続枚数計算ツール!$B$119:$P$149,2,FALSE)*1000*HUAWEI製ＰＣＳ接続枚数計算ツール!Y113)</f>
        <v>1.6896</v>
      </c>
      <c r="AH13" s="85">
        <f>HUAWEI製ＰＣＳ接続枚数計算ツール!$C$6*枚数!AH13/(VLOOKUP(HUAWEI製ＰＣＳ接続枚数計算ツール!$C$9, HUAWEI製ＰＣＳ接続枚数計算ツール!$B$119:$P$149,2,FALSE)*1000*HUAWEI製ＰＣＳ接続枚数計算ツール!Y113)</f>
        <v>1.7423999999999999</v>
      </c>
      <c r="AI13" s="85">
        <f>HUAWEI製ＰＣＳ接続枚数計算ツール!$C$6*枚数!AI13/(VLOOKUP(HUAWEI製ＰＣＳ接続枚数計算ツール!$C$9, HUAWEI製ＰＣＳ接続枚数計算ツール!$B$119:$P$149,2,FALSE)*1000*HUAWEI製ＰＣＳ接続枚数計算ツール!Y113)</f>
        <v>1.7951999999999999</v>
      </c>
      <c r="AJ13" s="85">
        <f>HUAWEI製ＰＣＳ接続枚数計算ツール!$C$6*枚数!AJ13/(VLOOKUP(HUAWEI製ＰＣＳ接続枚数計算ツール!$C$9, HUAWEI製ＰＣＳ接続枚数計算ツール!$B$119:$P$149,2,FALSE)*1000*HUAWEI製ＰＣＳ接続枚数計算ツール!Y113)</f>
        <v>1.8480000000000001</v>
      </c>
      <c r="AK13" s="85">
        <f>HUAWEI製ＰＣＳ接続枚数計算ツール!$C$6*枚数!AK13/(VLOOKUP(HUAWEI製ＰＣＳ接続枚数計算ツール!$C$9, HUAWEI製ＰＣＳ接続枚数計算ツール!$B$119:$P$149,2,FALSE)*1000*HUAWEI製ＰＣＳ接続枚数計算ツール!Y113)</f>
        <v>1.9008</v>
      </c>
      <c r="AL13" s="85">
        <f>HUAWEI製ＰＣＳ接続枚数計算ツール!$C$6*枚数!AL13/(VLOOKUP(HUAWEI製ＰＣＳ接続枚数計算ツール!$C$9, HUAWEI製ＰＣＳ接続枚数計算ツール!$B$119:$P$149,2,FALSE)*1000*HUAWEI製ＰＣＳ接続枚数計算ツール!Y113)</f>
        <v>1.9536</v>
      </c>
      <c r="AM13" s="85">
        <f>HUAWEI製ＰＣＳ接続枚数計算ツール!$C$6*枚数!AM13/(VLOOKUP(HUAWEI製ＰＣＳ接続枚数計算ツール!$C$9, HUAWEI製ＰＣＳ接続枚数計算ツール!$B$119:$P$149,2,FALSE)*1000*HUAWEI製ＰＣＳ接続枚数計算ツール!Y113)</f>
        <v>2.0064000000000002</v>
      </c>
      <c r="AN13" s="85">
        <f>HUAWEI製ＰＣＳ接続枚数計算ツール!$C$6*枚数!AN13/(VLOOKUP(HUAWEI製ＰＣＳ接続枚数計算ツール!$C$9, HUAWEI製ＰＣＳ接続枚数計算ツール!$B$119:$P$149,2,FALSE)*1000*HUAWEI製ＰＣＳ接続枚数計算ツール!Y113)</f>
        <v>2.0592000000000001</v>
      </c>
      <c r="AO13" s="85">
        <f>HUAWEI製ＰＣＳ接続枚数計算ツール!$C$6*枚数!AO13/(VLOOKUP(HUAWEI製ＰＣＳ接続枚数計算ツール!$C$9, HUAWEI製ＰＣＳ接続枚数計算ツール!$B$119:$P$149,2,FALSE)*1000*HUAWEI製ＰＣＳ接続枚数計算ツール!Y113)</f>
        <v>2.1120000000000001</v>
      </c>
    </row>
    <row r="14" spans="1:41">
      <c r="A14">
        <v>12</v>
      </c>
      <c r="B14" s="85">
        <f>HUAWEI製ＰＣＳ接続枚数計算ツール!$C$6*枚数!B14/(VLOOKUP(HUAWEI製ＰＣＳ接続枚数計算ツール!$C$9, HUAWEI製ＰＣＳ接続枚数計算ツール!$B$119:$P$149,2,FALSE)*1000*HUAWEI製ＰＣＳ接続枚数計算ツール!Y113)</f>
        <v>5.7599999999999998E-2</v>
      </c>
      <c r="C14" s="85">
        <f>HUAWEI製ＰＣＳ接続枚数計算ツール!$C$6*枚数!C14/(VLOOKUP(HUAWEI製ＰＣＳ接続枚数計算ツール!$C$9, HUAWEI製ＰＣＳ接続枚数計算ツール!$B$119:$P$149,2,FALSE)*1000*HUAWEI製ＰＣＳ接続枚数計算ツール!Y113)</f>
        <v>0.1152</v>
      </c>
      <c r="D14" s="85">
        <f>HUAWEI製ＰＣＳ接続枚数計算ツール!$C$6*枚数!D14/(VLOOKUP(HUAWEI製ＰＣＳ接続枚数計算ツール!$C$9, HUAWEI製ＰＣＳ接続枚数計算ツール!$B$119:$P$149,2,FALSE)*1000*HUAWEI製ＰＣＳ接続枚数計算ツール!Y113)</f>
        <v>0.17280000000000001</v>
      </c>
      <c r="E14" s="85">
        <f>HUAWEI製ＰＣＳ接続枚数計算ツール!$C$6*枚数!E14/(VLOOKUP(HUAWEI製ＰＣＳ接続枚数計算ツール!$C$9, HUAWEI製ＰＣＳ接続枚数計算ツール!$B$119:$P$149,2,FALSE)*1000*HUAWEI製ＰＣＳ接続枚数計算ツール!Y113)</f>
        <v>0.23039999999999999</v>
      </c>
      <c r="F14" s="85">
        <f>HUAWEI製ＰＣＳ接続枚数計算ツール!$C$6*枚数!F14/(VLOOKUP(HUAWEI製ＰＣＳ接続枚数計算ツール!$C$9, HUAWEI製ＰＣＳ接続枚数計算ツール!$B$119:$P$149,2,FALSE)*1000*HUAWEI製ＰＣＳ接続枚数計算ツール!Y113)</f>
        <v>0.28799999999999998</v>
      </c>
      <c r="G14" s="85">
        <f>HUAWEI製ＰＣＳ接続枚数計算ツール!$C$6*枚数!G14/(VLOOKUP(HUAWEI製ＰＣＳ接続枚数計算ツール!$C$9, HUAWEI製ＰＣＳ接続枚数計算ツール!$B$119:$P$149,2,FALSE)*1000*HUAWEI製ＰＣＳ接続枚数計算ツール!Y113)</f>
        <v>0.34560000000000002</v>
      </c>
      <c r="H14" s="85">
        <f>HUAWEI製ＰＣＳ接続枚数計算ツール!$C$6*枚数!H14/(VLOOKUP(HUAWEI製ＰＣＳ接続枚数計算ツール!$C$9, HUAWEI製ＰＣＳ接続枚数計算ツール!$B$119:$P$149,2,FALSE)*1000*HUAWEI製ＰＣＳ接続枚数計算ツール!Y113)</f>
        <v>0.4032</v>
      </c>
      <c r="I14" s="85">
        <f>HUAWEI製ＰＣＳ接続枚数計算ツール!$C$6*枚数!I14/(VLOOKUP(HUAWEI製ＰＣＳ接続枚数計算ツール!$C$9, HUAWEI製ＰＣＳ接続枚数計算ツール!$B$119:$P$149,2,FALSE)*1000*HUAWEI製ＰＣＳ接続枚数計算ツール!Y113)</f>
        <v>0.46079999999999999</v>
      </c>
      <c r="J14" s="85">
        <f>HUAWEI製ＰＣＳ接続枚数計算ツール!$C$6*枚数!J14/(VLOOKUP(HUAWEI製ＰＣＳ接続枚数計算ツール!$C$9, HUAWEI製ＰＣＳ接続枚数計算ツール!$B$119:$P$149,2,FALSE)*1000*HUAWEI製ＰＣＳ接続枚数計算ツール!Y113)</f>
        <v>0.51839999999999997</v>
      </c>
      <c r="K14" s="85">
        <f>HUAWEI製ＰＣＳ接続枚数計算ツール!$C$6*枚数!K14/(VLOOKUP(HUAWEI製ＰＣＳ接続枚数計算ツール!$C$9, HUAWEI製ＰＣＳ接続枚数計算ツール!$B$119:$P$149,2,FALSE)*1000*HUAWEI製ＰＣＳ接続枚数計算ツール!Y113)</f>
        <v>0.57599999999999996</v>
      </c>
      <c r="L14" s="85">
        <f>HUAWEI製ＰＣＳ接続枚数計算ツール!$C$6*枚数!L14/(VLOOKUP(HUAWEI製ＰＣＳ接続枚数計算ツール!$C$9, HUAWEI製ＰＣＳ接続枚数計算ツール!$B$119:$P$149,2,FALSE)*1000*HUAWEI製ＰＣＳ接続枚数計算ツール!Y113)</f>
        <v>0.63360000000000005</v>
      </c>
      <c r="M14" s="85">
        <f>HUAWEI製ＰＣＳ接続枚数計算ツール!$C$6*枚数!M14/(VLOOKUP(HUAWEI製ＰＣＳ接続枚数計算ツール!$C$9, HUAWEI製ＰＣＳ接続枚数計算ツール!$B$119:$P$149,2,FALSE)*1000*HUAWEI製ＰＣＳ接続枚数計算ツール!Y113)</f>
        <v>0.69120000000000004</v>
      </c>
      <c r="N14" s="85">
        <f>HUAWEI製ＰＣＳ接続枚数計算ツール!$C$6*枚数!N14/(VLOOKUP(HUAWEI製ＰＣＳ接続枚数計算ツール!$C$9, HUAWEI製ＰＣＳ接続枚数計算ツール!$B$119:$P$149,2,FALSE)*1000*HUAWEI製ＰＣＳ接続枚数計算ツール!Y113)</f>
        <v>0.74880000000000002</v>
      </c>
      <c r="O14" s="85">
        <f>HUAWEI製ＰＣＳ接続枚数計算ツール!$C$6*枚数!O14/(VLOOKUP(HUAWEI製ＰＣＳ接続枚数計算ツール!$C$9, HUAWEI製ＰＣＳ接続枚数計算ツール!$B$119:$P$149,2,FALSE)*1000*HUAWEI製ＰＣＳ接続枚数計算ツール!Y113)</f>
        <v>0.80640000000000001</v>
      </c>
      <c r="P14" s="85">
        <f>HUAWEI製ＰＣＳ接続枚数計算ツール!$C$6*枚数!P14/(VLOOKUP(HUAWEI製ＰＣＳ接続枚数計算ツール!$C$9, HUAWEI製ＰＣＳ接続枚数計算ツール!$B$119:$P$149,2,FALSE)*1000*HUAWEI製ＰＣＳ接続枚数計算ツール!Y113)</f>
        <v>0.86399999999999999</v>
      </c>
      <c r="Q14" s="85">
        <f>HUAWEI製ＰＣＳ接続枚数計算ツール!$C$6*枚数!Q14/(VLOOKUP(HUAWEI製ＰＣＳ接続枚数計算ツール!$C$9, HUAWEI製ＰＣＳ接続枚数計算ツール!$B$119:$P$149,2,FALSE)*1000*HUAWEI製ＰＣＳ接続枚数計算ツール!Y113)</f>
        <v>0.92159999999999997</v>
      </c>
      <c r="R14" s="85">
        <f>HUAWEI製ＰＣＳ接続枚数計算ツール!$C$6*枚数!R14/(VLOOKUP(HUAWEI製ＰＣＳ接続枚数計算ツール!$C$9, HUAWEI製ＰＣＳ接続枚数計算ツール!$B$119:$P$149,2,FALSE)*1000*HUAWEI製ＰＣＳ接続枚数計算ツール!Y113)</f>
        <v>0.97919999999999996</v>
      </c>
      <c r="S14" s="85">
        <f>HUAWEI製ＰＣＳ接続枚数計算ツール!$C$6*枚数!S14/(VLOOKUP(HUAWEI製ＰＣＳ接続枚数計算ツール!$C$9, HUAWEI製ＰＣＳ接続枚数計算ツール!$B$119:$P$149,2,FALSE)*1000*HUAWEI製ＰＣＳ接続枚数計算ツール!Y113)</f>
        <v>1.0367999999999999</v>
      </c>
      <c r="T14" s="85">
        <f>HUAWEI製ＰＣＳ接続枚数計算ツール!$C$6*枚数!T14/(VLOOKUP(HUAWEI製ＰＣＳ接続枚数計算ツール!$C$9, HUAWEI製ＰＣＳ接続枚数計算ツール!$B$119:$P$149,2,FALSE)*1000*HUAWEI製ＰＣＳ接続枚数計算ツール!Y113)</f>
        <v>1.0944</v>
      </c>
      <c r="U14" s="85">
        <f>HUAWEI製ＰＣＳ接続枚数計算ツール!$C$6*枚数!U14/(VLOOKUP(HUAWEI製ＰＣＳ接続枚数計算ツール!$C$9, HUAWEI製ＰＣＳ接続枚数計算ツール!$B$119:$P$149,2,FALSE)*1000*HUAWEI製ＰＣＳ接続枚数計算ツール!Y113)</f>
        <v>1.1519999999999999</v>
      </c>
      <c r="V14" s="85">
        <f>HUAWEI製ＰＣＳ接続枚数計算ツール!$C$6*枚数!V14/(VLOOKUP(HUAWEI製ＰＣＳ接続枚数計算ツール!$C$9, HUAWEI製ＰＣＳ接続枚数計算ツール!$B$119:$P$149,2,FALSE)*1000*HUAWEI製ＰＣＳ接続枚数計算ツール!Y113)</f>
        <v>1.2096</v>
      </c>
      <c r="W14" s="85">
        <f>HUAWEI製ＰＣＳ接続枚数計算ツール!$C$6*枚数!W14/(VLOOKUP(HUAWEI製ＰＣＳ接続枚数計算ツール!$C$9, HUAWEI製ＰＣＳ接続枚数計算ツール!$B$119:$P$149,2,FALSE)*1000*HUAWEI製ＰＣＳ接続枚数計算ツール!Y113)</f>
        <v>1.2672000000000001</v>
      </c>
      <c r="X14" s="85">
        <f>HUAWEI製ＰＣＳ接続枚数計算ツール!$C$6*枚数!X14/(VLOOKUP(HUAWEI製ＰＣＳ接続枚数計算ツール!$C$9, HUAWEI製ＰＣＳ接続枚数計算ツール!$B$119:$P$149,2,FALSE)*1000*HUAWEI製ＰＣＳ接続枚数計算ツール!Y113)</f>
        <v>1.3248</v>
      </c>
      <c r="Y14" s="85">
        <f>HUAWEI製ＰＣＳ接続枚数計算ツール!$C$6*枚数!Y14/(VLOOKUP(HUAWEI製ＰＣＳ接続枚数計算ツール!$C$9, HUAWEI製ＰＣＳ接続枚数計算ツール!$B$119:$P$149,2,FALSE)*1000*HUAWEI製ＰＣＳ接続枚数計算ツール!Y113)</f>
        <v>1.3824000000000001</v>
      </c>
      <c r="Z14" s="85">
        <f>HUAWEI製ＰＣＳ接続枚数計算ツール!$C$6*枚数!Z14/(VLOOKUP(HUAWEI製ＰＣＳ接続枚数計算ツール!$C$9, HUAWEI製ＰＣＳ接続枚数計算ツール!$B$119:$P$149,2,FALSE)*1000*HUAWEI製ＰＣＳ接続枚数計算ツール!Y113)</f>
        <v>1.44</v>
      </c>
      <c r="AA14" s="85">
        <f>HUAWEI製ＰＣＳ接続枚数計算ツール!$C$6*枚数!AA14/(VLOOKUP(HUAWEI製ＰＣＳ接続枚数計算ツール!$C$9, HUAWEI製ＰＣＳ接続枚数計算ツール!$B$119:$P$149,2,FALSE)*1000*HUAWEI製ＰＣＳ接続枚数計算ツール!Y113)</f>
        <v>1.4976</v>
      </c>
      <c r="AB14" s="85">
        <f>HUAWEI製ＰＣＳ接続枚数計算ツール!$C$6*枚数!AB14/(VLOOKUP(HUAWEI製ＰＣＳ接続枚数計算ツール!$C$9, HUAWEI製ＰＣＳ接続枚数計算ツール!$B$119:$P$149,2,FALSE)*1000*HUAWEI製ＰＣＳ接続枚数計算ツール!Y113)</f>
        <v>1.5551999999999999</v>
      </c>
      <c r="AC14" s="85">
        <f>HUAWEI製ＰＣＳ接続枚数計算ツール!$C$6*枚数!AC14/(VLOOKUP(HUAWEI製ＰＣＳ接続枚数計算ツール!$C$9, HUAWEI製ＰＣＳ接続枚数計算ツール!$B$119:$P$149,2,FALSE)*1000*HUAWEI製ＰＣＳ接続枚数計算ツール!Y113)</f>
        <v>1.6128</v>
      </c>
      <c r="AD14" s="85">
        <f>HUAWEI製ＰＣＳ接続枚数計算ツール!$C$6*枚数!AD14/(VLOOKUP(HUAWEI製ＰＣＳ接続枚数計算ツール!$C$9, HUAWEI製ＰＣＳ接続枚数計算ツール!$B$119:$P$149,2,FALSE)*1000*HUAWEI製ＰＣＳ接続枚数計算ツール!Y113)</f>
        <v>1.6704000000000001</v>
      </c>
      <c r="AE14" s="85">
        <f>HUAWEI製ＰＣＳ接続枚数計算ツール!$C$6*枚数!AE14/(VLOOKUP(HUAWEI製ＰＣＳ接続枚数計算ツール!$C$9, HUAWEI製ＰＣＳ接続枚数計算ツール!$B$119:$P$149,2,FALSE)*1000*HUAWEI製ＰＣＳ接続枚数計算ツール!Y113)</f>
        <v>1.728</v>
      </c>
      <c r="AF14" s="85">
        <f>HUAWEI製ＰＣＳ接続枚数計算ツール!$C$6*枚数!AF14/(VLOOKUP(HUAWEI製ＰＣＳ接続枚数計算ツール!$C$9, HUAWEI製ＰＣＳ接続枚数計算ツール!$B$119:$P$149,2,FALSE)*1000*HUAWEI製ＰＣＳ接続枚数計算ツール!Y113)</f>
        <v>1.7856000000000001</v>
      </c>
      <c r="AG14" s="85">
        <f>HUAWEI製ＰＣＳ接続枚数計算ツール!$C$6*枚数!AG14/(VLOOKUP(HUAWEI製ＰＣＳ接続枚数計算ツール!$C$9, HUAWEI製ＰＣＳ接続枚数計算ツール!$B$119:$P$149,2,FALSE)*1000*HUAWEI製ＰＣＳ接続枚数計算ツール!Y113)</f>
        <v>1.8431999999999999</v>
      </c>
      <c r="AH14" s="85">
        <f>HUAWEI製ＰＣＳ接続枚数計算ツール!$C$6*枚数!AH14/(VLOOKUP(HUAWEI製ＰＣＳ接続枚数計算ツール!$C$9, HUAWEI製ＰＣＳ接続枚数計算ツール!$B$119:$P$149,2,FALSE)*1000*HUAWEI製ＰＣＳ接続枚数計算ツール!Y113)</f>
        <v>1.9008</v>
      </c>
      <c r="AI14" s="85">
        <f>HUAWEI製ＰＣＳ接続枚数計算ツール!$C$6*枚数!AI14/(VLOOKUP(HUAWEI製ＰＣＳ接続枚数計算ツール!$C$9, HUAWEI製ＰＣＳ接続枚数計算ツール!$B$119:$P$149,2,FALSE)*1000*HUAWEI製ＰＣＳ接続枚数計算ツール!Y113)</f>
        <v>1.9583999999999999</v>
      </c>
      <c r="AJ14" s="85">
        <f>HUAWEI製ＰＣＳ接続枚数計算ツール!$C$6*枚数!AJ14/(VLOOKUP(HUAWEI製ＰＣＳ接続枚数計算ツール!$C$9, HUAWEI製ＰＣＳ接続枚数計算ツール!$B$119:$P$149,2,FALSE)*1000*HUAWEI製ＰＣＳ接続枚数計算ツール!Y113)</f>
        <v>2.016</v>
      </c>
      <c r="AK14" s="85">
        <f>HUAWEI製ＰＣＳ接続枚数計算ツール!$C$6*枚数!AK14/(VLOOKUP(HUAWEI製ＰＣＳ接続枚数計算ツール!$C$9, HUAWEI製ＰＣＳ接続枚数計算ツール!$B$119:$P$149,2,FALSE)*1000*HUAWEI製ＰＣＳ接続枚数計算ツール!Y113)</f>
        <v>2.0735999999999999</v>
      </c>
      <c r="AL14" s="85">
        <f>HUAWEI製ＰＣＳ接続枚数計算ツール!$C$6*枚数!AL14/(VLOOKUP(HUAWEI製ＰＣＳ接続枚数計算ツール!$C$9, HUAWEI製ＰＣＳ接続枚数計算ツール!$B$119:$P$149,2,FALSE)*1000*HUAWEI製ＰＣＳ接続枚数計算ツール!Y113)</f>
        <v>2.1312000000000002</v>
      </c>
      <c r="AM14" s="85">
        <f>HUAWEI製ＰＣＳ接続枚数計算ツール!$C$6*枚数!AM14/(VLOOKUP(HUAWEI製ＰＣＳ接続枚数計算ツール!$C$9, HUAWEI製ＰＣＳ接続枚数計算ツール!$B$119:$P$149,2,FALSE)*1000*HUAWEI製ＰＣＳ接続枚数計算ツール!Y113)</f>
        <v>2.1888000000000001</v>
      </c>
      <c r="AN14" s="85">
        <f>HUAWEI製ＰＣＳ接続枚数計算ツール!$C$6*枚数!AN14/(VLOOKUP(HUAWEI製ＰＣＳ接続枚数計算ツール!$C$9, HUAWEI製ＰＣＳ接続枚数計算ツール!$B$119:$P$149,2,FALSE)*1000*HUAWEI製ＰＣＳ接続枚数計算ツール!Y113)</f>
        <v>2.2464</v>
      </c>
      <c r="AO14" s="85">
        <f>HUAWEI製ＰＣＳ接続枚数計算ツール!$C$6*枚数!AO14/(VLOOKUP(HUAWEI製ＰＣＳ接続枚数計算ツール!$C$9, HUAWEI製ＰＣＳ接続枚数計算ツール!$B$119:$P$149,2,FALSE)*1000*HUAWEI製ＰＣＳ接続枚数計算ツール!Y113)</f>
        <v>2.3039999999999998</v>
      </c>
    </row>
    <row r="15" spans="1:41">
      <c r="A15">
        <v>13</v>
      </c>
      <c r="B15" s="85">
        <f>HUAWEI製ＰＣＳ接続枚数計算ツール!$C$6*枚数!B15/(VLOOKUP(HUAWEI製ＰＣＳ接続枚数計算ツール!$C$9, HUAWEI製ＰＣＳ接続枚数計算ツール!$B$119:$P$149,2,FALSE)*1000*HUAWEI製ＰＣＳ接続枚数計算ツール!Y113)</f>
        <v>6.2399999999999997E-2</v>
      </c>
      <c r="C15" s="85">
        <f>HUAWEI製ＰＣＳ接続枚数計算ツール!$C$6*枚数!C15/(VLOOKUP(HUAWEI製ＰＣＳ接続枚数計算ツール!$C$9, HUAWEI製ＰＣＳ接続枚数計算ツール!$B$119:$P$149,2,FALSE)*1000*HUAWEI製ＰＣＳ接続枚数計算ツール!Y113)</f>
        <v>0.12479999999999999</v>
      </c>
      <c r="D15" s="85">
        <f>HUAWEI製ＰＣＳ接続枚数計算ツール!$C$6*枚数!D15/(VLOOKUP(HUAWEI製ＰＣＳ接続枚数計算ツール!$C$9, HUAWEI製ＰＣＳ接続枚数計算ツール!$B$119:$P$149,2,FALSE)*1000*HUAWEI製ＰＣＳ接続枚数計算ツール!Y113)</f>
        <v>0.18720000000000001</v>
      </c>
      <c r="E15" s="85">
        <f>HUAWEI製ＰＣＳ接続枚数計算ツール!$C$6*枚数!E15/(VLOOKUP(HUAWEI製ＰＣＳ接続枚数計算ツール!$C$9, HUAWEI製ＰＣＳ接続枚数計算ツール!$B$119:$P$149,2,FALSE)*1000*HUAWEI製ＰＣＳ接続枚数計算ツール!Y113)</f>
        <v>0.24959999999999999</v>
      </c>
      <c r="F15" s="85">
        <f>HUAWEI製ＰＣＳ接続枚数計算ツール!$C$6*枚数!F15/(VLOOKUP(HUAWEI製ＰＣＳ接続枚数計算ツール!$C$9, HUAWEI製ＰＣＳ接続枚数計算ツール!$B$119:$P$149,2,FALSE)*1000*HUAWEI製ＰＣＳ接続枚数計算ツール!Y113)</f>
        <v>0.312</v>
      </c>
      <c r="G15" s="85">
        <f>HUAWEI製ＰＣＳ接続枚数計算ツール!$C$6*枚数!G15/(VLOOKUP(HUAWEI製ＰＣＳ接続枚数計算ツール!$C$9, HUAWEI製ＰＣＳ接続枚数計算ツール!$B$119:$P$149,2,FALSE)*1000*HUAWEI製ＰＣＳ接続枚数計算ツール!Y113)</f>
        <v>0.37440000000000001</v>
      </c>
      <c r="H15" s="85">
        <f>HUAWEI製ＰＣＳ接続枚数計算ツール!$C$6*枚数!H15/(VLOOKUP(HUAWEI製ＰＣＳ接続枚数計算ツール!$C$9, HUAWEI製ＰＣＳ接続枚数計算ツール!$B$119:$P$149,2,FALSE)*1000*HUAWEI製ＰＣＳ接続枚数計算ツール!Y113)</f>
        <v>0.43680000000000002</v>
      </c>
      <c r="I15" s="85">
        <f>HUAWEI製ＰＣＳ接続枚数計算ツール!$C$6*枚数!I15/(VLOOKUP(HUAWEI製ＰＣＳ接続枚数計算ツール!$C$9, HUAWEI製ＰＣＳ接続枚数計算ツール!$B$119:$P$149,2,FALSE)*1000*HUAWEI製ＰＣＳ接続枚数計算ツール!Y113)</f>
        <v>0.49919999999999998</v>
      </c>
      <c r="J15" s="85">
        <f>HUAWEI製ＰＣＳ接続枚数計算ツール!$C$6*枚数!J15/(VLOOKUP(HUAWEI製ＰＣＳ接続枚数計算ツール!$C$9, HUAWEI製ＰＣＳ接続枚数計算ツール!$B$119:$P$149,2,FALSE)*1000*HUAWEI製ＰＣＳ接続枚数計算ツール!Y113)</f>
        <v>0.56159999999999999</v>
      </c>
      <c r="K15" s="85">
        <f>HUAWEI製ＰＣＳ接続枚数計算ツール!$C$6*枚数!K15/(VLOOKUP(HUAWEI製ＰＣＳ接続枚数計算ツール!$C$9, HUAWEI製ＰＣＳ接続枚数計算ツール!$B$119:$P$149,2,FALSE)*1000*HUAWEI製ＰＣＳ接続枚数計算ツール!Y113)</f>
        <v>0.624</v>
      </c>
      <c r="L15" s="85">
        <f>HUAWEI製ＰＣＳ接続枚数計算ツール!$C$6*枚数!L15/(VLOOKUP(HUAWEI製ＰＣＳ接続枚数計算ツール!$C$9, HUAWEI製ＰＣＳ接続枚数計算ツール!$B$119:$P$149,2,FALSE)*1000*HUAWEI製ＰＣＳ接続枚数計算ツール!Y113)</f>
        <v>0.68640000000000001</v>
      </c>
      <c r="M15" s="85">
        <f>HUAWEI製ＰＣＳ接続枚数計算ツール!$C$6*枚数!M15/(VLOOKUP(HUAWEI製ＰＣＳ接続枚数計算ツール!$C$9, HUAWEI製ＰＣＳ接続枚数計算ツール!$B$119:$P$149,2,FALSE)*1000*HUAWEI製ＰＣＳ接続枚数計算ツール!Y113)</f>
        <v>0.74880000000000002</v>
      </c>
      <c r="N15" s="85">
        <f>HUAWEI製ＰＣＳ接続枚数計算ツール!$C$6*枚数!N15/(VLOOKUP(HUAWEI製ＰＣＳ接続枚数計算ツール!$C$9, HUAWEI製ＰＣＳ接続枚数計算ツール!$B$119:$P$149,2,FALSE)*1000*HUAWEI製ＰＣＳ接続枚数計算ツール!Y113)</f>
        <v>0.81120000000000003</v>
      </c>
      <c r="O15" s="85">
        <f>HUAWEI製ＰＣＳ接続枚数計算ツール!$C$6*枚数!O15/(VLOOKUP(HUAWEI製ＰＣＳ接続枚数計算ツール!$C$9, HUAWEI製ＰＣＳ接続枚数計算ツール!$B$119:$P$149,2,FALSE)*1000*HUAWEI製ＰＣＳ接続枚数計算ツール!Y113)</f>
        <v>0.87360000000000004</v>
      </c>
      <c r="P15" s="85">
        <f>HUAWEI製ＰＣＳ接続枚数計算ツール!$C$6*枚数!P15/(VLOOKUP(HUAWEI製ＰＣＳ接続枚数計算ツール!$C$9, HUAWEI製ＰＣＳ接続枚数計算ツール!$B$119:$P$149,2,FALSE)*1000*HUAWEI製ＰＣＳ接続枚数計算ツール!Y113)</f>
        <v>0.93600000000000005</v>
      </c>
      <c r="Q15" s="85">
        <f>HUAWEI製ＰＣＳ接続枚数計算ツール!$C$6*枚数!Q15/(VLOOKUP(HUAWEI製ＰＣＳ接続枚数計算ツール!$C$9, HUAWEI製ＰＣＳ接続枚数計算ツール!$B$119:$P$149,2,FALSE)*1000*HUAWEI製ＰＣＳ接続枚数計算ツール!Y113)</f>
        <v>0.99839999999999995</v>
      </c>
      <c r="R15" s="85">
        <f>HUAWEI製ＰＣＳ接続枚数計算ツール!$C$6*枚数!R15/(VLOOKUP(HUAWEI製ＰＣＳ接続枚数計算ツール!$C$9, HUAWEI製ＰＣＳ接続枚数計算ツール!$B$119:$P$149,2,FALSE)*1000*HUAWEI製ＰＣＳ接続枚数計算ツール!Y113)</f>
        <v>1.0608</v>
      </c>
      <c r="S15" s="85">
        <f>HUAWEI製ＰＣＳ接続枚数計算ツール!$C$6*枚数!S15/(VLOOKUP(HUAWEI製ＰＣＳ接続枚数計算ツール!$C$9, HUAWEI製ＰＣＳ接続枚数計算ツール!$B$119:$P$149,2,FALSE)*1000*HUAWEI製ＰＣＳ接続枚数計算ツール!Y113)</f>
        <v>1.1232</v>
      </c>
      <c r="T15" s="85">
        <f>HUAWEI製ＰＣＳ接続枚数計算ツール!$C$6*枚数!T15/(VLOOKUP(HUAWEI製ＰＣＳ接続枚数計算ツール!$C$9, HUAWEI製ＰＣＳ接続枚数計算ツール!$B$119:$P$149,2,FALSE)*1000*HUAWEI製ＰＣＳ接続枚数計算ツール!Y113)</f>
        <v>1.1856</v>
      </c>
      <c r="U15" s="85">
        <f>HUAWEI製ＰＣＳ接続枚数計算ツール!$C$6*枚数!U15/(VLOOKUP(HUAWEI製ＰＣＳ接続枚数計算ツール!$C$9, HUAWEI製ＰＣＳ接続枚数計算ツール!$B$119:$P$149,2,FALSE)*1000*HUAWEI製ＰＣＳ接続枚数計算ツール!Y113)</f>
        <v>1.248</v>
      </c>
      <c r="V15" s="85">
        <f>HUAWEI製ＰＣＳ接続枚数計算ツール!$C$6*枚数!V15/(VLOOKUP(HUAWEI製ＰＣＳ接続枚数計算ツール!$C$9, HUAWEI製ＰＣＳ接続枚数計算ツール!$B$119:$P$149,2,FALSE)*1000*HUAWEI製ＰＣＳ接続枚数計算ツール!Y113)</f>
        <v>1.3104</v>
      </c>
      <c r="W15" s="85">
        <f>HUAWEI製ＰＣＳ接続枚数計算ツール!$C$6*枚数!W15/(VLOOKUP(HUAWEI製ＰＣＳ接続枚数計算ツール!$C$9, HUAWEI製ＰＣＳ接続枚数計算ツール!$B$119:$P$149,2,FALSE)*1000*HUAWEI製ＰＣＳ接続枚数計算ツール!Y113)</f>
        <v>1.3728</v>
      </c>
      <c r="X15" s="85">
        <f>HUAWEI製ＰＣＳ接続枚数計算ツール!$C$6*枚数!X15/(VLOOKUP(HUAWEI製ＰＣＳ接続枚数計算ツール!$C$9, HUAWEI製ＰＣＳ接続枚数計算ツール!$B$119:$P$149,2,FALSE)*1000*HUAWEI製ＰＣＳ接続枚数計算ツール!Y113)</f>
        <v>1.4352</v>
      </c>
      <c r="Y15" s="85">
        <f>HUAWEI製ＰＣＳ接続枚数計算ツール!$C$6*枚数!Y15/(VLOOKUP(HUAWEI製ＰＣＳ接続枚数計算ツール!$C$9, HUAWEI製ＰＣＳ接続枚数計算ツール!$B$119:$P$149,2,FALSE)*1000*HUAWEI製ＰＣＳ接続枚数計算ツール!Y113)</f>
        <v>1.4976</v>
      </c>
      <c r="Z15" s="85">
        <f>HUAWEI製ＰＣＳ接続枚数計算ツール!$C$6*枚数!Z15/(VLOOKUP(HUAWEI製ＰＣＳ接続枚数計算ツール!$C$9, HUAWEI製ＰＣＳ接続枚数計算ツール!$B$119:$P$149,2,FALSE)*1000*HUAWEI製ＰＣＳ接続枚数計算ツール!Y113)</f>
        <v>1.56</v>
      </c>
      <c r="AA15" s="85">
        <f>HUAWEI製ＰＣＳ接続枚数計算ツール!$C$6*枚数!AA15/(VLOOKUP(HUAWEI製ＰＣＳ接続枚数計算ツール!$C$9, HUAWEI製ＰＣＳ接続枚数計算ツール!$B$119:$P$149,2,FALSE)*1000*HUAWEI製ＰＣＳ接続枚数計算ツール!Y113)</f>
        <v>1.6224000000000001</v>
      </c>
      <c r="AB15" s="85">
        <f>HUAWEI製ＰＣＳ接続枚数計算ツール!$C$6*枚数!AB15/(VLOOKUP(HUAWEI製ＰＣＳ接続枚数計算ツール!$C$9, HUAWEI製ＰＣＳ接続枚数計算ツール!$B$119:$P$149,2,FALSE)*1000*HUAWEI製ＰＣＳ接続枚数計算ツール!Y113)</f>
        <v>1.6848000000000001</v>
      </c>
      <c r="AC15" s="85">
        <f>HUAWEI製ＰＣＳ接続枚数計算ツール!$C$6*枚数!AC15/(VLOOKUP(HUAWEI製ＰＣＳ接続枚数計算ツール!$C$9, HUAWEI製ＰＣＳ接続枚数計算ツール!$B$119:$P$149,2,FALSE)*1000*HUAWEI製ＰＣＳ接続枚数計算ツール!Y113)</f>
        <v>1.7472000000000001</v>
      </c>
      <c r="AD15" s="85">
        <f>HUAWEI製ＰＣＳ接続枚数計算ツール!$C$6*枚数!AD15/(VLOOKUP(HUAWEI製ＰＣＳ接続枚数計算ツール!$C$9, HUAWEI製ＰＣＳ接続枚数計算ツール!$B$119:$P$149,2,FALSE)*1000*HUAWEI製ＰＣＳ接続枚数計算ツール!Y113)</f>
        <v>1.8096000000000001</v>
      </c>
      <c r="AE15" s="85">
        <f>HUAWEI製ＰＣＳ接続枚数計算ツール!$C$6*枚数!AE15/(VLOOKUP(HUAWEI製ＰＣＳ接続枚数計算ツール!$C$9, HUAWEI製ＰＣＳ接続枚数計算ツール!$B$119:$P$149,2,FALSE)*1000*HUAWEI製ＰＣＳ接続枚数計算ツール!Y113)</f>
        <v>1.8720000000000001</v>
      </c>
      <c r="AF15" s="85">
        <f>HUAWEI製ＰＣＳ接続枚数計算ツール!$C$6*枚数!AF15/(VLOOKUP(HUAWEI製ＰＣＳ接続枚数計算ツール!$C$9, HUAWEI製ＰＣＳ接続枚数計算ツール!$B$119:$P$149,2,FALSE)*1000*HUAWEI製ＰＣＳ接続枚数計算ツール!Y113)</f>
        <v>1.9343999999999999</v>
      </c>
      <c r="AG15" s="85">
        <f>HUAWEI製ＰＣＳ接続枚数計算ツール!$C$6*枚数!AG15/(VLOOKUP(HUAWEI製ＰＣＳ接続枚数計算ツール!$C$9, HUAWEI製ＰＣＳ接続枚数計算ツール!$B$119:$P$149,2,FALSE)*1000*HUAWEI製ＰＣＳ接続枚数計算ツール!Y113)</f>
        <v>1.9967999999999999</v>
      </c>
      <c r="AH15" s="85">
        <f>HUAWEI製ＰＣＳ接続枚数計算ツール!$C$6*枚数!AH15/(VLOOKUP(HUAWEI製ＰＣＳ接続枚数計算ツール!$C$9, HUAWEI製ＰＣＳ接続枚数計算ツール!$B$119:$P$149,2,FALSE)*1000*HUAWEI製ＰＣＳ接続枚数計算ツール!Y113)</f>
        <v>2.0592000000000001</v>
      </c>
      <c r="AI15" s="85">
        <f>HUAWEI製ＰＣＳ接続枚数計算ツール!$C$6*枚数!AI15/(VLOOKUP(HUAWEI製ＰＣＳ接続枚数計算ツール!$C$9, HUAWEI製ＰＣＳ接続枚数計算ツール!$B$119:$P$149,2,FALSE)*1000*HUAWEI製ＰＣＳ接続枚数計算ツール!Y113)</f>
        <v>2.1215999999999999</v>
      </c>
      <c r="AJ15" s="85">
        <f>HUAWEI製ＰＣＳ接続枚数計算ツール!$C$6*枚数!AJ15/(VLOOKUP(HUAWEI製ＰＣＳ接続枚数計算ツール!$C$9, HUAWEI製ＰＣＳ接続枚数計算ツール!$B$119:$P$149,2,FALSE)*1000*HUAWEI製ＰＣＳ接続枚数計算ツール!Y113)</f>
        <v>2.1840000000000002</v>
      </c>
      <c r="AK15" s="85">
        <f>HUAWEI製ＰＣＳ接続枚数計算ツール!$C$6*枚数!AK15/(VLOOKUP(HUAWEI製ＰＣＳ接続枚数計算ツール!$C$9, HUAWEI製ＰＣＳ接続枚数計算ツール!$B$119:$P$149,2,FALSE)*1000*HUAWEI製ＰＣＳ接続枚数計算ツール!Y113)</f>
        <v>2.2464</v>
      </c>
      <c r="AL15" s="85">
        <f>HUAWEI製ＰＣＳ接続枚数計算ツール!$C$6*枚数!AL15/(VLOOKUP(HUAWEI製ＰＣＳ接続枚数計算ツール!$C$9, HUAWEI製ＰＣＳ接続枚数計算ツール!$B$119:$P$149,2,FALSE)*1000*HUAWEI製ＰＣＳ接続枚数計算ツール!Y113)</f>
        <v>2.3088000000000002</v>
      </c>
      <c r="AM15" s="85">
        <f>HUAWEI製ＰＣＳ接続枚数計算ツール!$C$6*枚数!AM15/(VLOOKUP(HUAWEI製ＰＣＳ接続枚数計算ツール!$C$9, HUAWEI製ＰＣＳ接続枚数計算ツール!$B$119:$P$149,2,FALSE)*1000*HUAWEI製ＰＣＳ接続枚数計算ツール!Y113)</f>
        <v>2.3712</v>
      </c>
      <c r="AN15" s="85">
        <f>HUAWEI製ＰＣＳ接続枚数計算ツール!$C$6*枚数!AN15/(VLOOKUP(HUAWEI製ＰＣＳ接続枚数計算ツール!$C$9, HUAWEI製ＰＣＳ接続枚数計算ツール!$B$119:$P$149,2,FALSE)*1000*HUAWEI製ＰＣＳ接続枚数計算ツール!Y113)</f>
        <v>2.4336000000000002</v>
      </c>
      <c r="AO15" s="85">
        <f>HUAWEI製ＰＣＳ接続枚数計算ツール!$C$6*枚数!AO15/(VLOOKUP(HUAWEI製ＰＣＳ接続枚数計算ツール!$C$9, HUAWEI製ＰＣＳ接続枚数計算ツール!$B$119:$P$149,2,FALSE)*1000*HUAWEI製ＰＣＳ接続枚数計算ツール!Y113)</f>
        <v>2.496</v>
      </c>
    </row>
    <row r="16" spans="1:41">
      <c r="A16">
        <v>14</v>
      </c>
      <c r="B16" s="85">
        <f>HUAWEI製ＰＣＳ接続枚数計算ツール!$C$6*枚数!B16/(VLOOKUP(HUAWEI製ＰＣＳ接続枚数計算ツール!$C$9, HUAWEI製ＰＣＳ接続枚数計算ツール!$B$119:$P$149,2,FALSE)*1000*HUAWEI製ＰＣＳ接続枚数計算ツール!Y113)</f>
        <v>6.7199999999999996E-2</v>
      </c>
      <c r="C16" s="85">
        <f>HUAWEI製ＰＣＳ接続枚数計算ツール!$C$6*枚数!C16/(VLOOKUP(HUAWEI製ＰＣＳ接続枚数計算ツール!$C$9, HUAWEI製ＰＣＳ接続枚数計算ツール!$B$119:$P$149,2,FALSE)*1000*HUAWEI製ＰＣＳ接続枚数計算ツール!Y113)</f>
        <v>0.13439999999999999</v>
      </c>
      <c r="D16" s="85">
        <f>HUAWEI製ＰＣＳ接続枚数計算ツール!$C$6*枚数!D16/(VLOOKUP(HUAWEI製ＰＣＳ接続枚数計算ツール!$C$9, HUAWEI製ＰＣＳ接続枚数計算ツール!$B$119:$P$149,2,FALSE)*1000*HUAWEI製ＰＣＳ接続枚数計算ツール!Y113)</f>
        <v>0.2016</v>
      </c>
      <c r="E16" s="85">
        <f>HUAWEI製ＰＣＳ接続枚数計算ツール!$C$6*枚数!E16/(VLOOKUP(HUAWEI製ＰＣＳ接続枚数計算ツール!$C$9, HUAWEI製ＰＣＳ接続枚数計算ツール!$B$119:$P$149,2,FALSE)*1000*HUAWEI製ＰＣＳ接続枚数計算ツール!Y113)</f>
        <v>0.26879999999999998</v>
      </c>
      <c r="F16" s="85">
        <f>HUAWEI製ＰＣＳ接続枚数計算ツール!$C$6*枚数!F16/(VLOOKUP(HUAWEI製ＰＣＳ接続枚数計算ツール!$C$9, HUAWEI製ＰＣＳ接続枚数計算ツール!$B$119:$P$149,2,FALSE)*1000*HUAWEI製ＰＣＳ接続枚数計算ツール!Y113)</f>
        <v>0.33600000000000002</v>
      </c>
      <c r="G16" s="85">
        <f>HUAWEI製ＰＣＳ接続枚数計算ツール!$C$6*枚数!G16/(VLOOKUP(HUAWEI製ＰＣＳ接続枚数計算ツール!$C$9, HUAWEI製ＰＣＳ接続枚数計算ツール!$B$119:$P$149,2,FALSE)*1000*HUAWEI製ＰＣＳ接続枚数計算ツール!Y113)</f>
        <v>0.4032</v>
      </c>
      <c r="H16" s="85">
        <f>HUAWEI製ＰＣＳ接続枚数計算ツール!$C$6*枚数!H16/(VLOOKUP(HUAWEI製ＰＣＳ接続枚数計算ツール!$C$9, HUAWEI製ＰＣＳ接続枚数計算ツール!$B$119:$P$149,2,FALSE)*1000*HUAWEI製ＰＣＳ接続枚数計算ツール!Y113)</f>
        <v>0.47039999999999998</v>
      </c>
      <c r="I16" s="85">
        <f>HUAWEI製ＰＣＳ接続枚数計算ツール!$C$6*枚数!I16/(VLOOKUP(HUAWEI製ＰＣＳ接続枚数計算ツール!$C$9, HUAWEI製ＰＣＳ接続枚数計算ツール!$B$119:$P$149,2,FALSE)*1000*HUAWEI製ＰＣＳ接続枚数計算ツール!Y113)</f>
        <v>0.53759999999999997</v>
      </c>
      <c r="J16" s="85">
        <f>HUAWEI製ＰＣＳ接続枚数計算ツール!$C$6*枚数!J16/(VLOOKUP(HUAWEI製ＰＣＳ接続枚数計算ツール!$C$9, HUAWEI製ＰＣＳ接続枚数計算ツール!$B$119:$P$149,2,FALSE)*1000*HUAWEI製ＰＣＳ接続枚数計算ツール!Y113)</f>
        <v>0.6048</v>
      </c>
      <c r="K16" s="85">
        <f>HUAWEI製ＰＣＳ接続枚数計算ツール!$C$6*枚数!K16/(VLOOKUP(HUAWEI製ＰＣＳ接続枚数計算ツール!$C$9, HUAWEI製ＰＣＳ接続枚数計算ツール!$B$119:$P$149,2,FALSE)*1000*HUAWEI製ＰＣＳ接続枚数計算ツール!Y113)</f>
        <v>0.67200000000000004</v>
      </c>
      <c r="L16" s="85">
        <f>HUAWEI製ＰＣＳ接続枚数計算ツール!$C$6*枚数!L16/(VLOOKUP(HUAWEI製ＰＣＳ接続枚数計算ツール!$C$9, HUAWEI製ＰＣＳ接続枚数計算ツール!$B$119:$P$149,2,FALSE)*1000*HUAWEI製ＰＣＳ接続枚数計算ツール!Y113)</f>
        <v>0.73919999999999997</v>
      </c>
      <c r="M16" s="85">
        <f>HUAWEI製ＰＣＳ接続枚数計算ツール!$C$6*枚数!M16/(VLOOKUP(HUAWEI製ＰＣＳ接続枚数計算ツール!$C$9, HUAWEI製ＰＣＳ接続枚数計算ツール!$B$119:$P$149,2,FALSE)*1000*HUAWEI製ＰＣＳ接続枚数計算ツール!Y113)</f>
        <v>0.80640000000000001</v>
      </c>
      <c r="N16" s="85">
        <f>HUAWEI製ＰＣＳ接続枚数計算ツール!$C$6*枚数!N16/(VLOOKUP(HUAWEI製ＰＣＳ接続枚数計算ツール!$C$9, HUAWEI製ＰＣＳ接続枚数計算ツール!$B$119:$P$149,2,FALSE)*1000*HUAWEI製ＰＣＳ接続枚数計算ツール!Y113)</f>
        <v>0.87360000000000004</v>
      </c>
      <c r="O16" s="85">
        <f>HUAWEI製ＰＣＳ接続枚数計算ツール!$C$6*枚数!O16/(VLOOKUP(HUAWEI製ＰＣＳ接続枚数計算ツール!$C$9, HUAWEI製ＰＣＳ接続枚数計算ツール!$B$119:$P$149,2,FALSE)*1000*HUAWEI製ＰＣＳ接続枚数計算ツール!Y113)</f>
        <v>0.94079999999999997</v>
      </c>
      <c r="P16" s="85">
        <f>HUAWEI製ＰＣＳ接続枚数計算ツール!$C$6*枚数!P16/(VLOOKUP(HUAWEI製ＰＣＳ接続枚数計算ツール!$C$9, HUAWEI製ＰＣＳ接続枚数計算ツール!$B$119:$P$149,2,FALSE)*1000*HUAWEI製ＰＣＳ接続枚数計算ツール!Y113)</f>
        <v>1.008</v>
      </c>
      <c r="Q16" s="85">
        <f>HUAWEI製ＰＣＳ接続枚数計算ツール!$C$6*枚数!Q16/(VLOOKUP(HUAWEI製ＰＣＳ接続枚数計算ツール!$C$9, HUAWEI製ＰＣＳ接続枚数計算ツール!$B$119:$P$149,2,FALSE)*1000*HUAWEI製ＰＣＳ接続枚数計算ツール!Y113)</f>
        <v>1.0751999999999999</v>
      </c>
      <c r="R16" s="85">
        <f>HUAWEI製ＰＣＳ接続枚数計算ツール!$C$6*枚数!R16/(VLOOKUP(HUAWEI製ＰＣＳ接続枚数計算ツール!$C$9, HUAWEI製ＰＣＳ接続枚数計算ツール!$B$119:$P$149,2,FALSE)*1000*HUAWEI製ＰＣＳ接続枚数計算ツール!Y113)</f>
        <v>1.1424000000000001</v>
      </c>
      <c r="S16" s="85">
        <f>HUAWEI製ＰＣＳ接続枚数計算ツール!$C$6*枚数!S16/(VLOOKUP(HUAWEI製ＰＣＳ接続枚数計算ツール!$C$9, HUAWEI製ＰＣＳ接続枚数計算ツール!$B$119:$P$149,2,FALSE)*1000*HUAWEI製ＰＣＳ接続枚数計算ツール!Y113)</f>
        <v>1.2096</v>
      </c>
      <c r="T16" s="85">
        <f>HUAWEI製ＰＣＳ接続枚数計算ツール!$C$6*枚数!T16/(VLOOKUP(HUAWEI製ＰＣＳ接続枚数計算ツール!$C$9, HUAWEI製ＰＣＳ接続枚数計算ツール!$B$119:$P$149,2,FALSE)*1000*HUAWEI製ＰＣＳ接続枚数計算ツール!Y113)</f>
        <v>1.2767999999999999</v>
      </c>
      <c r="U16" s="85">
        <f>HUAWEI製ＰＣＳ接続枚数計算ツール!$C$6*枚数!U16/(VLOOKUP(HUAWEI製ＰＣＳ接続枚数計算ツール!$C$9, HUAWEI製ＰＣＳ接続枚数計算ツール!$B$119:$P$149,2,FALSE)*1000*HUAWEI製ＰＣＳ接続枚数計算ツール!Y113)</f>
        <v>1.3440000000000001</v>
      </c>
      <c r="V16" s="85">
        <f>HUAWEI製ＰＣＳ接続枚数計算ツール!$C$6*枚数!V16/(VLOOKUP(HUAWEI製ＰＣＳ接続枚数計算ツール!$C$9, HUAWEI製ＰＣＳ接続枚数計算ツール!$B$119:$P$149,2,FALSE)*1000*HUAWEI製ＰＣＳ接続枚数計算ツール!Y113)</f>
        <v>1.4112</v>
      </c>
      <c r="W16" s="85">
        <f>HUAWEI製ＰＣＳ接続枚数計算ツール!$C$6*枚数!W16/(VLOOKUP(HUAWEI製ＰＣＳ接続枚数計算ツール!$C$9, HUAWEI製ＰＣＳ接続枚数計算ツール!$B$119:$P$149,2,FALSE)*1000*HUAWEI製ＰＣＳ接続枚数計算ツール!Y113)</f>
        <v>1.4783999999999999</v>
      </c>
      <c r="X16" s="85">
        <f>HUAWEI製ＰＣＳ接続枚数計算ツール!$C$6*枚数!X16/(VLOOKUP(HUAWEI製ＰＣＳ接続枚数計算ツール!$C$9, HUAWEI製ＰＣＳ接続枚数計算ツール!$B$119:$P$149,2,FALSE)*1000*HUAWEI製ＰＣＳ接続枚数計算ツール!Y113)</f>
        <v>1.5456000000000001</v>
      </c>
      <c r="Y16" s="85">
        <f>HUAWEI製ＰＣＳ接続枚数計算ツール!$C$6*枚数!Y16/(VLOOKUP(HUAWEI製ＰＣＳ接続枚数計算ツール!$C$9, HUAWEI製ＰＣＳ接続枚数計算ツール!$B$119:$P$149,2,FALSE)*1000*HUAWEI製ＰＣＳ接続枚数計算ツール!Y113)</f>
        <v>1.6128</v>
      </c>
      <c r="Z16" s="85">
        <f>HUAWEI製ＰＣＳ接続枚数計算ツール!$C$6*枚数!Z16/(VLOOKUP(HUAWEI製ＰＣＳ接続枚数計算ツール!$C$9, HUAWEI製ＰＣＳ接続枚数計算ツール!$B$119:$P$149,2,FALSE)*1000*HUAWEI製ＰＣＳ接続枚数計算ツール!Y113)</f>
        <v>1.68</v>
      </c>
      <c r="AA16" s="85">
        <f>HUAWEI製ＰＣＳ接続枚数計算ツール!$C$6*枚数!AA16/(VLOOKUP(HUAWEI製ＰＣＳ接続枚数計算ツール!$C$9, HUAWEI製ＰＣＳ接続枚数計算ツール!$B$119:$P$149,2,FALSE)*1000*HUAWEI製ＰＣＳ接続枚数計算ツール!Y113)</f>
        <v>1.7472000000000001</v>
      </c>
      <c r="AB16" s="85">
        <f>HUAWEI製ＰＣＳ接続枚数計算ツール!$C$6*枚数!AB16/(VLOOKUP(HUAWEI製ＰＣＳ接続枚数計算ツール!$C$9, HUAWEI製ＰＣＳ接続枚数計算ツール!$B$119:$P$149,2,FALSE)*1000*HUAWEI製ＰＣＳ接続枚数計算ツール!Y113)</f>
        <v>1.8144</v>
      </c>
      <c r="AC16" s="85">
        <f>HUAWEI製ＰＣＳ接続枚数計算ツール!$C$6*枚数!AC16/(VLOOKUP(HUAWEI製ＰＣＳ接続枚数計算ツール!$C$9, HUAWEI製ＰＣＳ接続枚数計算ツール!$B$119:$P$149,2,FALSE)*1000*HUAWEI製ＰＣＳ接続枚数計算ツール!Y113)</f>
        <v>1.8815999999999999</v>
      </c>
      <c r="AD16" s="85">
        <f>HUAWEI製ＰＣＳ接続枚数計算ツール!$C$6*枚数!AD16/(VLOOKUP(HUAWEI製ＰＣＳ接続枚数計算ツール!$C$9, HUAWEI製ＰＣＳ接続枚数計算ツール!$B$119:$P$149,2,FALSE)*1000*HUAWEI製ＰＣＳ接続枚数計算ツール!Y113)</f>
        <v>1.9488000000000001</v>
      </c>
      <c r="AE16" s="85">
        <f>HUAWEI製ＰＣＳ接続枚数計算ツール!$C$6*枚数!AE16/(VLOOKUP(HUAWEI製ＰＣＳ接続枚数計算ツール!$C$9, HUAWEI製ＰＣＳ接続枚数計算ツール!$B$119:$P$149,2,FALSE)*1000*HUAWEI製ＰＣＳ接続枚数計算ツール!Y113)</f>
        <v>2.016</v>
      </c>
      <c r="AF16" s="85">
        <f>HUAWEI製ＰＣＳ接続枚数計算ツール!$C$6*枚数!AF16/(VLOOKUP(HUAWEI製ＰＣＳ接続枚数計算ツール!$C$9, HUAWEI製ＰＣＳ接続枚数計算ツール!$B$119:$P$149,2,FALSE)*1000*HUAWEI製ＰＣＳ接続枚数計算ツール!Y113)</f>
        <v>2.0832000000000002</v>
      </c>
      <c r="AG16" s="85">
        <f>HUAWEI製ＰＣＳ接続枚数計算ツール!$C$6*枚数!AG16/(VLOOKUP(HUAWEI製ＰＣＳ接続枚数計算ツール!$C$9, HUAWEI製ＰＣＳ接続枚数計算ツール!$B$119:$P$149,2,FALSE)*1000*HUAWEI製ＰＣＳ接続枚数計算ツール!Y113)</f>
        <v>2.1503999999999999</v>
      </c>
      <c r="AH16" s="85">
        <f>HUAWEI製ＰＣＳ接続枚数計算ツール!$C$6*枚数!AH16/(VLOOKUP(HUAWEI製ＰＣＳ接続枚数計算ツール!$C$9, HUAWEI製ＰＣＳ接続枚数計算ツール!$B$119:$P$149,2,FALSE)*1000*HUAWEI製ＰＣＳ接続枚数計算ツール!Y113)</f>
        <v>2.2176</v>
      </c>
      <c r="AI16" s="85">
        <f>HUAWEI製ＰＣＳ接続枚数計算ツール!$C$6*枚数!AI16/(VLOOKUP(HUAWEI製ＰＣＳ接続枚数計算ツール!$C$9, HUAWEI製ＰＣＳ接続枚数計算ツール!$B$119:$P$149,2,FALSE)*1000*HUAWEI製ＰＣＳ接続枚数計算ツール!Y113)</f>
        <v>2.2848000000000002</v>
      </c>
      <c r="AJ16" s="85">
        <f>HUAWEI製ＰＣＳ接続枚数計算ツール!$C$6*枚数!AJ16/(VLOOKUP(HUAWEI製ＰＣＳ接続枚数計算ツール!$C$9, HUAWEI製ＰＣＳ接続枚数計算ツール!$B$119:$P$149,2,FALSE)*1000*HUAWEI製ＰＣＳ接続枚数計算ツール!Y113)</f>
        <v>2.3519999999999999</v>
      </c>
      <c r="AK16" s="85">
        <f>HUAWEI製ＰＣＳ接続枚数計算ツール!$C$6*枚数!AK16/(VLOOKUP(HUAWEI製ＰＣＳ接続枚数計算ツール!$C$9, HUAWEI製ＰＣＳ接続枚数計算ツール!$B$119:$P$149,2,FALSE)*1000*HUAWEI製ＰＣＳ接続枚数計算ツール!Y113)</f>
        <v>2.4192</v>
      </c>
      <c r="AL16" s="85">
        <f>HUAWEI製ＰＣＳ接続枚数計算ツール!$C$6*枚数!AL16/(VLOOKUP(HUAWEI製ＰＣＳ接続枚数計算ツール!$C$9, HUAWEI製ＰＣＳ接続枚数計算ツール!$B$119:$P$149,2,FALSE)*1000*HUAWEI製ＰＣＳ接続枚数計算ツール!Y113)</f>
        <v>2.4864000000000002</v>
      </c>
      <c r="AM16" s="85">
        <f>HUAWEI製ＰＣＳ接続枚数計算ツール!$C$6*枚数!AM16/(VLOOKUP(HUAWEI製ＰＣＳ接続枚数計算ツール!$C$9, HUAWEI製ＰＣＳ接続枚数計算ツール!$B$119:$P$149,2,FALSE)*1000*HUAWEI製ＰＣＳ接続枚数計算ツール!Y113)</f>
        <v>2.5535999999999999</v>
      </c>
      <c r="AN16" s="85">
        <f>HUAWEI製ＰＣＳ接続枚数計算ツール!$C$6*枚数!AN16/(VLOOKUP(HUAWEI製ＰＣＳ接続枚数計算ツール!$C$9, HUAWEI製ＰＣＳ接続枚数計算ツール!$B$119:$P$149,2,FALSE)*1000*HUAWEI製ＰＣＳ接続枚数計算ツール!Y113)</f>
        <v>2.6208</v>
      </c>
      <c r="AO16" s="85">
        <f>HUAWEI製ＰＣＳ接続枚数計算ツール!$C$6*枚数!AO16/(VLOOKUP(HUAWEI製ＰＣＳ接続枚数計算ツール!$C$9, HUAWEI製ＰＣＳ接続枚数計算ツール!$B$119:$P$149,2,FALSE)*1000*HUAWEI製ＰＣＳ接続枚数計算ツール!Y113)</f>
        <v>2.6880000000000002</v>
      </c>
    </row>
    <row r="17" spans="1:41">
      <c r="A17">
        <v>15</v>
      </c>
      <c r="B17" s="85">
        <f>HUAWEI製ＰＣＳ接続枚数計算ツール!$C$6*枚数!B17/(VLOOKUP(HUAWEI製ＰＣＳ接続枚数計算ツール!$C$9, HUAWEI製ＰＣＳ接続枚数計算ツール!$B$119:$P$149,2,FALSE)*1000*HUAWEI製ＰＣＳ接続枚数計算ツール!Y113)</f>
        <v>7.1999999999999995E-2</v>
      </c>
      <c r="C17" s="85">
        <f>HUAWEI製ＰＣＳ接続枚数計算ツール!$C$6*枚数!C17/(VLOOKUP(HUAWEI製ＰＣＳ接続枚数計算ツール!$C$9, HUAWEI製ＰＣＳ接続枚数計算ツール!$B$119:$P$149,2,FALSE)*1000*HUAWEI製ＰＣＳ接続枚数計算ツール!Y113)</f>
        <v>0.14399999999999999</v>
      </c>
      <c r="D17" s="85">
        <f>HUAWEI製ＰＣＳ接続枚数計算ツール!$C$6*枚数!D17/(VLOOKUP(HUAWEI製ＰＣＳ接続枚数計算ツール!$C$9, HUAWEI製ＰＣＳ接続枚数計算ツール!$B$119:$P$149,2,FALSE)*1000*HUAWEI製ＰＣＳ接続枚数計算ツール!Y113)</f>
        <v>0.216</v>
      </c>
      <c r="E17" s="85">
        <f>HUAWEI製ＰＣＳ接続枚数計算ツール!$C$6*枚数!E17/(VLOOKUP(HUAWEI製ＰＣＳ接続枚数計算ツール!$C$9, HUAWEI製ＰＣＳ接続枚数計算ツール!$B$119:$P$149,2,FALSE)*1000*HUAWEI製ＰＣＳ接続枚数計算ツール!Y113)</f>
        <v>0.28799999999999998</v>
      </c>
      <c r="F17" s="85">
        <f>HUAWEI製ＰＣＳ接続枚数計算ツール!$C$6*枚数!F17/(VLOOKUP(HUAWEI製ＰＣＳ接続枚数計算ツール!$C$9, HUAWEI製ＰＣＳ接続枚数計算ツール!$B$119:$P$149,2,FALSE)*1000*HUAWEI製ＰＣＳ接続枚数計算ツール!Y113)</f>
        <v>0.36</v>
      </c>
      <c r="G17" s="85">
        <f>HUAWEI製ＰＣＳ接続枚数計算ツール!$C$6*枚数!G17/(VLOOKUP(HUAWEI製ＰＣＳ接続枚数計算ツール!$C$9, HUAWEI製ＰＣＳ接続枚数計算ツール!$B$119:$P$149,2,FALSE)*1000*HUAWEI製ＰＣＳ接続枚数計算ツール!Y113)</f>
        <v>0.432</v>
      </c>
      <c r="H17" s="85">
        <f>HUAWEI製ＰＣＳ接続枚数計算ツール!$C$6*枚数!H17/(VLOOKUP(HUAWEI製ＰＣＳ接続枚数計算ツール!$C$9, HUAWEI製ＰＣＳ接続枚数計算ツール!$B$119:$P$149,2,FALSE)*1000*HUAWEI製ＰＣＳ接続枚数計算ツール!Y113)</f>
        <v>0.504</v>
      </c>
      <c r="I17" s="85">
        <f>HUAWEI製ＰＣＳ接続枚数計算ツール!$C$6*枚数!I17/(VLOOKUP(HUAWEI製ＰＣＳ接続枚数計算ツール!$C$9, HUAWEI製ＰＣＳ接続枚数計算ツール!$B$119:$P$149,2,FALSE)*1000*HUAWEI製ＰＣＳ接続枚数計算ツール!Y113)</f>
        <v>0.57599999999999996</v>
      </c>
      <c r="J17" s="85">
        <f>HUAWEI製ＰＣＳ接続枚数計算ツール!$C$6*枚数!J17/(VLOOKUP(HUAWEI製ＰＣＳ接続枚数計算ツール!$C$9, HUAWEI製ＰＣＳ接続枚数計算ツール!$B$119:$P$149,2,FALSE)*1000*HUAWEI製ＰＣＳ接続枚数計算ツール!Y113)</f>
        <v>0.64800000000000002</v>
      </c>
      <c r="K17" s="85">
        <f>HUAWEI製ＰＣＳ接続枚数計算ツール!$C$6*枚数!K17/(VLOOKUP(HUAWEI製ＰＣＳ接続枚数計算ツール!$C$9, HUAWEI製ＰＣＳ接続枚数計算ツール!$B$119:$P$149,2,FALSE)*1000*HUAWEI製ＰＣＳ接続枚数計算ツール!Y113)</f>
        <v>0.72</v>
      </c>
      <c r="L17" s="85">
        <f>HUAWEI製ＰＣＳ接続枚数計算ツール!$C$6*枚数!L17/(VLOOKUP(HUAWEI製ＰＣＳ接続枚数計算ツール!$C$9, HUAWEI製ＰＣＳ接続枚数計算ツール!$B$119:$P$149,2,FALSE)*1000*HUAWEI製ＰＣＳ接続枚数計算ツール!Y113)</f>
        <v>0.79200000000000004</v>
      </c>
      <c r="M17" s="85">
        <f>HUAWEI製ＰＣＳ接続枚数計算ツール!$C$6*枚数!M17/(VLOOKUP(HUAWEI製ＰＣＳ接続枚数計算ツール!$C$9, HUAWEI製ＰＣＳ接続枚数計算ツール!$B$119:$P$149,2,FALSE)*1000*HUAWEI製ＰＣＳ接続枚数計算ツール!Y113)</f>
        <v>0.86399999999999999</v>
      </c>
      <c r="N17" s="85">
        <f>HUAWEI製ＰＣＳ接続枚数計算ツール!$C$6*枚数!N17/(VLOOKUP(HUAWEI製ＰＣＳ接続枚数計算ツール!$C$9, HUAWEI製ＰＣＳ接続枚数計算ツール!$B$119:$P$149,2,FALSE)*1000*HUAWEI製ＰＣＳ接続枚数計算ツール!Y113)</f>
        <v>0.93600000000000005</v>
      </c>
      <c r="O17" s="85">
        <f>HUAWEI製ＰＣＳ接続枚数計算ツール!$C$6*枚数!O17/(VLOOKUP(HUAWEI製ＰＣＳ接続枚数計算ツール!$C$9, HUAWEI製ＰＣＳ接続枚数計算ツール!$B$119:$P$149,2,FALSE)*1000*HUAWEI製ＰＣＳ接続枚数計算ツール!Y113)</f>
        <v>1.008</v>
      </c>
      <c r="P17" s="85">
        <f>HUAWEI製ＰＣＳ接続枚数計算ツール!$C$6*枚数!P17/(VLOOKUP(HUAWEI製ＰＣＳ接続枚数計算ツール!$C$9, HUAWEI製ＰＣＳ接続枚数計算ツール!$B$119:$P$149,2,FALSE)*1000*HUAWEI製ＰＣＳ接続枚数計算ツール!Y113)</f>
        <v>1.08</v>
      </c>
      <c r="Q17" s="85">
        <f>HUAWEI製ＰＣＳ接続枚数計算ツール!$C$6*枚数!Q17/(VLOOKUP(HUAWEI製ＰＣＳ接続枚数計算ツール!$C$9, HUAWEI製ＰＣＳ接続枚数計算ツール!$B$119:$P$149,2,FALSE)*1000*HUAWEI製ＰＣＳ接続枚数計算ツール!Y113)</f>
        <v>1.1519999999999999</v>
      </c>
      <c r="R17" s="85">
        <f>HUAWEI製ＰＣＳ接続枚数計算ツール!$C$6*枚数!R17/(VLOOKUP(HUAWEI製ＰＣＳ接続枚数計算ツール!$C$9, HUAWEI製ＰＣＳ接続枚数計算ツール!$B$119:$P$149,2,FALSE)*1000*HUAWEI製ＰＣＳ接続枚数計算ツール!Y113)</f>
        <v>1.224</v>
      </c>
      <c r="S17" s="85">
        <f>HUAWEI製ＰＣＳ接続枚数計算ツール!$C$6*枚数!S17/(VLOOKUP(HUAWEI製ＰＣＳ接続枚数計算ツール!$C$9, HUAWEI製ＰＣＳ接続枚数計算ツール!$B$119:$P$149,2,FALSE)*1000*HUAWEI製ＰＣＳ接続枚数計算ツール!Y113)</f>
        <v>1.296</v>
      </c>
      <c r="T17" s="85">
        <f>HUAWEI製ＰＣＳ接続枚数計算ツール!$C$6*枚数!T17/(VLOOKUP(HUAWEI製ＰＣＳ接続枚数計算ツール!$C$9, HUAWEI製ＰＣＳ接続枚数計算ツール!$B$119:$P$149,2,FALSE)*1000*HUAWEI製ＰＣＳ接続枚数計算ツール!Y113)</f>
        <v>1.3680000000000001</v>
      </c>
      <c r="U17" s="85">
        <f>HUAWEI製ＰＣＳ接続枚数計算ツール!$C$6*枚数!U17/(VLOOKUP(HUAWEI製ＰＣＳ接続枚数計算ツール!$C$9, HUAWEI製ＰＣＳ接続枚数計算ツール!$B$119:$P$149,2,FALSE)*1000*HUAWEI製ＰＣＳ接続枚数計算ツール!Y113)</f>
        <v>1.44</v>
      </c>
      <c r="V17" s="85">
        <f>HUAWEI製ＰＣＳ接続枚数計算ツール!$C$6*枚数!V17/(VLOOKUP(HUAWEI製ＰＣＳ接続枚数計算ツール!$C$9, HUAWEI製ＰＣＳ接続枚数計算ツール!$B$119:$P$149,2,FALSE)*1000*HUAWEI製ＰＣＳ接続枚数計算ツール!Y113)</f>
        <v>1.512</v>
      </c>
      <c r="W17" s="85">
        <f>HUAWEI製ＰＣＳ接続枚数計算ツール!$C$6*枚数!W17/(VLOOKUP(HUAWEI製ＰＣＳ接続枚数計算ツール!$C$9, HUAWEI製ＰＣＳ接続枚数計算ツール!$B$119:$P$149,2,FALSE)*1000*HUAWEI製ＰＣＳ接続枚数計算ツール!Y113)</f>
        <v>1.5840000000000001</v>
      </c>
      <c r="X17" s="85">
        <f>HUAWEI製ＰＣＳ接続枚数計算ツール!$C$6*枚数!X17/(VLOOKUP(HUAWEI製ＰＣＳ接続枚数計算ツール!$C$9, HUAWEI製ＰＣＳ接続枚数計算ツール!$B$119:$P$149,2,FALSE)*1000*HUAWEI製ＰＣＳ接続枚数計算ツール!Y113)</f>
        <v>1.6559999999999999</v>
      </c>
      <c r="Y17" s="85">
        <f>HUAWEI製ＰＣＳ接続枚数計算ツール!$C$6*枚数!Y17/(VLOOKUP(HUAWEI製ＰＣＳ接続枚数計算ツール!$C$9, HUAWEI製ＰＣＳ接続枚数計算ツール!$B$119:$P$149,2,FALSE)*1000*HUAWEI製ＰＣＳ接続枚数計算ツール!Y113)</f>
        <v>1.728</v>
      </c>
      <c r="Z17" s="85">
        <f>HUAWEI製ＰＣＳ接続枚数計算ツール!$C$6*枚数!Z17/(VLOOKUP(HUAWEI製ＰＣＳ接続枚数計算ツール!$C$9, HUAWEI製ＰＣＳ接続枚数計算ツール!$B$119:$P$149,2,FALSE)*1000*HUAWEI製ＰＣＳ接続枚数計算ツール!Y113)</f>
        <v>1.8</v>
      </c>
      <c r="AA17" s="85">
        <f>HUAWEI製ＰＣＳ接続枚数計算ツール!$C$6*枚数!AA17/(VLOOKUP(HUAWEI製ＰＣＳ接続枚数計算ツール!$C$9, HUAWEI製ＰＣＳ接続枚数計算ツール!$B$119:$P$149,2,FALSE)*1000*HUAWEI製ＰＣＳ接続枚数計算ツール!Y113)</f>
        <v>1.8720000000000001</v>
      </c>
      <c r="AB17" s="85">
        <f>HUAWEI製ＰＣＳ接続枚数計算ツール!$C$6*枚数!AB17/(VLOOKUP(HUAWEI製ＰＣＳ接続枚数計算ツール!$C$9, HUAWEI製ＰＣＳ接続枚数計算ツール!$B$119:$P$149,2,FALSE)*1000*HUAWEI製ＰＣＳ接続枚数計算ツール!Y113)</f>
        <v>1.944</v>
      </c>
      <c r="AC17" s="85">
        <f>HUAWEI製ＰＣＳ接続枚数計算ツール!$C$6*枚数!AC17/(VLOOKUP(HUAWEI製ＰＣＳ接続枚数計算ツール!$C$9, HUAWEI製ＰＣＳ接続枚数計算ツール!$B$119:$P$149,2,FALSE)*1000*HUAWEI製ＰＣＳ接続枚数計算ツール!Y113)</f>
        <v>2.016</v>
      </c>
      <c r="AD17" s="85">
        <f>HUAWEI製ＰＣＳ接続枚数計算ツール!$C$6*枚数!AD17/(VLOOKUP(HUAWEI製ＰＣＳ接続枚数計算ツール!$C$9, HUAWEI製ＰＣＳ接続枚数計算ツール!$B$119:$P$149,2,FALSE)*1000*HUAWEI製ＰＣＳ接続枚数計算ツール!Y113)</f>
        <v>2.0880000000000001</v>
      </c>
      <c r="AE17" s="85">
        <f>HUAWEI製ＰＣＳ接続枚数計算ツール!$C$6*枚数!AE17/(VLOOKUP(HUAWEI製ＰＣＳ接続枚数計算ツール!$C$9, HUAWEI製ＰＣＳ接続枚数計算ツール!$B$119:$P$149,2,FALSE)*1000*HUAWEI製ＰＣＳ接続枚数計算ツール!Y113)</f>
        <v>2.16</v>
      </c>
      <c r="AF17" s="85">
        <f>HUAWEI製ＰＣＳ接続枚数計算ツール!$C$6*枚数!AF17/(VLOOKUP(HUAWEI製ＰＣＳ接続枚数計算ツール!$C$9, HUAWEI製ＰＣＳ接続枚数計算ツール!$B$119:$P$149,2,FALSE)*1000*HUAWEI製ＰＣＳ接続枚数計算ツール!Y113)</f>
        <v>2.2320000000000002</v>
      </c>
      <c r="AG17" s="85">
        <f>HUAWEI製ＰＣＳ接続枚数計算ツール!$C$6*枚数!AG17/(VLOOKUP(HUAWEI製ＰＣＳ接続枚数計算ツール!$C$9, HUAWEI製ＰＣＳ接続枚数計算ツール!$B$119:$P$149,2,FALSE)*1000*HUAWEI製ＰＣＳ接続枚数計算ツール!Y113)</f>
        <v>2.3039999999999998</v>
      </c>
      <c r="AH17" s="85">
        <f>HUAWEI製ＰＣＳ接続枚数計算ツール!$C$6*枚数!AH17/(VLOOKUP(HUAWEI製ＰＣＳ接続枚数計算ツール!$C$9, HUAWEI製ＰＣＳ接続枚数計算ツール!$B$119:$P$149,2,FALSE)*1000*HUAWEI製ＰＣＳ接続枚数計算ツール!Y113)</f>
        <v>2.3759999999999999</v>
      </c>
      <c r="AI17" s="85">
        <f>HUAWEI製ＰＣＳ接続枚数計算ツール!$C$6*枚数!AI17/(VLOOKUP(HUAWEI製ＰＣＳ接続枚数計算ツール!$C$9, HUAWEI製ＰＣＳ接続枚数計算ツール!$B$119:$P$149,2,FALSE)*1000*HUAWEI製ＰＣＳ接続枚数計算ツール!Y113)</f>
        <v>2.448</v>
      </c>
      <c r="AJ17" s="85">
        <f>HUAWEI製ＰＣＳ接続枚数計算ツール!$C$6*枚数!AJ17/(VLOOKUP(HUAWEI製ＰＣＳ接続枚数計算ツール!$C$9, HUAWEI製ＰＣＳ接続枚数計算ツール!$B$119:$P$149,2,FALSE)*1000*HUAWEI製ＰＣＳ接続枚数計算ツール!Y113)</f>
        <v>2.52</v>
      </c>
      <c r="AK17" s="85">
        <f>HUAWEI製ＰＣＳ接続枚数計算ツール!$C$6*枚数!AK17/(VLOOKUP(HUAWEI製ＰＣＳ接続枚数計算ツール!$C$9, HUAWEI製ＰＣＳ接続枚数計算ツール!$B$119:$P$149,2,FALSE)*1000*HUAWEI製ＰＣＳ接続枚数計算ツール!Y113)</f>
        <v>2.5920000000000001</v>
      </c>
      <c r="AL17" s="85">
        <f>HUAWEI製ＰＣＳ接続枚数計算ツール!$C$6*枚数!AL17/(VLOOKUP(HUAWEI製ＰＣＳ接続枚数計算ツール!$C$9, HUAWEI製ＰＣＳ接続枚数計算ツール!$B$119:$P$149,2,FALSE)*1000*HUAWEI製ＰＣＳ接続枚数計算ツール!Y113)</f>
        <v>2.6640000000000001</v>
      </c>
      <c r="AM17" s="85">
        <f>HUAWEI製ＰＣＳ接続枚数計算ツール!$C$6*枚数!AM17/(VLOOKUP(HUAWEI製ＰＣＳ接続枚数計算ツール!$C$9, HUAWEI製ＰＣＳ接続枚数計算ツール!$B$119:$P$149,2,FALSE)*1000*HUAWEI製ＰＣＳ接続枚数計算ツール!Y113)</f>
        <v>2.7360000000000002</v>
      </c>
      <c r="AN17" s="85">
        <f>HUAWEI製ＰＣＳ接続枚数計算ツール!$C$6*枚数!AN17/(VLOOKUP(HUAWEI製ＰＣＳ接続枚数計算ツール!$C$9, HUAWEI製ＰＣＳ接続枚数計算ツール!$B$119:$P$149,2,FALSE)*1000*HUAWEI製ＰＣＳ接続枚数計算ツール!Y113)</f>
        <v>2.8079999999999998</v>
      </c>
      <c r="AO17" s="85">
        <f>HUAWEI製ＰＣＳ接続枚数計算ツール!$C$6*枚数!AO17/(VLOOKUP(HUAWEI製ＰＣＳ接続枚数計算ツール!$C$9, HUAWEI製ＰＣＳ接続枚数計算ツール!$B$119:$P$149,2,FALSE)*1000*HUAWEI製ＰＣＳ接続枚数計算ツール!Y113)</f>
        <v>2.88</v>
      </c>
    </row>
    <row r="18" spans="1:41">
      <c r="A18">
        <v>16</v>
      </c>
      <c r="B18" s="85">
        <f>HUAWEI製ＰＣＳ接続枚数計算ツール!$C$6*枚数!B18/(VLOOKUP(HUAWEI製ＰＣＳ接続枚数計算ツール!$C$9, HUAWEI製ＰＣＳ接続枚数計算ツール!$B$119:$P$149,2,FALSE)*1000*HUAWEI製ＰＣＳ接続枚数計算ツール!Y113)</f>
        <v>7.6799999999999993E-2</v>
      </c>
      <c r="C18" s="85">
        <f>HUAWEI製ＰＣＳ接続枚数計算ツール!$C$6*枚数!C18/(VLOOKUP(HUAWEI製ＰＣＳ接続枚数計算ツール!$C$9, HUAWEI製ＰＣＳ接続枚数計算ツール!$B$119:$P$149,2,FALSE)*1000*HUAWEI製ＰＣＳ接続枚数計算ツール!Y113)</f>
        <v>0.15359999999999999</v>
      </c>
      <c r="D18" s="85">
        <f>HUAWEI製ＰＣＳ接続枚数計算ツール!$C$6*枚数!D18/(VLOOKUP(HUAWEI製ＰＣＳ接続枚数計算ツール!$C$9, HUAWEI製ＰＣＳ接続枚数計算ツール!$B$119:$P$149,2,FALSE)*1000*HUAWEI製ＰＣＳ接続枚数計算ツール!Y113)</f>
        <v>0.23039999999999999</v>
      </c>
      <c r="E18" s="85">
        <f>HUAWEI製ＰＣＳ接続枚数計算ツール!$C$6*枚数!E18/(VLOOKUP(HUAWEI製ＰＣＳ接続枚数計算ツール!$C$9, HUAWEI製ＰＣＳ接続枚数計算ツール!$B$119:$P$149,2,FALSE)*1000*HUAWEI製ＰＣＳ接続枚数計算ツール!Y113)</f>
        <v>0.30719999999999997</v>
      </c>
      <c r="F18" s="85">
        <f>HUAWEI製ＰＣＳ接続枚数計算ツール!$C$6*枚数!F18/(VLOOKUP(HUAWEI製ＰＣＳ接続枚数計算ツール!$C$9, HUAWEI製ＰＣＳ接続枚数計算ツール!$B$119:$P$149,2,FALSE)*1000*HUAWEI製ＰＣＳ接続枚数計算ツール!Y113)</f>
        <v>0.38400000000000001</v>
      </c>
      <c r="G18" s="85">
        <f>HUAWEI製ＰＣＳ接続枚数計算ツール!$C$6*枚数!G18/(VLOOKUP(HUAWEI製ＰＣＳ接続枚数計算ツール!$C$9, HUAWEI製ＰＣＳ接続枚数計算ツール!$B$119:$P$149,2,FALSE)*1000*HUAWEI製ＰＣＳ接続枚数計算ツール!Y113)</f>
        <v>0.46079999999999999</v>
      </c>
      <c r="H18" s="85">
        <f>HUAWEI製ＰＣＳ接続枚数計算ツール!$C$6*枚数!H18/(VLOOKUP(HUAWEI製ＰＣＳ接続枚数計算ツール!$C$9, HUAWEI製ＰＣＳ接続枚数計算ツール!$B$119:$P$149,2,FALSE)*1000*HUAWEI製ＰＣＳ接続枚数計算ツール!Y113)</f>
        <v>0.53759999999999997</v>
      </c>
      <c r="I18" s="85">
        <f>HUAWEI製ＰＣＳ接続枚数計算ツール!$C$6*枚数!I18/(VLOOKUP(HUAWEI製ＰＣＳ接続枚数計算ツール!$C$9, HUAWEI製ＰＣＳ接続枚数計算ツール!$B$119:$P$149,2,FALSE)*1000*HUAWEI製ＰＣＳ接続枚数計算ツール!Y113)</f>
        <v>0.61439999999999995</v>
      </c>
      <c r="J18" s="85">
        <f>HUAWEI製ＰＣＳ接続枚数計算ツール!$C$6*枚数!J18/(VLOOKUP(HUAWEI製ＰＣＳ接続枚数計算ツール!$C$9, HUAWEI製ＰＣＳ接続枚数計算ツール!$B$119:$P$149,2,FALSE)*1000*HUAWEI製ＰＣＳ接続枚数計算ツール!Y113)</f>
        <v>0.69120000000000004</v>
      </c>
      <c r="K18" s="85">
        <f>HUAWEI製ＰＣＳ接続枚数計算ツール!$C$6*枚数!K18/(VLOOKUP(HUAWEI製ＰＣＳ接続枚数計算ツール!$C$9, HUAWEI製ＰＣＳ接続枚数計算ツール!$B$119:$P$149,2,FALSE)*1000*HUAWEI製ＰＣＳ接続枚数計算ツール!Y113)</f>
        <v>0.76800000000000002</v>
      </c>
      <c r="L18" s="85">
        <f>HUAWEI製ＰＣＳ接続枚数計算ツール!$C$6*枚数!L18/(VLOOKUP(HUAWEI製ＰＣＳ接続枚数計算ツール!$C$9, HUAWEI製ＰＣＳ接続枚数計算ツール!$B$119:$P$149,2,FALSE)*1000*HUAWEI製ＰＣＳ接続枚数計算ツール!Y113)</f>
        <v>0.8448</v>
      </c>
      <c r="M18" s="85">
        <f>HUAWEI製ＰＣＳ接続枚数計算ツール!$C$6*枚数!M18/(VLOOKUP(HUAWEI製ＰＣＳ接続枚数計算ツール!$C$9, HUAWEI製ＰＣＳ接続枚数計算ツール!$B$119:$P$149,2,FALSE)*1000*HUAWEI製ＰＣＳ接続枚数計算ツール!Y113)</f>
        <v>0.92159999999999997</v>
      </c>
      <c r="N18" s="85">
        <f>HUAWEI製ＰＣＳ接続枚数計算ツール!$C$6*枚数!N18/(VLOOKUP(HUAWEI製ＰＣＳ接続枚数計算ツール!$C$9, HUAWEI製ＰＣＳ接続枚数計算ツール!$B$119:$P$149,2,FALSE)*1000*HUAWEI製ＰＣＳ接続枚数計算ツール!Y113)</f>
        <v>0.99839999999999995</v>
      </c>
      <c r="O18" s="85">
        <f>HUAWEI製ＰＣＳ接続枚数計算ツール!$C$6*枚数!O18/(VLOOKUP(HUAWEI製ＰＣＳ接続枚数計算ツール!$C$9, HUAWEI製ＰＣＳ接続枚数計算ツール!$B$119:$P$149,2,FALSE)*1000*HUAWEI製ＰＣＳ接続枚数計算ツール!Y113)</f>
        <v>1.0751999999999999</v>
      </c>
      <c r="P18" s="85">
        <f>HUAWEI製ＰＣＳ接続枚数計算ツール!$C$6*枚数!P18/(VLOOKUP(HUAWEI製ＰＣＳ接続枚数計算ツール!$C$9, HUAWEI製ＰＣＳ接続枚数計算ツール!$B$119:$P$149,2,FALSE)*1000*HUAWEI製ＰＣＳ接続枚数計算ツール!Y113)</f>
        <v>1.1519999999999999</v>
      </c>
      <c r="Q18" s="85">
        <f>HUAWEI製ＰＣＳ接続枚数計算ツール!$C$6*枚数!Q18/(VLOOKUP(HUAWEI製ＰＣＳ接続枚数計算ツール!$C$9, HUAWEI製ＰＣＳ接続枚数計算ツール!$B$119:$P$149,2,FALSE)*1000*HUAWEI製ＰＣＳ接続枚数計算ツール!Y113)</f>
        <v>1.2287999999999999</v>
      </c>
      <c r="R18" s="85">
        <f>HUAWEI製ＰＣＳ接続枚数計算ツール!$C$6*枚数!R18/(VLOOKUP(HUAWEI製ＰＣＳ接続枚数計算ツール!$C$9, HUAWEI製ＰＣＳ接続枚数計算ツール!$B$119:$P$149,2,FALSE)*1000*HUAWEI製ＰＣＳ接続枚数計算ツール!Y113)</f>
        <v>1.3056000000000001</v>
      </c>
      <c r="S18" s="85">
        <f>HUAWEI製ＰＣＳ接続枚数計算ツール!$C$6*枚数!S18/(VLOOKUP(HUAWEI製ＰＣＳ接続枚数計算ツール!$C$9, HUAWEI製ＰＣＳ接続枚数計算ツール!$B$119:$P$149,2,FALSE)*1000*HUAWEI製ＰＣＳ接続枚数計算ツール!Y113)</f>
        <v>1.3824000000000001</v>
      </c>
      <c r="T18" s="85">
        <f>HUAWEI製ＰＣＳ接続枚数計算ツール!$C$6*枚数!T18/(VLOOKUP(HUAWEI製ＰＣＳ接続枚数計算ツール!$C$9, HUAWEI製ＰＣＳ接続枚数計算ツール!$B$119:$P$149,2,FALSE)*1000*HUAWEI製ＰＣＳ接続枚数計算ツール!Y113)</f>
        <v>1.4592000000000001</v>
      </c>
      <c r="U18" s="85">
        <f>HUAWEI製ＰＣＳ接続枚数計算ツール!$C$6*枚数!U18/(VLOOKUP(HUAWEI製ＰＣＳ接続枚数計算ツール!$C$9, HUAWEI製ＰＣＳ接続枚数計算ツール!$B$119:$P$149,2,FALSE)*1000*HUAWEI製ＰＣＳ接続枚数計算ツール!Y113)</f>
        <v>1.536</v>
      </c>
      <c r="V18" s="85">
        <f>HUAWEI製ＰＣＳ接続枚数計算ツール!$C$6*枚数!V18/(VLOOKUP(HUAWEI製ＰＣＳ接続枚数計算ツール!$C$9, HUAWEI製ＰＣＳ接続枚数計算ツール!$B$119:$P$149,2,FALSE)*1000*HUAWEI製ＰＣＳ接続枚数計算ツール!Y113)</f>
        <v>1.6128</v>
      </c>
      <c r="W18" s="85">
        <f>HUAWEI製ＰＣＳ接続枚数計算ツール!$C$6*枚数!W18/(VLOOKUP(HUAWEI製ＰＣＳ接続枚数計算ツール!$C$9, HUAWEI製ＰＣＳ接続枚数計算ツール!$B$119:$P$149,2,FALSE)*1000*HUAWEI製ＰＣＳ接続枚数計算ツール!Y113)</f>
        <v>1.6896</v>
      </c>
      <c r="X18" s="85">
        <f>HUAWEI製ＰＣＳ接続枚数計算ツール!$C$6*枚数!X18/(VLOOKUP(HUAWEI製ＰＣＳ接続枚数計算ツール!$C$9, HUAWEI製ＰＣＳ接続枚数計算ツール!$B$119:$P$149,2,FALSE)*1000*HUAWEI製ＰＣＳ接続枚数計算ツール!Y113)</f>
        <v>1.7664</v>
      </c>
      <c r="Y18" s="85">
        <f>HUAWEI製ＰＣＳ接続枚数計算ツール!$C$6*枚数!Y18/(VLOOKUP(HUAWEI製ＰＣＳ接続枚数計算ツール!$C$9, HUAWEI製ＰＣＳ接続枚数計算ツール!$B$119:$P$149,2,FALSE)*1000*HUAWEI製ＰＣＳ接続枚数計算ツール!Y113)</f>
        <v>1.8431999999999999</v>
      </c>
      <c r="Z18" s="85">
        <f>HUAWEI製ＰＣＳ接続枚数計算ツール!$C$6*枚数!Z18/(VLOOKUP(HUAWEI製ＰＣＳ接続枚数計算ツール!$C$9, HUAWEI製ＰＣＳ接続枚数計算ツール!$B$119:$P$149,2,FALSE)*1000*HUAWEI製ＰＣＳ接続枚数計算ツール!Y113)</f>
        <v>1.92</v>
      </c>
      <c r="AA18" s="85">
        <f>HUAWEI製ＰＣＳ接続枚数計算ツール!$C$6*枚数!AA18/(VLOOKUP(HUAWEI製ＰＣＳ接続枚数計算ツール!$C$9, HUAWEI製ＰＣＳ接続枚数計算ツール!$B$119:$P$149,2,FALSE)*1000*HUAWEI製ＰＣＳ接続枚数計算ツール!Y113)</f>
        <v>1.9967999999999999</v>
      </c>
      <c r="AB18" s="85">
        <f>HUAWEI製ＰＣＳ接続枚数計算ツール!$C$6*枚数!AB18/(VLOOKUP(HUAWEI製ＰＣＳ接続枚数計算ツール!$C$9, HUAWEI製ＰＣＳ接続枚数計算ツール!$B$119:$P$149,2,FALSE)*1000*HUAWEI製ＰＣＳ接続枚数計算ツール!Y113)</f>
        <v>2.0735999999999999</v>
      </c>
      <c r="AC18" s="85">
        <f>HUAWEI製ＰＣＳ接続枚数計算ツール!$C$6*枚数!AC18/(VLOOKUP(HUAWEI製ＰＣＳ接続枚数計算ツール!$C$9, HUAWEI製ＰＣＳ接続枚数計算ツール!$B$119:$P$149,2,FALSE)*1000*HUAWEI製ＰＣＳ接続枚数計算ツール!Y113)</f>
        <v>2.1503999999999999</v>
      </c>
      <c r="AD18" s="85">
        <f>HUAWEI製ＰＣＳ接続枚数計算ツール!$C$6*枚数!AD18/(VLOOKUP(HUAWEI製ＰＣＳ接続枚数計算ツール!$C$9, HUAWEI製ＰＣＳ接続枚数計算ツール!$B$119:$P$149,2,FALSE)*1000*HUAWEI製ＰＣＳ接続枚数計算ツール!Y113)</f>
        <v>2.2271999999999998</v>
      </c>
      <c r="AE18" s="85">
        <f>HUAWEI製ＰＣＳ接続枚数計算ツール!$C$6*枚数!AE18/(VLOOKUP(HUAWEI製ＰＣＳ接続枚数計算ツール!$C$9, HUAWEI製ＰＣＳ接続枚数計算ツール!$B$119:$P$149,2,FALSE)*1000*HUAWEI製ＰＣＳ接続枚数計算ツール!Y113)</f>
        <v>2.3039999999999998</v>
      </c>
      <c r="AF18" s="85">
        <f>HUAWEI製ＰＣＳ接続枚数計算ツール!$C$6*枚数!AF18/(VLOOKUP(HUAWEI製ＰＣＳ接続枚数計算ツール!$C$9, HUAWEI製ＰＣＳ接続枚数計算ツール!$B$119:$P$149,2,FALSE)*1000*HUAWEI製ＰＣＳ接続枚数計算ツール!Y113)</f>
        <v>2.3807999999999998</v>
      </c>
      <c r="AG18" s="85">
        <f>HUAWEI製ＰＣＳ接続枚数計算ツール!$C$6*枚数!AG18/(VLOOKUP(HUAWEI製ＰＣＳ接続枚数計算ツール!$C$9, HUAWEI製ＰＣＳ接続枚数計算ツール!$B$119:$P$149,2,FALSE)*1000*HUAWEI製ＰＣＳ接続枚数計算ツール!Y113)</f>
        <v>2.4575999999999998</v>
      </c>
      <c r="AH18" s="85">
        <f>HUAWEI製ＰＣＳ接続枚数計算ツール!$C$6*枚数!AH18/(VLOOKUP(HUAWEI製ＰＣＳ接続枚数計算ツール!$C$9, HUAWEI製ＰＣＳ接続枚数計算ツール!$B$119:$P$149,2,FALSE)*1000*HUAWEI製ＰＣＳ接続枚数計算ツール!Y113)</f>
        <v>2.5344000000000002</v>
      </c>
      <c r="AI18" s="85">
        <f>HUAWEI製ＰＣＳ接続枚数計算ツール!$C$6*枚数!AI18/(VLOOKUP(HUAWEI製ＰＣＳ接続枚数計算ツール!$C$9, HUAWEI製ＰＣＳ接続枚数計算ツール!$B$119:$P$149,2,FALSE)*1000*HUAWEI製ＰＣＳ接続枚数計算ツール!Y113)</f>
        <v>2.6112000000000002</v>
      </c>
      <c r="AJ18" s="85">
        <f>HUAWEI製ＰＣＳ接続枚数計算ツール!$C$6*枚数!AJ18/(VLOOKUP(HUAWEI製ＰＣＳ接続枚数計算ツール!$C$9, HUAWEI製ＰＣＳ接続枚数計算ツール!$B$119:$P$149,2,FALSE)*1000*HUAWEI製ＰＣＳ接続枚数計算ツール!Y113)</f>
        <v>2.6880000000000002</v>
      </c>
      <c r="AK18" s="85">
        <f>HUAWEI製ＰＣＳ接続枚数計算ツール!$C$6*枚数!AK18/(VLOOKUP(HUAWEI製ＰＣＳ接続枚数計算ツール!$C$9, HUAWEI製ＰＣＳ接続枚数計算ツール!$B$119:$P$149,2,FALSE)*1000*HUAWEI製ＰＣＳ接続枚数計算ツール!Y113)</f>
        <v>2.7648000000000001</v>
      </c>
      <c r="AL18" s="85">
        <f>HUAWEI製ＰＣＳ接続枚数計算ツール!$C$6*枚数!AL18/(VLOOKUP(HUAWEI製ＰＣＳ接続枚数計算ツール!$C$9, HUAWEI製ＰＣＳ接続枚数計算ツール!$B$119:$P$149,2,FALSE)*1000*HUAWEI製ＰＣＳ接続枚数計算ツール!Y113)</f>
        <v>2.8416000000000001</v>
      </c>
      <c r="AM18" s="85">
        <f>HUAWEI製ＰＣＳ接続枚数計算ツール!$C$6*枚数!AM18/(VLOOKUP(HUAWEI製ＰＣＳ接続枚数計算ツール!$C$9, HUAWEI製ＰＣＳ接続枚数計算ツール!$B$119:$P$149,2,FALSE)*1000*HUAWEI製ＰＣＳ接続枚数計算ツール!Y113)</f>
        <v>2.9184000000000001</v>
      </c>
      <c r="AN18" s="85">
        <f>HUAWEI製ＰＣＳ接続枚数計算ツール!$C$6*枚数!AN18/(VLOOKUP(HUAWEI製ＰＣＳ接続枚数計算ツール!$C$9, HUAWEI製ＰＣＳ接続枚数計算ツール!$B$119:$P$149,2,FALSE)*1000*HUAWEI製ＰＣＳ接続枚数計算ツール!Y113)</f>
        <v>2.9952000000000001</v>
      </c>
      <c r="AO18" s="85">
        <f>HUAWEI製ＰＣＳ接続枚数計算ツール!$C$6*枚数!AO18/(VLOOKUP(HUAWEI製ＰＣＳ接続枚数計算ツール!$C$9, HUAWEI製ＰＣＳ接続枚数計算ツール!$B$119:$P$149,2,FALSE)*1000*HUAWEI製ＰＣＳ接続枚数計算ツール!Y113)</f>
        <v>3.0720000000000001</v>
      </c>
    </row>
    <row r="19" spans="1:41">
      <c r="A19">
        <v>17</v>
      </c>
      <c r="B19" s="85">
        <f>HUAWEI製ＰＣＳ接続枚数計算ツール!$C$6*枚数!B19/(VLOOKUP(HUAWEI製ＰＣＳ接続枚数計算ツール!$C$9, HUAWEI製ＰＣＳ接続枚数計算ツール!$B$119:$P$149,2,FALSE)*1000*HUAWEI製ＰＣＳ接続枚数計算ツール!Y113)</f>
        <v>8.1600000000000006E-2</v>
      </c>
      <c r="C19" s="85">
        <f>HUAWEI製ＰＣＳ接続枚数計算ツール!$C$6*枚数!C19/(VLOOKUP(HUAWEI製ＰＣＳ接続枚数計算ツール!$C$9, HUAWEI製ＰＣＳ接続枚数計算ツール!$B$119:$P$149,2,FALSE)*1000*HUAWEI製ＰＣＳ接続枚数計算ツール!Y113)</f>
        <v>0.16320000000000001</v>
      </c>
      <c r="D19" s="85">
        <f>HUAWEI製ＰＣＳ接続枚数計算ツール!$C$6*枚数!D19/(VLOOKUP(HUAWEI製ＰＣＳ接続枚数計算ツール!$C$9, HUAWEI製ＰＣＳ接続枚数計算ツール!$B$119:$P$149,2,FALSE)*1000*HUAWEI製ＰＣＳ接続枚数計算ツール!Y113)</f>
        <v>0.24479999999999999</v>
      </c>
      <c r="E19" s="85">
        <f>HUAWEI製ＰＣＳ接続枚数計算ツール!$C$6*枚数!E19/(VLOOKUP(HUAWEI製ＰＣＳ接続枚数計算ツール!$C$9, HUAWEI製ＰＣＳ接続枚数計算ツール!$B$119:$P$149,2,FALSE)*1000*HUAWEI製ＰＣＳ接続枚数計算ツール!Y113)</f>
        <v>0.32640000000000002</v>
      </c>
      <c r="F19" s="85">
        <f>HUAWEI製ＰＣＳ接続枚数計算ツール!$C$6*枚数!F19/(VLOOKUP(HUAWEI製ＰＣＳ接続枚数計算ツール!$C$9, HUAWEI製ＰＣＳ接続枚数計算ツール!$B$119:$P$149,2,FALSE)*1000*HUAWEI製ＰＣＳ接続枚数計算ツール!Y113)</f>
        <v>0.40799999999999997</v>
      </c>
      <c r="G19" s="85">
        <f>HUAWEI製ＰＣＳ接続枚数計算ツール!$C$6*枚数!G19/(VLOOKUP(HUAWEI製ＰＣＳ接続枚数計算ツール!$C$9, HUAWEI製ＰＣＳ接続枚数計算ツール!$B$119:$P$149,2,FALSE)*1000*HUAWEI製ＰＣＳ接続枚数計算ツール!Y113)</f>
        <v>0.48959999999999998</v>
      </c>
      <c r="H19" s="85">
        <f>HUAWEI製ＰＣＳ接続枚数計算ツール!$C$6*枚数!H19/(VLOOKUP(HUAWEI製ＰＣＳ接続枚数計算ツール!$C$9, HUAWEI製ＰＣＳ接続枚数計算ツール!$B$119:$P$149,2,FALSE)*1000*HUAWEI製ＰＣＳ接続枚数計算ツール!Y113)</f>
        <v>0.57120000000000004</v>
      </c>
      <c r="I19" s="85">
        <f>HUAWEI製ＰＣＳ接続枚数計算ツール!$C$6*枚数!I19/(VLOOKUP(HUAWEI製ＰＣＳ接続枚数計算ツール!$C$9, HUAWEI製ＰＣＳ接続枚数計算ツール!$B$119:$P$149,2,FALSE)*1000*HUAWEI製ＰＣＳ接続枚数計算ツール!Y113)</f>
        <v>0.65280000000000005</v>
      </c>
      <c r="J19" s="85">
        <f>HUAWEI製ＰＣＳ接続枚数計算ツール!$C$6*枚数!J19/(VLOOKUP(HUAWEI製ＰＣＳ接続枚数計算ツール!$C$9, HUAWEI製ＰＣＳ接続枚数計算ツール!$B$119:$P$149,2,FALSE)*1000*HUAWEI製ＰＣＳ接続枚数計算ツール!Y113)</f>
        <v>0.73440000000000005</v>
      </c>
      <c r="K19" s="85">
        <f>HUAWEI製ＰＣＳ接続枚数計算ツール!$C$6*枚数!K19/(VLOOKUP(HUAWEI製ＰＣＳ接続枚数計算ツール!$C$9, HUAWEI製ＰＣＳ接続枚数計算ツール!$B$119:$P$149,2,FALSE)*1000*HUAWEI製ＰＣＳ接続枚数計算ツール!Y113)</f>
        <v>0.81599999999999995</v>
      </c>
      <c r="L19" s="85">
        <f>HUAWEI製ＰＣＳ接続枚数計算ツール!$C$6*枚数!L19/(VLOOKUP(HUAWEI製ＰＣＳ接続枚数計算ツール!$C$9, HUAWEI製ＰＣＳ接続枚数計算ツール!$B$119:$P$149,2,FALSE)*1000*HUAWEI製ＰＣＳ接続枚数計算ツール!Y113)</f>
        <v>0.89759999999999995</v>
      </c>
      <c r="M19" s="85">
        <f>HUAWEI製ＰＣＳ接続枚数計算ツール!$C$6*枚数!M19/(VLOOKUP(HUAWEI製ＰＣＳ接続枚数計算ツール!$C$9, HUAWEI製ＰＣＳ接続枚数計算ツール!$B$119:$P$149,2,FALSE)*1000*HUAWEI製ＰＣＳ接続枚数計算ツール!Y113)</f>
        <v>0.97919999999999996</v>
      </c>
      <c r="N19" s="85">
        <f>HUAWEI製ＰＣＳ接続枚数計算ツール!$C$6*枚数!N19/(VLOOKUP(HUAWEI製ＰＣＳ接続枚数計算ツール!$C$9, HUAWEI製ＰＣＳ接続枚数計算ツール!$B$119:$P$149,2,FALSE)*1000*HUAWEI製ＰＣＳ接続枚数計算ツール!Y113)</f>
        <v>1.0608</v>
      </c>
      <c r="O19" s="85">
        <f>HUAWEI製ＰＣＳ接続枚数計算ツール!$C$6*枚数!O19/(VLOOKUP(HUAWEI製ＰＣＳ接続枚数計算ツール!$C$9, HUAWEI製ＰＣＳ接続枚数計算ツール!$B$119:$P$149,2,FALSE)*1000*HUAWEI製ＰＣＳ接続枚数計算ツール!Y113)</f>
        <v>1.1424000000000001</v>
      </c>
      <c r="P19" s="85">
        <f>HUAWEI製ＰＣＳ接続枚数計算ツール!$C$6*枚数!P19/(VLOOKUP(HUAWEI製ＰＣＳ接続枚数計算ツール!$C$9, HUAWEI製ＰＣＳ接続枚数計算ツール!$B$119:$P$149,2,FALSE)*1000*HUAWEI製ＰＣＳ接続枚数計算ツール!Y113)</f>
        <v>1.224</v>
      </c>
      <c r="Q19" s="85">
        <f>HUAWEI製ＰＣＳ接続枚数計算ツール!$C$6*枚数!Q19/(VLOOKUP(HUAWEI製ＰＣＳ接続枚数計算ツール!$C$9, HUAWEI製ＰＣＳ接続枚数計算ツール!$B$119:$P$149,2,FALSE)*1000*HUAWEI製ＰＣＳ接続枚数計算ツール!Y113)</f>
        <v>1.3056000000000001</v>
      </c>
      <c r="R19" s="85">
        <f>HUAWEI製ＰＣＳ接続枚数計算ツール!$C$6*枚数!R19/(VLOOKUP(HUAWEI製ＰＣＳ接続枚数計算ツール!$C$9, HUAWEI製ＰＣＳ接続枚数計算ツール!$B$119:$P$149,2,FALSE)*1000*HUAWEI製ＰＣＳ接続枚数計算ツール!Y113)</f>
        <v>1.3872</v>
      </c>
      <c r="S19" s="85">
        <f>HUAWEI製ＰＣＳ接続枚数計算ツール!$C$6*枚数!S19/(VLOOKUP(HUAWEI製ＰＣＳ接続枚数計算ツール!$C$9, HUAWEI製ＰＣＳ接続枚数計算ツール!$B$119:$P$149,2,FALSE)*1000*HUAWEI製ＰＣＳ接続枚数計算ツール!Y113)</f>
        <v>1.4688000000000001</v>
      </c>
      <c r="T19" s="85">
        <f>HUAWEI製ＰＣＳ接続枚数計算ツール!$C$6*枚数!T19/(VLOOKUP(HUAWEI製ＰＣＳ接続枚数計算ツール!$C$9, HUAWEI製ＰＣＳ接続枚数計算ツール!$B$119:$P$149,2,FALSE)*1000*HUAWEI製ＰＣＳ接続枚数計算ツール!Y113)</f>
        <v>1.5504</v>
      </c>
      <c r="U19" s="85">
        <f>HUAWEI製ＰＣＳ接続枚数計算ツール!$C$6*枚数!U19/(VLOOKUP(HUAWEI製ＰＣＳ接続枚数計算ツール!$C$9, HUAWEI製ＰＣＳ接続枚数計算ツール!$B$119:$P$149,2,FALSE)*1000*HUAWEI製ＰＣＳ接続枚数計算ツール!Y113)</f>
        <v>1.6319999999999999</v>
      </c>
      <c r="V19" s="85">
        <f>HUAWEI製ＰＣＳ接続枚数計算ツール!$C$6*枚数!V19/(VLOOKUP(HUAWEI製ＰＣＳ接続枚数計算ツール!$C$9, HUAWEI製ＰＣＳ接続枚数計算ツール!$B$119:$P$149,2,FALSE)*1000*HUAWEI製ＰＣＳ接続枚数計算ツール!Y113)</f>
        <v>1.7136</v>
      </c>
      <c r="W19" s="85">
        <f>HUAWEI製ＰＣＳ接続枚数計算ツール!$C$6*枚数!W19/(VLOOKUP(HUAWEI製ＰＣＳ接続枚数計算ツール!$C$9, HUAWEI製ＰＣＳ接続枚数計算ツール!$B$119:$P$149,2,FALSE)*1000*HUAWEI製ＰＣＳ接続枚数計算ツール!Y113)</f>
        <v>1.7951999999999999</v>
      </c>
      <c r="X19" s="85">
        <f>HUAWEI製ＰＣＳ接続枚数計算ツール!$C$6*枚数!X19/(VLOOKUP(HUAWEI製ＰＣＳ接続枚数計算ツール!$C$9, HUAWEI製ＰＣＳ接続枚数計算ツール!$B$119:$P$149,2,FALSE)*1000*HUAWEI製ＰＣＳ接続枚数計算ツール!Y113)</f>
        <v>1.8768</v>
      </c>
      <c r="Y19" s="85">
        <f>HUAWEI製ＰＣＳ接続枚数計算ツール!$C$6*枚数!Y19/(VLOOKUP(HUAWEI製ＰＣＳ接続枚数計算ツール!$C$9, HUAWEI製ＰＣＳ接続枚数計算ツール!$B$119:$P$149,2,FALSE)*1000*HUAWEI製ＰＣＳ接続枚数計算ツール!Y113)</f>
        <v>1.9583999999999999</v>
      </c>
      <c r="Z19" s="85">
        <f>HUAWEI製ＰＣＳ接続枚数計算ツール!$C$6*枚数!Z19/(VLOOKUP(HUAWEI製ＰＣＳ接続枚数計算ツール!$C$9, HUAWEI製ＰＣＳ接続枚数計算ツール!$B$119:$P$149,2,FALSE)*1000*HUAWEI製ＰＣＳ接続枚数計算ツール!Y113)</f>
        <v>2.04</v>
      </c>
      <c r="AA19" s="85">
        <f>HUAWEI製ＰＣＳ接続枚数計算ツール!$C$6*枚数!AA19/(VLOOKUP(HUAWEI製ＰＣＳ接続枚数計算ツール!$C$9, HUAWEI製ＰＣＳ接続枚数計算ツール!$B$119:$P$149,2,FALSE)*1000*HUAWEI製ＰＣＳ接続枚数計算ツール!Y113)</f>
        <v>2.1215999999999999</v>
      </c>
      <c r="AB19" s="85">
        <f>HUAWEI製ＰＣＳ接続枚数計算ツール!$C$6*枚数!AB19/(VLOOKUP(HUAWEI製ＰＣＳ接続枚数計算ツール!$C$9, HUAWEI製ＰＣＳ接続枚数計算ツール!$B$119:$P$149,2,FALSE)*1000*HUAWEI製ＰＣＳ接続枚数計算ツール!Y113)</f>
        <v>2.2031999999999998</v>
      </c>
      <c r="AC19" s="85">
        <f>HUAWEI製ＰＣＳ接続枚数計算ツール!$C$6*枚数!AC19/(VLOOKUP(HUAWEI製ＰＣＳ接続枚数計算ツール!$C$9, HUAWEI製ＰＣＳ接続枚数計算ツール!$B$119:$P$149,2,FALSE)*1000*HUAWEI製ＰＣＳ接続枚数計算ツール!Y113)</f>
        <v>2.2848000000000002</v>
      </c>
      <c r="AD19" s="85">
        <f>HUAWEI製ＰＣＳ接続枚数計算ツール!$C$6*枚数!AD19/(VLOOKUP(HUAWEI製ＰＣＳ接続枚数計算ツール!$C$9, HUAWEI製ＰＣＳ接続枚数計算ツール!$B$119:$P$149,2,FALSE)*1000*HUAWEI製ＰＣＳ接続枚数計算ツール!Y113)</f>
        <v>2.3664000000000001</v>
      </c>
      <c r="AE19" s="85">
        <f>HUAWEI製ＰＣＳ接続枚数計算ツール!$C$6*枚数!AE19/(VLOOKUP(HUAWEI製ＰＣＳ接続枚数計算ツール!$C$9, HUAWEI製ＰＣＳ接続枚数計算ツール!$B$119:$P$149,2,FALSE)*1000*HUAWEI製ＰＣＳ接続枚数計算ツール!Y113)</f>
        <v>2.448</v>
      </c>
      <c r="AF19" s="85">
        <f>HUAWEI製ＰＣＳ接続枚数計算ツール!$C$6*枚数!AF19/(VLOOKUP(HUAWEI製ＰＣＳ接続枚数計算ツール!$C$9, HUAWEI製ＰＣＳ接続枚数計算ツール!$B$119:$P$149,2,FALSE)*1000*HUAWEI製ＰＣＳ接続枚数計算ツール!Y113)</f>
        <v>2.5295999999999998</v>
      </c>
      <c r="AG19" s="85">
        <f>HUAWEI製ＰＣＳ接続枚数計算ツール!$C$6*枚数!AG19/(VLOOKUP(HUAWEI製ＰＣＳ接続枚数計算ツール!$C$9, HUAWEI製ＰＣＳ接続枚数計算ツール!$B$119:$P$149,2,FALSE)*1000*HUAWEI製ＰＣＳ接続枚数計算ツール!Y113)</f>
        <v>2.6112000000000002</v>
      </c>
      <c r="AH19" s="85">
        <f>HUAWEI製ＰＣＳ接続枚数計算ツール!$C$6*枚数!AH19/(VLOOKUP(HUAWEI製ＰＣＳ接続枚数計算ツール!$C$9, HUAWEI製ＰＣＳ接続枚数計算ツール!$B$119:$P$149,2,FALSE)*1000*HUAWEI製ＰＣＳ接続枚数計算ツール!Y113)</f>
        <v>2.6928000000000001</v>
      </c>
      <c r="AI19" s="85">
        <f>HUAWEI製ＰＣＳ接続枚数計算ツール!$C$6*枚数!AI19/(VLOOKUP(HUAWEI製ＰＣＳ接続枚数計算ツール!$C$9, HUAWEI製ＰＣＳ接続枚数計算ツール!$B$119:$P$149,2,FALSE)*1000*HUAWEI製ＰＣＳ接続枚数計算ツール!Y113)</f>
        <v>2.7744</v>
      </c>
      <c r="AJ19" s="85">
        <f>HUAWEI製ＰＣＳ接続枚数計算ツール!$C$6*枚数!AJ19/(VLOOKUP(HUAWEI製ＰＣＳ接続枚数計算ツール!$C$9, HUAWEI製ＰＣＳ接続枚数計算ツール!$B$119:$P$149,2,FALSE)*1000*HUAWEI製ＰＣＳ接続枚数計算ツール!Y113)</f>
        <v>2.8559999999999999</v>
      </c>
      <c r="AK19" s="85">
        <f>HUAWEI製ＰＣＳ接続枚数計算ツール!$C$6*枚数!AK19/(VLOOKUP(HUAWEI製ＰＣＳ接続枚数計算ツール!$C$9, HUAWEI製ＰＣＳ接続枚数計算ツール!$B$119:$P$149,2,FALSE)*1000*HUAWEI製ＰＣＳ接続枚数計算ツール!Y113)</f>
        <v>2.9376000000000002</v>
      </c>
      <c r="AL19" s="85">
        <f>HUAWEI製ＰＣＳ接続枚数計算ツール!$C$6*枚数!AL19/(VLOOKUP(HUAWEI製ＰＣＳ接続枚数計算ツール!$C$9, HUAWEI製ＰＣＳ接続枚数計算ツール!$B$119:$P$149,2,FALSE)*1000*HUAWEI製ＰＣＳ接続枚数計算ツール!Y113)</f>
        <v>3.0192000000000001</v>
      </c>
      <c r="AM19" s="85">
        <f>HUAWEI製ＰＣＳ接続枚数計算ツール!$C$6*枚数!AM19/(VLOOKUP(HUAWEI製ＰＣＳ接続枚数計算ツール!$C$9, HUAWEI製ＰＣＳ接続枚数計算ツール!$B$119:$P$149,2,FALSE)*1000*HUAWEI製ＰＣＳ接続枚数計算ツール!Y113)</f>
        <v>3.1008</v>
      </c>
      <c r="AN19" s="85">
        <f>HUAWEI製ＰＣＳ接続枚数計算ツール!$C$6*枚数!AN19/(VLOOKUP(HUAWEI製ＰＣＳ接続枚数計算ツール!$C$9, HUAWEI製ＰＣＳ接続枚数計算ツール!$B$119:$P$149,2,FALSE)*1000*HUAWEI製ＰＣＳ接続枚数計算ツール!Y113)</f>
        <v>3.1823999999999999</v>
      </c>
      <c r="AO19" s="85">
        <f>HUAWEI製ＰＣＳ接続枚数計算ツール!$C$6*枚数!AO19/(VLOOKUP(HUAWEI製ＰＣＳ接続枚数計算ツール!$C$9, HUAWEI製ＰＣＳ接続枚数計算ツール!$B$119:$P$149,2,FALSE)*1000*HUAWEI製ＰＣＳ接続枚数計算ツール!Y113)</f>
        <v>3.2639999999999998</v>
      </c>
    </row>
    <row r="20" spans="1:41">
      <c r="A20">
        <v>18</v>
      </c>
      <c r="B20" s="85">
        <f>HUAWEI製ＰＣＳ接続枚数計算ツール!$C$6*枚数!B20/(VLOOKUP(HUAWEI製ＰＣＳ接続枚数計算ツール!$C$9, HUAWEI製ＰＣＳ接続枚数計算ツール!$B$119:$P$149,2,FALSE)*1000*HUAWEI製ＰＣＳ接続枚数計算ツール!Y113)</f>
        <v>8.6400000000000005E-2</v>
      </c>
      <c r="C20" s="85">
        <f>HUAWEI製ＰＣＳ接続枚数計算ツール!$C$6*枚数!C20/(VLOOKUP(HUAWEI製ＰＣＳ接続枚数計算ツール!$C$9, HUAWEI製ＰＣＳ接続枚数計算ツール!$B$119:$P$149,2,FALSE)*1000*HUAWEI製ＰＣＳ接続枚数計算ツール!Y113)</f>
        <v>0.17280000000000001</v>
      </c>
      <c r="D20" s="85">
        <f>HUAWEI製ＰＣＳ接続枚数計算ツール!$C$6*枚数!D20/(VLOOKUP(HUAWEI製ＰＣＳ接続枚数計算ツール!$C$9, HUAWEI製ＰＣＳ接続枚数計算ツール!$B$119:$P$149,2,FALSE)*1000*HUAWEI製ＰＣＳ接続枚数計算ツール!Y113)</f>
        <v>0.25919999999999999</v>
      </c>
      <c r="E20" s="85">
        <f>HUAWEI製ＰＣＳ接続枚数計算ツール!$C$6*枚数!E20/(VLOOKUP(HUAWEI製ＰＣＳ接続枚数計算ツール!$C$9, HUAWEI製ＰＣＳ接続枚数計算ツール!$B$119:$P$149,2,FALSE)*1000*HUAWEI製ＰＣＳ接続枚数計算ツール!Y113)</f>
        <v>0.34560000000000002</v>
      </c>
      <c r="F20" s="85">
        <f>HUAWEI製ＰＣＳ接続枚数計算ツール!$C$6*枚数!F20/(VLOOKUP(HUAWEI製ＰＣＳ接続枚数計算ツール!$C$9, HUAWEI製ＰＣＳ接続枚数計算ツール!$B$119:$P$149,2,FALSE)*1000*HUAWEI製ＰＣＳ接続枚数計算ツール!Y113)</f>
        <v>0.432</v>
      </c>
      <c r="G20" s="85">
        <f>HUAWEI製ＰＣＳ接続枚数計算ツール!$C$6*枚数!G20/(VLOOKUP(HUAWEI製ＰＣＳ接続枚数計算ツール!$C$9, HUAWEI製ＰＣＳ接続枚数計算ツール!$B$119:$P$149,2,FALSE)*1000*HUAWEI製ＰＣＳ接続枚数計算ツール!Y113)</f>
        <v>0.51839999999999997</v>
      </c>
      <c r="H20" s="85">
        <f>HUAWEI製ＰＣＳ接続枚数計算ツール!$C$6*枚数!H20/(VLOOKUP(HUAWEI製ＰＣＳ接続枚数計算ツール!$C$9, HUAWEI製ＰＣＳ接続枚数計算ツール!$B$119:$P$149,2,FALSE)*1000*HUAWEI製ＰＣＳ接続枚数計算ツール!Y113)</f>
        <v>0.6048</v>
      </c>
      <c r="I20" s="85">
        <f>HUAWEI製ＰＣＳ接続枚数計算ツール!$C$6*枚数!I20/(VLOOKUP(HUAWEI製ＰＣＳ接続枚数計算ツール!$C$9, HUAWEI製ＰＣＳ接続枚数計算ツール!$B$119:$P$149,2,FALSE)*1000*HUAWEI製ＰＣＳ接続枚数計算ツール!Y113)</f>
        <v>0.69120000000000004</v>
      </c>
      <c r="J20" s="85">
        <f>HUAWEI製ＰＣＳ接続枚数計算ツール!$C$6*枚数!J20/(VLOOKUP(HUAWEI製ＰＣＳ接続枚数計算ツール!$C$9, HUAWEI製ＰＣＳ接続枚数計算ツール!$B$119:$P$149,2,FALSE)*1000*HUAWEI製ＰＣＳ接続枚数計算ツール!Y113)</f>
        <v>0.77759999999999996</v>
      </c>
      <c r="K20" s="85">
        <f>HUAWEI製ＰＣＳ接続枚数計算ツール!$C$6*枚数!K20/(VLOOKUP(HUAWEI製ＰＣＳ接続枚数計算ツール!$C$9, HUAWEI製ＰＣＳ接続枚数計算ツール!$B$119:$P$149,2,FALSE)*1000*HUAWEI製ＰＣＳ接続枚数計算ツール!Y113)</f>
        <v>0.86399999999999999</v>
      </c>
      <c r="L20" s="85">
        <f>HUAWEI製ＰＣＳ接続枚数計算ツール!$C$6*枚数!L20/(VLOOKUP(HUAWEI製ＰＣＳ接続枚数計算ツール!$C$9, HUAWEI製ＰＣＳ接続枚数計算ツール!$B$119:$P$149,2,FALSE)*1000*HUAWEI製ＰＣＳ接続枚数計算ツール!Y113)</f>
        <v>0.95040000000000002</v>
      </c>
      <c r="M20" s="85">
        <f>HUAWEI製ＰＣＳ接続枚数計算ツール!$C$6*枚数!M20/(VLOOKUP(HUAWEI製ＰＣＳ接続枚数計算ツール!$C$9, HUAWEI製ＰＣＳ接続枚数計算ツール!$B$119:$P$149,2,FALSE)*1000*HUAWEI製ＰＣＳ接続枚数計算ツール!Y113)</f>
        <v>1.0367999999999999</v>
      </c>
      <c r="N20" s="85">
        <f>HUAWEI製ＰＣＳ接続枚数計算ツール!$C$6*枚数!N20/(VLOOKUP(HUAWEI製ＰＣＳ接続枚数計算ツール!$C$9, HUAWEI製ＰＣＳ接続枚数計算ツール!$B$119:$P$149,2,FALSE)*1000*HUAWEI製ＰＣＳ接続枚数計算ツール!Y113)</f>
        <v>1.1232</v>
      </c>
      <c r="O20" s="85">
        <f>HUAWEI製ＰＣＳ接続枚数計算ツール!$C$6*枚数!O20/(VLOOKUP(HUAWEI製ＰＣＳ接続枚数計算ツール!$C$9, HUAWEI製ＰＣＳ接続枚数計算ツール!$B$119:$P$149,2,FALSE)*1000*HUAWEI製ＰＣＳ接続枚数計算ツール!Y113)</f>
        <v>1.2096</v>
      </c>
      <c r="P20" s="85">
        <f>HUAWEI製ＰＣＳ接続枚数計算ツール!$C$6*枚数!P20/(VLOOKUP(HUAWEI製ＰＣＳ接続枚数計算ツール!$C$9, HUAWEI製ＰＣＳ接続枚数計算ツール!$B$119:$P$149,2,FALSE)*1000*HUAWEI製ＰＣＳ接続枚数計算ツール!Y113)</f>
        <v>1.296</v>
      </c>
      <c r="Q20" s="85">
        <f>HUAWEI製ＰＣＳ接続枚数計算ツール!$C$6*枚数!Q20/(VLOOKUP(HUAWEI製ＰＣＳ接続枚数計算ツール!$C$9, HUAWEI製ＰＣＳ接続枚数計算ツール!$B$119:$P$149,2,FALSE)*1000*HUAWEI製ＰＣＳ接続枚数計算ツール!Y113)</f>
        <v>1.3824000000000001</v>
      </c>
      <c r="R20" s="85">
        <f>HUAWEI製ＰＣＳ接続枚数計算ツール!$C$6*枚数!R20/(VLOOKUP(HUAWEI製ＰＣＳ接続枚数計算ツール!$C$9, HUAWEI製ＰＣＳ接続枚数計算ツール!$B$119:$P$149,2,FALSE)*1000*HUAWEI製ＰＣＳ接続枚数計算ツール!Y113)</f>
        <v>1.4688000000000001</v>
      </c>
      <c r="S20" s="85">
        <f>HUAWEI製ＰＣＳ接続枚数計算ツール!$C$6*枚数!S20/(VLOOKUP(HUAWEI製ＰＣＳ接続枚数計算ツール!$C$9, HUAWEI製ＰＣＳ接続枚数計算ツール!$B$119:$P$149,2,FALSE)*1000*HUAWEI製ＰＣＳ接続枚数計算ツール!Y113)</f>
        <v>1.5551999999999999</v>
      </c>
      <c r="T20" s="85">
        <f>HUAWEI製ＰＣＳ接続枚数計算ツール!$C$6*枚数!T20/(VLOOKUP(HUAWEI製ＰＣＳ接続枚数計算ツール!$C$9, HUAWEI製ＰＣＳ接続枚数計算ツール!$B$119:$P$149,2,FALSE)*1000*HUAWEI製ＰＣＳ接続枚数計算ツール!Y113)</f>
        <v>1.6415999999999999</v>
      </c>
      <c r="U20" s="85">
        <f>HUAWEI製ＰＣＳ接続枚数計算ツール!$C$6*枚数!U20/(VLOOKUP(HUAWEI製ＰＣＳ接続枚数計算ツール!$C$9, HUAWEI製ＰＣＳ接続枚数計算ツール!$B$119:$P$149,2,FALSE)*1000*HUAWEI製ＰＣＳ接続枚数計算ツール!Y113)</f>
        <v>1.728</v>
      </c>
      <c r="V20" s="85">
        <f>HUAWEI製ＰＣＳ接続枚数計算ツール!$C$6*枚数!V20/(VLOOKUP(HUAWEI製ＰＣＳ接続枚数計算ツール!$C$9, HUAWEI製ＰＣＳ接続枚数計算ツール!$B$119:$P$149,2,FALSE)*1000*HUAWEI製ＰＣＳ接続枚数計算ツール!Y113)</f>
        <v>1.8144</v>
      </c>
      <c r="W20" s="85">
        <f>HUAWEI製ＰＣＳ接続枚数計算ツール!$C$6*枚数!W20/(VLOOKUP(HUAWEI製ＰＣＳ接続枚数計算ツール!$C$9, HUAWEI製ＰＣＳ接続枚数計算ツール!$B$119:$P$149,2,FALSE)*1000*HUAWEI製ＰＣＳ接続枚数計算ツール!Y113)</f>
        <v>1.9008</v>
      </c>
      <c r="X20" s="85">
        <f>HUAWEI製ＰＣＳ接続枚数計算ツール!$C$6*枚数!X20/(VLOOKUP(HUAWEI製ＰＣＳ接続枚数計算ツール!$C$9, HUAWEI製ＰＣＳ接続枚数計算ツール!$B$119:$P$149,2,FALSE)*1000*HUAWEI製ＰＣＳ接続枚数計算ツール!Y113)</f>
        <v>1.9872000000000001</v>
      </c>
      <c r="Y20" s="85">
        <f>HUAWEI製ＰＣＳ接続枚数計算ツール!$C$6*枚数!Y20/(VLOOKUP(HUAWEI製ＰＣＳ接続枚数計算ツール!$C$9, HUAWEI製ＰＣＳ接続枚数計算ツール!$B$119:$P$149,2,FALSE)*1000*HUAWEI製ＰＣＳ接続枚数計算ツール!Y113)</f>
        <v>2.0735999999999999</v>
      </c>
      <c r="Z20" s="85">
        <f>HUAWEI製ＰＣＳ接続枚数計算ツール!$C$6*枚数!Z20/(VLOOKUP(HUAWEI製ＰＣＳ接続枚数計算ツール!$C$9, HUAWEI製ＰＣＳ接続枚数計算ツール!$B$119:$P$149,2,FALSE)*1000*HUAWEI製ＰＣＳ接続枚数計算ツール!Y113)</f>
        <v>2.16</v>
      </c>
      <c r="AA20" s="85">
        <f>HUAWEI製ＰＣＳ接続枚数計算ツール!$C$6*枚数!AA20/(VLOOKUP(HUAWEI製ＰＣＳ接続枚数計算ツール!$C$9, HUAWEI製ＰＣＳ接続枚数計算ツール!$B$119:$P$149,2,FALSE)*1000*HUAWEI製ＰＣＳ接続枚数計算ツール!Y113)</f>
        <v>2.2464</v>
      </c>
      <c r="AB20" s="85">
        <f>HUAWEI製ＰＣＳ接続枚数計算ツール!$C$6*枚数!AB20/(VLOOKUP(HUAWEI製ＰＣＳ接続枚数計算ツール!$C$9, HUAWEI製ＰＣＳ接続枚数計算ツール!$B$119:$P$149,2,FALSE)*1000*HUAWEI製ＰＣＳ接続枚数計算ツール!Y113)</f>
        <v>2.3328000000000002</v>
      </c>
      <c r="AC20" s="85">
        <f>HUAWEI製ＰＣＳ接続枚数計算ツール!$C$6*枚数!AC20/(VLOOKUP(HUAWEI製ＰＣＳ接続枚数計算ツール!$C$9, HUAWEI製ＰＣＳ接続枚数計算ツール!$B$119:$P$149,2,FALSE)*1000*HUAWEI製ＰＣＳ接続枚数計算ツール!Y113)</f>
        <v>2.4192</v>
      </c>
      <c r="AD20" s="85">
        <f>HUAWEI製ＰＣＳ接続枚数計算ツール!$C$6*枚数!AD20/(VLOOKUP(HUAWEI製ＰＣＳ接続枚数計算ツール!$C$9, HUAWEI製ＰＣＳ接続枚数計算ツール!$B$119:$P$149,2,FALSE)*1000*HUAWEI製ＰＣＳ接続枚数計算ツール!Y113)</f>
        <v>2.5055999999999998</v>
      </c>
      <c r="AE20" s="85">
        <f>HUAWEI製ＰＣＳ接続枚数計算ツール!$C$6*枚数!AE20/(VLOOKUP(HUAWEI製ＰＣＳ接続枚数計算ツール!$C$9, HUAWEI製ＰＣＳ接続枚数計算ツール!$B$119:$P$149,2,FALSE)*1000*HUAWEI製ＰＣＳ接続枚数計算ツール!Y113)</f>
        <v>2.5920000000000001</v>
      </c>
      <c r="AF20" s="85">
        <f>HUAWEI製ＰＣＳ接続枚数計算ツール!$C$6*枚数!AF20/(VLOOKUP(HUAWEI製ＰＣＳ接続枚数計算ツール!$C$9, HUAWEI製ＰＣＳ接続枚数計算ツール!$B$119:$P$149,2,FALSE)*1000*HUAWEI製ＰＣＳ接続枚数計算ツール!Y113)</f>
        <v>2.6783999999999999</v>
      </c>
      <c r="AG20" s="85">
        <f>HUAWEI製ＰＣＳ接続枚数計算ツール!$C$6*枚数!AG20/(VLOOKUP(HUAWEI製ＰＣＳ接続枚数計算ツール!$C$9, HUAWEI製ＰＣＳ接続枚数計算ツール!$B$119:$P$149,2,FALSE)*1000*HUAWEI製ＰＣＳ接続枚数計算ツール!Y113)</f>
        <v>2.7648000000000001</v>
      </c>
      <c r="AH20" s="85">
        <f>HUAWEI製ＰＣＳ接続枚数計算ツール!$C$6*枚数!AH20/(VLOOKUP(HUAWEI製ＰＣＳ接続枚数計算ツール!$C$9, HUAWEI製ＰＣＳ接続枚数計算ツール!$B$119:$P$149,2,FALSE)*1000*HUAWEI製ＰＣＳ接続枚数計算ツール!Y113)</f>
        <v>2.8512</v>
      </c>
      <c r="AI20" s="85">
        <f>HUAWEI製ＰＣＳ接続枚数計算ツール!$C$6*枚数!AI20/(VLOOKUP(HUAWEI製ＰＣＳ接続枚数計算ツール!$C$9, HUAWEI製ＰＣＳ接続枚数計算ツール!$B$119:$P$149,2,FALSE)*1000*HUAWEI製ＰＣＳ接続枚数計算ツール!Y113)</f>
        <v>2.9376000000000002</v>
      </c>
      <c r="AJ20" s="85">
        <f>HUAWEI製ＰＣＳ接続枚数計算ツール!$C$6*枚数!AJ20/(VLOOKUP(HUAWEI製ＰＣＳ接続枚数計算ツール!$C$9, HUAWEI製ＰＣＳ接続枚数計算ツール!$B$119:$P$149,2,FALSE)*1000*HUAWEI製ＰＣＳ接続枚数計算ツール!Y113)</f>
        <v>3.024</v>
      </c>
      <c r="AK20" s="85">
        <f>HUAWEI製ＰＣＳ接続枚数計算ツール!$C$6*枚数!AK20/(VLOOKUP(HUAWEI製ＰＣＳ接続枚数計算ツール!$C$9, HUAWEI製ＰＣＳ接続枚数計算ツール!$B$119:$P$149,2,FALSE)*1000*HUAWEI製ＰＣＳ接続枚数計算ツール!Y113)</f>
        <v>3.1103999999999998</v>
      </c>
      <c r="AL20" s="85">
        <f>HUAWEI製ＰＣＳ接続枚数計算ツール!$C$6*枚数!AL20/(VLOOKUP(HUAWEI製ＰＣＳ接続枚数計算ツール!$C$9, HUAWEI製ＰＣＳ接続枚数計算ツール!$B$119:$P$149,2,FALSE)*1000*HUAWEI製ＰＣＳ接続枚数計算ツール!Y113)</f>
        <v>3.1968000000000001</v>
      </c>
      <c r="AM20" s="85">
        <f>HUAWEI製ＰＣＳ接続枚数計算ツール!$C$6*枚数!AM20/(VLOOKUP(HUAWEI製ＰＣＳ接続枚数計算ツール!$C$9, HUAWEI製ＰＣＳ接続枚数計算ツール!$B$119:$P$149,2,FALSE)*1000*HUAWEI製ＰＣＳ接続枚数計算ツール!Y113)</f>
        <v>3.2831999999999999</v>
      </c>
      <c r="AN20" s="85">
        <f>HUAWEI製ＰＣＳ接続枚数計算ツール!$C$6*枚数!AN20/(VLOOKUP(HUAWEI製ＰＣＳ接続枚数計算ツール!$C$9, HUAWEI製ＰＣＳ接続枚数計算ツール!$B$119:$P$149,2,FALSE)*1000*HUAWEI製ＰＣＳ接続枚数計算ツール!Y113)</f>
        <v>3.3696000000000002</v>
      </c>
      <c r="AO20" s="85">
        <f>HUAWEI製ＰＣＳ接続枚数計算ツール!$C$6*枚数!AO20/(VLOOKUP(HUAWEI製ＰＣＳ接続枚数計算ツール!$C$9, HUAWEI製ＰＣＳ接続枚数計算ツール!$B$119:$P$149,2,FALSE)*1000*HUAWEI製ＰＣＳ接続枚数計算ツール!Y113)</f>
        <v>3.456</v>
      </c>
    </row>
    <row r="21" spans="1:41">
      <c r="A21">
        <v>19</v>
      </c>
      <c r="B21" s="85">
        <f>HUAWEI製ＰＣＳ接続枚数計算ツール!$C$6*枚数!B21/(VLOOKUP(HUAWEI製ＰＣＳ接続枚数計算ツール!$C$9, HUAWEI製ＰＣＳ接続枚数計算ツール!$B$119:$P$149,2,FALSE)*1000*HUAWEI製ＰＣＳ接続枚数計算ツール!$Y$113)</f>
        <v>0</v>
      </c>
      <c r="C21" s="85">
        <f>HUAWEI製ＰＣＳ接続枚数計算ツール!$C$6*枚数!C21/(VLOOKUP(HUAWEI製ＰＣＳ接続枚数計算ツール!$C$9, HUAWEI製ＰＣＳ接続枚数計算ツール!$B$119:$P$149,2,FALSE)*1000*HUAWEI製ＰＣＳ接続枚数計算ツール!$Y$113)</f>
        <v>0</v>
      </c>
      <c r="D21" s="85">
        <f>HUAWEI製ＰＣＳ接続枚数計算ツール!$C$6*枚数!D21/(VLOOKUP(HUAWEI製ＰＣＳ接続枚数計算ツール!$C$9, HUAWEI製ＰＣＳ接続枚数計算ツール!$B$119:$P$149,2,FALSE)*1000*HUAWEI製ＰＣＳ接続枚数計算ツール!$Y$113)</f>
        <v>0</v>
      </c>
      <c r="E21" s="85">
        <f>HUAWEI製ＰＣＳ接続枚数計算ツール!$C$6*枚数!E21/(VLOOKUP(HUAWEI製ＰＣＳ接続枚数計算ツール!$C$9, HUAWEI製ＰＣＳ接続枚数計算ツール!$B$119:$P$149,2,FALSE)*1000*HUAWEI製ＰＣＳ接続枚数計算ツール!$Y$113)</f>
        <v>0</v>
      </c>
      <c r="F21" s="85">
        <f>HUAWEI製ＰＣＳ接続枚数計算ツール!$C$6*枚数!F21/(VLOOKUP(HUAWEI製ＰＣＳ接続枚数計算ツール!$C$9, HUAWEI製ＰＣＳ接続枚数計算ツール!$B$119:$P$149,2,FALSE)*1000*HUAWEI製ＰＣＳ接続枚数計算ツール!$Y$113)</f>
        <v>0</v>
      </c>
      <c r="G21" s="85">
        <f>HUAWEI製ＰＣＳ接続枚数計算ツール!$C$6*枚数!G21/(VLOOKUP(HUAWEI製ＰＣＳ接続枚数計算ツール!$C$9, HUAWEI製ＰＣＳ接続枚数計算ツール!$B$119:$P$149,2,FALSE)*1000*HUAWEI製ＰＣＳ接続枚数計算ツール!$Y$113)</f>
        <v>0</v>
      </c>
      <c r="H21" s="85">
        <f>HUAWEI製ＰＣＳ接続枚数計算ツール!$C$6*枚数!H21/(VLOOKUP(HUAWEI製ＰＣＳ接続枚数計算ツール!$C$9, HUAWEI製ＰＣＳ接続枚数計算ツール!$B$119:$P$149,2,FALSE)*1000*HUAWEI製ＰＣＳ接続枚数計算ツール!$Y$113)</f>
        <v>0</v>
      </c>
      <c r="I21" s="85">
        <f>HUAWEI製ＰＣＳ接続枚数計算ツール!$C$6*枚数!I21/(VLOOKUP(HUAWEI製ＰＣＳ接続枚数計算ツール!$C$9, HUAWEI製ＰＣＳ接続枚数計算ツール!$B$119:$P$149,2,FALSE)*1000*HUAWEI製ＰＣＳ接続枚数計算ツール!$Y$113)</f>
        <v>0</v>
      </c>
      <c r="J21" s="85">
        <f>HUAWEI製ＰＣＳ接続枚数計算ツール!$C$6*枚数!J21/(VLOOKUP(HUAWEI製ＰＣＳ接続枚数計算ツール!$C$9, HUAWEI製ＰＣＳ接続枚数計算ツール!$B$119:$P$149,2,FALSE)*1000*HUAWEI製ＰＣＳ接続枚数計算ツール!$Y$113)</f>
        <v>0</v>
      </c>
      <c r="K21" s="85">
        <f>HUAWEI製ＰＣＳ接続枚数計算ツール!$C$6*枚数!K21/(VLOOKUP(HUAWEI製ＰＣＳ接続枚数計算ツール!$C$9, HUAWEI製ＰＣＳ接続枚数計算ツール!$B$119:$P$149,2,FALSE)*1000*HUAWEI製ＰＣＳ接続枚数計算ツール!$Y$113)</f>
        <v>0</v>
      </c>
      <c r="L21" s="85">
        <f>HUAWEI製ＰＣＳ接続枚数計算ツール!$C$6*枚数!L21/(VLOOKUP(HUAWEI製ＰＣＳ接続枚数計算ツール!$C$9, HUAWEI製ＰＣＳ接続枚数計算ツール!$B$119:$P$149,2,FALSE)*1000*HUAWEI製ＰＣＳ接続枚数計算ツール!$Y$113)</f>
        <v>0</v>
      </c>
      <c r="M21" s="85">
        <f>HUAWEI製ＰＣＳ接続枚数計算ツール!$C$6*枚数!M21/(VLOOKUP(HUAWEI製ＰＣＳ接続枚数計算ツール!$C$9, HUAWEI製ＰＣＳ接続枚数計算ツール!$B$119:$P$149,2,FALSE)*1000*HUAWEI製ＰＣＳ接続枚数計算ツール!$Y$113)</f>
        <v>0</v>
      </c>
      <c r="N21" s="85">
        <f>HUAWEI製ＰＣＳ接続枚数計算ツール!$C$6*枚数!N21/(VLOOKUP(HUAWEI製ＰＣＳ接続枚数計算ツール!$C$9, HUAWEI製ＰＣＳ接続枚数計算ツール!$B$119:$P$149,2,FALSE)*1000*HUAWEI製ＰＣＳ接続枚数計算ツール!$Y$113)</f>
        <v>0</v>
      </c>
      <c r="O21" s="85">
        <f>HUAWEI製ＰＣＳ接続枚数計算ツール!$C$6*枚数!O21/(VLOOKUP(HUAWEI製ＰＣＳ接続枚数計算ツール!$C$9, HUAWEI製ＰＣＳ接続枚数計算ツール!$B$119:$P$149,2,FALSE)*1000*HUAWEI製ＰＣＳ接続枚数計算ツール!$Y$113)</f>
        <v>0</v>
      </c>
      <c r="P21" s="85">
        <f>HUAWEI製ＰＣＳ接続枚数計算ツール!$C$6*枚数!P21/(VLOOKUP(HUAWEI製ＰＣＳ接続枚数計算ツール!$C$9, HUAWEI製ＰＣＳ接続枚数計算ツール!$B$119:$P$149,2,FALSE)*1000*HUAWEI製ＰＣＳ接続枚数計算ツール!$Y$113)</f>
        <v>0</v>
      </c>
      <c r="Q21" s="85">
        <f>HUAWEI製ＰＣＳ接続枚数計算ツール!$C$6*枚数!Q21/(VLOOKUP(HUAWEI製ＰＣＳ接続枚数計算ツール!$C$9, HUAWEI製ＰＣＳ接続枚数計算ツール!$B$119:$P$149,2,FALSE)*1000*HUAWEI製ＰＣＳ接続枚数計算ツール!$Y$113)</f>
        <v>0</v>
      </c>
      <c r="R21" s="85">
        <f>HUAWEI製ＰＣＳ接続枚数計算ツール!$C$6*枚数!R21/(VLOOKUP(HUAWEI製ＰＣＳ接続枚数計算ツール!$C$9, HUAWEI製ＰＣＳ接続枚数計算ツール!$B$119:$P$149,2,FALSE)*1000*HUAWEI製ＰＣＳ接続枚数計算ツール!$Y$113)</f>
        <v>0</v>
      </c>
      <c r="S21" s="85">
        <f>HUAWEI製ＰＣＳ接続枚数計算ツール!$C$6*枚数!S21/(VLOOKUP(HUAWEI製ＰＣＳ接続枚数計算ツール!$C$9, HUAWEI製ＰＣＳ接続枚数計算ツール!$B$119:$P$149,2,FALSE)*1000*HUAWEI製ＰＣＳ接続枚数計算ツール!$Y$113)</f>
        <v>0</v>
      </c>
      <c r="T21" s="85">
        <f>HUAWEI製ＰＣＳ接続枚数計算ツール!$C$6*枚数!T21/(VLOOKUP(HUAWEI製ＰＣＳ接続枚数計算ツール!$C$9, HUAWEI製ＰＣＳ接続枚数計算ツール!$B$119:$P$149,2,FALSE)*1000*HUAWEI製ＰＣＳ接続枚数計算ツール!$Y$113)</f>
        <v>0</v>
      </c>
      <c r="U21" s="85">
        <f>HUAWEI製ＰＣＳ接続枚数計算ツール!$C$6*枚数!U21/(VLOOKUP(HUAWEI製ＰＣＳ接続枚数計算ツール!$C$9, HUAWEI製ＰＣＳ接続枚数計算ツール!$B$119:$P$149,2,FALSE)*1000*HUAWEI製ＰＣＳ接続枚数計算ツール!$Y$113)</f>
        <v>0</v>
      </c>
      <c r="V21" s="85">
        <f>HUAWEI製ＰＣＳ接続枚数計算ツール!$C$6*枚数!V21/(VLOOKUP(HUAWEI製ＰＣＳ接続枚数計算ツール!$C$9, HUAWEI製ＰＣＳ接続枚数計算ツール!$B$119:$P$149,2,FALSE)*1000*HUAWEI製ＰＣＳ接続枚数計算ツール!$Y$113)</f>
        <v>0</v>
      </c>
      <c r="W21" s="85">
        <f>HUAWEI製ＰＣＳ接続枚数計算ツール!$C$6*枚数!W21/(VLOOKUP(HUAWEI製ＰＣＳ接続枚数計算ツール!$C$9, HUAWEI製ＰＣＳ接続枚数計算ツール!$B$119:$P$149,2,FALSE)*1000*HUAWEI製ＰＣＳ接続枚数計算ツール!$Y$113)</f>
        <v>0</v>
      </c>
      <c r="X21" s="85">
        <f>HUAWEI製ＰＣＳ接続枚数計算ツール!$C$6*枚数!X21/(VLOOKUP(HUAWEI製ＰＣＳ接続枚数計算ツール!$C$9, HUAWEI製ＰＣＳ接続枚数計算ツール!$B$119:$P$149,2,FALSE)*1000*HUAWEI製ＰＣＳ接続枚数計算ツール!$Y$113)</f>
        <v>0</v>
      </c>
      <c r="Y21" s="85">
        <f>HUAWEI製ＰＣＳ接続枚数計算ツール!$C$6*枚数!Y21/(VLOOKUP(HUAWEI製ＰＣＳ接続枚数計算ツール!$C$9, HUAWEI製ＰＣＳ接続枚数計算ツール!$B$119:$P$149,2,FALSE)*1000*HUAWEI製ＰＣＳ接続枚数計算ツール!$Y$113)</f>
        <v>0</v>
      </c>
      <c r="Z21" s="85">
        <f>HUAWEI製ＰＣＳ接続枚数計算ツール!$C$6*枚数!Z21/(VLOOKUP(HUAWEI製ＰＣＳ接続枚数計算ツール!$C$9, HUAWEI製ＰＣＳ接続枚数計算ツール!$B$119:$P$149,2,FALSE)*1000*HUAWEI製ＰＣＳ接続枚数計算ツール!$Y$113)</f>
        <v>0</v>
      </c>
      <c r="AA21" s="85">
        <f>HUAWEI製ＰＣＳ接続枚数計算ツール!$C$6*枚数!AA21/(VLOOKUP(HUAWEI製ＰＣＳ接続枚数計算ツール!$C$9, HUAWEI製ＰＣＳ接続枚数計算ツール!$B$119:$P$149,2,FALSE)*1000*HUAWEI製ＰＣＳ接続枚数計算ツール!$Y$113)</f>
        <v>0</v>
      </c>
      <c r="AB21" s="85">
        <f>HUAWEI製ＰＣＳ接続枚数計算ツール!$C$6*枚数!AB21/(VLOOKUP(HUAWEI製ＰＣＳ接続枚数計算ツール!$C$9, HUAWEI製ＰＣＳ接続枚数計算ツール!$B$119:$P$149,2,FALSE)*1000*HUAWEI製ＰＣＳ接続枚数計算ツール!$Y$113)</f>
        <v>0</v>
      </c>
      <c r="AC21" s="85">
        <f>HUAWEI製ＰＣＳ接続枚数計算ツール!$C$6*枚数!AC21/(VLOOKUP(HUAWEI製ＰＣＳ接続枚数計算ツール!$C$9, HUAWEI製ＰＣＳ接続枚数計算ツール!$B$119:$P$149,2,FALSE)*1000*HUAWEI製ＰＣＳ接続枚数計算ツール!$Y$113)</f>
        <v>0</v>
      </c>
      <c r="AD21" s="85">
        <f>HUAWEI製ＰＣＳ接続枚数計算ツール!$C$6*枚数!AD21/(VLOOKUP(HUAWEI製ＰＣＳ接続枚数計算ツール!$C$9, HUAWEI製ＰＣＳ接続枚数計算ツール!$B$119:$P$149,2,FALSE)*1000*HUAWEI製ＰＣＳ接続枚数計算ツール!$Y$113)</f>
        <v>0</v>
      </c>
      <c r="AE21" s="85">
        <f>HUAWEI製ＰＣＳ接続枚数計算ツール!$C$6*枚数!AE21/(VLOOKUP(HUAWEI製ＰＣＳ接続枚数計算ツール!$C$9, HUAWEI製ＰＣＳ接続枚数計算ツール!$B$119:$P$149,2,FALSE)*1000*HUAWEI製ＰＣＳ接続枚数計算ツール!$Y$113)</f>
        <v>0</v>
      </c>
      <c r="AF21" s="85">
        <f>HUAWEI製ＰＣＳ接続枚数計算ツール!$C$6*枚数!AF21/(VLOOKUP(HUAWEI製ＰＣＳ接続枚数計算ツール!$C$9, HUAWEI製ＰＣＳ接続枚数計算ツール!$B$119:$P$149,2,FALSE)*1000*HUAWEI製ＰＣＳ接続枚数計算ツール!$Y$113)</f>
        <v>0</v>
      </c>
      <c r="AG21" s="85">
        <f>HUAWEI製ＰＣＳ接続枚数計算ツール!$C$6*枚数!AG21/(VLOOKUP(HUAWEI製ＰＣＳ接続枚数計算ツール!$C$9, HUAWEI製ＰＣＳ接続枚数計算ツール!$B$119:$P$149,2,FALSE)*1000*HUAWEI製ＰＣＳ接続枚数計算ツール!$Y$113)</f>
        <v>0</v>
      </c>
      <c r="AH21" s="85">
        <f>HUAWEI製ＰＣＳ接続枚数計算ツール!$C$6*枚数!AH21/(VLOOKUP(HUAWEI製ＰＣＳ接続枚数計算ツール!$C$9, HUAWEI製ＰＣＳ接続枚数計算ツール!$B$119:$P$149,2,FALSE)*1000*HUAWEI製ＰＣＳ接続枚数計算ツール!$Y$113)</f>
        <v>0</v>
      </c>
      <c r="AI21" s="85">
        <f>HUAWEI製ＰＣＳ接続枚数計算ツール!$C$6*枚数!AI21/(VLOOKUP(HUAWEI製ＰＣＳ接続枚数計算ツール!$C$9, HUAWEI製ＰＣＳ接続枚数計算ツール!$B$119:$P$149,2,FALSE)*1000*HUAWEI製ＰＣＳ接続枚数計算ツール!$Y$113)</f>
        <v>0</v>
      </c>
      <c r="AJ21" s="85">
        <f>HUAWEI製ＰＣＳ接続枚数計算ツール!$C$6*枚数!AJ21/(VLOOKUP(HUAWEI製ＰＣＳ接続枚数計算ツール!$C$9, HUAWEI製ＰＣＳ接続枚数計算ツール!$B$119:$P$149,2,FALSE)*1000*HUAWEI製ＰＣＳ接続枚数計算ツール!$Y$113)</f>
        <v>0</v>
      </c>
      <c r="AK21" s="85">
        <f>HUAWEI製ＰＣＳ接続枚数計算ツール!$C$6*枚数!AK21/(VLOOKUP(HUAWEI製ＰＣＳ接続枚数計算ツール!$C$9, HUAWEI製ＰＣＳ接続枚数計算ツール!$B$119:$P$149,2,FALSE)*1000*HUAWEI製ＰＣＳ接続枚数計算ツール!$Y$113)</f>
        <v>0</v>
      </c>
      <c r="AL21" s="85">
        <f>HUAWEI製ＰＣＳ接続枚数計算ツール!$C$6*枚数!AL21/(VLOOKUP(HUAWEI製ＰＣＳ接続枚数計算ツール!$C$9, HUAWEI製ＰＣＳ接続枚数計算ツール!$B$119:$P$149,2,FALSE)*1000*HUAWEI製ＰＣＳ接続枚数計算ツール!$Y$113)</f>
        <v>0</v>
      </c>
      <c r="AM21" s="85">
        <f>HUAWEI製ＰＣＳ接続枚数計算ツール!$C$6*枚数!AM21/(VLOOKUP(HUAWEI製ＰＣＳ接続枚数計算ツール!$C$9, HUAWEI製ＰＣＳ接続枚数計算ツール!$B$119:$P$149,2,FALSE)*1000*HUAWEI製ＰＣＳ接続枚数計算ツール!$Y$113)</f>
        <v>0</v>
      </c>
      <c r="AN21" s="85">
        <f>HUAWEI製ＰＣＳ接続枚数計算ツール!$C$6*枚数!AN21/(VLOOKUP(HUAWEI製ＰＣＳ接続枚数計算ツール!$C$9, HUAWEI製ＰＣＳ接続枚数計算ツール!$B$119:$P$149,2,FALSE)*1000*HUAWEI製ＰＣＳ接続枚数計算ツール!$Y$113)</f>
        <v>0</v>
      </c>
      <c r="AO21" s="85">
        <f>HUAWEI製ＰＣＳ接続枚数計算ツール!$C$6*枚数!AO21/(VLOOKUP(HUAWEI製ＰＣＳ接続枚数計算ツール!$C$9, HUAWEI製ＰＣＳ接続枚数計算ツール!$B$119:$P$149,2,FALSE)*1000*HUAWEI製ＰＣＳ接続枚数計算ツール!$Y$113)</f>
        <v>0</v>
      </c>
    </row>
    <row r="22" spans="1:41">
      <c r="A22">
        <v>20</v>
      </c>
      <c r="B22" s="85">
        <f>HUAWEI製ＰＣＳ接続枚数計算ツール!$C$6*枚数!B22/(VLOOKUP(HUAWEI製ＰＣＳ接続枚数計算ツール!$C$9, HUAWEI製ＰＣＳ接続枚数計算ツール!$B$119:$P$149,2,FALSE)*1000*HUAWEI製ＰＣＳ接続枚数計算ツール!$Y$113)</f>
        <v>0</v>
      </c>
      <c r="C22" s="85">
        <f>HUAWEI製ＰＣＳ接続枚数計算ツール!$C$6*枚数!C22/(VLOOKUP(HUAWEI製ＰＣＳ接続枚数計算ツール!$C$9, HUAWEI製ＰＣＳ接続枚数計算ツール!$B$119:$P$149,2,FALSE)*1000*HUAWEI製ＰＣＳ接続枚数計算ツール!$Y$113)</f>
        <v>0</v>
      </c>
      <c r="D22" s="85">
        <f>HUAWEI製ＰＣＳ接続枚数計算ツール!$C$6*枚数!D22/(VLOOKUP(HUAWEI製ＰＣＳ接続枚数計算ツール!$C$9, HUAWEI製ＰＣＳ接続枚数計算ツール!$B$119:$P$149,2,FALSE)*1000*HUAWEI製ＰＣＳ接続枚数計算ツール!$Y$113)</f>
        <v>0</v>
      </c>
      <c r="E22" s="85">
        <f>HUAWEI製ＰＣＳ接続枚数計算ツール!$C$6*枚数!E22/(VLOOKUP(HUAWEI製ＰＣＳ接続枚数計算ツール!$C$9, HUAWEI製ＰＣＳ接続枚数計算ツール!$B$119:$P$149,2,FALSE)*1000*HUAWEI製ＰＣＳ接続枚数計算ツール!$Y$113)</f>
        <v>0</v>
      </c>
      <c r="F22" s="85">
        <f>HUAWEI製ＰＣＳ接続枚数計算ツール!$C$6*枚数!F22/(VLOOKUP(HUAWEI製ＰＣＳ接続枚数計算ツール!$C$9, HUAWEI製ＰＣＳ接続枚数計算ツール!$B$119:$P$149,2,FALSE)*1000*HUAWEI製ＰＣＳ接続枚数計算ツール!$Y$113)</f>
        <v>0</v>
      </c>
      <c r="G22" s="85">
        <f>HUAWEI製ＰＣＳ接続枚数計算ツール!$C$6*枚数!G22/(VLOOKUP(HUAWEI製ＰＣＳ接続枚数計算ツール!$C$9, HUAWEI製ＰＣＳ接続枚数計算ツール!$B$119:$P$149,2,FALSE)*1000*HUAWEI製ＰＣＳ接続枚数計算ツール!$Y$113)</f>
        <v>0</v>
      </c>
      <c r="H22" s="85">
        <f>HUAWEI製ＰＣＳ接続枚数計算ツール!$C$6*枚数!H22/(VLOOKUP(HUAWEI製ＰＣＳ接続枚数計算ツール!$C$9, HUAWEI製ＰＣＳ接続枚数計算ツール!$B$119:$P$149,2,FALSE)*1000*HUAWEI製ＰＣＳ接続枚数計算ツール!$Y$113)</f>
        <v>0</v>
      </c>
      <c r="I22" s="85">
        <f>HUAWEI製ＰＣＳ接続枚数計算ツール!$C$6*枚数!I22/(VLOOKUP(HUAWEI製ＰＣＳ接続枚数計算ツール!$C$9, HUAWEI製ＰＣＳ接続枚数計算ツール!$B$119:$P$149,2,FALSE)*1000*HUAWEI製ＰＣＳ接続枚数計算ツール!$Y$113)</f>
        <v>0</v>
      </c>
      <c r="J22" s="85">
        <f>HUAWEI製ＰＣＳ接続枚数計算ツール!$C$6*枚数!J22/(VLOOKUP(HUAWEI製ＰＣＳ接続枚数計算ツール!$C$9, HUAWEI製ＰＣＳ接続枚数計算ツール!$B$119:$P$149,2,FALSE)*1000*HUAWEI製ＰＣＳ接続枚数計算ツール!$Y$113)</f>
        <v>0</v>
      </c>
      <c r="K22" s="85">
        <f>HUAWEI製ＰＣＳ接続枚数計算ツール!$C$6*枚数!K22/(VLOOKUP(HUAWEI製ＰＣＳ接続枚数計算ツール!$C$9, HUAWEI製ＰＣＳ接続枚数計算ツール!$B$119:$P$149,2,FALSE)*1000*HUAWEI製ＰＣＳ接続枚数計算ツール!$Y$113)</f>
        <v>0</v>
      </c>
      <c r="L22" s="85">
        <f>HUAWEI製ＰＣＳ接続枚数計算ツール!$C$6*枚数!L22/(VLOOKUP(HUAWEI製ＰＣＳ接続枚数計算ツール!$C$9, HUAWEI製ＰＣＳ接続枚数計算ツール!$B$119:$P$149,2,FALSE)*1000*HUAWEI製ＰＣＳ接続枚数計算ツール!$Y$113)</f>
        <v>0</v>
      </c>
      <c r="M22" s="85">
        <f>HUAWEI製ＰＣＳ接続枚数計算ツール!$C$6*枚数!M22/(VLOOKUP(HUAWEI製ＰＣＳ接続枚数計算ツール!$C$9, HUAWEI製ＰＣＳ接続枚数計算ツール!$B$119:$P$149,2,FALSE)*1000*HUAWEI製ＰＣＳ接続枚数計算ツール!$Y$113)</f>
        <v>0</v>
      </c>
      <c r="N22" s="85">
        <f>HUAWEI製ＰＣＳ接続枚数計算ツール!$C$6*枚数!N22/(VLOOKUP(HUAWEI製ＰＣＳ接続枚数計算ツール!$C$9, HUAWEI製ＰＣＳ接続枚数計算ツール!$B$119:$P$149,2,FALSE)*1000*HUAWEI製ＰＣＳ接続枚数計算ツール!$Y$113)</f>
        <v>0</v>
      </c>
      <c r="O22" s="85">
        <f>HUAWEI製ＰＣＳ接続枚数計算ツール!$C$6*枚数!O22/(VLOOKUP(HUAWEI製ＰＣＳ接続枚数計算ツール!$C$9, HUAWEI製ＰＣＳ接続枚数計算ツール!$B$119:$P$149,2,FALSE)*1000*HUAWEI製ＰＣＳ接続枚数計算ツール!$Y$113)</f>
        <v>0</v>
      </c>
      <c r="P22" s="85">
        <f>HUAWEI製ＰＣＳ接続枚数計算ツール!$C$6*枚数!P22/(VLOOKUP(HUAWEI製ＰＣＳ接続枚数計算ツール!$C$9, HUAWEI製ＰＣＳ接続枚数計算ツール!$B$119:$P$149,2,FALSE)*1000*HUAWEI製ＰＣＳ接続枚数計算ツール!$Y$113)</f>
        <v>0</v>
      </c>
      <c r="Q22" s="85">
        <f>HUAWEI製ＰＣＳ接続枚数計算ツール!$C$6*枚数!Q22/(VLOOKUP(HUAWEI製ＰＣＳ接続枚数計算ツール!$C$9, HUAWEI製ＰＣＳ接続枚数計算ツール!$B$119:$P$149,2,FALSE)*1000*HUAWEI製ＰＣＳ接続枚数計算ツール!$Y$113)</f>
        <v>0</v>
      </c>
      <c r="R22" s="85">
        <f>HUAWEI製ＰＣＳ接続枚数計算ツール!$C$6*枚数!R22/(VLOOKUP(HUAWEI製ＰＣＳ接続枚数計算ツール!$C$9, HUAWEI製ＰＣＳ接続枚数計算ツール!$B$119:$P$149,2,FALSE)*1000*HUAWEI製ＰＣＳ接続枚数計算ツール!$Y$113)</f>
        <v>0</v>
      </c>
      <c r="S22" s="85">
        <f>HUAWEI製ＰＣＳ接続枚数計算ツール!$C$6*枚数!S22/(VLOOKUP(HUAWEI製ＰＣＳ接続枚数計算ツール!$C$9, HUAWEI製ＰＣＳ接続枚数計算ツール!$B$119:$P$149,2,FALSE)*1000*HUAWEI製ＰＣＳ接続枚数計算ツール!$Y$113)</f>
        <v>0</v>
      </c>
      <c r="T22" s="85">
        <f>HUAWEI製ＰＣＳ接続枚数計算ツール!$C$6*枚数!T22/(VLOOKUP(HUAWEI製ＰＣＳ接続枚数計算ツール!$C$9, HUAWEI製ＰＣＳ接続枚数計算ツール!$B$119:$P$149,2,FALSE)*1000*HUAWEI製ＰＣＳ接続枚数計算ツール!$Y$113)</f>
        <v>0</v>
      </c>
      <c r="U22" s="85">
        <f>HUAWEI製ＰＣＳ接続枚数計算ツール!$C$6*枚数!U22/(VLOOKUP(HUAWEI製ＰＣＳ接続枚数計算ツール!$C$9, HUAWEI製ＰＣＳ接続枚数計算ツール!$B$119:$P$149,2,FALSE)*1000*HUAWEI製ＰＣＳ接続枚数計算ツール!$Y$113)</f>
        <v>0</v>
      </c>
      <c r="V22" s="85">
        <f>HUAWEI製ＰＣＳ接続枚数計算ツール!$C$6*枚数!V22/(VLOOKUP(HUAWEI製ＰＣＳ接続枚数計算ツール!$C$9, HUAWEI製ＰＣＳ接続枚数計算ツール!$B$119:$P$149,2,FALSE)*1000*HUAWEI製ＰＣＳ接続枚数計算ツール!$Y$113)</f>
        <v>0</v>
      </c>
      <c r="W22" s="85">
        <f>HUAWEI製ＰＣＳ接続枚数計算ツール!$C$6*枚数!W22/(VLOOKUP(HUAWEI製ＰＣＳ接続枚数計算ツール!$C$9, HUAWEI製ＰＣＳ接続枚数計算ツール!$B$119:$P$149,2,FALSE)*1000*HUAWEI製ＰＣＳ接続枚数計算ツール!$Y$113)</f>
        <v>0</v>
      </c>
      <c r="X22" s="85">
        <f>HUAWEI製ＰＣＳ接続枚数計算ツール!$C$6*枚数!X22/(VLOOKUP(HUAWEI製ＰＣＳ接続枚数計算ツール!$C$9, HUAWEI製ＰＣＳ接続枚数計算ツール!$B$119:$P$149,2,FALSE)*1000*HUAWEI製ＰＣＳ接続枚数計算ツール!$Y$113)</f>
        <v>0</v>
      </c>
      <c r="Y22" s="85">
        <f>HUAWEI製ＰＣＳ接続枚数計算ツール!$C$6*枚数!Y22/(VLOOKUP(HUAWEI製ＰＣＳ接続枚数計算ツール!$C$9, HUAWEI製ＰＣＳ接続枚数計算ツール!$B$119:$P$149,2,FALSE)*1000*HUAWEI製ＰＣＳ接続枚数計算ツール!$Y$113)</f>
        <v>0</v>
      </c>
      <c r="Z22" s="85">
        <f>HUAWEI製ＰＣＳ接続枚数計算ツール!$C$6*枚数!Z22/(VLOOKUP(HUAWEI製ＰＣＳ接続枚数計算ツール!$C$9, HUAWEI製ＰＣＳ接続枚数計算ツール!$B$119:$P$149,2,FALSE)*1000*HUAWEI製ＰＣＳ接続枚数計算ツール!$Y$113)</f>
        <v>0</v>
      </c>
      <c r="AA22" s="85">
        <f>HUAWEI製ＰＣＳ接続枚数計算ツール!$C$6*枚数!AA22/(VLOOKUP(HUAWEI製ＰＣＳ接続枚数計算ツール!$C$9, HUAWEI製ＰＣＳ接続枚数計算ツール!$B$119:$P$149,2,FALSE)*1000*HUAWEI製ＰＣＳ接続枚数計算ツール!$Y$113)</f>
        <v>0</v>
      </c>
      <c r="AB22" s="85">
        <f>HUAWEI製ＰＣＳ接続枚数計算ツール!$C$6*枚数!AB22/(VLOOKUP(HUAWEI製ＰＣＳ接続枚数計算ツール!$C$9, HUAWEI製ＰＣＳ接続枚数計算ツール!$B$119:$P$149,2,FALSE)*1000*HUAWEI製ＰＣＳ接続枚数計算ツール!$Y$113)</f>
        <v>0</v>
      </c>
      <c r="AC22" s="85">
        <f>HUAWEI製ＰＣＳ接続枚数計算ツール!$C$6*枚数!AC22/(VLOOKUP(HUAWEI製ＰＣＳ接続枚数計算ツール!$C$9, HUAWEI製ＰＣＳ接続枚数計算ツール!$B$119:$P$149,2,FALSE)*1000*HUAWEI製ＰＣＳ接続枚数計算ツール!$Y$113)</f>
        <v>0</v>
      </c>
      <c r="AD22" s="85">
        <f>HUAWEI製ＰＣＳ接続枚数計算ツール!$C$6*枚数!AD22/(VLOOKUP(HUAWEI製ＰＣＳ接続枚数計算ツール!$C$9, HUAWEI製ＰＣＳ接続枚数計算ツール!$B$119:$P$149,2,FALSE)*1000*HUAWEI製ＰＣＳ接続枚数計算ツール!$Y$113)</f>
        <v>0</v>
      </c>
      <c r="AE22" s="85">
        <f>HUAWEI製ＰＣＳ接続枚数計算ツール!$C$6*枚数!AE22/(VLOOKUP(HUAWEI製ＰＣＳ接続枚数計算ツール!$C$9, HUAWEI製ＰＣＳ接続枚数計算ツール!$B$119:$P$149,2,FALSE)*1000*HUAWEI製ＰＣＳ接続枚数計算ツール!$Y$113)</f>
        <v>0</v>
      </c>
      <c r="AF22" s="85">
        <f>HUAWEI製ＰＣＳ接続枚数計算ツール!$C$6*枚数!AF22/(VLOOKUP(HUAWEI製ＰＣＳ接続枚数計算ツール!$C$9, HUAWEI製ＰＣＳ接続枚数計算ツール!$B$119:$P$149,2,FALSE)*1000*HUAWEI製ＰＣＳ接続枚数計算ツール!$Y$113)</f>
        <v>0</v>
      </c>
      <c r="AG22" s="85">
        <f>HUAWEI製ＰＣＳ接続枚数計算ツール!$C$6*枚数!AG22/(VLOOKUP(HUAWEI製ＰＣＳ接続枚数計算ツール!$C$9, HUAWEI製ＰＣＳ接続枚数計算ツール!$B$119:$P$149,2,FALSE)*1000*HUAWEI製ＰＣＳ接続枚数計算ツール!$Y$113)</f>
        <v>0</v>
      </c>
      <c r="AH22" s="85">
        <f>HUAWEI製ＰＣＳ接続枚数計算ツール!$C$6*枚数!AH22/(VLOOKUP(HUAWEI製ＰＣＳ接続枚数計算ツール!$C$9, HUAWEI製ＰＣＳ接続枚数計算ツール!$B$119:$P$149,2,FALSE)*1000*HUAWEI製ＰＣＳ接続枚数計算ツール!$Y$113)</f>
        <v>0</v>
      </c>
      <c r="AI22" s="85">
        <f>HUAWEI製ＰＣＳ接続枚数計算ツール!$C$6*枚数!AI22/(VLOOKUP(HUAWEI製ＰＣＳ接続枚数計算ツール!$C$9, HUAWEI製ＰＣＳ接続枚数計算ツール!$B$119:$P$149,2,FALSE)*1000*HUAWEI製ＰＣＳ接続枚数計算ツール!$Y$113)</f>
        <v>0</v>
      </c>
      <c r="AJ22" s="85">
        <f>HUAWEI製ＰＣＳ接続枚数計算ツール!$C$6*枚数!AJ22/(VLOOKUP(HUAWEI製ＰＣＳ接続枚数計算ツール!$C$9, HUAWEI製ＰＣＳ接続枚数計算ツール!$B$119:$P$149,2,FALSE)*1000*HUAWEI製ＰＣＳ接続枚数計算ツール!$Y$113)</f>
        <v>0</v>
      </c>
      <c r="AK22" s="85">
        <f>HUAWEI製ＰＣＳ接続枚数計算ツール!$C$6*枚数!AK22/(VLOOKUP(HUAWEI製ＰＣＳ接続枚数計算ツール!$C$9, HUAWEI製ＰＣＳ接続枚数計算ツール!$B$119:$P$149,2,FALSE)*1000*HUAWEI製ＰＣＳ接続枚数計算ツール!$Y$113)</f>
        <v>0</v>
      </c>
      <c r="AL22" s="85">
        <f>HUAWEI製ＰＣＳ接続枚数計算ツール!$C$6*枚数!AL22/(VLOOKUP(HUAWEI製ＰＣＳ接続枚数計算ツール!$C$9, HUAWEI製ＰＣＳ接続枚数計算ツール!$B$119:$P$149,2,FALSE)*1000*HUAWEI製ＰＣＳ接続枚数計算ツール!$Y$113)</f>
        <v>0</v>
      </c>
      <c r="AM22" s="85">
        <f>HUAWEI製ＰＣＳ接続枚数計算ツール!$C$6*枚数!AM22/(VLOOKUP(HUAWEI製ＰＣＳ接続枚数計算ツール!$C$9, HUAWEI製ＰＣＳ接続枚数計算ツール!$B$119:$P$149,2,FALSE)*1000*HUAWEI製ＰＣＳ接続枚数計算ツール!$Y$113)</f>
        <v>0</v>
      </c>
      <c r="AN22" s="85">
        <f>HUAWEI製ＰＣＳ接続枚数計算ツール!$C$6*枚数!AN22/(VLOOKUP(HUAWEI製ＰＣＳ接続枚数計算ツール!$C$9, HUAWEI製ＰＣＳ接続枚数計算ツール!$B$119:$P$149,2,FALSE)*1000*HUAWEI製ＰＣＳ接続枚数計算ツール!$Y$113)</f>
        <v>0</v>
      </c>
      <c r="AO22" s="85">
        <f>HUAWEI製ＰＣＳ接続枚数計算ツール!$C$6*枚数!AO22/(VLOOKUP(HUAWEI製ＰＣＳ接続枚数計算ツール!$C$9, HUAWEI製ＰＣＳ接続枚数計算ツール!$B$119:$P$149,2,FALSE)*1000*HUAWEI製ＰＣＳ接続枚数計算ツール!$Y$113)</f>
        <v>0</v>
      </c>
    </row>
    <row r="23" spans="1:41">
      <c r="A23">
        <v>21</v>
      </c>
      <c r="B23" s="85">
        <f>HUAWEI製ＰＣＳ接続枚数計算ツール!$C$6*枚数!B23/(VLOOKUP(HUAWEI製ＰＣＳ接続枚数計算ツール!$C$9, HUAWEI製ＰＣＳ接続枚数計算ツール!$B$119:$P$149,2,FALSE)*1000*HUAWEI製ＰＣＳ接続枚数計算ツール!$Y$113)</f>
        <v>0</v>
      </c>
      <c r="C23" s="85">
        <f>HUAWEI製ＰＣＳ接続枚数計算ツール!$C$6*枚数!C23/(VLOOKUP(HUAWEI製ＰＣＳ接続枚数計算ツール!$C$9, HUAWEI製ＰＣＳ接続枚数計算ツール!$B$119:$P$149,2,FALSE)*1000*HUAWEI製ＰＣＳ接続枚数計算ツール!$Y$113)</f>
        <v>0</v>
      </c>
      <c r="D23" s="85">
        <f>HUAWEI製ＰＣＳ接続枚数計算ツール!$C$6*枚数!D23/(VLOOKUP(HUAWEI製ＰＣＳ接続枚数計算ツール!$C$9, HUAWEI製ＰＣＳ接続枚数計算ツール!$B$119:$P$149,2,FALSE)*1000*HUAWEI製ＰＣＳ接続枚数計算ツール!$Y$113)</f>
        <v>0</v>
      </c>
      <c r="E23" s="85">
        <f>HUAWEI製ＰＣＳ接続枚数計算ツール!$C$6*枚数!E23/(VLOOKUP(HUAWEI製ＰＣＳ接続枚数計算ツール!$C$9, HUAWEI製ＰＣＳ接続枚数計算ツール!$B$119:$P$149,2,FALSE)*1000*HUAWEI製ＰＣＳ接続枚数計算ツール!$Y$113)</f>
        <v>0</v>
      </c>
      <c r="F23" s="85">
        <f>HUAWEI製ＰＣＳ接続枚数計算ツール!$C$6*枚数!F23/(VLOOKUP(HUAWEI製ＰＣＳ接続枚数計算ツール!$C$9, HUAWEI製ＰＣＳ接続枚数計算ツール!$B$119:$P$149,2,FALSE)*1000*HUAWEI製ＰＣＳ接続枚数計算ツール!$Y$113)</f>
        <v>0</v>
      </c>
      <c r="G23" s="85">
        <f>HUAWEI製ＰＣＳ接続枚数計算ツール!$C$6*枚数!G23/(VLOOKUP(HUAWEI製ＰＣＳ接続枚数計算ツール!$C$9, HUAWEI製ＰＣＳ接続枚数計算ツール!$B$119:$P$149,2,FALSE)*1000*HUAWEI製ＰＣＳ接続枚数計算ツール!$Y$113)</f>
        <v>0</v>
      </c>
      <c r="H23" s="85">
        <f>HUAWEI製ＰＣＳ接続枚数計算ツール!$C$6*枚数!H23/(VLOOKUP(HUAWEI製ＰＣＳ接続枚数計算ツール!$C$9, HUAWEI製ＰＣＳ接続枚数計算ツール!$B$119:$P$149,2,FALSE)*1000*HUAWEI製ＰＣＳ接続枚数計算ツール!$Y$113)</f>
        <v>0</v>
      </c>
      <c r="I23" s="85">
        <f>HUAWEI製ＰＣＳ接続枚数計算ツール!$C$6*枚数!I23/(VLOOKUP(HUAWEI製ＰＣＳ接続枚数計算ツール!$C$9, HUAWEI製ＰＣＳ接続枚数計算ツール!$B$119:$P$149,2,FALSE)*1000*HUAWEI製ＰＣＳ接続枚数計算ツール!$Y$113)</f>
        <v>0</v>
      </c>
      <c r="J23" s="85">
        <f>HUAWEI製ＰＣＳ接続枚数計算ツール!$C$6*枚数!J23/(VLOOKUP(HUAWEI製ＰＣＳ接続枚数計算ツール!$C$9, HUAWEI製ＰＣＳ接続枚数計算ツール!$B$119:$P$149,2,FALSE)*1000*HUAWEI製ＰＣＳ接続枚数計算ツール!$Y$113)</f>
        <v>0</v>
      </c>
      <c r="K23" s="85">
        <f>HUAWEI製ＰＣＳ接続枚数計算ツール!$C$6*枚数!K23/(VLOOKUP(HUAWEI製ＰＣＳ接続枚数計算ツール!$C$9, HUAWEI製ＰＣＳ接続枚数計算ツール!$B$119:$P$149,2,FALSE)*1000*HUAWEI製ＰＣＳ接続枚数計算ツール!$Y$113)</f>
        <v>0</v>
      </c>
      <c r="L23" s="85">
        <f>HUAWEI製ＰＣＳ接続枚数計算ツール!$C$6*枚数!L23/(VLOOKUP(HUAWEI製ＰＣＳ接続枚数計算ツール!$C$9, HUAWEI製ＰＣＳ接続枚数計算ツール!$B$119:$P$149,2,FALSE)*1000*HUAWEI製ＰＣＳ接続枚数計算ツール!$Y$113)</f>
        <v>0</v>
      </c>
      <c r="M23" s="85">
        <f>HUAWEI製ＰＣＳ接続枚数計算ツール!$C$6*枚数!M23/(VLOOKUP(HUAWEI製ＰＣＳ接続枚数計算ツール!$C$9, HUAWEI製ＰＣＳ接続枚数計算ツール!$B$119:$P$149,2,FALSE)*1000*HUAWEI製ＰＣＳ接続枚数計算ツール!$Y$113)</f>
        <v>0</v>
      </c>
      <c r="N23" s="85">
        <f>HUAWEI製ＰＣＳ接続枚数計算ツール!$C$6*枚数!N23/(VLOOKUP(HUAWEI製ＰＣＳ接続枚数計算ツール!$C$9, HUAWEI製ＰＣＳ接続枚数計算ツール!$B$119:$P$149,2,FALSE)*1000*HUAWEI製ＰＣＳ接続枚数計算ツール!$Y$113)</f>
        <v>0</v>
      </c>
      <c r="O23" s="85">
        <f>HUAWEI製ＰＣＳ接続枚数計算ツール!$C$6*枚数!O23/(VLOOKUP(HUAWEI製ＰＣＳ接続枚数計算ツール!$C$9, HUAWEI製ＰＣＳ接続枚数計算ツール!$B$119:$P$149,2,FALSE)*1000*HUAWEI製ＰＣＳ接続枚数計算ツール!$Y$113)</f>
        <v>0</v>
      </c>
      <c r="P23" s="85">
        <f>HUAWEI製ＰＣＳ接続枚数計算ツール!$C$6*枚数!P23/(VLOOKUP(HUAWEI製ＰＣＳ接続枚数計算ツール!$C$9, HUAWEI製ＰＣＳ接続枚数計算ツール!$B$119:$P$149,2,FALSE)*1000*HUAWEI製ＰＣＳ接続枚数計算ツール!$Y$113)</f>
        <v>0</v>
      </c>
      <c r="Q23" s="85">
        <f>HUAWEI製ＰＣＳ接続枚数計算ツール!$C$6*枚数!Q23/(VLOOKUP(HUAWEI製ＰＣＳ接続枚数計算ツール!$C$9, HUAWEI製ＰＣＳ接続枚数計算ツール!$B$119:$P$149,2,FALSE)*1000*HUAWEI製ＰＣＳ接続枚数計算ツール!$Y$113)</f>
        <v>0</v>
      </c>
      <c r="R23" s="85">
        <f>HUAWEI製ＰＣＳ接続枚数計算ツール!$C$6*枚数!R23/(VLOOKUP(HUAWEI製ＰＣＳ接続枚数計算ツール!$C$9, HUAWEI製ＰＣＳ接続枚数計算ツール!$B$119:$P$149,2,FALSE)*1000*HUAWEI製ＰＣＳ接続枚数計算ツール!$Y$113)</f>
        <v>0</v>
      </c>
      <c r="S23" s="85">
        <f>HUAWEI製ＰＣＳ接続枚数計算ツール!$C$6*枚数!S23/(VLOOKUP(HUAWEI製ＰＣＳ接続枚数計算ツール!$C$9, HUAWEI製ＰＣＳ接続枚数計算ツール!$B$119:$P$149,2,FALSE)*1000*HUAWEI製ＰＣＳ接続枚数計算ツール!$Y$113)</f>
        <v>0</v>
      </c>
      <c r="T23" s="85">
        <f>HUAWEI製ＰＣＳ接続枚数計算ツール!$C$6*枚数!T23/(VLOOKUP(HUAWEI製ＰＣＳ接続枚数計算ツール!$C$9, HUAWEI製ＰＣＳ接続枚数計算ツール!$B$119:$P$149,2,FALSE)*1000*HUAWEI製ＰＣＳ接続枚数計算ツール!$Y$113)</f>
        <v>0</v>
      </c>
      <c r="U23" s="85">
        <f>HUAWEI製ＰＣＳ接続枚数計算ツール!$C$6*枚数!U23/(VLOOKUP(HUAWEI製ＰＣＳ接続枚数計算ツール!$C$9, HUAWEI製ＰＣＳ接続枚数計算ツール!$B$119:$P$149,2,FALSE)*1000*HUAWEI製ＰＣＳ接続枚数計算ツール!$Y$113)</f>
        <v>0</v>
      </c>
      <c r="V23" s="85">
        <f>HUAWEI製ＰＣＳ接続枚数計算ツール!$C$6*枚数!V23/(VLOOKUP(HUAWEI製ＰＣＳ接続枚数計算ツール!$C$9, HUAWEI製ＰＣＳ接続枚数計算ツール!$B$119:$P$149,2,FALSE)*1000*HUAWEI製ＰＣＳ接続枚数計算ツール!$Y$113)</f>
        <v>0</v>
      </c>
      <c r="W23" s="85">
        <f>HUAWEI製ＰＣＳ接続枚数計算ツール!$C$6*枚数!W23/(VLOOKUP(HUAWEI製ＰＣＳ接続枚数計算ツール!$C$9, HUAWEI製ＰＣＳ接続枚数計算ツール!$B$119:$P$149,2,FALSE)*1000*HUAWEI製ＰＣＳ接続枚数計算ツール!$Y$113)</f>
        <v>0</v>
      </c>
      <c r="X23" s="85">
        <f>HUAWEI製ＰＣＳ接続枚数計算ツール!$C$6*枚数!X23/(VLOOKUP(HUAWEI製ＰＣＳ接続枚数計算ツール!$C$9, HUAWEI製ＰＣＳ接続枚数計算ツール!$B$119:$P$149,2,FALSE)*1000*HUAWEI製ＰＣＳ接続枚数計算ツール!$Y$113)</f>
        <v>0</v>
      </c>
      <c r="Y23" s="85">
        <f>HUAWEI製ＰＣＳ接続枚数計算ツール!$C$6*枚数!Y23/(VLOOKUP(HUAWEI製ＰＣＳ接続枚数計算ツール!$C$9, HUAWEI製ＰＣＳ接続枚数計算ツール!$B$119:$P$149,2,FALSE)*1000*HUAWEI製ＰＣＳ接続枚数計算ツール!$Y$113)</f>
        <v>0</v>
      </c>
      <c r="Z23" s="85">
        <f>HUAWEI製ＰＣＳ接続枚数計算ツール!$C$6*枚数!Z23/(VLOOKUP(HUAWEI製ＰＣＳ接続枚数計算ツール!$C$9, HUAWEI製ＰＣＳ接続枚数計算ツール!$B$119:$P$149,2,FALSE)*1000*HUAWEI製ＰＣＳ接続枚数計算ツール!$Y$113)</f>
        <v>0</v>
      </c>
      <c r="AA23" s="85">
        <f>HUAWEI製ＰＣＳ接続枚数計算ツール!$C$6*枚数!AA23/(VLOOKUP(HUAWEI製ＰＣＳ接続枚数計算ツール!$C$9, HUAWEI製ＰＣＳ接続枚数計算ツール!$B$119:$P$149,2,FALSE)*1000*HUAWEI製ＰＣＳ接続枚数計算ツール!$Y$113)</f>
        <v>0</v>
      </c>
      <c r="AB23" s="85">
        <f>HUAWEI製ＰＣＳ接続枚数計算ツール!$C$6*枚数!AB23/(VLOOKUP(HUAWEI製ＰＣＳ接続枚数計算ツール!$C$9, HUAWEI製ＰＣＳ接続枚数計算ツール!$B$119:$P$149,2,FALSE)*1000*HUAWEI製ＰＣＳ接続枚数計算ツール!$Y$113)</f>
        <v>0</v>
      </c>
      <c r="AC23" s="85">
        <f>HUAWEI製ＰＣＳ接続枚数計算ツール!$C$6*枚数!AC23/(VLOOKUP(HUAWEI製ＰＣＳ接続枚数計算ツール!$C$9, HUAWEI製ＰＣＳ接続枚数計算ツール!$B$119:$P$149,2,FALSE)*1000*HUAWEI製ＰＣＳ接続枚数計算ツール!$Y$113)</f>
        <v>0</v>
      </c>
      <c r="AD23" s="85">
        <f>HUAWEI製ＰＣＳ接続枚数計算ツール!$C$6*枚数!AD23/(VLOOKUP(HUAWEI製ＰＣＳ接続枚数計算ツール!$C$9, HUAWEI製ＰＣＳ接続枚数計算ツール!$B$119:$P$149,2,FALSE)*1000*HUAWEI製ＰＣＳ接続枚数計算ツール!$Y$113)</f>
        <v>0</v>
      </c>
      <c r="AE23" s="85">
        <f>HUAWEI製ＰＣＳ接続枚数計算ツール!$C$6*枚数!AE23/(VLOOKUP(HUAWEI製ＰＣＳ接続枚数計算ツール!$C$9, HUAWEI製ＰＣＳ接続枚数計算ツール!$B$119:$P$149,2,FALSE)*1000*HUAWEI製ＰＣＳ接続枚数計算ツール!$Y$113)</f>
        <v>0</v>
      </c>
      <c r="AF23" s="85">
        <f>HUAWEI製ＰＣＳ接続枚数計算ツール!$C$6*枚数!AF23/(VLOOKUP(HUAWEI製ＰＣＳ接続枚数計算ツール!$C$9, HUAWEI製ＰＣＳ接続枚数計算ツール!$B$119:$P$149,2,FALSE)*1000*HUAWEI製ＰＣＳ接続枚数計算ツール!$Y$113)</f>
        <v>0</v>
      </c>
      <c r="AG23" s="85">
        <f>HUAWEI製ＰＣＳ接続枚数計算ツール!$C$6*枚数!AG23/(VLOOKUP(HUAWEI製ＰＣＳ接続枚数計算ツール!$C$9, HUAWEI製ＰＣＳ接続枚数計算ツール!$B$119:$P$149,2,FALSE)*1000*HUAWEI製ＰＣＳ接続枚数計算ツール!$Y$113)</f>
        <v>0</v>
      </c>
      <c r="AH23" s="85">
        <f>HUAWEI製ＰＣＳ接続枚数計算ツール!$C$6*枚数!AH23/(VLOOKUP(HUAWEI製ＰＣＳ接続枚数計算ツール!$C$9, HUAWEI製ＰＣＳ接続枚数計算ツール!$B$119:$P$149,2,FALSE)*1000*HUAWEI製ＰＣＳ接続枚数計算ツール!$Y$113)</f>
        <v>0</v>
      </c>
      <c r="AI23" s="85">
        <f>HUAWEI製ＰＣＳ接続枚数計算ツール!$C$6*枚数!AI23/(VLOOKUP(HUAWEI製ＰＣＳ接続枚数計算ツール!$C$9, HUAWEI製ＰＣＳ接続枚数計算ツール!$B$119:$P$149,2,FALSE)*1000*HUAWEI製ＰＣＳ接続枚数計算ツール!$Y$113)</f>
        <v>0</v>
      </c>
      <c r="AJ23" s="85">
        <f>HUAWEI製ＰＣＳ接続枚数計算ツール!$C$6*枚数!AJ23/(VLOOKUP(HUAWEI製ＰＣＳ接続枚数計算ツール!$C$9, HUAWEI製ＰＣＳ接続枚数計算ツール!$B$119:$P$149,2,FALSE)*1000*HUAWEI製ＰＣＳ接続枚数計算ツール!$Y$113)</f>
        <v>0</v>
      </c>
      <c r="AK23" s="85">
        <f>HUAWEI製ＰＣＳ接続枚数計算ツール!$C$6*枚数!AK23/(VLOOKUP(HUAWEI製ＰＣＳ接続枚数計算ツール!$C$9, HUAWEI製ＰＣＳ接続枚数計算ツール!$B$119:$P$149,2,FALSE)*1000*HUAWEI製ＰＣＳ接続枚数計算ツール!$Y$113)</f>
        <v>0</v>
      </c>
      <c r="AL23" s="85">
        <f>HUAWEI製ＰＣＳ接続枚数計算ツール!$C$6*枚数!AL23/(VLOOKUP(HUAWEI製ＰＣＳ接続枚数計算ツール!$C$9, HUAWEI製ＰＣＳ接続枚数計算ツール!$B$119:$P$149,2,FALSE)*1000*HUAWEI製ＰＣＳ接続枚数計算ツール!$Y$113)</f>
        <v>0</v>
      </c>
      <c r="AM23" s="85">
        <f>HUAWEI製ＰＣＳ接続枚数計算ツール!$C$6*枚数!AM23/(VLOOKUP(HUAWEI製ＰＣＳ接続枚数計算ツール!$C$9, HUAWEI製ＰＣＳ接続枚数計算ツール!$B$119:$P$149,2,FALSE)*1000*HUAWEI製ＰＣＳ接続枚数計算ツール!$Y$113)</f>
        <v>0</v>
      </c>
      <c r="AN23" s="85">
        <f>HUAWEI製ＰＣＳ接続枚数計算ツール!$C$6*枚数!AN23/(VLOOKUP(HUAWEI製ＰＣＳ接続枚数計算ツール!$C$9, HUAWEI製ＰＣＳ接続枚数計算ツール!$B$119:$P$149,2,FALSE)*1000*HUAWEI製ＰＣＳ接続枚数計算ツール!$Y$113)</f>
        <v>0</v>
      </c>
      <c r="AO23" s="85">
        <f>HUAWEI製ＰＣＳ接続枚数計算ツール!$C$6*枚数!AO23/(VLOOKUP(HUAWEI製ＰＣＳ接続枚数計算ツール!$C$9, HUAWEI製ＰＣＳ接続枚数計算ツール!$B$119:$P$149,2,FALSE)*1000*HUAWEI製ＰＣＳ接続枚数計算ツール!$Y$113)</f>
        <v>0</v>
      </c>
    </row>
    <row r="24" spans="1:41">
      <c r="A24">
        <v>22</v>
      </c>
      <c r="B24" s="85">
        <f>HUAWEI製ＰＣＳ接続枚数計算ツール!$C$6*枚数!B24/(VLOOKUP(HUAWEI製ＰＣＳ接続枚数計算ツール!$C$9, HUAWEI製ＰＣＳ接続枚数計算ツール!$B$119:$P$149,2,FALSE)*1000*HUAWEI製ＰＣＳ接続枚数計算ツール!$Y$113)</f>
        <v>0</v>
      </c>
      <c r="C24" s="85">
        <f>HUAWEI製ＰＣＳ接続枚数計算ツール!$C$6*枚数!C24/(VLOOKUP(HUAWEI製ＰＣＳ接続枚数計算ツール!$C$9, HUAWEI製ＰＣＳ接続枚数計算ツール!$B$119:$P$149,2,FALSE)*1000*HUAWEI製ＰＣＳ接続枚数計算ツール!$Y$113)</f>
        <v>0</v>
      </c>
      <c r="D24" s="85">
        <f>HUAWEI製ＰＣＳ接続枚数計算ツール!$C$6*枚数!D24/(VLOOKUP(HUAWEI製ＰＣＳ接続枚数計算ツール!$C$9, HUAWEI製ＰＣＳ接続枚数計算ツール!$B$119:$P$149,2,FALSE)*1000*HUAWEI製ＰＣＳ接続枚数計算ツール!$Y$113)</f>
        <v>0</v>
      </c>
      <c r="E24" s="85">
        <f>HUAWEI製ＰＣＳ接続枚数計算ツール!$C$6*枚数!E24/(VLOOKUP(HUAWEI製ＰＣＳ接続枚数計算ツール!$C$9, HUAWEI製ＰＣＳ接続枚数計算ツール!$B$119:$P$149,2,FALSE)*1000*HUAWEI製ＰＣＳ接続枚数計算ツール!$Y$113)</f>
        <v>0</v>
      </c>
      <c r="F24" s="85">
        <f>HUAWEI製ＰＣＳ接続枚数計算ツール!$C$6*枚数!F24/(VLOOKUP(HUAWEI製ＰＣＳ接続枚数計算ツール!$C$9, HUAWEI製ＰＣＳ接続枚数計算ツール!$B$119:$P$149,2,FALSE)*1000*HUAWEI製ＰＣＳ接続枚数計算ツール!$Y$113)</f>
        <v>0</v>
      </c>
      <c r="G24" s="85">
        <f>HUAWEI製ＰＣＳ接続枚数計算ツール!$C$6*枚数!G24/(VLOOKUP(HUAWEI製ＰＣＳ接続枚数計算ツール!$C$9, HUAWEI製ＰＣＳ接続枚数計算ツール!$B$119:$P$149,2,FALSE)*1000*HUAWEI製ＰＣＳ接続枚数計算ツール!$Y$113)</f>
        <v>0</v>
      </c>
      <c r="H24" s="85">
        <f>HUAWEI製ＰＣＳ接続枚数計算ツール!$C$6*枚数!H24/(VLOOKUP(HUAWEI製ＰＣＳ接続枚数計算ツール!$C$9, HUAWEI製ＰＣＳ接続枚数計算ツール!$B$119:$P$149,2,FALSE)*1000*HUAWEI製ＰＣＳ接続枚数計算ツール!$Y$113)</f>
        <v>0</v>
      </c>
      <c r="I24" s="85">
        <f>HUAWEI製ＰＣＳ接続枚数計算ツール!$C$6*枚数!I24/(VLOOKUP(HUAWEI製ＰＣＳ接続枚数計算ツール!$C$9, HUAWEI製ＰＣＳ接続枚数計算ツール!$B$119:$P$149,2,FALSE)*1000*HUAWEI製ＰＣＳ接続枚数計算ツール!$Y$113)</f>
        <v>0</v>
      </c>
      <c r="J24" s="85">
        <f>HUAWEI製ＰＣＳ接続枚数計算ツール!$C$6*枚数!J24/(VLOOKUP(HUAWEI製ＰＣＳ接続枚数計算ツール!$C$9, HUAWEI製ＰＣＳ接続枚数計算ツール!$B$119:$P$149,2,FALSE)*1000*HUAWEI製ＰＣＳ接続枚数計算ツール!$Y$113)</f>
        <v>0</v>
      </c>
      <c r="K24" s="85">
        <f>HUAWEI製ＰＣＳ接続枚数計算ツール!$C$6*枚数!K24/(VLOOKUP(HUAWEI製ＰＣＳ接続枚数計算ツール!$C$9, HUAWEI製ＰＣＳ接続枚数計算ツール!$B$119:$P$149,2,FALSE)*1000*HUAWEI製ＰＣＳ接続枚数計算ツール!$Y$113)</f>
        <v>0</v>
      </c>
      <c r="L24" s="85">
        <f>HUAWEI製ＰＣＳ接続枚数計算ツール!$C$6*枚数!L24/(VLOOKUP(HUAWEI製ＰＣＳ接続枚数計算ツール!$C$9, HUAWEI製ＰＣＳ接続枚数計算ツール!$B$119:$P$149,2,FALSE)*1000*HUAWEI製ＰＣＳ接続枚数計算ツール!$Y$113)</f>
        <v>0</v>
      </c>
      <c r="M24" s="85">
        <f>HUAWEI製ＰＣＳ接続枚数計算ツール!$C$6*枚数!M24/(VLOOKUP(HUAWEI製ＰＣＳ接続枚数計算ツール!$C$9, HUAWEI製ＰＣＳ接続枚数計算ツール!$B$119:$P$149,2,FALSE)*1000*HUAWEI製ＰＣＳ接続枚数計算ツール!$Y$113)</f>
        <v>0</v>
      </c>
      <c r="N24" s="85">
        <f>HUAWEI製ＰＣＳ接続枚数計算ツール!$C$6*枚数!N24/(VLOOKUP(HUAWEI製ＰＣＳ接続枚数計算ツール!$C$9, HUAWEI製ＰＣＳ接続枚数計算ツール!$B$119:$P$149,2,FALSE)*1000*HUAWEI製ＰＣＳ接続枚数計算ツール!$Y$113)</f>
        <v>0</v>
      </c>
      <c r="O24" s="85">
        <f>HUAWEI製ＰＣＳ接続枚数計算ツール!$C$6*枚数!O24/(VLOOKUP(HUAWEI製ＰＣＳ接続枚数計算ツール!$C$9, HUAWEI製ＰＣＳ接続枚数計算ツール!$B$119:$P$149,2,FALSE)*1000*HUAWEI製ＰＣＳ接続枚数計算ツール!$Y$113)</f>
        <v>0</v>
      </c>
      <c r="P24" s="85">
        <f>HUAWEI製ＰＣＳ接続枚数計算ツール!$C$6*枚数!P24/(VLOOKUP(HUAWEI製ＰＣＳ接続枚数計算ツール!$C$9, HUAWEI製ＰＣＳ接続枚数計算ツール!$B$119:$P$149,2,FALSE)*1000*HUAWEI製ＰＣＳ接続枚数計算ツール!$Y$113)</f>
        <v>0</v>
      </c>
      <c r="Q24" s="85">
        <f>HUAWEI製ＰＣＳ接続枚数計算ツール!$C$6*枚数!Q24/(VLOOKUP(HUAWEI製ＰＣＳ接続枚数計算ツール!$C$9, HUAWEI製ＰＣＳ接続枚数計算ツール!$B$119:$P$149,2,FALSE)*1000*HUAWEI製ＰＣＳ接続枚数計算ツール!$Y$113)</f>
        <v>0</v>
      </c>
      <c r="R24" s="85">
        <f>HUAWEI製ＰＣＳ接続枚数計算ツール!$C$6*枚数!R24/(VLOOKUP(HUAWEI製ＰＣＳ接続枚数計算ツール!$C$9, HUAWEI製ＰＣＳ接続枚数計算ツール!$B$119:$P$149,2,FALSE)*1000*HUAWEI製ＰＣＳ接続枚数計算ツール!$Y$113)</f>
        <v>0</v>
      </c>
      <c r="S24" s="85">
        <f>HUAWEI製ＰＣＳ接続枚数計算ツール!$C$6*枚数!S24/(VLOOKUP(HUAWEI製ＰＣＳ接続枚数計算ツール!$C$9, HUAWEI製ＰＣＳ接続枚数計算ツール!$B$119:$P$149,2,FALSE)*1000*HUAWEI製ＰＣＳ接続枚数計算ツール!$Y$113)</f>
        <v>0</v>
      </c>
      <c r="T24" s="85">
        <f>HUAWEI製ＰＣＳ接続枚数計算ツール!$C$6*枚数!T24/(VLOOKUP(HUAWEI製ＰＣＳ接続枚数計算ツール!$C$9, HUAWEI製ＰＣＳ接続枚数計算ツール!$B$119:$P$149,2,FALSE)*1000*HUAWEI製ＰＣＳ接続枚数計算ツール!$Y$113)</f>
        <v>0</v>
      </c>
      <c r="U24" s="85">
        <f>HUAWEI製ＰＣＳ接続枚数計算ツール!$C$6*枚数!U24/(VLOOKUP(HUAWEI製ＰＣＳ接続枚数計算ツール!$C$9, HUAWEI製ＰＣＳ接続枚数計算ツール!$B$119:$P$149,2,FALSE)*1000*HUAWEI製ＰＣＳ接続枚数計算ツール!$Y$113)</f>
        <v>0</v>
      </c>
      <c r="V24" s="85">
        <f>HUAWEI製ＰＣＳ接続枚数計算ツール!$C$6*枚数!V24/(VLOOKUP(HUAWEI製ＰＣＳ接続枚数計算ツール!$C$9, HUAWEI製ＰＣＳ接続枚数計算ツール!$B$119:$P$149,2,FALSE)*1000*HUAWEI製ＰＣＳ接続枚数計算ツール!$Y$113)</f>
        <v>0</v>
      </c>
      <c r="W24" s="85">
        <f>HUAWEI製ＰＣＳ接続枚数計算ツール!$C$6*枚数!W24/(VLOOKUP(HUAWEI製ＰＣＳ接続枚数計算ツール!$C$9, HUAWEI製ＰＣＳ接続枚数計算ツール!$B$119:$P$149,2,FALSE)*1000*HUAWEI製ＰＣＳ接続枚数計算ツール!$Y$113)</f>
        <v>0</v>
      </c>
      <c r="X24" s="85">
        <f>HUAWEI製ＰＣＳ接続枚数計算ツール!$C$6*枚数!X24/(VLOOKUP(HUAWEI製ＰＣＳ接続枚数計算ツール!$C$9, HUAWEI製ＰＣＳ接続枚数計算ツール!$B$119:$P$149,2,FALSE)*1000*HUAWEI製ＰＣＳ接続枚数計算ツール!$Y$113)</f>
        <v>0</v>
      </c>
      <c r="Y24" s="85">
        <f>HUAWEI製ＰＣＳ接続枚数計算ツール!$C$6*枚数!Y24/(VLOOKUP(HUAWEI製ＰＣＳ接続枚数計算ツール!$C$9, HUAWEI製ＰＣＳ接続枚数計算ツール!$B$119:$P$149,2,FALSE)*1000*HUAWEI製ＰＣＳ接続枚数計算ツール!$Y$113)</f>
        <v>0</v>
      </c>
      <c r="Z24" s="85">
        <f>HUAWEI製ＰＣＳ接続枚数計算ツール!$C$6*枚数!Z24/(VLOOKUP(HUAWEI製ＰＣＳ接続枚数計算ツール!$C$9, HUAWEI製ＰＣＳ接続枚数計算ツール!$B$119:$P$149,2,FALSE)*1000*HUAWEI製ＰＣＳ接続枚数計算ツール!$Y$113)</f>
        <v>0</v>
      </c>
      <c r="AA24" s="85">
        <f>HUAWEI製ＰＣＳ接続枚数計算ツール!$C$6*枚数!AA24/(VLOOKUP(HUAWEI製ＰＣＳ接続枚数計算ツール!$C$9, HUAWEI製ＰＣＳ接続枚数計算ツール!$B$119:$P$149,2,FALSE)*1000*HUAWEI製ＰＣＳ接続枚数計算ツール!$Y$113)</f>
        <v>0</v>
      </c>
      <c r="AB24" s="85">
        <f>HUAWEI製ＰＣＳ接続枚数計算ツール!$C$6*枚数!AB24/(VLOOKUP(HUAWEI製ＰＣＳ接続枚数計算ツール!$C$9, HUAWEI製ＰＣＳ接続枚数計算ツール!$B$119:$P$149,2,FALSE)*1000*HUAWEI製ＰＣＳ接続枚数計算ツール!$Y$113)</f>
        <v>0</v>
      </c>
      <c r="AC24" s="85">
        <f>HUAWEI製ＰＣＳ接続枚数計算ツール!$C$6*枚数!AC24/(VLOOKUP(HUAWEI製ＰＣＳ接続枚数計算ツール!$C$9, HUAWEI製ＰＣＳ接続枚数計算ツール!$B$119:$P$149,2,FALSE)*1000*HUAWEI製ＰＣＳ接続枚数計算ツール!$Y$113)</f>
        <v>0</v>
      </c>
      <c r="AD24" s="85">
        <f>HUAWEI製ＰＣＳ接続枚数計算ツール!$C$6*枚数!AD24/(VLOOKUP(HUAWEI製ＰＣＳ接続枚数計算ツール!$C$9, HUAWEI製ＰＣＳ接続枚数計算ツール!$B$119:$P$149,2,FALSE)*1000*HUAWEI製ＰＣＳ接続枚数計算ツール!$Y$113)</f>
        <v>0</v>
      </c>
      <c r="AE24" s="85">
        <f>HUAWEI製ＰＣＳ接続枚数計算ツール!$C$6*枚数!AE24/(VLOOKUP(HUAWEI製ＰＣＳ接続枚数計算ツール!$C$9, HUAWEI製ＰＣＳ接続枚数計算ツール!$B$119:$P$149,2,FALSE)*1000*HUAWEI製ＰＣＳ接続枚数計算ツール!$Y$113)</f>
        <v>0</v>
      </c>
      <c r="AF24" s="85">
        <f>HUAWEI製ＰＣＳ接続枚数計算ツール!$C$6*枚数!AF24/(VLOOKUP(HUAWEI製ＰＣＳ接続枚数計算ツール!$C$9, HUAWEI製ＰＣＳ接続枚数計算ツール!$B$119:$P$149,2,FALSE)*1000*HUAWEI製ＰＣＳ接続枚数計算ツール!$Y$113)</f>
        <v>0</v>
      </c>
      <c r="AG24" s="85">
        <f>HUAWEI製ＰＣＳ接続枚数計算ツール!$C$6*枚数!AG24/(VLOOKUP(HUAWEI製ＰＣＳ接続枚数計算ツール!$C$9, HUAWEI製ＰＣＳ接続枚数計算ツール!$B$119:$P$149,2,FALSE)*1000*HUAWEI製ＰＣＳ接続枚数計算ツール!$Y$113)</f>
        <v>0</v>
      </c>
      <c r="AH24" s="85">
        <f>HUAWEI製ＰＣＳ接続枚数計算ツール!$C$6*枚数!AH24/(VLOOKUP(HUAWEI製ＰＣＳ接続枚数計算ツール!$C$9, HUAWEI製ＰＣＳ接続枚数計算ツール!$B$119:$P$149,2,FALSE)*1000*HUAWEI製ＰＣＳ接続枚数計算ツール!$Y$113)</f>
        <v>0</v>
      </c>
      <c r="AI24" s="85">
        <f>HUAWEI製ＰＣＳ接続枚数計算ツール!$C$6*枚数!AI24/(VLOOKUP(HUAWEI製ＰＣＳ接続枚数計算ツール!$C$9, HUAWEI製ＰＣＳ接続枚数計算ツール!$B$119:$P$149,2,FALSE)*1000*HUAWEI製ＰＣＳ接続枚数計算ツール!$Y$113)</f>
        <v>0</v>
      </c>
      <c r="AJ24" s="85">
        <f>HUAWEI製ＰＣＳ接続枚数計算ツール!$C$6*枚数!AJ24/(VLOOKUP(HUAWEI製ＰＣＳ接続枚数計算ツール!$C$9, HUAWEI製ＰＣＳ接続枚数計算ツール!$B$119:$P$149,2,FALSE)*1000*HUAWEI製ＰＣＳ接続枚数計算ツール!$Y$113)</f>
        <v>0</v>
      </c>
      <c r="AK24" s="85">
        <f>HUAWEI製ＰＣＳ接続枚数計算ツール!$C$6*枚数!AK24/(VLOOKUP(HUAWEI製ＰＣＳ接続枚数計算ツール!$C$9, HUAWEI製ＰＣＳ接続枚数計算ツール!$B$119:$P$149,2,FALSE)*1000*HUAWEI製ＰＣＳ接続枚数計算ツール!$Y$113)</f>
        <v>0</v>
      </c>
      <c r="AL24" s="85">
        <f>HUAWEI製ＰＣＳ接続枚数計算ツール!$C$6*枚数!AL24/(VLOOKUP(HUAWEI製ＰＣＳ接続枚数計算ツール!$C$9, HUAWEI製ＰＣＳ接続枚数計算ツール!$B$119:$P$149,2,FALSE)*1000*HUAWEI製ＰＣＳ接続枚数計算ツール!$Y$113)</f>
        <v>0</v>
      </c>
      <c r="AM24" s="85">
        <f>HUAWEI製ＰＣＳ接続枚数計算ツール!$C$6*枚数!AM24/(VLOOKUP(HUAWEI製ＰＣＳ接続枚数計算ツール!$C$9, HUAWEI製ＰＣＳ接続枚数計算ツール!$B$119:$P$149,2,FALSE)*1000*HUAWEI製ＰＣＳ接続枚数計算ツール!$Y$113)</f>
        <v>0</v>
      </c>
      <c r="AN24" s="85">
        <f>HUAWEI製ＰＣＳ接続枚数計算ツール!$C$6*枚数!AN24/(VLOOKUP(HUAWEI製ＰＣＳ接続枚数計算ツール!$C$9, HUAWEI製ＰＣＳ接続枚数計算ツール!$B$119:$P$149,2,FALSE)*1000*HUAWEI製ＰＣＳ接続枚数計算ツール!$Y$113)</f>
        <v>0</v>
      </c>
      <c r="AO24" s="85">
        <f>HUAWEI製ＰＣＳ接続枚数計算ツール!$C$6*枚数!AO24/(VLOOKUP(HUAWEI製ＰＣＳ接続枚数計算ツール!$C$9, HUAWEI製ＰＣＳ接続枚数計算ツール!$B$119:$P$149,2,FALSE)*1000*HUAWEI製ＰＣＳ接続枚数計算ツール!$Y$113)</f>
        <v>0</v>
      </c>
    </row>
    <row r="25" spans="1:41">
      <c r="A25">
        <v>23</v>
      </c>
      <c r="B25" s="85">
        <f>HUAWEI製ＰＣＳ接続枚数計算ツール!$C$6*枚数!B25/(VLOOKUP(HUAWEI製ＰＣＳ接続枚数計算ツール!$C$9, HUAWEI製ＰＣＳ接続枚数計算ツール!$B$119:$P$149,2,FALSE)*1000*HUAWEI製ＰＣＳ接続枚数計算ツール!$Y$113)</f>
        <v>0</v>
      </c>
      <c r="C25" s="85">
        <f>HUAWEI製ＰＣＳ接続枚数計算ツール!$C$6*枚数!C25/(VLOOKUP(HUAWEI製ＰＣＳ接続枚数計算ツール!$C$9, HUAWEI製ＰＣＳ接続枚数計算ツール!$B$119:$P$149,2,FALSE)*1000*HUAWEI製ＰＣＳ接続枚数計算ツール!$Y$113)</f>
        <v>0</v>
      </c>
      <c r="D25" s="85">
        <f>HUAWEI製ＰＣＳ接続枚数計算ツール!$C$6*枚数!D25/(VLOOKUP(HUAWEI製ＰＣＳ接続枚数計算ツール!$C$9, HUAWEI製ＰＣＳ接続枚数計算ツール!$B$119:$P$149,2,FALSE)*1000*HUAWEI製ＰＣＳ接続枚数計算ツール!$Y$113)</f>
        <v>0</v>
      </c>
      <c r="E25" s="85">
        <f>HUAWEI製ＰＣＳ接続枚数計算ツール!$C$6*枚数!E25/(VLOOKUP(HUAWEI製ＰＣＳ接続枚数計算ツール!$C$9, HUAWEI製ＰＣＳ接続枚数計算ツール!$B$119:$P$149,2,FALSE)*1000*HUAWEI製ＰＣＳ接続枚数計算ツール!$Y$113)</f>
        <v>0</v>
      </c>
      <c r="F25" s="85">
        <f>HUAWEI製ＰＣＳ接続枚数計算ツール!$C$6*枚数!F25/(VLOOKUP(HUAWEI製ＰＣＳ接続枚数計算ツール!$C$9, HUAWEI製ＰＣＳ接続枚数計算ツール!$B$119:$P$149,2,FALSE)*1000*HUAWEI製ＰＣＳ接続枚数計算ツール!$Y$113)</f>
        <v>0</v>
      </c>
      <c r="G25" s="85">
        <f>HUAWEI製ＰＣＳ接続枚数計算ツール!$C$6*枚数!G25/(VLOOKUP(HUAWEI製ＰＣＳ接続枚数計算ツール!$C$9, HUAWEI製ＰＣＳ接続枚数計算ツール!$B$119:$P$149,2,FALSE)*1000*HUAWEI製ＰＣＳ接続枚数計算ツール!$Y$113)</f>
        <v>0</v>
      </c>
      <c r="H25" s="85">
        <f>HUAWEI製ＰＣＳ接続枚数計算ツール!$C$6*枚数!H25/(VLOOKUP(HUAWEI製ＰＣＳ接続枚数計算ツール!$C$9, HUAWEI製ＰＣＳ接続枚数計算ツール!$B$119:$P$149,2,FALSE)*1000*HUAWEI製ＰＣＳ接続枚数計算ツール!$Y$113)</f>
        <v>0</v>
      </c>
      <c r="I25" s="85">
        <f>HUAWEI製ＰＣＳ接続枚数計算ツール!$C$6*枚数!I25/(VLOOKUP(HUAWEI製ＰＣＳ接続枚数計算ツール!$C$9, HUAWEI製ＰＣＳ接続枚数計算ツール!$B$119:$P$149,2,FALSE)*1000*HUAWEI製ＰＣＳ接続枚数計算ツール!$Y$113)</f>
        <v>0</v>
      </c>
      <c r="J25" s="85">
        <f>HUAWEI製ＰＣＳ接続枚数計算ツール!$C$6*枚数!J25/(VLOOKUP(HUAWEI製ＰＣＳ接続枚数計算ツール!$C$9, HUAWEI製ＰＣＳ接続枚数計算ツール!$B$119:$P$149,2,FALSE)*1000*HUAWEI製ＰＣＳ接続枚数計算ツール!$Y$113)</f>
        <v>0</v>
      </c>
      <c r="K25" s="85">
        <f>HUAWEI製ＰＣＳ接続枚数計算ツール!$C$6*枚数!K25/(VLOOKUP(HUAWEI製ＰＣＳ接続枚数計算ツール!$C$9, HUAWEI製ＰＣＳ接続枚数計算ツール!$B$119:$P$149,2,FALSE)*1000*HUAWEI製ＰＣＳ接続枚数計算ツール!$Y$113)</f>
        <v>0</v>
      </c>
      <c r="L25" s="85">
        <f>HUAWEI製ＰＣＳ接続枚数計算ツール!$C$6*枚数!L25/(VLOOKUP(HUAWEI製ＰＣＳ接続枚数計算ツール!$C$9, HUAWEI製ＰＣＳ接続枚数計算ツール!$B$119:$P$149,2,FALSE)*1000*HUAWEI製ＰＣＳ接続枚数計算ツール!$Y$113)</f>
        <v>0</v>
      </c>
      <c r="M25" s="85">
        <f>HUAWEI製ＰＣＳ接続枚数計算ツール!$C$6*枚数!M25/(VLOOKUP(HUAWEI製ＰＣＳ接続枚数計算ツール!$C$9, HUAWEI製ＰＣＳ接続枚数計算ツール!$B$119:$P$149,2,FALSE)*1000*HUAWEI製ＰＣＳ接続枚数計算ツール!$Y$113)</f>
        <v>0</v>
      </c>
      <c r="N25" s="85">
        <f>HUAWEI製ＰＣＳ接続枚数計算ツール!$C$6*枚数!N25/(VLOOKUP(HUAWEI製ＰＣＳ接続枚数計算ツール!$C$9, HUAWEI製ＰＣＳ接続枚数計算ツール!$B$119:$P$149,2,FALSE)*1000*HUAWEI製ＰＣＳ接続枚数計算ツール!$Y$113)</f>
        <v>0</v>
      </c>
      <c r="O25" s="85">
        <f>HUAWEI製ＰＣＳ接続枚数計算ツール!$C$6*枚数!O25/(VLOOKUP(HUAWEI製ＰＣＳ接続枚数計算ツール!$C$9, HUAWEI製ＰＣＳ接続枚数計算ツール!$B$119:$P$149,2,FALSE)*1000*HUAWEI製ＰＣＳ接続枚数計算ツール!$Y$113)</f>
        <v>0</v>
      </c>
      <c r="P25" s="85">
        <f>HUAWEI製ＰＣＳ接続枚数計算ツール!$C$6*枚数!P25/(VLOOKUP(HUAWEI製ＰＣＳ接続枚数計算ツール!$C$9, HUAWEI製ＰＣＳ接続枚数計算ツール!$B$119:$P$149,2,FALSE)*1000*HUAWEI製ＰＣＳ接続枚数計算ツール!$Y$113)</f>
        <v>0</v>
      </c>
      <c r="Q25" s="85">
        <f>HUAWEI製ＰＣＳ接続枚数計算ツール!$C$6*枚数!Q25/(VLOOKUP(HUAWEI製ＰＣＳ接続枚数計算ツール!$C$9, HUAWEI製ＰＣＳ接続枚数計算ツール!$B$119:$P$149,2,FALSE)*1000*HUAWEI製ＰＣＳ接続枚数計算ツール!$Y$113)</f>
        <v>0</v>
      </c>
      <c r="R25" s="85">
        <f>HUAWEI製ＰＣＳ接続枚数計算ツール!$C$6*枚数!R25/(VLOOKUP(HUAWEI製ＰＣＳ接続枚数計算ツール!$C$9, HUAWEI製ＰＣＳ接続枚数計算ツール!$B$119:$P$149,2,FALSE)*1000*HUAWEI製ＰＣＳ接続枚数計算ツール!$Y$113)</f>
        <v>0</v>
      </c>
      <c r="S25" s="85">
        <f>HUAWEI製ＰＣＳ接続枚数計算ツール!$C$6*枚数!S25/(VLOOKUP(HUAWEI製ＰＣＳ接続枚数計算ツール!$C$9, HUAWEI製ＰＣＳ接続枚数計算ツール!$B$119:$P$149,2,FALSE)*1000*HUAWEI製ＰＣＳ接続枚数計算ツール!$Y$113)</f>
        <v>0</v>
      </c>
      <c r="T25" s="85">
        <f>HUAWEI製ＰＣＳ接続枚数計算ツール!$C$6*枚数!T25/(VLOOKUP(HUAWEI製ＰＣＳ接続枚数計算ツール!$C$9, HUAWEI製ＰＣＳ接続枚数計算ツール!$B$119:$P$149,2,FALSE)*1000*HUAWEI製ＰＣＳ接続枚数計算ツール!$Y$113)</f>
        <v>0</v>
      </c>
      <c r="U25" s="85">
        <f>HUAWEI製ＰＣＳ接続枚数計算ツール!$C$6*枚数!U25/(VLOOKUP(HUAWEI製ＰＣＳ接続枚数計算ツール!$C$9, HUAWEI製ＰＣＳ接続枚数計算ツール!$B$119:$P$149,2,FALSE)*1000*HUAWEI製ＰＣＳ接続枚数計算ツール!$Y$113)</f>
        <v>0</v>
      </c>
      <c r="V25" s="85">
        <f>HUAWEI製ＰＣＳ接続枚数計算ツール!$C$6*枚数!V25/(VLOOKUP(HUAWEI製ＰＣＳ接続枚数計算ツール!$C$9, HUAWEI製ＰＣＳ接続枚数計算ツール!$B$119:$P$149,2,FALSE)*1000*HUAWEI製ＰＣＳ接続枚数計算ツール!$Y$113)</f>
        <v>0</v>
      </c>
      <c r="W25" s="85">
        <f>HUAWEI製ＰＣＳ接続枚数計算ツール!$C$6*枚数!W25/(VLOOKUP(HUAWEI製ＰＣＳ接続枚数計算ツール!$C$9, HUAWEI製ＰＣＳ接続枚数計算ツール!$B$119:$P$149,2,FALSE)*1000*HUAWEI製ＰＣＳ接続枚数計算ツール!$Y$113)</f>
        <v>0</v>
      </c>
      <c r="X25" s="85">
        <f>HUAWEI製ＰＣＳ接続枚数計算ツール!$C$6*枚数!X25/(VLOOKUP(HUAWEI製ＰＣＳ接続枚数計算ツール!$C$9, HUAWEI製ＰＣＳ接続枚数計算ツール!$B$119:$P$149,2,FALSE)*1000*HUAWEI製ＰＣＳ接続枚数計算ツール!$Y$113)</f>
        <v>0</v>
      </c>
      <c r="Y25" s="85">
        <f>HUAWEI製ＰＣＳ接続枚数計算ツール!$C$6*枚数!Y25/(VLOOKUP(HUAWEI製ＰＣＳ接続枚数計算ツール!$C$9, HUAWEI製ＰＣＳ接続枚数計算ツール!$B$119:$P$149,2,FALSE)*1000*HUAWEI製ＰＣＳ接続枚数計算ツール!$Y$113)</f>
        <v>0</v>
      </c>
      <c r="Z25" s="85">
        <f>HUAWEI製ＰＣＳ接続枚数計算ツール!$C$6*枚数!Z25/(VLOOKUP(HUAWEI製ＰＣＳ接続枚数計算ツール!$C$9, HUAWEI製ＰＣＳ接続枚数計算ツール!$B$119:$P$149,2,FALSE)*1000*HUAWEI製ＰＣＳ接続枚数計算ツール!$Y$113)</f>
        <v>0</v>
      </c>
      <c r="AA25" s="85">
        <f>HUAWEI製ＰＣＳ接続枚数計算ツール!$C$6*枚数!AA25/(VLOOKUP(HUAWEI製ＰＣＳ接続枚数計算ツール!$C$9, HUAWEI製ＰＣＳ接続枚数計算ツール!$B$119:$P$149,2,FALSE)*1000*HUAWEI製ＰＣＳ接続枚数計算ツール!$Y$113)</f>
        <v>0</v>
      </c>
      <c r="AB25" s="85">
        <f>HUAWEI製ＰＣＳ接続枚数計算ツール!$C$6*枚数!AB25/(VLOOKUP(HUAWEI製ＰＣＳ接続枚数計算ツール!$C$9, HUAWEI製ＰＣＳ接続枚数計算ツール!$B$119:$P$149,2,FALSE)*1000*HUAWEI製ＰＣＳ接続枚数計算ツール!$Y$113)</f>
        <v>0</v>
      </c>
      <c r="AC25" s="85">
        <f>HUAWEI製ＰＣＳ接続枚数計算ツール!$C$6*枚数!AC25/(VLOOKUP(HUAWEI製ＰＣＳ接続枚数計算ツール!$C$9, HUAWEI製ＰＣＳ接続枚数計算ツール!$B$119:$P$149,2,FALSE)*1000*HUAWEI製ＰＣＳ接続枚数計算ツール!$Y$113)</f>
        <v>0</v>
      </c>
      <c r="AD25" s="85">
        <f>HUAWEI製ＰＣＳ接続枚数計算ツール!$C$6*枚数!AD25/(VLOOKUP(HUAWEI製ＰＣＳ接続枚数計算ツール!$C$9, HUAWEI製ＰＣＳ接続枚数計算ツール!$B$119:$P$149,2,FALSE)*1000*HUAWEI製ＰＣＳ接続枚数計算ツール!$Y$113)</f>
        <v>0</v>
      </c>
      <c r="AE25" s="85">
        <f>HUAWEI製ＰＣＳ接続枚数計算ツール!$C$6*枚数!AE25/(VLOOKUP(HUAWEI製ＰＣＳ接続枚数計算ツール!$C$9, HUAWEI製ＰＣＳ接続枚数計算ツール!$B$119:$P$149,2,FALSE)*1000*HUAWEI製ＰＣＳ接続枚数計算ツール!$Y$113)</f>
        <v>0</v>
      </c>
      <c r="AF25" s="85">
        <f>HUAWEI製ＰＣＳ接続枚数計算ツール!$C$6*枚数!AF25/(VLOOKUP(HUAWEI製ＰＣＳ接続枚数計算ツール!$C$9, HUAWEI製ＰＣＳ接続枚数計算ツール!$B$119:$P$149,2,FALSE)*1000*HUAWEI製ＰＣＳ接続枚数計算ツール!$Y$113)</f>
        <v>0</v>
      </c>
      <c r="AG25" s="85">
        <f>HUAWEI製ＰＣＳ接続枚数計算ツール!$C$6*枚数!AG25/(VLOOKUP(HUAWEI製ＰＣＳ接続枚数計算ツール!$C$9, HUAWEI製ＰＣＳ接続枚数計算ツール!$B$119:$P$149,2,FALSE)*1000*HUAWEI製ＰＣＳ接続枚数計算ツール!$Y$113)</f>
        <v>0</v>
      </c>
      <c r="AH25" s="85">
        <f>HUAWEI製ＰＣＳ接続枚数計算ツール!$C$6*枚数!AH25/(VLOOKUP(HUAWEI製ＰＣＳ接続枚数計算ツール!$C$9, HUAWEI製ＰＣＳ接続枚数計算ツール!$B$119:$P$149,2,FALSE)*1000*HUAWEI製ＰＣＳ接続枚数計算ツール!$Y$113)</f>
        <v>0</v>
      </c>
      <c r="AI25" s="85">
        <f>HUAWEI製ＰＣＳ接続枚数計算ツール!$C$6*枚数!AI25/(VLOOKUP(HUAWEI製ＰＣＳ接続枚数計算ツール!$C$9, HUAWEI製ＰＣＳ接続枚数計算ツール!$B$119:$P$149,2,FALSE)*1000*HUAWEI製ＰＣＳ接続枚数計算ツール!$Y$113)</f>
        <v>0</v>
      </c>
      <c r="AJ25" s="85">
        <f>HUAWEI製ＰＣＳ接続枚数計算ツール!$C$6*枚数!AJ25/(VLOOKUP(HUAWEI製ＰＣＳ接続枚数計算ツール!$C$9, HUAWEI製ＰＣＳ接続枚数計算ツール!$B$119:$P$149,2,FALSE)*1000*HUAWEI製ＰＣＳ接続枚数計算ツール!$Y$113)</f>
        <v>0</v>
      </c>
      <c r="AK25" s="85">
        <f>HUAWEI製ＰＣＳ接続枚数計算ツール!$C$6*枚数!AK25/(VLOOKUP(HUAWEI製ＰＣＳ接続枚数計算ツール!$C$9, HUAWEI製ＰＣＳ接続枚数計算ツール!$B$119:$P$149,2,FALSE)*1000*HUAWEI製ＰＣＳ接続枚数計算ツール!$Y$113)</f>
        <v>0</v>
      </c>
      <c r="AL25" s="85">
        <f>HUAWEI製ＰＣＳ接続枚数計算ツール!$C$6*枚数!AL25/(VLOOKUP(HUAWEI製ＰＣＳ接続枚数計算ツール!$C$9, HUAWEI製ＰＣＳ接続枚数計算ツール!$B$119:$P$149,2,FALSE)*1000*HUAWEI製ＰＣＳ接続枚数計算ツール!$Y$113)</f>
        <v>0</v>
      </c>
      <c r="AM25" s="85">
        <f>HUAWEI製ＰＣＳ接続枚数計算ツール!$C$6*枚数!AM25/(VLOOKUP(HUAWEI製ＰＣＳ接続枚数計算ツール!$C$9, HUAWEI製ＰＣＳ接続枚数計算ツール!$B$119:$P$149,2,FALSE)*1000*HUAWEI製ＰＣＳ接続枚数計算ツール!$Y$113)</f>
        <v>0</v>
      </c>
      <c r="AN25" s="85">
        <f>HUAWEI製ＰＣＳ接続枚数計算ツール!$C$6*枚数!AN25/(VLOOKUP(HUAWEI製ＰＣＳ接続枚数計算ツール!$C$9, HUAWEI製ＰＣＳ接続枚数計算ツール!$B$119:$P$149,2,FALSE)*1000*HUAWEI製ＰＣＳ接続枚数計算ツール!$Y$113)</f>
        <v>0</v>
      </c>
      <c r="AO25" s="85">
        <f>HUAWEI製ＰＣＳ接続枚数計算ツール!$C$6*枚数!AO25/(VLOOKUP(HUAWEI製ＰＣＳ接続枚数計算ツール!$C$9, HUAWEI製ＰＣＳ接続枚数計算ツール!$B$119:$P$149,2,FALSE)*1000*HUAWEI製ＰＣＳ接続枚数計算ツール!$Y$113)</f>
        <v>0</v>
      </c>
    </row>
    <row r="26" spans="1:41">
      <c r="A26">
        <v>24</v>
      </c>
      <c r="B26" s="85">
        <f>HUAWEI製ＰＣＳ接続枚数計算ツール!$C$6*枚数!B26/(VLOOKUP(HUAWEI製ＰＣＳ接続枚数計算ツール!$C$9, HUAWEI製ＰＣＳ接続枚数計算ツール!$B$119:$P$149,2,FALSE)*1000*HUAWEI製ＰＣＳ接続枚数計算ツール!$Y$113)</f>
        <v>0</v>
      </c>
      <c r="C26" s="85">
        <f>HUAWEI製ＰＣＳ接続枚数計算ツール!$C$6*枚数!C26/(VLOOKUP(HUAWEI製ＰＣＳ接続枚数計算ツール!$C$9, HUAWEI製ＰＣＳ接続枚数計算ツール!$B$119:$P$149,2,FALSE)*1000*HUAWEI製ＰＣＳ接続枚数計算ツール!$Y$113)</f>
        <v>0</v>
      </c>
      <c r="D26" s="85">
        <f>HUAWEI製ＰＣＳ接続枚数計算ツール!$C$6*枚数!D26/(VLOOKUP(HUAWEI製ＰＣＳ接続枚数計算ツール!$C$9, HUAWEI製ＰＣＳ接続枚数計算ツール!$B$119:$P$149,2,FALSE)*1000*HUAWEI製ＰＣＳ接続枚数計算ツール!$Y$113)</f>
        <v>0</v>
      </c>
      <c r="E26" s="85">
        <f>HUAWEI製ＰＣＳ接続枚数計算ツール!$C$6*枚数!E26/(VLOOKUP(HUAWEI製ＰＣＳ接続枚数計算ツール!$C$9, HUAWEI製ＰＣＳ接続枚数計算ツール!$B$119:$P$149,2,FALSE)*1000*HUAWEI製ＰＣＳ接続枚数計算ツール!$Y$113)</f>
        <v>0</v>
      </c>
      <c r="F26" s="85">
        <f>HUAWEI製ＰＣＳ接続枚数計算ツール!$C$6*枚数!F26/(VLOOKUP(HUAWEI製ＰＣＳ接続枚数計算ツール!$C$9, HUAWEI製ＰＣＳ接続枚数計算ツール!$B$119:$P$149,2,FALSE)*1000*HUAWEI製ＰＣＳ接続枚数計算ツール!$Y$113)</f>
        <v>0</v>
      </c>
      <c r="G26" s="85">
        <f>HUAWEI製ＰＣＳ接続枚数計算ツール!$C$6*枚数!G26/(VLOOKUP(HUAWEI製ＰＣＳ接続枚数計算ツール!$C$9, HUAWEI製ＰＣＳ接続枚数計算ツール!$B$119:$P$149,2,FALSE)*1000*HUAWEI製ＰＣＳ接続枚数計算ツール!$Y$113)</f>
        <v>0</v>
      </c>
      <c r="H26" s="85">
        <f>HUAWEI製ＰＣＳ接続枚数計算ツール!$C$6*枚数!H26/(VLOOKUP(HUAWEI製ＰＣＳ接続枚数計算ツール!$C$9, HUAWEI製ＰＣＳ接続枚数計算ツール!$B$119:$P$149,2,FALSE)*1000*HUAWEI製ＰＣＳ接続枚数計算ツール!$Y$113)</f>
        <v>0</v>
      </c>
      <c r="I26" s="85">
        <f>HUAWEI製ＰＣＳ接続枚数計算ツール!$C$6*枚数!I26/(VLOOKUP(HUAWEI製ＰＣＳ接続枚数計算ツール!$C$9, HUAWEI製ＰＣＳ接続枚数計算ツール!$B$119:$P$149,2,FALSE)*1000*HUAWEI製ＰＣＳ接続枚数計算ツール!$Y$113)</f>
        <v>0</v>
      </c>
      <c r="J26" s="85">
        <f>HUAWEI製ＰＣＳ接続枚数計算ツール!$C$6*枚数!J26/(VLOOKUP(HUAWEI製ＰＣＳ接続枚数計算ツール!$C$9, HUAWEI製ＰＣＳ接続枚数計算ツール!$B$119:$P$149,2,FALSE)*1000*HUAWEI製ＰＣＳ接続枚数計算ツール!$Y$113)</f>
        <v>0</v>
      </c>
      <c r="K26" s="85">
        <f>HUAWEI製ＰＣＳ接続枚数計算ツール!$C$6*枚数!K26/(VLOOKUP(HUAWEI製ＰＣＳ接続枚数計算ツール!$C$9, HUAWEI製ＰＣＳ接続枚数計算ツール!$B$119:$P$149,2,FALSE)*1000*HUAWEI製ＰＣＳ接続枚数計算ツール!$Y$113)</f>
        <v>0</v>
      </c>
      <c r="L26" s="85">
        <f>HUAWEI製ＰＣＳ接続枚数計算ツール!$C$6*枚数!L26/(VLOOKUP(HUAWEI製ＰＣＳ接続枚数計算ツール!$C$9, HUAWEI製ＰＣＳ接続枚数計算ツール!$B$119:$P$149,2,FALSE)*1000*HUAWEI製ＰＣＳ接続枚数計算ツール!$Y$113)</f>
        <v>0</v>
      </c>
      <c r="M26" s="85">
        <f>HUAWEI製ＰＣＳ接続枚数計算ツール!$C$6*枚数!M26/(VLOOKUP(HUAWEI製ＰＣＳ接続枚数計算ツール!$C$9, HUAWEI製ＰＣＳ接続枚数計算ツール!$B$119:$P$149,2,FALSE)*1000*HUAWEI製ＰＣＳ接続枚数計算ツール!$Y$113)</f>
        <v>0</v>
      </c>
      <c r="N26" s="85">
        <f>HUAWEI製ＰＣＳ接続枚数計算ツール!$C$6*枚数!N26/(VLOOKUP(HUAWEI製ＰＣＳ接続枚数計算ツール!$C$9, HUAWEI製ＰＣＳ接続枚数計算ツール!$B$119:$P$149,2,FALSE)*1000*HUAWEI製ＰＣＳ接続枚数計算ツール!$Y$113)</f>
        <v>0</v>
      </c>
      <c r="O26" s="85">
        <f>HUAWEI製ＰＣＳ接続枚数計算ツール!$C$6*枚数!O26/(VLOOKUP(HUAWEI製ＰＣＳ接続枚数計算ツール!$C$9, HUAWEI製ＰＣＳ接続枚数計算ツール!$B$119:$P$149,2,FALSE)*1000*HUAWEI製ＰＣＳ接続枚数計算ツール!$Y$113)</f>
        <v>0</v>
      </c>
      <c r="P26" s="85">
        <f>HUAWEI製ＰＣＳ接続枚数計算ツール!$C$6*枚数!P26/(VLOOKUP(HUAWEI製ＰＣＳ接続枚数計算ツール!$C$9, HUAWEI製ＰＣＳ接続枚数計算ツール!$B$119:$P$149,2,FALSE)*1000*HUAWEI製ＰＣＳ接続枚数計算ツール!$Y$113)</f>
        <v>0</v>
      </c>
      <c r="Q26" s="85">
        <f>HUAWEI製ＰＣＳ接続枚数計算ツール!$C$6*枚数!Q26/(VLOOKUP(HUAWEI製ＰＣＳ接続枚数計算ツール!$C$9, HUAWEI製ＰＣＳ接続枚数計算ツール!$B$119:$P$149,2,FALSE)*1000*HUAWEI製ＰＣＳ接続枚数計算ツール!$Y$113)</f>
        <v>0</v>
      </c>
      <c r="R26" s="85">
        <f>HUAWEI製ＰＣＳ接続枚数計算ツール!$C$6*枚数!R26/(VLOOKUP(HUAWEI製ＰＣＳ接続枚数計算ツール!$C$9, HUAWEI製ＰＣＳ接続枚数計算ツール!$B$119:$P$149,2,FALSE)*1000*HUAWEI製ＰＣＳ接続枚数計算ツール!$Y$113)</f>
        <v>0</v>
      </c>
      <c r="S26" s="85">
        <f>HUAWEI製ＰＣＳ接続枚数計算ツール!$C$6*枚数!S26/(VLOOKUP(HUAWEI製ＰＣＳ接続枚数計算ツール!$C$9, HUAWEI製ＰＣＳ接続枚数計算ツール!$B$119:$P$149,2,FALSE)*1000*HUAWEI製ＰＣＳ接続枚数計算ツール!$Y$113)</f>
        <v>0</v>
      </c>
      <c r="T26" s="85">
        <f>HUAWEI製ＰＣＳ接続枚数計算ツール!$C$6*枚数!T26/(VLOOKUP(HUAWEI製ＰＣＳ接続枚数計算ツール!$C$9, HUAWEI製ＰＣＳ接続枚数計算ツール!$B$119:$P$149,2,FALSE)*1000*HUAWEI製ＰＣＳ接続枚数計算ツール!$Y$113)</f>
        <v>0</v>
      </c>
      <c r="U26" s="85">
        <f>HUAWEI製ＰＣＳ接続枚数計算ツール!$C$6*枚数!U26/(VLOOKUP(HUAWEI製ＰＣＳ接続枚数計算ツール!$C$9, HUAWEI製ＰＣＳ接続枚数計算ツール!$B$119:$P$149,2,FALSE)*1000*HUAWEI製ＰＣＳ接続枚数計算ツール!$Y$113)</f>
        <v>0</v>
      </c>
      <c r="V26" s="85">
        <f>HUAWEI製ＰＣＳ接続枚数計算ツール!$C$6*枚数!V26/(VLOOKUP(HUAWEI製ＰＣＳ接続枚数計算ツール!$C$9, HUAWEI製ＰＣＳ接続枚数計算ツール!$B$119:$P$149,2,FALSE)*1000*HUAWEI製ＰＣＳ接続枚数計算ツール!$Y$113)</f>
        <v>0</v>
      </c>
      <c r="W26" s="85">
        <f>HUAWEI製ＰＣＳ接続枚数計算ツール!$C$6*枚数!W26/(VLOOKUP(HUAWEI製ＰＣＳ接続枚数計算ツール!$C$9, HUAWEI製ＰＣＳ接続枚数計算ツール!$B$119:$P$149,2,FALSE)*1000*HUAWEI製ＰＣＳ接続枚数計算ツール!$Y$113)</f>
        <v>0</v>
      </c>
      <c r="X26" s="85">
        <f>HUAWEI製ＰＣＳ接続枚数計算ツール!$C$6*枚数!X26/(VLOOKUP(HUAWEI製ＰＣＳ接続枚数計算ツール!$C$9, HUAWEI製ＰＣＳ接続枚数計算ツール!$B$119:$P$149,2,FALSE)*1000*HUAWEI製ＰＣＳ接続枚数計算ツール!$Y$113)</f>
        <v>0</v>
      </c>
      <c r="Y26" s="85">
        <f>HUAWEI製ＰＣＳ接続枚数計算ツール!$C$6*枚数!Y26/(VLOOKUP(HUAWEI製ＰＣＳ接続枚数計算ツール!$C$9, HUAWEI製ＰＣＳ接続枚数計算ツール!$B$119:$P$149,2,FALSE)*1000*HUAWEI製ＰＣＳ接続枚数計算ツール!$Y$113)</f>
        <v>0</v>
      </c>
      <c r="Z26" s="85">
        <f>HUAWEI製ＰＣＳ接続枚数計算ツール!$C$6*枚数!Z26/(VLOOKUP(HUAWEI製ＰＣＳ接続枚数計算ツール!$C$9, HUAWEI製ＰＣＳ接続枚数計算ツール!$B$119:$P$149,2,FALSE)*1000*HUAWEI製ＰＣＳ接続枚数計算ツール!$Y$113)</f>
        <v>0</v>
      </c>
      <c r="AA26" s="85">
        <f>HUAWEI製ＰＣＳ接続枚数計算ツール!$C$6*枚数!AA26/(VLOOKUP(HUAWEI製ＰＣＳ接続枚数計算ツール!$C$9, HUAWEI製ＰＣＳ接続枚数計算ツール!$B$119:$P$149,2,FALSE)*1000*HUAWEI製ＰＣＳ接続枚数計算ツール!$Y$113)</f>
        <v>0</v>
      </c>
      <c r="AB26" s="85">
        <f>HUAWEI製ＰＣＳ接続枚数計算ツール!$C$6*枚数!AB26/(VLOOKUP(HUAWEI製ＰＣＳ接続枚数計算ツール!$C$9, HUAWEI製ＰＣＳ接続枚数計算ツール!$B$119:$P$149,2,FALSE)*1000*HUAWEI製ＰＣＳ接続枚数計算ツール!$Y$113)</f>
        <v>0</v>
      </c>
      <c r="AC26" s="85">
        <f>HUAWEI製ＰＣＳ接続枚数計算ツール!$C$6*枚数!AC26/(VLOOKUP(HUAWEI製ＰＣＳ接続枚数計算ツール!$C$9, HUAWEI製ＰＣＳ接続枚数計算ツール!$B$119:$P$149,2,FALSE)*1000*HUAWEI製ＰＣＳ接続枚数計算ツール!$Y$113)</f>
        <v>0</v>
      </c>
      <c r="AD26" s="85">
        <f>HUAWEI製ＰＣＳ接続枚数計算ツール!$C$6*枚数!AD26/(VLOOKUP(HUAWEI製ＰＣＳ接続枚数計算ツール!$C$9, HUAWEI製ＰＣＳ接続枚数計算ツール!$B$119:$P$149,2,FALSE)*1000*HUAWEI製ＰＣＳ接続枚数計算ツール!$Y$113)</f>
        <v>0</v>
      </c>
      <c r="AE26" s="85">
        <f>HUAWEI製ＰＣＳ接続枚数計算ツール!$C$6*枚数!AE26/(VLOOKUP(HUAWEI製ＰＣＳ接続枚数計算ツール!$C$9, HUAWEI製ＰＣＳ接続枚数計算ツール!$B$119:$P$149,2,FALSE)*1000*HUAWEI製ＰＣＳ接続枚数計算ツール!$Y$113)</f>
        <v>0</v>
      </c>
      <c r="AF26" s="85">
        <f>HUAWEI製ＰＣＳ接続枚数計算ツール!$C$6*枚数!AF26/(VLOOKUP(HUAWEI製ＰＣＳ接続枚数計算ツール!$C$9, HUAWEI製ＰＣＳ接続枚数計算ツール!$B$119:$P$149,2,FALSE)*1000*HUAWEI製ＰＣＳ接続枚数計算ツール!$Y$113)</f>
        <v>0</v>
      </c>
      <c r="AG26" s="85">
        <f>HUAWEI製ＰＣＳ接続枚数計算ツール!$C$6*枚数!AG26/(VLOOKUP(HUAWEI製ＰＣＳ接続枚数計算ツール!$C$9, HUAWEI製ＰＣＳ接続枚数計算ツール!$B$119:$P$149,2,FALSE)*1000*HUAWEI製ＰＣＳ接続枚数計算ツール!$Y$113)</f>
        <v>0</v>
      </c>
      <c r="AH26" s="85">
        <f>HUAWEI製ＰＣＳ接続枚数計算ツール!$C$6*枚数!AH26/(VLOOKUP(HUAWEI製ＰＣＳ接続枚数計算ツール!$C$9, HUAWEI製ＰＣＳ接続枚数計算ツール!$B$119:$P$149,2,FALSE)*1000*HUAWEI製ＰＣＳ接続枚数計算ツール!$Y$113)</f>
        <v>0</v>
      </c>
      <c r="AI26" s="85">
        <f>HUAWEI製ＰＣＳ接続枚数計算ツール!$C$6*枚数!AI26/(VLOOKUP(HUAWEI製ＰＣＳ接続枚数計算ツール!$C$9, HUAWEI製ＰＣＳ接続枚数計算ツール!$B$119:$P$149,2,FALSE)*1000*HUAWEI製ＰＣＳ接続枚数計算ツール!$Y$113)</f>
        <v>0</v>
      </c>
      <c r="AJ26" s="85">
        <f>HUAWEI製ＰＣＳ接続枚数計算ツール!$C$6*枚数!AJ26/(VLOOKUP(HUAWEI製ＰＣＳ接続枚数計算ツール!$C$9, HUAWEI製ＰＣＳ接続枚数計算ツール!$B$119:$P$149,2,FALSE)*1000*HUAWEI製ＰＣＳ接続枚数計算ツール!$Y$113)</f>
        <v>0</v>
      </c>
      <c r="AK26" s="85">
        <f>HUAWEI製ＰＣＳ接続枚数計算ツール!$C$6*枚数!AK26/(VLOOKUP(HUAWEI製ＰＣＳ接続枚数計算ツール!$C$9, HUAWEI製ＰＣＳ接続枚数計算ツール!$B$119:$P$149,2,FALSE)*1000*HUAWEI製ＰＣＳ接続枚数計算ツール!$Y$113)</f>
        <v>0</v>
      </c>
      <c r="AL26" s="85">
        <f>HUAWEI製ＰＣＳ接続枚数計算ツール!$C$6*枚数!AL26/(VLOOKUP(HUAWEI製ＰＣＳ接続枚数計算ツール!$C$9, HUAWEI製ＰＣＳ接続枚数計算ツール!$B$119:$P$149,2,FALSE)*1000*HUAWEI製ＰＣＳ接続枚数計算ツール!$Y$113)</f>
        <v>0</v>
      </c>
      <c r="AM26" s="85">
        <f>HUAWEI製ＰＣＳ接続枚数計算ツール!$C$6*枚数!AM26/(VLOOKUP(HUAWEI製ＰＣＳ接続枚数計算ツール!$C$9, HUAWEI製ＰＣＳ接続枚数計算ツール!$B$119:$P$149,2,FALSE)*1000*HUAWEI製ＰＣＳ接続枚数計算ツール!$Y$113)</f>
        <v>0</v>
      </c>
      <c r="AN26" s="85">
        <f>HUAWEI製ＰＣＳ接続枚数計算ツール!$C$6*枚数!AN26/(VLOOKUP(HUAWEI製ＰＣＳ接続枚数計算ツール!$C$9, HUAWEI製ＰＣＳ接続枚数計算ツール!$B$119:$P$149,2,FALSE)*1000*HUAWEI製ＰＣＳ接続枚数計算ツール!$Y$113)</f>
        <v>0</v>
      </c>
      <c r="AO26" s="85">
        <f>HUAWEI製ＰＣＳ接続枚数計算ツール!$C$6*枚数!AO26/(VLOOKUP(HUAWEI製ＰＣＳ接続枚数計算ツール!$C$9, HUAWEI製ＰＣＳ接続枚数計算ツール!$B$119:$P$149,2,FALSE)*1000*HUAWEI製ＰＣＳ接続枚数計算ツール!$Y$113)</f>
        <v>0</v>
      </c>
    </row>
    <row r="27" spans="1:41">
      <c r="A27">
        <v>25</v>
      </c>
      <c r="B27" s="85">
        <f>HUAWEI製ＰＣＳ接続枚数計算ツール!$C$6*枚数!B27/(VLOOKUP(HUAWEI製ＰＣＳ接続枚数計算ツール!$C$9, HUAWEI製ＰＣＳ接続枚数計算ツール!$B$119:$P$149,2,FALSE)*1000*HUAWEI製ＰＣＳ接続枚数計算ツール!$Y$113)</f>
        <v>0</v>
      </c>
      <c r="C27" s="85">
        <f>HUAWEI製ＰＣＳ接続枚数計算ツール!$C$6*枚数!C27/(VLOOKUP(HUAWEI製ＰＣＳ接続枚数計算ツール!$C$9, HUAWEI製ＰＣＳ接続枚数計算ツール!$B$119:$P$149,2,FALSE)*1000*HUAWEI製ＰＣＳ接続枚数計算ツール!$Y$113)</f>
        <v>0</v>
      </c>
      <c r="D27" s="85">
        <f>HUAWEI製ＰＣＳ接続枚数計算ツール!$C$6*枚数!D27/(VLOOKUP(HUAWEI製ＰＣＳ接続枚数計算ツール!$C$9, HUAWEI製ＰＣＳ接続枚数計算ツール!$B$119:$P$149,2,FALSE)*1000*HUAWEI製ＰＣＳ接続枚数計算ツール!$Y$113)</f>
        <v>0</v>
      </c>
      <c r="E27" s="85">
        <f>HUAWEI製ＰＣＳ接続枚数計算ツール!$C$6*枚数!E27/(VLOOKUP(HUAWEI製ＰＣＳ接続枚数計算ツール!$C$9, HUAWEI製ＰＣＳ接続枚数計算ツール!$B$119:$P$149,2,FALSE)*1000*HUAWEI製ＰＣＳ接続枚数計算ツール!$Y$113)</f>
        <v>0</v>
      </c>
      <c r="F27" s="85">
        <f>HUAWEI製ＰＣＳ接続枚数計算ツール!$C$6*枚数!F27/(VLOOKUP(HUAWEI製ＰＣＳ接続枚数計算ツール!$C$9, HUAWEI製ＰＣＳ接続枚数計算ツール!$B$119:$P$149,2,FALSE)*1000*HUAWEI製ＰＣＳ接続枚数計算ツール!$Y$113)</f>
        <v>0</v>
      </c>
      <c r="G27" s="85">
        <f>HUAWEI製ＰＣＳ接続枚数計算ツール!$C$6*枚数!G27/(VLOOKUP(HUAWEI製ＰＣＳ接続枚数計算ツール!$C$9, HUAWEI製ＰＣＳ接続枚数計算ツール!$B$119:$P$149,2,FALSE)*1000*HUAWEI製ＰＣＳ接続枚数計算ツール!$Y$113)</f>
        <v>0</v>
      </c>
      <c r="H27" s="85">
        <f>HUAWEI製ＰＣＳ接続枚数計算ツール!$C$6*枚数!H27/(VLOOKUP(HUAWEI製ＰＣＳ接続枚数計算ツール!$C$9, HUAWEI製ＰＣＳ接続枚数計算ツール!$B$119:$P$149,2,FALSE)*1000*HUAWEI製ＰＣＳ接続枚数計算ツール!$Y$113)</f>
        <v>0</v>
      </c>
      <c r="I27" s="85">
        <f>HUAWEI製ＰＣＳ接続枚数計算ツール!$C$6*枚数!I27/(VLOOKUP(HUAWEI製ＰＣＳ接続枚数計算ツール!$C$9, HUAWEI製ＰＣＳ接続枚数計算ツール!$B$119:$P$149,2,FALSE)*1000*HUAWEI製ＰＣＳ接続枚数計算ツール!$Y$113)</f>
        <v>0</v>
      </c>
      <c r="J27" s="85">
        <f>HUAWEI製ＰＣＳ接続枚数計算ツール!$C$6*枚数!J27/(VLOOKUP(HUAWEI製ＰＣＳ接続枚数計算ツール!$C$9, HUAWEI製ＰＣＳ接続枚数計算ツール!$B$119:$P$149,2,FALSE)*1000*HUAWEI製ＰＣＳ接続枚数計算ツール!$Y$113)</f>
        <v>0</v>
      </c>
      <c r="K27" s="85">
        <f>HUAWEI製ＰＣＳ接続枚数計算ツール!$C$6*枚数!K27/(VLOOKUP(HUAWEI製ＰＣＳ接続枚数計算ツール!$C$9, HUAWEI製ＰＣＳ接続枚数計算ツール!$B$119:$P$149,2,FALSE)*1000*HUAWEI製ＰＣＳ接続枚数計算ツール!$Y$113)</f>
        <v>0</v>
      </c>
      <c r="L27" s="85">
        <f>HUAWEI製ＰＣＳ接続枚数計算ツール!$C$6*枚数!L27/(VLOOKUP(HUAWEI製ＰＣＳ接続枚数計算ツール!$C$9, HUAWEI製ＰＣＳ接続枚数計算ツール!$B$119:$P$149,2,FALSE)*1000*HUAWEI製ＰＣＳ接続枚数計算ツール!$Y$113)</f>
        <v>0</v>
      </c>
      <c r="M27" s="85">
        <f>HUAWEI製ＰＣＳ接続枚数計算ツール!$C$6*枚数!M27/(VLOOKUP(HUAWEI製ＰＣＳ接続枚数計算ツール!$C$9, HUAWEI製ＰＣＳ接続枚数計算ツール!$B$119:$P$149,2,FALSE)*1000*HUAWEI製ＰＣＳ接続枚数計算ツール!$Y$113)</f>
        <v>0</v>
      </c>
      <c r="N27" s="85">
        <f>HUAWEI製ＰＣＳ接続枚数計算ツール!$C$6*枚数!N27/(VLOOKUP(HUAWEI製ＰＣＳ接続枚数計算ツール!$C$9, HUAWEI製ＰＣＳ接続枚数計算ツール!$B$119:$P$149,2,FALSE)*1000*HUAWEI製ＰＣＳ接続枚数計算ツール!$Y$113)</f>
        <v>0</v>
      </c>
      <c r="O27" s="85">
        <f>HUAWEI製ＰＣＳ接続枚数計算ツール!$C$6*枚数!O27/(VLOOKUP(HUAWEI製ＰＣＳ接続枚数計算ツール!$C$9, HUAWEI製ＰＣＳ接続枚数計算ツール!$B$119:$P$149,2,FALSE)*1000*HUAWEI製ＰＣＳ接続枚数計算ツール!$Y$113)</f>
        <v>0</v>
      </c>
      <c r="P27" s="85">
        <f>HUAWEI製ＰＣＳ接続枚数計算ツール!$C$6*枚数!P27/(VLOOKUP(HUAWEI製ＰＣＳ接続枚数計算ツール!$C$9, HUAWEI製ＰＣＳ接続枚数計算ツール!$B$119:$P$149,2,FALSE)*1000*HUAWEI製ＰＣＳ接続枚数計算ツール!$Y$113)</f>
        <v>0</v>
      </c>
      <c r="Q27" s="85">
        <f>HUAWEI製ＰＣＳ接続枚数計算ツール!$C$6*枚数!Q27/(VLOOKUP(HUAWEI製ＰＣＳ接続枚数計算ツール!$C$9, HUAWEI製ＰＣＳ接続枚数計算ツール!$B$119:$P$149,2,FALSE)*1000*HUAWEI製ＰＣＳ接続枚数計算ツール!$Y$113)</f>
        <v>0</v>
      </c>
      <c r="R27" s="85">
        <f>HUAWEI製ＰＣＳ接続枚数計算ツール!$C$6*枚数!R27/(VLOOKUP(HUAWEI製ＰＣＳ接続枚数計算ツール!$C$9, HUAWEI製ＰＣＳ接続枚数計算ツール!$B$119:$P$149,2,FALSE)*1000*HUAWEI製ＰＣＳ接続枚数計算ツール!$Y$113)</f>
        <v>0</v>
      </c>
      <c r="S27" s="85">
        <f>HUAWEI製ＰＣＳ接続枚数計算ツール!$C$6*枚数!S27/(VLOOKUP(HUAWEI製ＰＣＳ接続枚数計算ツール!$C$9, HUAWEI製ＰＣＳ接続枚数計算ツール!$B$119:$P$149,2,FALSE)*1000*HUAWEI製ＰＣＳ接続枚数計算ツール!$Y$113)</f>
        <v>0</v>
      </c>
      <c r="T27" s="85">
        <f>HUAWEI製ＰＣＳ接続枚数計算ツール!$C$6*枚数!T27/(VLOOKUP(HUAWEI製ＰＣＳ接続枚数計算ツール!$C$9, HUAWEI製ＰＣＳ接続枚数計算ツール!$B$119:$P$149,2,FALSE)*1000*HUAWEI製ＰＣＳ接続枚数計算ツール!$Y$113)</f>
        <v>0</v>
      </c>
      <c r="U27" s="85">
        <f>HUAWEI製ＰＣＳ接続枚数計算ツール!$C$6*枚数!U27/(VLOOKUP(HUAWEI製ＰＣＳ接続枚数計算ツール!$C$9, HUAWEI製ＰＣＳ接続枚数計算ツール!$B$119:$P$149,2,FALSE)*1000*HUAWEI製ＰＣＳ接続枚数計算ツール!$Y$113)</f>
        <v>0</v>
      </c>
      <c r="V27" s="85">
        <f>HUAWEI製ＰＣＳ接続枚数計算ツール!$C$6*枚数!V27/(VLOOKUP(HUAWEI製ＰＣＳ接続枚数計算ツール!$C$9, HUAWEI製ＰＣＳ接続枚数計算ツール!$B$119:$P$149,2,FALSE)*1000*HUAWEI製ＰＣＳ接続枚数計算ツール!$Y$113)</f>
        <v>0</v>
      </c>
      <c r="W27" s="85">
        <f>HUAWEI製ＰＣＳ接続枚数計算ツール!$C$6*枚数!W27/(VLOOKUP(HUAWEI製ＰＣＳ接続枚数計算ツール!$C$9, HUAWEI製ＰＣＳ接続枚数計算ツール!$B$119:$P$149,2,FALSE)*1000*HUAWEI製ＰＣＳ接続枚数計算ツール!$Y$113)</f>
        <v>0</v>
      </c>
      <c r="X27" s="85">
        <f>HUAWEI製ＰＣＳ接続枚数計算ツール!$C$6*枚数!X27/(VLOOKUP(HUAWEI製ＰＣＳ接続枚数計算ツール!$C$9, HUAWEI製ＰＣＳ接続枚数計算ツール!$B$119:$P$149,2,FALSE)*1000*HUAWEI製ＰＣＳ接続枚数計算ツール!$Y$113)</f>
        <v>0</v>
      </c>
      <c r="Y27" s="85">
        <f>HUAWEI製ＰＣＳ接続枚数計算ツール!$C$6*枚数!Y27/(VLOOKUP(HUAWEI製ＰＣＳ接続枚数計算ツール!$C$9, HUAWEI製ＰＣＳ接続枚数計算ツール!$B$119:$P$149,2,FALSE)*1000*HUAWEI製ＰＣＳ接続枚数計算ツール!$Y$113)</f>
        <v>0</v>
      </c>
      <c r="Z27" s="85">
        <f>HUAWEI製ＰＣＳ接続枚数計算ツール!$C$6*枚数!Z27/(VLOOKUP(HUAWEI製ＰＣＳ接続枚数計算ツール!$C$9, HUAWEI製ＰＣＳ接続枚数計算ツール!$B$119:$P$149,2,FALSE)*1000*HUAWEI製ＰＣＳ接続枚数計算ツール!$Y$113)</f>
        <v>0</v>
      </c>
      <c r="AA27" s="85">
        <f>HUAWEI製ＰＣＳ接続枚数計算ツール!$C$6*枚数!AA27/(VLOOKUP(HUAWEI製ＰＣＳ接続枚数計算ツール!$C$9, HUAWEI製ＰＣＳ接続枚数計算ツール!$B$119:$P$149,2,FALSE)*1000*HUAWEI製ＰＣＳ接続枚数計算ツール!$Y$113)</f>
        <v>0</v>
      </c>
      <c r="AB27" s="85">
        <f>HUAWEI製ＰＣＳ接続枚数計算ツール!$C$6*枚数!AB27/(VLOOKUP(HUAWEI製ＰＣＳ接続枚数計算ツール!$C$9, HUAWEI製ＰＣＳ接続枚数計算ツール!$B$119:$P$149,2,FALSE)*1000*HUAWEI製ＰＣＳ接続枚数計算ツール!$Y$113)</f>
        <v>0</v>
      </c>
      <c r="AC27" s="85">
        <f>HUAWEI製ＰＣＳ接続枚数計算ツール!$C$6*枚数!AC27/(VLOOKUP(HUAWEI製ＰＣＳ接続枚数計算ツール!$C$9, HUAWEI製ＰＣＳ接続枚数計算ツール!$B$119:$P$149,2,FALSE)*1000*HUAWEI製ＰＣＳ接続枚数計算ツール!$Y$113)</f>
        <v>0</v>
      </c>
      <c r="AD27" s="85">
        <f>HUAWEI製ＰＣＳ接続枚数計算ツール!$C$6*枚数!AD27/(VLOOKUP(HUAWEI製ＰＣＳ接続枚数計算ツール!$C$9, HUAWEI製ＰＣＳ接続枚数計算ツール!$B$119:$P$149,2,FALSE)*1000*HUAWEI製ＰＣＳ接続枚数計算ツール!$Y$113)</f>
        <v>0</v>
      </c>
      <c r="AE27" s="85">
        <f>HUAWEI製ＰＣＳ接続枚数計算ツール!$C$6*枚数!AE27/(VLOOKUP(HUAWEI製ＰＣＳ接続枚数計算ツール!$C$9, HUAWEI製ＰＣＳ接続枚数計算ツール!$B$119:$P$149,2,FALSE)*1000*HUAWEI製ＰＣＳ接続枚数計算ツール!$Y$113)</f>
        <v>0</v>
      </c>
      <c r="AF27" s="85">
        <f>HUAWEI製ＰＣＳ接続枚数計算ツール!$C$6*枚数!AF27/(VLOOKUP(HUAWEI製ＰＣＳ接続枚数計算ツール!$C$9, HUAWEI製ＰＣＳ接続枚数計算ツール!$B$119:$P$149,2,FALSE)*1000*HUAWEI製ＰＣＳ接続枚数計算ツール!$Y$113)</f>
        <v>0</v>
      </c>
      <c r="AG27" s="85">
        <f>HUAWEI製ＰＣＳ接続枚数計算ツール!$C$6*枚数!AG27/(VLOOKUP(HUAWEI製ＰＣＳ接続枚数計算ツール!$C$9, HUAWEI製ＰＣＳ接続枚数計算ツール!$B$119:$P$149,2,FALSE)*1000*HUAWEI製ＰＣＳ接続枚数計算ツール!$Y$113)</f>
        <v>0</v>
      </c>
      <c r="AH27" s="85">
        <f>HUAWEI製ＰＣＳ接続枚数計算ツール!$C$6*枚数!AH27/(VLOOKUP(HUAWEI製ＰＣＳ接続枚数計算ツール!$C$9, HUAWEI製ＰＣＳ接続枚数計算ツール!$B$119:$P$149,2,FALSE)*1000*HUAWEI製ＰＣＳ接続枚数計算ツール!$Y$113)</f>
        <v>0</v>
      </c>
      <c r="AI27" s="85">
        <f>HUAWEI製ＰＣＳ接続枚数計算ツール!$C$6*枚数!AI27/(VLOOKUP(HUAWEI製ＰＣＳ接続枚数計算ツール!$C$9, HUAWEI製ＰＣＳ接続枚数計算ツール!$B$119:$P$149,2,FALSE)*1000*HUAWEI製ＰＣＳ接続枚数計算ツール!$Y$113)</f>
        <v>0</v>
      </c>
      <c r="AJ27" s="85">
        <f>HUAWEI製ＰＣＳ接続枚数計算ツール!$C$6*枚数!AJ27/(VLOOKUP(HUAWEI製ＰＣＳ接続枚数計算ツール!$C$9, HUAWEI製ＰＣＳ接続枚数計算ツール!$B$119:$P$149,2,FALSE)*1000*HUAWEI製ＰＣＳ接続枚数計算ツール!$Y$113)</f>
        <v>0</v>
      </c>
      <c r="AK27" s="85">
        <f>HUAWEI製ＰＣＳ接続枚数計算ツール!$C$6*枚数!AK27/(VLOOKUP(HUAWEI製ＰＣＳ接続枚数計算ツール!$C$9, HUAWEI製ＰＣＳ接続枚数計算ツール!$B$119:$P$149,2,FALSE)*1000*HUAWEI製ＰＣＳ接続枚数計算ツール!$Y$113)</f>
        <v>0</v>
      </c>
      <c r="AL27" s="85">
        <f>HUAWEI製ＰＣＳ接続枚数計算ツール!$C$6*枚数!AL27/(VLOOKUP(HUAWEI製ＰＣＳ接続枚数計算ツール!$C$9, HUAWEI製ＰＣＳ接続枚数計算ツール!$B$119:$P$149,2,FALSE)*1000*HUAWEI製ＰＣＳ接続枚数計算ツール!$Y$113)</f>
        <v>0</v>
      </c>
      <c r="AM27" s="85">
        <f>HUAWEI製ＰＣＳ接続枚数計算ツール!$C$6*枚数!AM27/(VLOOKUP(HUAWEI製ＰＣＳ接続枚数計算ツール!$C$9, HUAWEI製ＰＣＳ接続枚数計算ツール!$B$119:$P$149,2,FALSE)*1000*HUAWEI製ＰＣＳ接続枚数計算ツール!$Y$113)</f>
        <v>0</v>
      </c>
      <c r="AN27" s="85">
        <f>HUAWEI製ＰＣＳ接続枚数計算ツール!$C$6*枚数!AN27/(VLOOKUP(HUAWEI製ＰＣＳ接続枚数計算ツール!$C$9, HUAWEI製ＰＣＳ接続枚数計算ツール!$B$119:$P$149,2,FALSE)*1000*HUAWEI製ＰＣＳ接続枚数計算ツール!$Y$113)</f>
        <v>0</v>
      </c>
      <c r="AO27" s="85">
        <f>HUAWEI製ＰＣＳ接続枚数計算ツール!$C$6*枚数!AO27/(VLOOKUP(HUAWEI製ＰＣＳ接続枚数計算ツール!$C$9, HUAWEI製ＰＣＳ接続枚数計算ツール!$B$119:$P$149,2,FALSE)*1000*HUAWEI製ＰＣＳ接続枚数計算ツール!$Y$113)</f>
        <v>0</v>
      </c>
    </row>
    <row r="28" spans="1:41">
      <c r="A28">
        <v>26</v>
      </c>
      <c r="B28" s="85">
        <f>HUAWEI製ＰＣＳ接続枚数計算ツール!$C$6*枚数!B28/(VLOOKUP(HUAWEI製ＰＣＳ接続枚数計算ツール!$C$9, HUAWEI製ＰＣＳ接続枚数計算ツール!$B$119:$P$149,2,FALSE)*1000*HUAWEI製ＰＣＳ接続枚数計算ツール!$Y$113)</f>
        <v>0</v>
      </c>
      <c r="C28" s="85">
        <f>HUAWEI製ＰＣＳ接続枚数計算ツール!$C$6*枚数!C28/(VLOOKUP(HUAWEI製ＰＣＳ接続枚数計算ツール!$C$9, HUAWEI製ＰＣＳ接続枚数計算ツール!$B$119:$P$149,2,FALSE)*1000*HUAWEI製ＰＣＳ接続枚数計算ツール!$Y$113)</f>
        <v>0</v>
      </c>
      <c r="D28" s="85">
        <f>HUAWEI製ＰＣＳ接続枚数計算ツール!$C$6*枚数!D28/(VLOOKUP(HUAWEI製ＰＣＳ接続枚数計算ツール!$C$9, HUAWEI製ＰＣＳ接続枚数計算ツール!$B$119:$P$149,2,FALSE)*1000*HUAWEI製ＰＣＳ接続枚数計算ツール!$Y$113)</f>
        <v>0</v>
      </c>
      <c r="E28" s="85">
        <f>HUAWEI製ＰＣＳ接続枚数計算ツール!$C$6*枚数!E28/(VLOOKUP(HUAWEI製ＰＣＳ接続枚数計算ツール!$C$9, HUAWEI製ＰＣＳ接続枚数計算ツール!$B$119:$P$149,2,FALSE)*1000*HUAWEI製ＰＣＳ接続枚数計算ツール!$Y$113)</f>
        <v>0</v>
      </c>
      <c r="F28" s="85">
        <f>HUAWEI製ＰＣＳ接続枚数計算ツール!$C$6*枚数!F28/(VLOOKUP(HUAWEI製ＰＣＳ接続枚数計算ツール!$C$9, HUAWEI製ＰＣＳ接続枚数計算ツール!$B$119:$P$149,2,FALSE)*1000*HUAWEI製ＰＣＳ接続枚数計算ツール!$Y$113)</f>
        <v>0</v>
      </c>
      <c r="G28" s="85">
        <f>HUAWEI製ＰＣＳ接続枚数計算ツール!$C$6*枚数!G28/(VLOOKUP(HUAWEI製ＰＣＳ接続枚数計算ツール!$C$9, HUAWEI製ＰＣＳ接続枚数計算ツール!$B$119:$P$149,2,FALSE)*1000*HUAWEI製ＰＣＳ接続枚数計算ツール!$Y$113)</f>
        <v>0</v>
      </c>
      <c r="H28" s="85">
        <f>HUAWEI製ＰＣＳ接続枚数計算ツール!$C$6*枚数!H28/(VLOOKUP(HUAWEI製ＰＣＳ接続枚数計算ツール!$C$9, HUAWEI製ＰＣＳ接続枚数計算ツール!$B$119:$P$149,2,FALSE)*1000*HUAWEI製ＰＣＳ接続枚数計算ツール!$Y$113)</f>
        <v>0</v>
      </c>
      <c r="I28" s="85">
        <f>HUAWEI製ＰＣＳ接続枚数計算ツール!$C$6*枚数!I28/(VLOOKUP(HUAWEI製ＰＣＳ接続枚数計算ツール!$C$9, HUAWEI製ＰＣＳ接続枚数計算ツール!$B$119:$P$149,2,FALSE)*1000*HUAWEI製ＰＣＳ接続枚数計算ツール!$Y$113)</f>
        <v>0</v>
      </c>
      <c r="J28" s="85">
        <f>HUAWEI製ＰＣＳ接続枚数計算ツール!$C$6*枚数!J28/(VLOOKUP(HUAWEI製ＰＣＳ接続枚数計算ツール!$C$9, HUAWEI製ＰＣＳ接続枚数計算ツール!$B$119:$P$149,2,FALSE)*1000*HUAWEI製ＰＣＳ接続枚数計算ツール!$Y$113)</f>
        <v>0</v>
      </c>
      <c r="K28" s="85">
        <f>HUAWEI製ＰＣＳ接続枚数計算ツール!$C$6*枚数!K28/(VLOOKUP(HUAWEI製ＰＣＳ接続枚数計算ツール!$C$9, HUAWEI製ＰＣＳ接続枚数計算ツール!$B$119:$P$149,2,FALSE)*1000*HUAWEI製ＰＣＳ接続枚数計算ツール!$Y$113)</f>
        <v>0</v>
      </c>
      <c r="L28" s="85">
        <f>HUAWEI製ＰＣＳ接続枚数計算ツール!$C$6*枚数!L28/(VLOOKUP(HUAWEI製ＰＣＳ接続枚数計算ツール!$C$9, HUAWEI製ＰＣＳ接続枚数計算ツール!$B$119:$P$149,2,FALSE)*1000*HUAWEI製ＰＣＳ接続枚数計算ツール!$Y$113)</f>
        <v>0</v>
      </c>
      <c r="M28" s="85">
        <f>HUAWEI製ＰＣＳ接続枚数計算ツール!$C$6*枚数!M28/(VLOOKUP(HUAWEI製ＰＣＳ接続枚数計算ツール!$C$9, HUAWEI製ＰＣＳ接続枚数計算ツール!$B$119:$P$149,2,FALSE)*1000*HUAWEI製ＰＣＳ接続枚数計算ツール!$Y$113)</f>
        <v>0</v>
      </c>
      <c r="N28" s="85">
        <f>HUAWEI製ＰＣＳ接続枚数計算ツール!$C$6*枚数!N28/(VLOOKUP(HUAWEI製ＰＣＳ接続枚数計算ツール!$C$9, HUAWEI製ＰＣＳ接続枚数計算ツール!$B$119:$P$149,2,FALSE)*1000*HUAWEI製ＰＣＳ接続枚数計算ツール!$Y$113)</f>
        <v>0</v>
      </c>
      <c r="O28" s="85">
        <f>HUAWEI製ＰＣＳ接続枚数計算ツール!$C$6*枚数!O28/(VLOOKUP(HUAWEI製ＰＣＳ接続枚数計算ツール!$C$9, HUAWEI製ＰＣＳ接続枚数計算ツール!$B$119:$P$149,2,FALSE)*1000*HUAWEI製ＰＣＳ接続枚数計算ツール!$Y$113)</f>
        <v>0</v>
      </c>
      <c r="P28" s="85">
        <f>HUAWEI製ＰＣＳ接続枚数計算ツール!$C$6*枚数!P28/(VLOOKUP(HUAWEI製ＰＣＳ接続枚数計算ツール!$C$9, HUAWEI製ＰＣＳ接続枚数計算ツール!$B$119:$P$149,2,FALSE)*1000*HUAWEI製ＰＣＳ接続枚数計算ツール!$Y$113)</f>
        <v>0</v>
      </c>
      <c r="Q28" s="85">
        <f>HUAWEI製ＰＣＳ接続枚数計算ツール!$C$6*枚数!Q28/(VLOOKUP(HUAWEI製ＰＣＳ接続枚数計算ツール!$C$9, HUAWEI製ＰＣＳ接続枚数計算ツール!$B$119:$P$149,2,FALSE)*1000*HUAWEI製ＰＣＳ接続枚数計算ツール!$Y$113)</f>
        <v>0</v>
      </c>
      <c r="R28" s="85">
        <f>HUAWEI製ＰＣＳ接続枚数計算ツール!$C$6*枚数!R28/(VLOOKUP(HUAWEI製ＰＣＳ接続枚数計算ツール!$C$9, HUAWEI製ＰＣＳ接続枚数計算ツール!$B$119:$P$149,2,FALSE)*1000*HUAWEI製ＰＣＳ接続枚数計算ツール!$Y$113)</f>
        <v>0</v>
      </c>
      <c r="S28" s="85">
        <f>HUAWEI製ＰＣＳ接続枚数計算ツール!$C$6*枚数!S28/(VLOOKUP(HUAWEI製ＰＣＳ接続枚数計算ツール!$C$9, HUAWEI製ＰＣＳ接続枚数計算ツール!$B$119:$P$149,2,FALSE)*1000*HUAWEI製ＰＣＳ接続枚数計算ツール!$Y$113)</f>
        <v>0</v>
      </c>
      <c r="T28" s="85">
        <f>HUAWEI製ＰＣＳ接続枚数計算ツール!$C$6*枚数!T28/(VLOOKUP(HUAWEI製ＰＣＳ接続枚数計算ツール!$C$9, HUAWEI製ＰＣＳ接続枚数計算ツール!$B$119:$P$149,2,FALSE)*1000*HUAWEI製ＰＣＳ接続枚数計算ツール!$Y$113)</f>
        <v>0</v>
      </c>
      <c r="U28" s="85">
        <f>HUAWEI製ＰＣＳ接続枚数計算ツール!$C$6*枚数!U28/(VLOOKUP(HUAWEI製ＰＣＳ接続枚数計算ツール!$C$9, HUAWEI製ＰＣＳ接続枚数計算ツール!$B$119:$P$149,2,FALSE)*1000*HUAWEI製ＰＣＳ接続枚数計算ツール!$Y$113)</f>
        <v>0</v>
      </c>
      <c r="V28" s="85">
        <f>HUAWEI製ＰＣＳ接続枚数計算ツール!$C$6*枚数!V28/(VLOOKUP(HUAWEI製ＰＣＳ接続枚数計算ツール!$C$9, HUAWEI製ＰＣＳ接続枚数計算ツール!$B$119:$P$149,2,FALSE)*1000*HUAWEI製ＰＣＳ接続枚数計算ツール!$Y$113)</f>
        <v>0</v>
      </c>
      <c r="W28" s="85">
        <f>HUAWEI製ＰＣＳ接続枚数計算ツール!$C$6*枚数!W28/(VLOOKUP(HUAWEI製ＰＣＳ接続枚数計算ツール!$C$9, HUAWEI製ＰＣＳ接続枚数計算ツール!$B$119:$P$149,2,FALSE)*1000*HUAWEI製ＰＣＳ接続枚数計算ツール!$Y$113)</f>
        <v>0</v>
      </c>
      <c r="X28" s="85">
        <f>HUAWEI製ＰＣＳ接続枚数計算ツール!$C$6*枚数!X28/(VLOOKUP(HUAWEI製ＰＣＳ接続枚数計算ツール!$C$9, HUAWEI製ＰＣＳ接続枚数計算ツール!$B$119:$P$149,2,FALSE)*1000*HUAWEI製ＰＣＳ接続枚数計算ツール!$Y$113)</f>
        <v>0</v>
      </c>
      <c r="Y28" s="85">
        <f>HUAWEI製ＰＣＳ接続枚数計算ツール!$C$6*枚数!Y28/(VLOOKUP(HUAWEI製ＰＣＳ接続枚数計算ツール!$C$9, HUAWEI製ＰＣＳ接続枚数計算ツール!$B$119:$P$149,2,FALSE)*1000*HUAWEI製ＰＣＳ接続枚数計算ツール!$Y$113)</f>
        <v>0</v>
      </c>
      <c r="Z28" s="85">
        <f>HUAWEI製ＰＣＳ接続枚数計算ツール!$C$6*枚数!Z28/(VLOOKUP(HUAWEI製ＰＣＳ接続枚数計算ツール!$C$9, HUAWEI製ＰＣＳ接続枚数計算ツール!$B$119:$P$149,2,FALSE)*1000*HUAWEI製ＰＣＳ接続枚数計算ツール!$Y$113)</f>
        <v>0</v>
      </c>
      <c r="AA28" s="85">
        <f>HUAWEI製ＰＣＳ接続枚数計算ツール!$C$6*枚数!AA28/(VLOOKUP(HUAWEI製ＰＣＳ接続枚数計算ツール!$C$9, HUAWEI製ＰＣＳ接続枚数計算ツール!$B$119:$P$149,2,FALSE)*1000*HUAWEI製ＰＣＳ接続枚数計算ツール!$Y$113)</f>
        <v>0</v>
      </c>
      <c r="AB28" s="85">
        <f>HUAWEI製ＰＣＳ接続枚数計算ツール!$C$6*枚数!AB28/(VLOOKUP(HUAWEI製ＰＣＳ接続枚数計算ツール!$C$9, HUAWEI製ＰＣＳ接続枚数計算ツール!$B$119:$P$149,2,FALSE)*1000*HUAWEI製ＰＣＳ接続枚数計算ツール!$Y$113)</f>
        <v>0</v>
      </c>
      <c r="AC28" s="85">
        <f>HUAWEI製ＰＣＳ接続枚数計算ツール!$C$6*枚数!AC28/(VLOOKUP(HUAWEI製ＰＣＳ接続枚数計算ツール!$C$9, HUAWEI製ＰＣＳ接続枚数計算ツール!$B$119:$P$149,2,FALSE)*1000*HUAWEI製ＰＣＳ接続枚数計算ツール!$Y$113)</f>
        <v>0</v>
      </c>
      <c r="AD28" s="85">
        <f>HUAWEI製ＰＣＳ接続枚数計算ツール!$C$6*枚数!AD28/(VLOOKUP(HUAWEI製ＰＣＳ接続枚数計算ツール!$C$9, HUAWEI製ＰＣＳ接続枚数計算ツール!$B$119:$P$149,2,FALSE)*1000*HUAWEI製ＰＣＳ接続枚数計算ツール!$Y$113)</f>
        <v>0</v>
      </c>
      <c r="AE28" s="85">
        <f>HUAWEI製ＰＣＳ接続枚数計算ツール!$C$6*枚数!AE28/(VLOOKUP(HUAWEI製ＰＣＳ接続枚数計算ツール!$C$9, HUAWEI製ＰＣＳ接続枚数計算ツール!$B$119:$P$149,2,FALSE)*1000*HUAWEI製ＰＣＳ接続枚数計算ツール!$Y$113)</f>
        <v>0</v>
      </c>
      <c r="AF28" s="85">
        <f>HUAWEI製ＰＣＳ接続枚数計算ツール!$C$6*枚数!AF28/(VLOOKUP(HUAWEI製ＰＣＳ接続枚数計算ツール!$C$9, HUAWEI製ＰＣＳ接続枚数計算ツール!$B$119:$P$149,2,FALSE)*1000*HUAWEI製ＰＣＳ接続枚数計算ツール!$Y$113)</f>
        <v>0</v>
      </c>
      <c r="AG28" s="85">
        <f>HUAWEI製ＰＣＳ接続枚数計算ツール!$C$6*枚数!AG28/(VLOOKUP(HUAWEI製ＰＣＳ接続枚数計算ツール!$C$9, HUAWEI製ＰＣＳ接続枚数計算ツール!$B$119:$P$149,2,FALSE)*1000*HUAWEI製ＰＣＳ接続枚数計算ツール!$Y$113)</f>
        <v>0</v>
      </c>
      <c r="AH28" s="85">
        <f>HUAWEI製ＰＣＳ接続枚数計算ツール!$C$6*枚数!AH28/(VLOOKUP(HUAWEI製ＰＣＳ接続枚数計算ツール!$C$9, HUAWEI製ＰＣＳ接続枚数計算ツール!$B$119:$P$149,2,FALSE)*1000*HUAWEI製ＰＣＳ接続枚数計算ツール!$Y$113)</f>
        <v>0</v>
      </c>
      <c r="AI28" s="85">
        <f>HUAWEI製ＰＣＳ接続枚数計算ツール!$C$6*枚数!AI28/(VLOOKUP(HUAWEI製ＰＣＳ接続枚数計算ツール!$C$9, HUAWEI製ＰＣＳ接続枚数計算ツール!$B$119:$P$149,2,FALSE)*1000*HUAWEI製ＰＣＳ接続枚数計算ツール!$Y$113)</f>
        <v>0</v>
      </c>
      <c r="AJ28" s="85">
        <f>HUAWEI製ＰＣＳ接続枚数計算ツール!$C$6*枚数!AJ28/(VLOOKUP(HUAWEI製ＰＣＳ接続枚数計算ツール!$C$9, HUAWEI製ＰＣＳ接続枚数計算ツール!$B$119:$P$149,2,FALSE)*1000*HUAWEI製ＰＣＳ接続枚数計算ツール!$Y$113)</f>
        <v>0</v>
      </c>
      <c r="AK28" s="85">
        <f>HUAWEI製ＰＣＳ接続枚数計算ツール!$C$6*枚数!AK28/(VLOOKUP(HUAWEI製ＰＣＳ接続枚数計算ツール!$C$9, HUAWEI製ＰＣＳ接続枚数計算ツール!$B$119:$P$149,2,FALSE)*1000*HUAWEI製ＰＣＳ接続枚数計算ツール!$Y$113)</f>
        <v>0</v>
      </c>
      <c r="AL28" s="85">
        <f>HUAWEI製ＰＣＳ接続枚数計算ツール!$C$6*枚数!AL28/(VLOOKUP(HUAWEI製ＰＣＳ接続枚数計算ツール!$C$9, HUAWEI製ＰＣＳ接続枚数計算ツール!$B$119:$P$149,2,FALSE)*1000*HUAWEI製ＰＣＳ接続枚数計算ツール!$Y$113)</f>
        <v>0</v>
      </c>
      <c r="AM28" s="85">
        <f>HUAWEI製ＰＣＳ接続枚数計算ツール!$C$6*枚数!AM28/(VLOOKUP(HUAWEI製ＰＣＳ接続枚数計算ツール!$C$9, HUAWEI製ＰＣＳ接続枚数計算ツール!$B$119:$P$149,2,FALSE)*1000*HUAWEI製ＰＣＳ接続枚数計算ツール!$Y$113)</f>
        <v>0</v>
      </c>
      <c r="AN28" s="85">
        <f>HUAWEI製ＰＣＳ接続枚数計算ツール!$C$6*枚数!AN28/(VLOOKUP(HUAWEI製ＰＣＳ接続枚数計算ツール!$C$9, HUAWEI製ＰＣＳ接続枚数計算ツール!$B$119:$P$149,2,FALSE)*1000*HUAWEI製ＰＣＳ接続枚数計算ツール!$Y$113)</f>
        <v>0</v>
      </c>
      <c r="AO28" s="85">
        <f>HUAWEI製ＰＣＳ接続枚数計算ツール!$C$6*枚数!AO28/(VLOOKUP(HUAWEI製ＰＣＳ接続枚数計算ツール!$C$9, HUAWEI製ＰＣＳ接続枚数計算ツール!$B$119:$P$149,2,FALSE)*1000*HUAWEI製ＰＣＳ接続枚数計算ツール!$Y$113)</f>
        <v>0</v>
      </c>
    </row>
    <row r="29" spans="1:41">
      <c r="A29">
        <v>27</v>
      </c>
      <c r="B29" s="85">
        <f>HUAWEI製ＰＣＳ接続枚数計算ツール!$C$6*枚数!B29/(VLOOKUP(HUAWEI製ＰＣＳ接続枚数計算ツール!$C$9, HUAWEI製ＰＣＳ接続枚数計算ツール!$B$119:$P$149,2,FALSE)*1000*HUAWEI製ＰＣＳ接続枚数計算ツール!$Y$113)</f>
        <v>0</v>
      </c>
      <c r="C29" s="85">
        <f>HUAWEI製ＰＣＳ接続枚数計算ツール!$C$6*枚数!C29/(VLOOKUP(HUAWEI製ＰＣＳ接続枚数計算ツール!$C$9, HUAWEI製ＰＣＳ接続枚数計算ツール!$B$119:$P$149,2,FALSE)*1000*HUAWEI製ＰＣＳ接続枚数計算ツール!$Y$113)</f>
        <v>0</v>
      </c>
      <c r="D29" s="85">
        <f>HUAWEI製ＰＣＳ接続枚数計算ツール!$C$6*枚数!D29/(VLOOKUP(HUAWEI製ＰＣＳ接続枚数計算ツール!$C$9, HUAWEI製ＰＣＳ接続枚数計算ツール!$B$119:$P$149,2,FALSE)*1000*HUAWEI製ＰＣＳ接続枚数計算ツール!$Y$113)</f>
        <v>0</v>
      </c>
      <c r="E29" s="85">
        <f>HUAWEI製ＰＣＳ接続枚数計算ツール!$C$6*枚数!E29/(VLOOKUP(HUAWEI製ＰＣＳ接続枚数計算ツール!$C$9, HUAWEI製ＰＣＳ接続枚数計算ツール!$B$119:$P$149,2,FALSE)*1000*HUAWEI製ＰＣＳ接続枚数計算ツール!$Y$113)</f>
        <v>0</v>
      </c>
      <c r="F29" s="85">
        <f>HUAWEI製ＰＣＳ接続枚数計算ツール!$C$6*枚数!F29/(VLOOKUP(HUAWEI製ＰＣＳ接続枚数計算ツール!$C$9, HUAWEI製ＰＣＳ接続枚数計算ツール!$B$119:$P$149,2,FALSE)*1000*HUAWEI製ＰＣＳ接続枚数計算ツール!$Y$113)</f>
        <v>0</v>
      </c>
      <c r="G29" s="85">
        <f>HUAWEI製ＰＣＳ接続枚数計算ツール!$C$6*枚数!G29/(VLOOKUP(HUAWEI製ＰＣＳ接続枚数計算ツール!$C$9, HUAWEI製ＰＣＳ接続枚数計算ツール!$B$119:$P$149,2,FALSE)*1000*HUAWEI製ＰＣＳ接続枚数計算ツール!$Y$113)</f>
        <v>0</v>
      </c>
      <c r="H29" s="85">
        <f>HUAWEI製ＰＣＳ接続枚数計算ツール!$C$6*枚数!H29/(VLOOKUP(HUAWEI製ＰＣＳ接続枚数計算ツール!$C$9, HUAWEI製ＰＣＳ接続枚数計算ツール!$B$119:$P$149,2,FALSE)*1000*HUAWEI製ＰＣＳ接続枚数計算ツール!$Y$113)</f>
        <v>0</v>
      </c>
      <c r="I29" s="85">
        <f>HUAWEI製ＰＣＳ接続枚数計算ツール!$C$6*枚数!I29/(VLOOKUP(HUAWEI製ＰＣＳ接続枚数計算ツール!$C$9, HUAWEI製ＰＣＳ接続枚数計算ツール!$B$119:$P$149,2,FALSE)*1000*HUAWEI製ＰＣＳ接続枚数計算ツール!$Y$113)</f>
        <v>0</v>
      </c>
      <c r="J29" s="85">
        <f>HUAWEI製ＰＣＳ接続枚数計算ツール!$C$6*枚数!J29/(VLOOKUP(HUAWEI製ＰＣＳ接続枚数計算ツール!$C$9, HUAWEI製ＰＣＳ接続枚数計算ツール!$B$119:$P$149,2,FALSE)*1000*HUAWEI製ＰＣＳ接続枚数計算ツール!$Y$113)</f>
        <v>0</v>
      </c>
      <c r="K29" s="85">
        <f>HUAWEI製ＰＣＳ接続枚数計算ツール!$C$6*枚数!K29/(VLOOKUP(HUAWEI製ＰＣＳ接続枚数計算ツール!$C$9, HUAWEI製ＰＣＳ接続枚数計算ツール!$B$119:$P$149,2,FALSE)*1000*HUAWEI製ＰＣＳ接続枚数計算ツール!$Y$113)</f>
        <v>0</v>
      </c>
      <c r="L29" s="85">
        <f>HUAWEI製ＰＣＳ接続枚数計算ツール!$C$6*枚数!L29/(VLOOKUP(HUAWEI製ＰＣＳ接続枚数計算ツール!$C$9, HUAWEI製ＰＣＳ接続枚数計算ツール!$B$119:$P$149,2,FALSE)*1000*HUAWEI製ＰＣＳ接続枚数計算ツール!$Y$113)</f>
        <v>0</v>
      </c>
      <c r="M29" s="85">
        <f>HUAWEI製ＰＣＳ接続枚数計算ツール!$C$6*枚数!M29/(VLOOKUP(HUAWEI製ＰＣＳ接続枚数計算ツール!$C$9, HUAWEI製ＰＣＳ接続枚数計算ツール!$B$119:$P$149,2,FALSE)*1000*HUAWEI製ＰＣＳ接続枚数計算ツール!$Y$113)</f>
        <v>0</v>
      </c>
      <c r="N29" s="85">
        <f>HUAWEI製ＰＣＳ接続枚数計算ツール!$C$6*枚数!N29/(VLOOKUP(HUAWEI製ＰＣＳ接続枚数計算ツール!$C$9, HUAWEI製ＰＣＳ接続枚数計算ツール!$B$119:$P$149,2,FALSE)*1000*HUAWEI製ＰＣＳ接続枚数計算ツール!$Y$113)</f>
        <v>0</v>
      </c>
      <c r="O29" s="85">
        <f>HUAWEI製ＰＣＳ接続枚数計算ツール!$C$6*枚数!O29/(VLOOKUP(HUAWEI製ＰＣＳ接続枚数計算ツール!$C$9, HUAWEI製ＰＣＳ接続枚数計算ツール!$B$119:$P$149,2,FALSE)*1000*HUAWEI製ＰＣＳ接続枚数計算ツール!$Y$113)</f>
        <v>0</v>
      </c>
      <c r="P29" s="85">
        <f>HUAWEI製ＰＣＳ接続枚数計算ツール!$C$6*枚数!P29/(VLOOKUP(HUAWEI製ＰＣＳ接続枚数計算ツール!$C$9, HUAWEI製ＰＣＳ接続枚数計算ツール!$B$119:$P$149,2,FALSE)*1000*HUAWEI製ＰＣＳ接続枚数計算ツール!$Y$113)</f>
        <v>0</v>
      </c>
      <c r="Q29" s="85">
        <f>HUAWEI製ＰＣＳ接続枚数計算ツール!$C$6*枚数!Q29/(VLOOKUP(HUAWEI製ＰＣＳ接続枚数計算ツール!$C$9, HUAWEI製ＰＣＳ接続枚数計算ツール!$B$119:$P$149,2,FALSE)*1000*HUAWEI製ＰＣＳ接続枚数計算ツール!$Y$113)</f>
        <v>0</v>
      </c>
      <c r="R29" s="85">
        <f>HUAWEI製ＰＣＳ接続枚数計算ツール!$C$6*枚数!R29/(VLOOKUP(HUAWEI製ＰＣＳ接続枚数計算ツール!$C$9, HUAWEI製ＰＣＳ接続枚数計算ツール!$B$119:$P$149,2,FALSE)*1000*HUAWEI製ＰＣＳ接続枚数計算ツール!$Y$113)</f>
        <v>0</v>
      </c>
      <c r="S29" s="85">
        <f>HUAWEI製ＰＣＳ接続枚数計算ツール!$C$6*枚数!S29/(VLOOKUP(HUAWEI製ＰＣＳ接続枚数計算ツール!$C$9, HUAWEI製ＰＣＳ接続枚数計算ツール!$B$119:$P$149,2,FALSE)*1000*HUAWEI製ＰＣＳ接続枚数計算ツール!$Y$113)</f>
        <v>0</v>
      </c>
      <c r="T29" s="85">
        <f>HUAWEI製ＰＣＳ接続枚数計算ツール!$C$6*枚数!T29/(VLOOKUP(HUAWEI製ＰＣＳ接続枚数計算ツール!$C$9, HUAWEI製ＰＣＳ接続枚数計算ツール!$B$119:$P$149,2,FALSE)*1000*HUAWEI製ＰＣＳ接続枚数計算ツール!$Y$113)</f>
        <v>0</v>
      </c>
      <c r="U29" s="85">
        <f>HUAWEI製ＰＣＳ接続枚数計算ツール!$C$6*枚数!U29/(VLOOKUP(HUAWEI製ＰＣＳ接続枚数計算ツール!$C$9, HUAWEI製ＰＣＳ接続枚数計算ツール!$B$119:$P$149,2,FALSE)*1000*HUAWEI製ＰＣＳ接続枚数計算ツール!$Y$113)</f>
        <v>0</v>
      </c>
      <c r="V29" s="85">
        <f>HUAWEI製ＰＣＳ接続枚数計算ツール!$C$6*枚数!V29/(VLOOKUP(HUAWEI製ＰＣＳ接続枚数計算ツール!$C$9, HUAWEI製ＰＣＳ接続枚数計算ツール!$B$119:$P$149,2,FALSE)*1000*HUAWEI製ＰＣＳ接続枚数計算ツール!$Y$113)</f>
        <v>0</v>
      </c>
      <c r="W29" s="85">
        <f>HUAWEI製ＰＣＳ接続枚数計算ツール!$C$6*枚数!W29/(VLOOKUP(HUAWEI製ＰＣＳ接続枚数計算ツール!$C$9, HUAWEI製ＰＣＳ接続枚数計算ツール!$B$119:$P$149,2,FALSE)*1000*HUAWEI製ＰＣＳ接続枚数計算ツール!$Y$113)</f>
        <v>0</v>
      </c>
      <c r="X29" s="85">
        <f>HUAWEI製ＰＣＳ接続枚数計算ツール!$C$6*枚数!X29/(VLOOKUP(HUAWEI製ＰＣＳ接続枚数計算ツール!$C$9, HUAWEI製ＰＣＳ接続枚数計算ツール!$B$119:$P$149,2,FALSE)*1000*HUAWEI製ＰＣＳ接続枚数計算ツール!$Y$113)</f>
        <v>0</v>
      </c>
      <c r="Y29" s="85">
        <f>HUAWEI製ＰＣＳ接続枚数計算ツール!$C$6*枚数!Y29/(VLOOKUP(HUAWEI製ＰＣＳ接続枚数計算ツール!$C$9, HUAWEI製ＰＣＳ接続枚数計算ツール!$B$119:$P$149,2,FALSE)*1000*HUAWEI製ＰＣＳ接続枚数計算ツール!$Y$113)</f>
        <v>0</v>
      </c>
      <c r="Z29" s="85">
        <f>HUAWEI製ＰＣＳ接続枚数計算ツール!$C$6*枚数!Z29/(VLOOKUP(HUAWEI製ＰＣＳ接続枚数計算ツール!$C$9, HUAWEI製ＰＣＳ接続枚数計算ツール!$B$119:$P$149,2,FALSE)*1000*HUAWEI製ＰＣＳ接続枚数計算ツール!$Y$113)</f>
        <v>0</v>
      </c>
      <c r="AA29" s="85">
        <f>HUAWEI製ＰＣＳ接続枚数計算ツール!$C$6*枚数!AA29/(VLOOKUP(HUAWEI製ＰＣＳ接続枚数計算ツール!$C$9, HUAWEI製ＰＣＳ接続枚数計算ツール!$B$119:$P$149,2,FALSE)*1000*HUAWEI製ＰＣＳ接続枚数計算ツール!$Y$113)</f>
        <v>0</v>
      </c>
      <c r="AB29" s="85">
        <f>HUAWEI製ＰＣＳ接続枚数計算ツール!$C$6*枚数!AB29/(VLOOKUP(HUAWEI製ＰＣＳ接続枚数計算ツール!$C$9, HUAWEI製ＰＣＳ接続枚数計算ツール!$B$119:$P$149,2,FALSE)*1000*HUAWEI製ＰＣＳ接続枚数計算ツール!$Y$113)</f>
        <v>0</v>
      </c>
      <c r="AC29" s="85">
        <f>HUAWEI製ＰＣＳ接続枚数計算ツール!$C$6*枚数!AC29/(VLOOKUP(HUAWEI製ＰＣＳ接続枚数計算ツール!$C$9, HUAWEI製ＰＣＳ接続枚数計算ツール!$B$119:$P$149,2,FALSE)*1000*HUAWEI製ＰＣＳ接続枚数計算ツール!$Y$113)</f>
        <v>0</v>
      </c>
      <c r="AD29" s="85">
        <f>HUAWEI製ＰＣＳ接続枚数計算ツール!$C$6*枚数!AD29/(VLOOKUP(HUAWEI製ＰＣＳ接続枚数計算ツール!$C$9, HUAWEI製ＰＣＳ接続枚数計算ツール!$B$119:$P$149,2,FALSE)*1000*HUAWEI製ＰＣＳ接続枚数計算ツール!$Y$113)</f>
        <v>0</v>
      </c>
      <c r="AE29" s="85">
        <f>HUAWEI製ＰＣＳ接続枚数計算ツール!$C$6*枚数!AE29/(VLOOKUP(HUAWEI製ＰＣＳ接続枚数計算ツール!$C$9, HUAWEI製ＰＣＳ接続枚数計算ツール!$B$119:$P$149,2,FALSE)*1000*HUAWEI製ＰＣＳ接続枚数計算ツール!$Y$113)</f>
        <v>0</v>
      </c>
      <c r="AF29" s="85">
        <f>HUAWEI製ＰＣＳ接続枚数計算ツール!$C$6*枚数!AF29/(VLOOKUP(HUAWEI製ＰＣＳ接続枚数計算ツール!$C$9, HUAWEI製ＰＣＳ接続枚数計算ツール!$B$119:$P$149,2,FALSE)*1000*HUAWEI製ＰＣＳ接続枚数計算ツール!$Y$113)</f>
        <v>0</v>
      </c>
      <c r="AG29" s="85">
        <f>HUAWEI製ＰＣＳ接続枚数計算ツール!$C$6*枚数!AG29/(VLOOKUP(HUAWEI製ＰＣＳ接続枚数計算ツール!$C$9, HUAWEI製ＰＣＳ接続枚数計算ツール!$B$119:$P$149,2,FALSE)*1000*HUAWEI製ＰＣＳ接続枚数計算ツール!$Y$113)</f>
        <v>0</v>
      </c>
      <c r="AH29" s="85">
        <f>HUAWEI製ＰＣＳ接続枚数計算ツール!$C$6*枚数!AH29/(VLOOKUP(HUAWEI製ＰＣＳ接続枚数計算ツール!$C$9, HUAWEI製ＰＣＳ接続枚数計算ツール!$B$119:$P$149,2,FALSE)*1000*HUAWEI製ＰＣＳ接続枚数計算ツール!$Y$113)</f>
        <v>0</v>
      </c>
      <c r="AI29" s="85">
        <f>HUAWEI製ＰＣＳ接続枚数計算ツール!$C$6*枚数!AI29/(VLOOKUP(HUAWEI製ＰＣＳ接続枚数計算ツール!$C$9, HUAWEI製ＰＣＳ接続枚数計算ツール!$B$119:$P$149,2,FALSE)*1000*HUAWEI製ＰＣＳ接続枚数計算ツール!$Y$113)</f>
        <v>0</v>
      </c>
      <c r="AJ29" s="85">
        <f>HUAWEI製ＰＣＳ接続枚数計算ツール!$C$6*枚数!AJ29/(VLOOKUP(HUAWEI製ＰＣＳ接続枚数計算ツール!$C$9, HUAWEI製ＰＣＳ接続枚数計算ツール!$B$119:$P$149,2,FALSE)*1000*HUAWEI製ＰＣＳ接続枚数計算ツール!$Y$113)</f>
        <v>0</v>
      </c>
      <c r="AK29" s="85">
        <f>HUAWEI製ＰＣＳ接続枚数計算ツール!$C$6*枚数!AK29/(VLOOKUP(HUAWEI製ＰＣＳ接続枚数計算ツール!$C$9, HUAWEI製ＰＣＳ接続枚数計算ツール!$B$119:$P$149,2,FALSE)*1000*HUAWEI製ＰＣＳ接続枚数計算ツール!$Y$113)</f>
        <v>0</v>
      </c>
      <c r="AL29" s="85">
        <f>HUAWEI製ＰＣＳ接続枚数計算ツール!$C$6*枚数!AL29/(VLOOKUP(HUAWEI製ＰＣＳ接続枚数計算ツール!$C$9, HUAWEI製ＰＣＳ接続枚数計算ツール!$B$119:$P$149,2,FALSE)*1000*HUAWEI製ＰＣＳ接続枚数計算ツール!$Y$113)</f>
        <v>0</v>
      </c>
      <c r="AM29" s="85">
        <f>HUAWEI製ＰＣＳ接続枚数計算ツール!$C$6*枚数!AM29/(VLOOKUP(HUAWEI製ＰＣＳ接続枚数計算ツール!$C$9, HUAWEI製ＰＣＳ接続枚数計算ツール!$B$119:$P$149,2,FALSE)*1000*HUAWEI製ＰＣＳ接続枚数計算ツール!$Y$113)</f>
        <v>0</v>
      </c>
      <c r="AN29" s="85">
        <f>HUAWEI製ＰＣＳ接続枚数計算ツール!$C$6*枚数!AN29/(VLOOKUP(HUAWEI製ＰＣＳ接続枚数計算ツール!$C$9, HUAWEI製ＰＣＳ接続枚数計算ツール!$B$119:$P$149,2,FALSE)*1000*HUAWEI製ＰＣＳ接続枚数計算ツール!$Y$113)</f>
        <v>0</v>
      </c>
      <c r="AO29" s="85">
        <f>HUAWEI製ＰＣＳ接続枚数計算ツール!$C$6*枚数!AO29/(VLOOKUP(HUAWEI製ＰＣＳ接続枚数計算ツール!$C$9, HUAWEI製ＰＣＳ接続枚数計算ツール!$B$119:$P$149,2,FALSE)*1000*HUAWEI製ＰＣＳ接続枚数計算ツール!$Y$113)</f>
        <v>0</v>
      </c>
    </row>
    <row r="30" spans="1:41">
      <c r="A30">
        <v>28</v>
      </c>
      <c r="B30" s="85">
        <f>HUAWEI製ＰＣＳ接続枚数計算ツール!$C$6*枚数!B30/(VLOOKUP(HUAWEI製ＰＣＳ接続枚数計算ツール!$C$9, HUAWEI製ＰＣＳ接続枚数計算ツール!$B$119:$P$149,2,FALSE)*1000*HUAWEI製ＰＣＳ接続枚数計算ツール!$Y$113)</f>
        <v>0</v>
      </c>
      <c r="C30" s="85">
        <f>HUAWEI製ＰＣＳ接続枚数計算ツール!$C$6*枚数!C30/(VLOOKUP(HUAWEI製ＰＣＳ接続枚数計算ツール!$C$9, HUAWEI製ＰＣＳ接続枚数計算ツール!$B$119:$P$149,2,FALSE)*1000*HUAWEI製ＰＣＳ接続枚数計算ツール!$Y$113)</f>
        <v>0</v>
      </c>
      <c r="D30" s="85">
        <f>HUAWEI製ＰＣＳ接続枚数計算ツール!$C$6*枚数!D30/(VLOOKUP(HUAWEI製ＰＣＳ接続枚数計算ツール!$C$9, HUAWEI製ＰＣＳ接続枚数計算ツール!$B$119:$P$149,2,FALSE)*1000*HUAWEI製ＰＣＳ接続枚数計算ツール!$Y$113)</f>
        <v>0</v>
      </c>
      <c r="E30" s="85">
        <f>HUAWEI製ＰＣＳ接続枚数計算ツール!$C$6*枚数!E30/(VLOOKUP(HUAWEI製ＰＣＳ接続枚数計算ツール!$C$9, HUAWEI製ＰＣＳ接続枚数計算ツール!$B$119:$P$149,2,FALSE)*1000*HUAWEI製ＰＣＳ接続枚数計算ツール!$Y$113)</f>
        <v>0</v>
      </c>
      <c r="F30" s="85">
        <f>HUAWEI製ＰＣＳ接続枚数計算ツール!$C$6*枚数!F30/(VLOOKUP(HUAWEI製ＰＣＳ接続枚数計算ツール!$C$9, HUAWEI製ＰＣＳ接続枚数計算ツール!$B$119:$P$149,2,FALSE)*1000*HUAWEI製ＰＣＳ接続枚数計算ツール!$Y$113)</f>
        <v>0</v>
      </c>
      <c r="G30" s="85">
        <f>HUAWEI製ＰＣＳ接続枚数計算ツール!$C$6*枚数!G30/(VLOOKUP(HUAWEI製ＰＣＳ接続枚数計算ツール!$C$9, HUAWEI製ＰＣＳ接続枚数計算ツール!$B$119:$P$149,2,FALSE)*1000*HUAWEI製ＰＣＳ接続枚数計算ツール!$Y$113)</f>
        <v>0</v>
      </c>
      <c r="H30" s="85">
        <f>HUAWEI製ＰＣＳ接続枚数計算ツール!$C$6*枚数!H30/(VLOOKUP(HUAWEI製ＰＣＳ接続枚数計算ツール!$C$9, HUAWEI製ＰＣＳ接続枚数計算ツール!$B$119:$P$149,2,FALSE)*1000*HUAWEI製ＰＣＳ接続枚数計算ツール!$Y$113)</f>
        <v>0</v>
      </c>
      <c r="I30" s="85">
        <f>HUAWEI製ＰＣＳ接続枚数計算ツール!$C$6*枚数!I30/(VLOOKUP(HUAWEI製ＰＣＳ接続枚数計算ツール!$C$9, HUAWEI製ＰＣＳ接続枚数計算ツール!$B$119:$P$149,2,FALSE)*1000*HUAWEI製ＰＣＳ接続枚数計算ツール!$Y$113)</f>
        <v>0</v>
      </c>
      <c r="J30" s="85">
        <f>HUAWEI製ＰＣＳ接続枚数計算ツール!$C$6*枚数!J30/(VLOOKUP(HUAWEI製ＰＣＳ接続枚数計算ツール!$C$9, HUAWEI製ＰＣＳ接続枚数計算ツール!$B$119:$P$149,2,FALSE)*1000*HUAWEI製ＰＣＳ接続枚数計算ツール!$Y$113)</f>
        <v>0</v>
      </c>
      <c r="K30" s="85">
        <f>HUAWEI製ＰＣＳ接続枚数計算ツール!$C$6*枚数!K30/(VLOOKUP(HUAWEI製ＰＣＳ接続枚数計算ツール!$C$9, HUAWEI製ＰＣＳ接続枚数計算ツール!$B$119:$P$149,2,FALSE)*1000*HUAWEI製ＰＣＳ接続枚数計算ツール!$Y$113)</f>
        <v>0</v>
      </c>
      <c r="L30" s="85">
        <f>HUAWEI製ＰＣＳ接続枚数計算ツール!$C$6*枚数!L30/(VLOOKUP(HUAWEI製ＰＣＳ接続枚数計算ツール!$C$9, HUAWEI製ＰＣＳ接続枚数計算ツール!$B$119:$P$149,2,FALSE)*1000*HUAWEI製ＰＣＳ接続枚数計算ツール!$Y$113)</f>
        <v>0</v>
      </c>
      <c r="M30" s="85">
        <f>HUAWEI製ＰＣＳ接続枚数計算ツール!$C$6*枚数!M30/(VLOOKUP(HUAWEI製ＰＣＳ接続枚数計算ツール!$C$9, HUAWEI製ＰＣＳ接続枚数計算ツール!$B$119:$P$149,2,FALSE)*1000*HUAWEI製ＰＣＳ接続枚数計算ツール!$Y$113)</f>
        <v>0</v>
      </c>
      <c r="N30" s="85">
        <f>HUAWEI製ＰＣＳ接続枚数計算ツール!$C$6*枚数!N30/(VLOOKUP(HUAWEI製ＰＣＳ接続枚数計算ツール!$C$9, HUAWEI製ＰＣＳ接続枚数計算ツール!$B$119:$P$149,2,FALSE)*1000*HUAWEI製ＰＣＳ接続枚数計算ツール!$Y$113)</f>
        <v>0</v>
      </c>
      <c r="O30" s="85">
        <f>HUAWEI製ＰＣＳ接続枚数計算ツール!$C$6*枚数!O30/(VLOOKUP(HUAWEI製ＰＣＳ接続枚数計算ツール!$C$9, HUAWEI製ＰＣＳ接続枚数計算ツール!$B$119:$P$149,2,FALSE)*1000*HUAWEI製ＰＣＳ接続枚数計算ツール!$Y$113)</f>
        <v>0</v>
      </c>
      <c r="P30" s="85">
        <f>HUAWEI製ＰＣＳ接続枚数計算ツール!$C$6*枚数!P30/(VLOOKUP(HUAWEI製ＰＣＳ接続枚数計算ツール!$C$9, HUAWEI製ＰＣＳ接続枚数計算ツール!$B$119:$P$149,2,FALSE)*1000*HUAWEI製ＰＣＳ接続枚数計算ツール!$Y$113)</f>
        <v>0</v>
      </c>
      <c r="Q30" s="85">
        <f>HUAWEI製ＰＣＳ接続枚数計算ツール!$C$6*枚数!Q30/(VLOOKUP(HUAWEI製ＰＣＳ接続枚数計算ツール!$C$9, HUAWEI製ＰＣＳ接続枚数計算ツール!$B$119:$P$149,2,FALSE)*1000*HUAWEI製ＰＣＳ接続枚数計算ツール!$Y$113)</f>
        <v>0</v>
      </c>
      <c r="R30" s="85">
        <f>HUAWEI製ＰＣＳ接続枚数計算ツール!$C$6*枚数!R30/(VLOOKUP(HUAWEI製ＰＣＳ接続枚数計算ツール!$C$9, HUAWEI製ＰＣＳ接続枚数計算ツール!$B$119:$P$149,2,FALSE)*1000*HUAWEI製ＰＣＳ接続枚数計算ツール!$Y$113)</f>
        <v>0</v>
      </c>
      <c r="S30" s="85">
        <f>HUAWEI製ＰＣＳ接続枚数計算ツール!$C$6*枚数!S30/(VLOOKUP(HUAWEI製ＰＣＳ接続枚数計算ツール!$C$9, HUAWEI製ＰＣＳ接続枚数計算ツール!$B$119:$P$149,2,FALSE)*1000*HUAWEI製ＰＣＳ接続枚数計算ツール!$Y$113)</f>
        <v>0</v>
      </c>
      <c r="T30" s="85">
        <f>HUAWEI製ＰＣＳ接続枚数計算ツール!$C$6*枚数!T30/(VLOOKUP(HUAWEI製ＰＣＳ接続枚数計算ツール!$C$9, HUAWEI製ＰＣＳ接続枚数計算ツール!$B$119:$P$149,2,FALSE)*1000*HUAWEI製ＰＣＳ接続枚数計算ツール!$Y$113)</f>
        <v>0</v>
      </c>
      <c r="U30" s="85">
        <f>HUAWEI製ＰＣＳ接続枚数計算ツール!$C$6*枚数!U30/(VLOOKUP(HUAWEI製ＰＣＳ接続枚数計算ツール!$C$9, HUAWEI製ＰＣＳ接続枚数計算ツール!$B$119:$P$149,2,FALSE)*1000*HUAWEI製ＰＣＳ接続枚数計算ツール!$Y$113)</f>
        <v>0</v>
      </c>
      <c r="V30" s="85">
        <f>HUAWEI製ＰＣＳ接続枚数計算ツール!$C$6*枚数!V30/(VLOOKUP(HUAWEI製ＰＣＳ接続枚数計算ツール!$C$9, HUAWEI製ＰＣＳ接続枚数計算ツール!$B$119:$P$149,2,FALSE)*1000*HUAWEI製ＰＣＳ接続枚数計算ツール!$Y$113)</f>
        <v>0</v>
      </c>
      <c r="W30" s="85">
        <f>HUAWEI製ＰＣＳ接続枚数計算ツール!$C$6*枚数!W30/(VLOOKUP(HUAWEI製ＰＣＳ接続枚数計算ツール!$C$9, HUAWEI製ＰＣＳ接続枚数計算ツール!$B$119:$P$149,2,FALSE)*1000*HUAWEI製ＰＣＳ接続枚数計算ツール!$Y$113)</f>
        <v>0</v>
      </c>
      <c r="X30" s="85">
        <f>HUAWEI製ＰＣＳ接続枚数計算ツール!$C$6*枚数!X30/(VLOOKUP(HUAWEI製ＰＣＳ接続枚数計算ツール!$C$9, HUAWEI製ＰＣＳ接続枚数計算ツール!$B$119:$P$149,2,FALSE)*1000*HUAWEI製ＰＣＳ接続枚数計算ツール!$Y$113)</f>
        <v>0</v>
      </c>
      <c r="Y30" s="85">
        <f>HUAWEI製ＰＣＳ接続枚数計算ツール!$C$6*枚数!Y30/(VLOOKUP(HUAWEI製ＰＣＳ接続枚数計算ツール!$C$9, HUAWEI製ＰＣＳ接続枚数計算ツール!$B$119:$P$149,2,FALSE)*1000*HUAWEI製ＰＣＳ接続枚数計算ツール!$Y$113)</f>
        <v>0</v>
      </c>
      <c r="Z30" s="85">
        <f>HUAWEI製ＰＣＳ接続枚数計算ツール!$C$6*枚数!Z30/(VLOOKUP(HUAWEI製ＰＣＳ接続枚数計算ツール!$C$9, HUAWEI製ＰＣＳ接続枚数計算ツール!$B$119:$P$149,2,FALSE)*1000*HUAWEI製ＰＣＳ接続枚数計算ツール!$Y$113)</f>
        <v>0</v>
      </c>
      <c r="AA30" s="85">
        <f>HUAWEI製ＰＣＳ接続枚数計算ツール!$C$6*枚数!AA30/(VLOOKUP(HUAWEI製ＰＣＳ接続枚数計算ツール!$C$9, HUAWEI製ＰＣＳ接続枚数計算ツール!$B$119:$P$149,2,FALSE)*1000*HUAWEI製ＰＣＳ接続枚数計算ツール!$Y$113)</f>
        <v>0</v>
      </c>
      <c r="AB30" s="85">
        <f>HUAWEI製ＰＣＳ接続枚数計算ツール!$C$6*枚数!AB30/(VLOOKUP(HUAWEI製ＰＣＳ接続枚数計算ツール!$C$9, HUAWEI製ＰＣＳ接続枚数計算ツール!$B$119:$P$149,2,FALSE)*1000*HUAWEI製ＰＣＳ接続枚数計算ツール!$Y$113)</f>
        <v>0</v>
      </c>
      <c r="AC30" s="85">
        <f>HUAWEI製ＰＣＳ接続枚数計算ツール!$C$6*枚数!AC30/(VLOOKUP(HUAWEI製ＰＣＳ接続枚数計算ツール!$C$9, HUAWEI製ＰＣＳ接続枚数計算ツール!$B$119:$P$149,2,FALSE)*1000*HUAWEI製ＰＣＳ接続枚数計算ツール!$Y$113)</f>
        <v>0</v>
      </c>
      <c r="AD30" s="85">
        <f>HUAWEI製ＰＣＳ接続枚数計算ツール!$C$6*枚数!AD30/(VLOOKUP(HUAWEI製ＰＣＳ接続枚数計算ツール!$C$9, HUAWEI製ＰＣＳ接続枚数計算ツール!$B$119:$P$149,2,FALSE)*1000*HUAWEI製ＰＣＳ接続枚数計算ツール!$Y$113)</f>
        <v>0</v>
      </c>
      <c r="AE30" s="85">
        <f>HUAWEI製ＰＣＳ接続枚数計算ツール!$C$6*枚数!AE30/(VLOOKUP(HUAWEI製ＰＣＳ接続枚数計算ツール!$C$9, HUAWEI製ＰＣＳ接続枚数計算ツール!$B$119:$P$149,2,FALSE)*1000*HUAWEI製ＰＣＳ接続枚数計算ツール!$Y$113)</f>
        <v>0</v>
      </c>
      <c r="AF30" s="85">
        <f>HUAWEI製ＰＣＳ接続枚数計算ツール!$C$6*枚数!AF30/(VLOOKUP(HUAWEI製ＰＣＳ接続枚数計算ツール!$C$9, HUAWEI製ＰＣＳ接続枚数計算ツール!$B$119:$P$149,2,FALSE)*1000*HUAWEI製ＰＣＳ接続枚数計算ツール!$Y$113)</f>
        <v>0</v>
      </c>
      <c r="AG30" s="85">
        <f>HUAWEI製ＰＣＳ接続枚数計算ツール!$C$6*枚数!AG30/(VLOOKUP(HUAWEI製ＰＣＳ接続枚数計算ツール!$C$9, HUAWEI製ＰＣＳ接続枚数計算ツール!$B$119:$P$149,2,FALSE)*1000*HUAWEI製ＰＣＳ接続枚数計算ツール!$Y$113)</f>
        <v>0</v>
      </c>
      <c r="AH30" s="85">
        <f>HUAWEI製ＰＣＳ接続枚数計算ツール!$C$6*枚数!AH30/(VLOOKUP(HUAWEI製ＰＣＳ接続枚数計算ツール!$C$9, HUAWEI製ＰＣＳ接続枚数計算ツール!$B$119:$P$149,2,FALSE)*1000*HUAWEI製ＰＣＳ接続枚数計算ツール!$Y$113)</f>
        <v>0</v>
      </c>
      <c r="AI30" s="85">
        <f>HUAWEI製ＰＣＳ接続枚数計算ツール!$C$6*枚数!AI30/(VLOOKUP(HUAWEI製ＰＣＳ接続枚数計算ツール!$C$9, HUAWEI製ＰＣＳ接続枚数計算ツール!$B$119:$P$149,2,FALSE)*1000*HUAWEI製ＰＣＳ接続枚数計算ツール!$Y$113)</f>
        <v>0</v>
      </c>
      <c r="AJ30" s="85">
        <f>HUAWEI製ＰＣＳ接続枚数計算ツール!$C$6*枚数!AJ30/(VLOOKUP(HUAWEI製ＰＣＳ接続枚数計算ツール!$C$9, HUAWEI製ＰＣＳ接続枚数計算ツール!$B$119:$P$149,2,FALSE)*1000*HUAWEI製ＰＣＳ接続枚数計算ツール!$Y$113)</f>
        <v>0</v>
      </c>
      <c r="AK30" s="85">
        <f>HUAWEI製ＰＣＳ接続枚数計算ツール!$C$6*枚数!AK30/(VLOOKUP(HUAWEI製ＰＣＳ接続枚数計算ツール!$C$9, HUAWEI製ＰＣＳ接続枚数計算ツール!$B$119:$P$149,2,FALSE)*1000*HUAWEI製ＰＣＳ接続枚数計算ツール!$Y$113)</f>
        <v>0</v>
      </c>
      <c r="AL30" s="85">
        <f>HUAWEI製ＰＣＳ接続枚数計算ツール!$C$6*枚数!AL30/(VLOOKUP(HUAWEI製ＰＣＳ接続枚数計算ツール!$C$9, HUAWEI製ＰＣＳ接続枚数計算ツール!$B$119:$P$149,2,FALSE)*1000*HUAWEI製ＰＣＳ接続枚数計算ツール!$Y$113)</f>
        <v>0</v>
      </c>
      <c r="AM30" s="85">
        <f>HUAWEI製ＰＣＳ接続枚数計算ツール!$C$6*枚数!AM30/(VLOOKUP(HUAWEI製ＰＣＳ接続枚数計算ツール!$C$9, HUAWEI製ＰＣＳ接続枚数計算ツール!$B$119:$P$149,2,FALSE)*1000*HUAWEI製ＰＣＳ接続枚数計算ツール!$Y$113)</f>
        <v>0</v>
      </c>
      <c r="AN30" s="85">
        <f>HUAWEI製ＰＣＳ接続枚数計算ツール!$C$6*枚数!AN30/(VLOOKUP(HUAWEI製ＰＣＳ接続枚数計算ツール!$C$9, HUAWEI製ＰＣＳ接続枚数計算ツール!$B$119:$P$149,2,FALSE)*1000*HUAWEI製ＰＣＳ接続枚数計算ツール!$Y$113)</f>
        <v>0</v>
      </c>
      <c r="AO30" s="85">
        <f>HUAWEI製ＰＣＳ接続枚数計算ツール!$C$6*枚数!AO30/(VLOOKUP(HUAWEI製ＰＣＳ接続枚数計算ツール!$C$9, HUAWEI製ＰＣＳ接続枚数計算ツール!$B$119:$P$149,2,FALSE)*1000*HUAWEI製ＰＣＳ接続枚数計算ツール!$Y$113)</f>
        <v>0</v>
      </c>
    </row>
    <row r="31" spans="1:41">
      <c r="A31">
        <v>29</v>
      </c>
      <c r="B31" s="85">
        <f>HUAWEI製ＰＣＳ接続枚数計算ツール!$C$6*枚数!B31/(VLOOKUP(HUAWEI製ＰＣＳ接続枚数計算ツール!$C$9, HUAWEI製ＰＣＳ接続枚数計算ツール!$B$119:$P$149,2,FALSE)*1000*HUAWEI製ＰＣＳ接続枚数計算ツール!$Y$113)</f>
        <v>0</v>
      </c>
      <c r="C31" s="85">
        <f>HUAWEI製ＰＣＳ接続枚数計算ツール!$C$6*枚数!C31/(VLOOKUP(HUAWEI製ＰＣＳ接続枚数計算ツール!$C$9, HUAWEI製ＰＣＳ接続枚数計算ツール!$B$119:$P$149,2,FALSE)*1000*HUAWEI製ＰＣＳ接続枚数計算ツール!$Y$113)</f>
        <v>0</v>
      </c>
      <c r="D31" s="85">
        <f>HUAWEI製ＰＣＳ接続枚数計算ツール!$C$6*枚数!D31/(VLOOKUP(HUAWEI製ＰＣＳ接続枚数計算ツール!$C$9, HUAWEI製ＰＣＳ接続枚数計算ツール!$B$119:$P$149,2,FALSE)*1000*HUAWEI製ＰＣＳ接続枚数計算ツール!$Y$113)</f>
        <v>0</v>
      </c>
      <c r="E31" s="85">
        <f>HUAWEI製ＰＣＳ接続枚数計算ツール!$C$6*枚数!E31/(VLOOKUP(HUAWEI製ＰＣＳ接続枚数計算ツール!$C$9, HUAWEI製ＰＣＳ接続枚数計算ツール!$B$119:$P$149,2,FALSE)*1000*HUAWEI製ＰＣＳ接続枚数計算ツール!$Y$113)</f>
        <v>0</v>
      </c>
      <c r="F31" s="85">
        <f>HUAWEI製ＰＣＳ接続枚数計算ツール!$C$6*枚数!F31/(VLOOKUP(HUAWEI製ＰＣＳ接続枚数計算ツール!$C$9, HUAWEI製ＰＣＳ接続枚数計算ツール!$B$119:$P$149,2,FALSE)*1000*HUAWEI製ＰＣＳ接続枚数計算ツール!$Y$113)</f>
        <v>0</v>
      </c>
      <c r="G31" s="85">
        <f>HUAWEI製ＰＣＳ接続枚数計算ツール!$C$6*枚数!G31/(VLOOKUP(HUAWEI製ＰＣＳ接続枚数計算ツール!$C$9, HUAWEI製ＰＣＳ接続枚数計算ツール!$B$119:$P$149,2,FALSE)*1000*HUAWEI製ＰＣＳ接続枚数計算ツール!$Y$113)</f>
        <v>0</v>
      </c>
      <c r="H31" s="85">
        <f>HUAWEI製ＰＣＳ接続枚数計算ツール!$C$6*枚数!H31/(VLOOKUP(HUAWEI製ＰＣＳ接続枚数計算ツール!$C$9, HUAWEI製ＰＣＳ接続枚数計算ツール!$B$119:$P$149,2,FALSE)*1000*HUAWEI製ＰＣＳ接続枚数計算ツール!$Y$113)</f>
        <v>0</v>
      </c>
      <c r="I31" s="85">
        <f>HUAWEI製ＰＣＳ接続枚数計算ツール!$C$6*枚数!I31/(VLOOKUP(HUAWEI製ＰＣＳ接続枚数計算ツール!$C$9, HUAWEI製ＰＣＳ接続枚数計算ツール!$B$119:$P$149,2,FALSE)*1000*HUAWEI製ＰＣＳ接続枚数計算ツール!$Y$113)</f>
        <v>0</v>
      </c>
      <c r="J31" s="85">
        <f>HUAWEI製ＰＣＳ接続枚数計算ツール!$C$6*枚数!J31/(VLOOKUP(HUAWEI製ＰＣＳ接続枚数計算ツール!$C$9, HUAWEI製ＰＣＳ接続枚数計算ツール!$B$119:$P$149,2,FALSE)*1000*HUAWEI製ＰＣＳ接続枚数計算ツール!$Y$113)</f>
        <v>0</v>
      </c>
      <c r="K31" s="85">
        <f>HUAWEI製ＰＣＳ接続枚数計算ツール!$C$6*枚数!K31/(VLOOKUP(HUAWEI製ＰＣＳ接続枚数計算ツール!$C$9, HUAWEI製ＰＣＳ接続枚数計算ツール!$B$119:$P$149,2,FALSE)*1000*HUAWEI製ＰＣＳ接続枚数計算ツール!$Y$113)</f>
        <v>0</v>
      </c>
      <c r="L31" s="85">
        <f>HUAWEI製ＰＣＳ接続枚数計算ツール!$C$6*枚数!L31/(VLOOKUP(HUAWEI製ＰＣＳ接続枚数計算ツール!$C$9, HUAWEI製ＰＣＳ接続枚数計算ツール!$B$119:$P$149,2,FALSE)*1000*HUAWEI製ＰＣＳ接続枚数計算ツール!$Y$113)</f>
        <v>0</v>
      </c>
      <c r="M31" s="85">
        <f>HUAWEI製ＰＣＳ接続枚数計算ツール!$C$6*枚数!M31/(VLOOKUP(HUAWEI製ＰＣＳ接続枚数計算ツール!$C$9, HUAWEI製ＰＣＳ接続枚数計算ツール!$B$119:$P$149,2,FALSE)*1000*HUAWEI製ＰＣＳ接続枚数計算ツール!$Y$113)</f>
        <v>0</v>
      </c>
      <c r="N31" s="85">
        <f>HUAWEI製ＰＣＳ接続枚数計算ツール!$C$6*枚数!N31/(VLOOKUP(HUAWEI製ＰＣＳ接続枚数計算ツール!$C$9, HUAWEI製ＰＣＳ接続枚数計算ツール!$B$119:$P$149,2,FALSE)*1000*HUAWEI製ＰＣＳ接続枚数計算ツール!$Y$113)</f>
        <v>0</v>
      </c>
      <c r="O31" s="85">
        <f>HUAWEI製ＰＣＳ接続枚数計算ツール!$C$6*枚数!O31/(VLOOKUP(HUAWEI製ＰＣＳ接続枚数計算ツール!$C$9, HUAWEI製ＰＣＳ接続枚数計算ツール!$B$119:$P$149,2,FALSE)*1000*HUAWEI製ＰＣＳ接続枚数計算ツール!$Y$113)</f>
        <v>0</v>
      </c>
      <c r="P31" s="85">
        <f>HUAWEI製ＰＣＳ接続枚数計算ツール!$C$6*枚数!P31/(VLOOKUP(HUAWEI製ＰＣＳ接続枚数計算ツール!$C$9, HUAWEI製ＰＣＳ接続枚数計算ツール!$B$119:$P$149,2,FALSE)*1000*HUAWEI製ＰＣＳ接続枚数計算ツール!$Y$113)</f>
        <v>0</v>
      </c>
      <c r="Q31" s="85">
        <f>HUAWEI製ＰＣＳ接続枚数計算ツール!$C$6*枚数!Q31/(VLOOKUP(HUAWEI製ＰＣＳ接続枚数計算ツール!$C$9, HUAWEI製ＰＣＳ接続枚数計算ツール!$B$119:$P$149,2,FALSE)*1000*HUAWEI製ＰＣＳ接続枚数計算ツール!$Y$113)</f>
        <v>0</v>
      </c>
      <c r="R31" s="85">
        <f>HUAWEI製ＰＣＳ接続枚数計算ツール!$C$6*枚数!R31/(VLOOKUP(HUAWEI製ＰＣＳ接続枚数計算ツール!$C$9, HUAWEI製ＰＣＳ接続枚数計算ツール!$B$119:$P$149,2,FALSE)*1000*HUAWEI製ＰＣＳ接続枚数計算ツール!$Y$113)</f>
        <v>0</v>
      </c>
      <c r="S31" s="85">
        <f>HUAWEI製ＰＣＳ接続枚数計算ツール!$C$6*枚数!S31/(VLOOKUP(HUAWEI製ＰＣＳ接続枚数計算ツール!$C$9, HUAWEI製ＰＣＳ接続枚数計算ツール!$B$119:$P$149,2,FALSE)*1000*HUAWEI製ＰＣＳ接続枚数計算ツール!$Y$113)</f>
        <v>0</v>
      </c>
      <c r="T31" s="85">
        <f>HUAWEI製ＰＣＳ接続枚数計算ツール!$C$6*枚数!T31/(VLOOKUP(HUAWEI製ＰＣＳ接続枚数計算ツール!$C$9, HUAWEI製ＰＣＳ接続枚数計算ツール!$B$119:$P$149,2,FALSE)*1000*HUAWEI製ＰＣＳ接続枚数計算ツール!$Y$113)</f>
        <v>0</v>
      </c>
      <c r="U31" s="85">
        <f>HUAWEI製ＰＣＳ接続枚数計算ツール!$C$6*枚数!U31/(VLOOKUP(HUAWEI製ＰＣＳ接続枚数計算ツール!$C$9, HUAWEI製ＰＣＳ接続枚数計算ツール!$B$119:$P$149,2,FALSE)*1000*HUAWEI製ＰＣＳ接続枚数計算ツール!$Y$113)</f>
        <v>0</v>
      </c>
      <c r="V31" s="85">
        <f>HUAWEI製ＰＣＳ接続枚数計算ツール!$C$6*枚数!V31/(VLOOKUP(HUAWEI製ＰＣＳ接続枚数計算ツール!$C$9, HUAWEI製ＰＣＳ接続枚数計算ツール!$B$119:$P$149,2,FALSE)*1000*HUAWEI製ＰＣＳ接続枚数計算ツール!$Y$113)</f>
        <v>0</v>
      </c>
      <c r="W31" s="85">
        <f>HUAWEI製ＰＣＳ接続枚数計算ツール!$C$6*枚数!W31/(VLOOKUP(HUAWEI製ＰＣＳ接続枚数計算ツール!$C$9, HUAWEI製ＰＣＳ接続枚数計算ツール!$B$119:$P$149,2,FALSE)*1000*HUAWEI製ＰＣＳ接続枚数計算ツール!$Y$113)</f>
        <v>0</v>
      </c>
      <c r="X31" s="85">
        <f>HUAWEI製ＰＣＳ接続枚数計算ツール!$C$6*枚数!X31/(VLOOKUP(HUAWEI製ＰＣＳ接続枚数計算ツール!$C$9, HUAWEI製ＰＣＳ接続枚数計算ツール!$B$119:$P$149,2,FALSE)*1000*HUAWEI製ＰＣＳ接続枚数計算ツール!$Y$113)</f>
        <v>0</v>
      </c>
      <c r="Y31" s="85">
        <f>HUAWEI製ＰＣＳ接続枚数計算ツール!$C$6*枚数!Y31/(VLOOKUP(HUAWEI製ＰＣＳ接続枚数計算ツール!$C$9, HUAWEI製ＰＣＳ接続枚数計算ツール!$B$119:$P$149,2,FALSE)*1000*HUAWEI製ＰＣＳ接続枚数計算ツール!$Y$113)</f>
        <v>0</v>
      </c>
      <c r="Z31" s="85">
        <f>HUAWEI製ＰＣＳ接続枚数計算ツール!$C$6*枚数!Z31/(VLOOKUP(HUAWEI製ＰＣＳ接続枚数計算ツール!$C$9, HUAWEI製ＰＣＳ接続枚数計算ツール!$B$119:$P$149,2,FALSE)*1000*HUAWEI製ＰＣＳ接続枚数計算ツール!$Y$113)</f>
        <v>0</v>
      </c>
      <c r="AA31" s="85">
        <f>HUAWEI製ＰＣＳ接続枚数計算ツール!$C$6*枚数!AA31/(VLOOKUP(HUAWEI製ＰＣＳ接続枚数計算ツール!$C$9, HUAWEI製ＰＣＳ接続枚数計算ツール!$B$119:$P$149,2,FALSE)*1000*HUAWEI製ＰＣＳ接続枚数計算ツール!$Y$113)</f>
        <v>0</v>
      </c>
      <c r="AB31" s="85">
        <f>HUAWEI製ＰＣＳ接続枚数計算ツール!$C$6*枚数!AB31/(VLOOKUP(HUAWEI製ＰＣＳ接続枚数計算ツール!$C$9, HUAWEI製ＰＣＳ接続枚数計算ツール!$B$119:$P$149,2,FALSE)*1000*HUAWEI製ＰＣＳ接続枚数計算ツール!$Y$113)</f>
        <v>0</v>
      </c>
      <c r="AC31" s="85">
        <f>HUAWEI製ＰＣＳ接続枚数計算ツール!$C$6*枚数!AC31/(VLOOKUP(HUAWEI製ＰＣＳ接続枚数計算ツール!$C$9, HUAWEI製ＰＣＳ接続枚数計算ツール!$B$119:$P$149,2,FALSE)*1000*HUAWEI製ＰＣＳ接続枚数計算ツール!$Y$113)</f>
        <v>0</v>
      </c>
      <c r="AD31" s="85">
        <f>HUAWEI製ＰＣＳ接続枚数計算ツール!$C$6*枚数!AD31/(VLOOKUP(HUAWEI製ＰＣＳ接続枚数計算ツール!$C$9, HUAWEI製ＰＣＳ接続枚数計算ツール!$B$119:$P$149,2,FALSE)*1000*HUAWEI製ＰＣＳ接続枚数計算ツール!$Y$113)</f>
        <v>0</v>
      </c>
      <c r="AE31" s="85">
        <f>HUAWEI製ＰＣＳ接続枚数計算ツール!$C$6*枚数!AE31/(VLOOKUP(HUAWEI製ＰＣＳ接続枚数計算ツール!$C$9, HUAWEI製ＰＣＳ接続枚数計算ツール!$B$119:$P$149,2,FALSE)*1000*HUAWEI製ＰＣＳ接続枚数計算ツール!$Y$113)</f>
        <v>0</v>
      </c>
      <c r="AF31" s="85">
        <f>HUAWEI製ＰＣＳ接続枚数計算ツール!$C$6*枚数!AF31/(VLOOKUP(HUAWEI製ＰＣＳ接続枚数計算ツール!$C$9, HUAWEI製ＰＣＳ接続枚数計算ツール!$B$119:$P$149,2,FALSE)*1000*HUAWEI製ＰＣＳ接続枚数計算ツール!$Y$113)</f>
        <v>0</v>
      </c>
      <c r="AG31" s="85">
        <f>HUAWEI製ＰＣＳ接続枚数計算ツール!$C$6*枚数!AG31/(VLOOKUP(HUAWEI製ＰＣＳ接続枚数計算ツール!$C$9, HUAWEI製ＰＣＳ接続枚数計算ツール!$B$119:$P$149,2,FALSE)*1000*HUAWEI製ＰＣＳ接続枚数計算ツール!$Y$113)</f>
        <v>0</v>
      </c>
      <c r="AH31" s="85">
        <f>HUAWEI製ＰＣＳ接続枚数計算ツール!$C$6*枚数!AH31/(VLOOKUP(HUAWEI製ＰＣＳ接続枚数計算ツール!$C$9, HUAWEI製ＰＣＳ接続枚数計算ツール!$B$119:$P$149,2,FALSE)*1000*HUAWEI製ＰＣＳ接続枚数計算ツール!$Y$113)</f>
        <v>0</v>
      </c>
      <c r="AI31" s="85">
        <f>HUAWEI製ＰＣＳ接続枚数計算ツール!$C$6*枚数!AI31/(VLOOKUP(HUAWEI製ＰＣＳ接続枚数計算ツール!$C$9, HUAWEI製ＰＣＳ接続枚数計算ツール!$B$119:$P$149,2,FALSE)*1000*HUAWEI製ＰＣＳ接続枚数計算ツール!$Y$113)</f>
        <v>0</v>
      </c>
      <c r="AJ31" s="85">
        <f>HUAWEI製ＰＣＳ接続枚数計算ツール!$C$6*枚数!AJ31/(VLOOKUP(HUAWEI製ＰＣＳ接続枚数計算ツール!$C$9, HUAWEI製ＰＣＳ接続枚数計算ツール!$B$119:$P$149,2,FALSE)*1000*HUAWEI製ＰＣＳ接続枚数計算ツール!$Y$113)</f>
        <v>0</v>
      </c>
      <c r="AK31" s="85">
        <f>HUAWEI製ＰＣＳ接続枚数計算ツール!$C$6*枚数!AK31/(VLOOKUP(HUAWEI製ＰＣＳ接続枚数計算ツール!$C$9, HUAWEI製ＰＣＳ接続枚数計算ツール!$B$119:$P$149,2,FALSE)*1000*HUAWEI製ＰＣＳ接続枚数計算ツール!$Y$113)</f>
        <v>0</v>
      </c>
      <c r="AL31" s="85">
        <f>HUAWEI製ＰＣＳ接続枚数計算ツール!$C$6*枚数!AL31/(VLOOKUP(HUAWEI製ＰＣＳ接続枚数計算ツール!$C$9, HUAWEI製ＰＣＳ接続枚数計算ツール!$B$119:$P$149,2,FALSE)*1000*HUAWEI製ＰＣＳ接続枚数計算ツール!$Y$113)</f>
        <v>0</v>
      </c>
      <c r="AM31" s="85">
        <f>HUAWEI製ＰＣＳ接続枚数計算ツール!$C$6*枚数!AM31/(VLOOKUP(HUAWEI製ＰＣＳ接続枚数計算ツール!$C$9, HUAWEI製ＰＣＳ接続枚数計算ツール!$B$119:$P$149,2,FALSE)*1000*HUAWEI製ＰＣＳ接続枚数計算ツール!$Y$113)</f>
        <v>0</v>
      </c>
      <c r="AN31" s="85">
        <f>HUAWEI製ＰＣＳ接続枚数計算ツール!$C$6*枚数!AN31/(VLOOKUP(HUAWEI製ＰＣＳ接続枚数計算ツール!$C$9, HUAWEI製ＰＣＳ接続枚数計算ツール!$B$119:$P$149,2,FALSE)*1000*HUAWEI製ＰＣＳ接続枚数計算ツール!$Y$113)</f>
        <v>0</v>
      </c>
      <c r="AO31" s="85">
        <f>HUAWEI製ＰＣＳ接続枚数計算ツール!$C$6*枚数!AO31/(VLOOKUP(HUAWEI製ＰＣＳ接続枚数計算ツール!$C$9, HUAWEI製ＰＣＳ接続枚数計算ツール!$B$119:$P$149,2,FALSE)*1000*HUAWEI製ＰＣＳ接続枚数計算ツール!$Y$113)</f>
        <v>0</v>
      </c>
    </row>
    <row r="32" spans="1:41">
      <c r="A32">
        <v>30</v>
      </c>
      <c r="B32" s="85">
        <f>HUAWEI製ＰＣＳ接続枚数計算ツール!$C$6*枚数!B32/(VLOOKUP(HUAWEI製ＰＣＳ接続枚数計算ツール!$C$9, HUAWEI製ＰＣＳ接続枚数計算ツール!$B$119:$P$149,2,FALSE)*1000*HUAWEI製ＰＣＳ接続枚数計算ツール!$Y$113)</f>
        <v>0</v>
      </c>
      <c r="C32" s="85">
        <f>HUAWEI製ＰＣＳ接続枚数計算ツール!$C$6*枚数!C32/(VLOOKUP(HUAWEI製ＰＣＳ接続枚数計算ツール!$C$9, HUAWEI製ＰＣＳ接続枚数計算ツール!$B$119:$P$149,2,FALSE)*1000*HUAWEI製ＰＣＳ接続枚数計算ツール!$Y$113)</f>
        <v>0</v>
      </c>
      <c r="D32" s="85">
        <f>HUAWEI製ＰＣＳ接続枚数計算ツール!$C$6*枚数!D32/(VLOOKUP(HUAWEI製ＰＣＳ接続枚数計算ツール!$C$9, HUAWEI製ＰＣＳ接続枚数計算ツール!$B$119:$P$149,2,FALSE)*1000*HUAWEI製ＰＣＳ接続枚数計算ツール!$Y$113)</f>
        <v>0</v>
      </c>
      <c r="E32" s="85">
        <f>HUAWEI製ＰＣＳ接続枚数計算ツール!$C$6*枚数!E32/(VLOOKUP(HUAWEI製ＰＣＳ接続枚数計算ツール!$C$9, HUAWEI製ＰＣＳ接続枚数計算ツール!$B$119:$P$149,2,FALSE)*1000*HUAWEI製ＰＣＳ接続枚数計算ツール!$Y$113)</f>
        <v>0</v>
      </c>
      <c r="F32" s="85">
        <f>HUAWEI製ＰＣＳ接続枚数計算ツール!$C$6*枚数!F32/(VLOOKUP(HUAWEI製ＰＣＳ接続枚数計算ツール!$C$9, HUAWEI製ＰＣＳ接続枚数計算ツール!$B$119:$P$149,2,FALSE)*1000*HUAWEI製ＰＣＳ接続枚数計算ツール!$Y$113)</f>
        <v>0</v>
      </c>
      <c r="G32" s="85">
        <f>HUAWEI製ＰＣＳ接続枚数計算ツール!$C$6*枚数!G32/(VLOOKUP(HUAWEI製ＰＣＳ接続枚数計算ツール!$C$9, HUAWEI製ＰＣＳ接続枚数計算ツール!$B$119:$P$149,2,FALSE)*1000*HUAWEI製ＰＣＳ接続枚数計算ツール!$Y$113)</f>
        <v>0</v>
      </c>
      <c r="H32" s="85">
        <f>HUAWEI製ＰＣＳ接続枚数計算ツール!$C$6*枚数!H32/(VLOOKUP(HUAWEI製ＰＣＳ接続枚数計算ツール!$C$9, HUAWEI製ＰＣＳ接続枚数計算ツール!$B$119:$P$149,2,FALSE)*1000*HUAWEI製ＰＣＳ接続枚数計算ツール!$Y$113)</f>
        <v>0</v>
      </c>
      <c r="I32" s="85">
        <f>HUAWEI製ＰＣＳ接続枚数計算ツール!$C$6*枚数!I32/(VLOOKUP(HUAWEI製ＰＣＳ接続枚数計算ツール!$C$9, HUAWEI製ＰＣＳ接続枚数計算ツール!$B$119:$P$149,2,FALSE)*1000*HUAWEI製ＰＣＳ接続枚数計算ツール!$Y$113)</f>
        <v>0</v>
      </c>
      <c r="J32" s="85">
        <f>HUAWEI製ＰＣＳ接続枚数計算ツール!$C$6*枚数!J32/(VLOOKUP(HUAWEI製ＰＣＳ接続枚数計算ツール!$C$9, HUAWEI製ＰＣＳ接続枚数計算ツール!$B$119:$P$149,2,FALSE)*1000*HUAWEI製ＰＣＳ接続枚数計算ツール!$Y$113)</f>
        <v>0</v>
      </c>
      <c r="K32" s="85">
        <f>HUAWEI製ＰＣＳ接続枚数計算ツール!$C$6*枚数!K32/(VLOOKUP(HUAWEI製ＰＣＳ接続枚数計算ツール!$C$9, HUAWEI製ＰＣＳ接続枚数計算ツール!$B$119:$P$149,2,FALSE)*1000*HUAWEI製ＰＣＳ接続枚数計算ツール!$Y$113)</f>
        <v>0</v>
      </c>
      <c r="L32" s="85">
        <f>HUAWEI製ＰＣＳ接続枚数計算ツール!$C$6*枚数!L32/(VLOOKUP(HUAWEI製ＰＣＳ接続枚数計算ツール!$C$9, HUAWEI製ＰＣＳ接続枚数計算ツール!$B$119:$P$149,2,FALSE)*1000*HUAWEI製ＰＣＳ接続枚数計算ツール!$Y$113)</f>
        <v>0</v>
      </c>
      <c r="M32" s="85">
        <f>HUAWEI製ＰＣＳ接続枚数計算ツール!$C$6*枚数!M32/(VLOOKUP(HUAWEI製ＰＣＳ接続枚数計算ツール!$C$9, HUAWEI製ＰＣＳ接続枚数計算ツール!$B$119:$P$149,2,FALSE)*1000*HUAWEI製ＰＣＳ接続枚数計算ツール!$Y$113)</f>
        <v>0</v>
      </c>
      <c r="N32" s="85">
        <f>HUAWEI製ＰＣＳ接続枚数計算ツール!$C$6*枚数!N32/(VLOOKUP(HUAWEI製ＰＣＳ接続枚数計算ツール!$C$9, HUAWEI製ＰＣＳ接続枚数計算ツール!$B$119:$P$149,2,FALSE)*1000*HUAWEI製ＰＣＳ接続枚数計算ツール!$Y$113)</f>
        <v>0</v>
      </c>
      <c r="O32" s="85">
        <f>HUAWEI製ＰＣＳ接続枚数計算ツール!$C$6*枚数!O32/(VLOOKUP(HUAWEI製ＰＣＳ接続枚数計算ツール!$C$9, HUAWEI製ＰＣＳ接続枚数計算ツール!$B$119:$P$149,2,FALSE)*1000*HUAWEI製ＰＣＳ接続枚数計算ツール!$Y$113)</f>
        <v>0</v>
      </c>
      <c r="P32" s="85">
        <f>HUAWEI製ＰＣＳ接続枚数計算ツール!$C$6*枚数!P32/(VLOOKUP(HUAWEI製ＰＣＳ接続枚数計算ツール!$C$9, HUAWEI製ＰＣＳ接続枚数計算ツール!$B$119:$P$149,2,FALSE)*1000*HUAWEI製ＰＣＳ接続枚数計算ツール!$Y$113)</f>
        <v>0</v>
      </c>
      <c r="Q32" s="85">
        <f>HUAWEI製ＰＣＳ接続枚数計算ツール!$C$6*枚数!Q32/(VLOOKUP(HUAWEI製ＰＣＳ接続枚数計算ツール!$C$9, HUAWEI製ＰＣＳ接続枚数計算ツール!$B$119:$P$149,2,FALSE)*1000*HUAWEI製ＰＣＳ接続枚数計算ツール!$Y$113)</f>
        <v>0</v>
      </c>
      <c r="R32" s="85">
        <f>HUAWEI製ＰＣＳ接続枚数計算ツール!$C$6*枚数!R32/(VLOOKUP(HUAWEI製ＰＣＳ接続枚数計算ツール!$C$9, HUAWEI製ＰＣＳ接続枚数計算ツール!$B$119:$P$149,2,FALSE)*1000*HUAWEI製ＰＣＳ接続枚数計算ツール!$Y$113)</f>
        <v>0</v>
      </c>
      <c r="S32" s="85">
        <f>HUAWEI製ＰＣＳ接続枚数計算ツール!$C$6*枚数!S32/(VLOOKUP(HUAWEI製ＰＣＳ接続枚数計算ツール!$C$9, HUAWEI製ＰＣＳ接続枚数計算ツール!$B$119:$P$149,2,FALSE)*1000*HUAWEI製ＰＣＳ接続枚数計算ツール!$Y$113)</f>
        <v>0</v>
      </c>
      <c r="T32" s="85">
        <f>HUAWEI製ＰＣＳ接続枚数計算ツール!$C$6*枚数!T32/(VLOOKUP(HUAWEI製ＰＣＳ接続枚数計算ツール!$C$9, HUAWEI製ＰＣＳ接続枚数計算ツール!$B$119:$P$149,2,FALSE)*1000*HUAWEI製ＰＣＳ接続枚数計算ツール!$Y$113)</f>
        <v>0</v>
      </c>
      <c r="U32" s="85">
        <f>HUAWEI製ＰＣＳ接続枚数計算ツール!$C$6*枚数!U32/(VLOOKUP(HUAWEI製ＰＣＳ接続枚数計算ツール!$C$9, HUAWEI製ＰＣＳ接続枚数計算ツール!$B$119:$P$149,2,FALSE)*1000*HUAWEI製ＰＣＳ接続枚数計算ツール!$Y$113)</f>
        <v>0</v>
      </c>
      <c r="V32" s="85">
        <f>HUAWEI製ＰＣＳ接続枚数計算ツール!$C$6*枚数!V32/(VLOOKUP(HUAWEI製ＰＣＳ接続枚数計算ツール!$C$9, HUAWEI製ＰＣＳ接続枚数計算ツール!$B$119:$P$149,2,FALSE)*1000*HUAWEI製ＰＣＳ接続枚数計算ツール!$Y$113)</f>
        <v>0</v>
      </c>
      <c r="W32" s="85">
        <f>HUAWEI製ＰＣＳ接続枚数計算ツール!$C$6*枚数!W32/(VLOOKUP(HUAWEI製ＰＣＳ接続枚数計算ツール!$C$9, HUAWEI製ＰＣＳ接続枚数計算ツール!$B$119:$P$149,2,FALSE)*1000*HUAWEI製ＰＣＳ接続枚数計算ツール!$Y$113)</f>
        <v>0</v>
      </c>
      <c r="X32" s="85">
        <f>HUAWEI製ＰＣＳ接続枚数計算ツール!$C$6*枚数!X32/(VLOOKUP(HUAWEI製ＰＣＳ接続枚数計算ツール!$C$9, HUAWEI製ＰＣＳ接続枚数計算ツール!$B$119:$P$149,2,FALSE)*1000*HUAWEI製ＰＣＳ接続枚数計算ツール!$Y$113)</f>
        <v>0</v>
      </c>
      <c r="Y32" s="85">
        <f>HUAWEI製ＰＣＳ接続枚数計算ツール!$C$6*枚数!Y32/(VLOOKUP(HUAWEI製ＰＣＳ接続枚数計算ツール!$C$9, HUAWEI製ＰＣＳ接続枚数計算ツール!$B$119:$P$149,2,FALSE)*1000*HUAWEI製ＰＣＳ接続枚数計算ツール!$Y$113)</f>
        <v>0</v>
      </c>
      <c r="Z32" s="85">
        <f>HUAWEI製ＰＣＳ接続枚数計算ツール!$C$6*枚数!Z32/(VLOOKUP(HUAWEI製ＰＣＳ接続枚数計算ツール!$C$9, HUAWEI製ＰＣＳ接続枚数計算ツール!$B$119:$P$149,2,FALSE)*1000*HUAWEI製ＰＣＳ接続枚数計算ツール!$Y$113)</f>
        <v>0</v>
      </c>
      <c r="AA32" s="85">
        <f>HUAWEI製ＰＣＳ接続枚数計算ツール!$C$6*枚数!AA32/(VLOOKUP(HUAWEI製ＰＣＳ接続枚数計算ツール!$C$9, HUAWEI製ＰＣＳ接続枚数計算ツール!$B$119:$P$149,2,FALSE)*1000*HUAWEI製ＰＣＳ接続枚数計算ツール!$Y$113)</f>
        <v>0</v>
      </c>
      <c r="AB32" s="85">
        <f>HUAWEI製ＰＣＳ接続枚数計算ツール!$C$6*枚数!AB32/(VLOOKUP(HUAWEI製ＰＣＳ接続枚数計算ツール!$C$9, HUAWEI製ＰＣＳ接続枚数計算ツール!$B$119:$P$149,2,FALSE)*1000*HUAWEI製ＰＣＳ接続枚数計算ツール!$Y$113)</f>
        <v>0</v>
      </c>
      <c r="AC32" s="85">
        <f>HUAWEI製ＰＣＳ接続枚数計算ツール!$C$6*枚数!AC32/(VLOOKUP(HUAWEI製ＰＣＳ接続枚数計算ツール!$C$9, HUAWEI製ＰＣＳ接続枚数計算ツール!$B$119:$P$149,2,FALSE)*1000*HUAWEI製ＰＣＳ接続枚数計算ツール!$Y$113)</f>
        <v>0</v>
      </c>
      <c r="AD32" s="85">
        <f>HUAWEI製ＰＣＳ接続枚数計算ツール!$C$6*枚数!AD32/(VLOOKUP(HUAWEI製ＰＣＳ接続枚数計算ツール!$C$9, HUAWEI製ＰＣＳ接続枚数計算ツール!$B$119:$P$149,2,FALSE)*1000*HUAWEI製ＰＣＳ接続枚数計算ツール!$Y$113)</f>
        <v>0</v>
      </c>
      <c r="AE32" s="85">
        <f>HUAWEI製ＰＣＳ接続枚数計算ツール!$C$6*枚数!AE32/(VLOOKUP(HUAWEI製ＰＣＳ接続枚数計算ツール!$C$9, HUAWEI製ＰＣＳ接続枚数計算ツール!$B$119:$P$149,2,FALSE)*1000*HUAWEI製ＰＣＳ接続枚数計算ツール!$Y$113)</f>
        <v>0</v>
      </c>
      <c r="AF32" s="85">
        <f>HUAWEI製ＰＣＳ接続枚数計算ツール!$C$6*枚数!AF32/(VLOOKUP(HUAWEI製ＰＣＳ接続枚数計算ツール!$C$9, HUAWEI製ＰＣＳ接続枚数計算ツール!$B$119:$P$149,2,FALSE)*1000*HUAWEI製ＰＣＳ接続枚数計算ツール!$Y$113)</f>
        <v>0</v>
      </c>
      <c r="AG32" s="85">
        <f>HUAWEI製ＰＣＳ接続枚数計算ツール!$C$6*枚数!AG32/(VLOOKUP(HUAWEI製ＰＣＳ接続枚数計算ツール!$C$9, HUAWEI製ＰＣＳ接続枚数計算ツール!$B$119:$P$149,2,FALSE)*1000*HUAWEI製ＰＣＳ接続枚数計算ツール!$Y$113)</f>
        <v>0</v>
      </c>
      <c r="AH32" s="85">
        <f>HUAWEI製ＰＣＳ接続枚数計算ツール!$C$6*枚数!AH32/(VLOOKUP(HUAWEI製ＰＣＳ接続枚数計算ツール!$C$9, HUAWEI製ＰＣＳ接続枚数計算ツール!$B$119:$P$149,2,FALSE)*1000*HUAWEI製ＰＣＳ接続枚数計算ツール!$Y$113)</f>
        <v>0</v>
      </c>
      <c r="AI32" s="85">
        <f>HUAWEI製ＰＣＳ接続枚数計算ツール!$C$6*枚数!AI32/(VLOOKUP(HUAWEI製ＰＣＳ接続枚数計算ツール!$C$9, HUAWEI製ＰＣＳ接続枚数計算ツール!$B$119:$P$149,2,FALSE)*1000*HUAWEI製ＰＣＳ接続枚数計算ツール!$Y$113)</f>
        <v>0</v>
      </c>
      <c r="AJ32" s="85">
        <f>HUAWEI製ＰＣＳ接続枚数計算ツール!$C$6*枚数!AJ32/(VLOOKUP(HUAWEI製ＰＣＳ接続枚数計算ツール!$C$9, HUAWEI製ＰＣＳ接続枚数計算ツール!$B$119:$P$149,2,FALSE)*1000*HUAWEI製ＰＣＳ接続枚数計算ツール!$Y$113)</f>
        <v>0</v>
      </c>
      <c r="AK32" s="85">
        <f>HUAWEI製ＰＣＳ接続枚数計算ツール!$C$6*枚数!AK32/(VLOOKUP(HUAWEI製ＰＣＳ接続枚数計算ツール!$C$9, HUAWEI製ＰＣＳ接続枚数計算ツール!$B$119:$P$149,2,FALSE)*1000*HUAWEI製ＰＣＳ接続枚数計算ツール!$Y$113)</f>
        <v>0</v>
      </c>
      <c r="AL32" s="85">
        <f>HUAWEI製ＰＣＳ接続枚数計算ツール!$C$6*枚数!AL32/(VLOOKUP(HUAWEI製ＰＣＳ接続枚数計算ツール!$C$9, HUAWEI製ＰＣＳ接続枚数計算ツール!$B$119:$P$149,2,FALSE)*1000*HUAWEI製ＰＣＳ接続枚数計算ツール!$Y$113)</f>
        <v>0</v>
      </c>
      <c r="AM32" s="85">
        <f>HUAWEI製ＰＣＳ接続枚数計算ツール!$C$6*枚数!AM32/(VLOOKUP(HUAWEI製ＰＣＳ接続枚数計算ツール!$C$9, HUAWEI製ＰＣＳ接続枚数計算ツール!$B$119:$P$149,2,FALSE)*1000*HUAWEI製ＰＣＳ接続枚数計算ツール!$Y$113)</f>
        <v>0</v>
      </c>
      <c r="AN32" s="85">
        <f>HUAWEI製ＰＣＳ接続枚数計算ツール!$C$6*枚数!AN32/(VLOOKUP(HUAWEI製ＰＣＳ接続枚数計算ツール!$C$9, HUAWEI製ＰＣＳ接続枚数計算ツール!$B$119:$P$149,2,FALSE)*1000*HUAWEI製ＰＣＳ接続枚数計算ツール!$Y$113)</f>
        <v>0</v>
      </c>
      <c r="AO32" s="85">
        <f>HUAWEI製ＰＣＳ接続枚数計算ツール!$C$6*枚数!AO32/(VLOOKUP(HUAWEI製ＰＣＳ接続枚数計算ツール!$C$9, HUAWEI製ＰＣＳ接続枚数計算ツール!$B$119:$P$149,2,FALSE)*1000*HUAWEI製ＰＣＳ接続枚数計算ツール!$Y$113)</f>
        <v>0</v>
      </c>
    </row>
  </sheetData>
  <phoneticPr fontId="2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O32"/>
  <sheetViews>
    <sheetView workbookViewId="0">
      <selection activeCell="M11" sqref="M11"/>
    </sheetView>
  </sheetViews>
  <sheetFormatPr defaultRowHeight="14.1"/>
  <sheetData>
    <row r="1" spans="1:41">
      <c r="A1" t="s">
        <v>1882</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s="85">
        <f>HUAWEI製ＰＣＳ接続枚数計算ツール!$J$116*枚数!B3/(VLOOKUP(HUAWEI製ＰＣＳ接続枚数計算ツール!$C$9, HUAWEI製ＰＣＳ接続枚数計算ツール!$B$119:$P$149,2,FALSE)*1000*HUAWEI製ＰＣＳ接続枚数計算ツール!$Y$113)</f>
        <v>4.1736000000000004E-3</v>
      </c>
      <c r="C3" s="85">
        <f>HUAWEI製ＰＣＳ接続枚数計算ツール!$J$116*枚数!C3/(VLOOKUP(HUAWEI製ＰＣＳ接続枚数計算ツール!$C$9, HUAWEI製ＰＣＳ接続枚数計算ツール!$B$119:$P$149,2,FALSE)*1000*HUAWEI製ＰＣＳ接続枚数計算ツール!$Y$113)</f>
        <v>8.3472000000000008E-3</v>
      </c>
      <c r="D3" s="85">
        <f>HUAWEI製ＰＣＳ接続枚数計算ツール!$J$116*枚数!D3/(VLOOKUP(HUAWEI製ＰＣＳ接続枚数計算ツール!$C$9, HUAWEI製ＰＣＳ接続枚数計算ツール!$B$119:$P$149,2,FALSE)*1000*HUAWEI製ＰＣＳ接続枚数計算ツール!$Y$113)</f>
        <v>1.25208E-2</v>
      </c>
      <c r="E3" s="85">
        <f>HUAWEI製ＰＣＳ接続枚数計算ツール!$J$116*枚数!E3/(VLOOKUP(HUAWEI製ＰＣＳ接続枚数計算ツール!$C$9, HUAWEI製ＰＣＳ接続枚数計算ツール!$B$119:$P$149,2,FALSE)*1000*HUAWEI製ＰＣＳ接続枚数計算ツール!$Y$113)</f>
        <v>1.6694400000000002E-2</v>
      </c>
      <c r="F3" s="85">
        <f>HUAWEI製ＰＣＳ接続枚数計算ツール!$J$116*枚数!F3/(VLOOKUP(HUAWEI製ＰＣＳ接続枚数計算ツール!$C$9, HUAWEI製ＰＣＳ接続枚数計算ツール!$B$119:$P$149,2,FALSE)*1000*HUAWEI製ＰＣＳ接続枚数計算ツール!$Y$113)</f>
        <v>2.0868000000000001E-2</v>
      </c>
      <c r="G3" s="85">
        <f>HUAWEI製ＰＣＳ接続枚数計算ツール!$J$116*枚数!G3/(VLOOKUP(HUAWEI製ＰＣＳ接続枚数計算ツール!$C$9, HUAWEI製ＰＣＳ接続枚数計算ツール!$B$119:$P$149,2,FALSE)*1000*HUAWEI製ＰＣＳ接続枚数計算ツール!$Y$113)</f>
        <v>2.5041600000000001E-2</v>
      </c>
      <c r="H3" s="85">
        <f>HUAWEI製ＰＣＳ接続枚数計算ツール!$J$116*枚数!H3/(VLOOKUP(HUAWEI製ＰＣＳ接続枚数計算ツール!$C$9, HUAWEI製ＰＣＳ接続枚数計算ツール!$B$119:$P$149,2,FALSE)*1000*HUAWEI製ＰＣＳ接続枚数計算ツール!$Y$113)</f>
        <v>2.9215200000000004E-2</v>
      </c>
      <c r="I3" s="85">
        <f>HUAWEI製ＰＣＳ接続枚数計算ツール!$J$116*枚数!I3/(VLOOKUP(HUAWEI製ＰＣＳ接続枚数計算ツール!$C$9, HUAWEI製ＰＣＳ接続枚数計算ツール!$B$119:$P$149,2,FALSE)*1000*HUAWEI製ＰＣＳ接続枚数計算ツール!$Y$113)</f>
        <v>3.3388800000000003E-2</v>
      </c>
      <c r="J3" s="85">
        <f>HUAWEI製ＰＣＳ接続枚数計算ツール!$J$116*枚数!J3/(VLOOKUP(HUAWEI製ＰＣＳ接続枚数計算ツール!$C$9, HUAWEI製ＰＣＳ接続枚数計算ツール!$B$119:$P$149,2,FALSE)*1000*HUAWEI製ＰＣＳ接続枚数計算ツール!$Y$113)</f>
        <v>3.7562400000000003E-2</v>
      </c>
      <c r="K3" s="85">
        <f>HUAWEI製ＰＣＳ接続枚数計算ツール!$J$116*枚数!K3/(VLOOKUP(HUAWEI製ＰＣＳ接続枚数計算ツール!$C$9, HUAWEI製ＰＣＳ接続枚数計算ツール!$B$119:$P$149,2,FALSE)*1000*HUAWEI製ＰＣＳ接続枚数計算ツール!$Y$113)</f>
        <v>4.1736000000000002E-2</v>
      </c>
      <c r="L3" s="85">
        <f>HUAWEI製ＰＣＳ接続枚数計算ツール!$J$116*枚数!L3/(VLOOKUP(HUAWEI製ＰＣＳ接続枚数計算ツール!$C$9, HUAWEI製ＰＣＳ接続枚数計算ツール!$B$119:$P$149,2,FALSE)*1000*HUAWEI製ＰＣＳ接続枚数計算ツール!$Y$113)</f>
        <v>4.5909600000000009E-2</v>
      </c>
      <c r="M3" s="85">
        <f>HUAWEI製ＰＣＳ接続枚数計算ツール!$J$116*枚数!M3/(VLOOKUP(HUAWEI製ＰＣＳ接続枚数計算ツール!$C$9, HUAWEI製ＰＣＳ接続枚数計算ツール!$B$119:$P$149,2,FALSE)*1000*HUAWEI製ＰＣＳ接続枚数計算ツール!$Y$113)</f>
        <v>5.0083200000000001E-2</v>
      </c>
      <c r="N3" s="85">
        <f>HUAWEI製ＰＣＳ接続枚数計算ツール!$J$116*枚数!N3/(VLOOKUP(HUAWEI製ＰＣＳ接続枚数計算ツール!$C$9, HUAWEI製ＰＣＳ接続枚数計算ツール!$B$119:$P$149,2,FALSE)*1000*HUAWEI製ＰＣＳ接続枚数計算ツール!$Y$113)</f>
        <v>5.4256800000000001E-2</v>
      </c>
      <c r="O3" s="85">
        <f>HUAWEI製ＰＣＳ接続枚数計算ツール!$J$116*枚数!O3/(VLOOKUP(HUAWEI製ＰＣＳ接続枚数計算ツール!$C$9, HUAWEI製ＰＣＳ接続枚数計算ツール!$B$119:$P$149,2,FALSE)*1000*HUAWEI製ＰＣＳ接続枚数計算ツール!$Y$113)</f>
        <v>5.8430400000000007E-2</v>
      </c>
      <c r="P3" s="85">
        <f>HUAWEI製ＰＣＳ接続枚数計算ツール!$J$116*枚数!P3/(VLOOKUP(HUAWEI製ＰＣＳ接続枚数計算ツール!$C$9, HUAWEI製ＰＣＳ接続枚数計算ツール!$B$119:$P$149,2,FALSE)*1000*HUAWEI製ＰＣＳ接続枚数計算ツール!$Y$113)</f>
        <v>6.2604000000000007E-2</v>
      </c>
      <c r="Q3" s="85">
        <f>HUAWEI製ＰＣＳ接続枚数計算ツール!$J$116*枚数!Q3/(VLOOKUP(HUAWEI製ＰＣＳ接続枚数計算ツール!$C$9, HUAWEI製ＰＣＳ接続枚数計算ツール!$B$119:$P$149,2,FALSE)*1000*HUAWEI製ＰＣＳ接続枚数計算ツール!$Y$113)</f>
        <v>6.6777600000000006E-2</v>
      </c>
      <c r="R3" s="85">
        <f>HUAWEI製ＰＣＳ接続枚数計算ツール!$J$116*枚数!R3/(VLOOKUP(HUAWEI製ＰＣＳ接続枚数計算ツール!$C$9, HUAWEI製ＰＣＳ接続枚数計算ツール!$B$119:$P$149,2,FALSE)*1000*HUAWEI製ＰＣＳ接続枚数計算ツール!$Y$113)</f>
        <v>7.0951200000000006E-2</v>
      </c>
      <c r="S3" s="85">
        <f>HUAWEI製ＰＣＳ接続枚数計算ツール!$J$116*枚数!S3/(VLOOKUP(HUAWEI製ＰＣＳ接続枚数計算ツール!$C$9, HUAWEI製ＰＣＳ接続枚数計算ツール!$B$119:$P$149,2,FALSE)*1000*HUAWEI製ＰＣＳ接続枚数計算ツール!$Y$113)</f>
        <v>7.5124800000000005E-2</v>
      </c>
      <c r="T3" s="85">
        <f>HUAWEI製ＰＣＳ接続枚数計算ツール!$J$116*枚数!T3/(VLOOKUP(HUAWEI製ＰＣＳ接続枚数計算ツール!$C$9, HUAWEI製ＰＣＳ接続枚数計算ツール!$B$119:$P$149,2,FALSE)*1000*HUAWEI製ＰＣＳ接続枚数計算ツール!$Y$113)</f>
        <v>7.9298400000000005E-2</v>
      </c>
      <c r="U3" s="85">
        <f>HUAWEI製ＰＣＳ接続枚数計算ツール!$J$116*枚数!U3/(VLOOKUP(HUAWEI製ＰＣＳ接続枚数計算ツール!$C$9, HUAWEI製ＰＣＳ接続枚数計算ツール!$B$119:$P$149,2,FALSE)*1000*HUAWEI製ＰＣＳ接続枚数計算ツール!$Y$113)</f>
        <v>8.3472000000000005E-2</v>
      </c>
      <c r="V3" s="85">
        <f>HUAWEI製ＰＣＳ接続枚数計算ツール!$J$116*枚数!V3/(VLOOKUP(HUAWEI製ＰＣＳ接続枚数計算ツール!$C$9, HUAWEI製ＰＣＳ接続枚数計算ツール!$B$119:$P$149,2,FALSE)*1000*HUAWEI製ＰＣＳ接続枚数計算ツール!$Y$113)</f>
        <v>8.7645600000000004E-2</v>
      </c>
      <c r="W3" s="85">
        <f>HUAWEI製ＰＣＳ接続枚数計算ツール!$J$116*枚数!W3/(VLOOKUP(HUAWEI製ＰＣＳ接続枚数計算ツール!$C$9, HUAWEI製ＰＣＳ接続枚数計算ツール!$B$119:$P$149,2,FALSE)*1000*HUAWEI製ＰＣＳ接続枚数計算ツール!$Y$113)</f>
        <v>9.1819200000000017E-2</v>
      </c>
      <c r="X3" s="85">
        <f>HUAWEI製ＰＣＳ接続枚数計算ツール!$J$116*枚数!X3/(VLOOKUP(HUAWEI製ＰＣＳ接続枚数計算ツール!$C$9, HUAWEI製ＰＣＳ接続枚数計算ツール!$B$119:$P$149,2,FALSE)*1000*HUAWEI製ＰＣＳ接続枚数計算ツール!$Y$113)</f>
        <v>9.5992800000000003E-2</v>
      </c>
      <c r="Y3" s="85">
        <f>HUAWEI製ＰＣＳ接続枚数計算ツール!$J$116*枚数!Y3/(VLOOKUP(HUAWEI製ＰＣＳ接続枚数計算ツール!$C$9, HUAWEI製ＰＣＳ接続枚数計算ツール!$B$119:$P$149,2,FALSE)*1000*HUAWEI製ＰＣＳ接続枚数計算ツール!$Y$113)</f>
        <v>0.1001664</v>
      </c>
      <c r="Z3" s="85">
        <f>HUAWEI製ＰＣＳ接続枚数計算ツール!$J$116*枚数!Z3/(VLOOKUP(HUAWEI製ＰＣＳ接続枚数計算ツール!$C$9, HUAWEI製ＰＣＳ接続枚数計算ツール!$B$119:$P$149,2,FALSE)*1000*HUAWEI製ＰＣＳ接続枚数計算ツール!$Y$113)</f>
        <v>0.10434000000000002</v>
      </c>
      <c r="AA3" s="85">
        <f>HUAWEI製ＰＣＳ接続枚数計算ツール!$J$116*枚数!AA3/(VLOOKUP(HUAWEI製ＰＣＳ接続枚数計算ツール!$C$9, HUAWEI製ＰＣＳ接続枚数計算ツール!$B$119:$P$149,2,FALSE)*1000*HUAWEI製ＰＣＳ接続枚数計算ツール!$Y$113)</f>
        <v>0.1085136</v>
      </c>
      <c r="AB3" s="85">
        <f>HUAWEI製ＰＣＳ接続枚数計算ツール!$J$116*枚数!AB3/(VLOOKUP(HUAWEI製ＰＣＳ接続枚数計算ツール!$C$9, HUAWEI製ＰＣＳ接続枚数計算ツール!$B$119:$P$149,2,FALSE)*1000*HUAWEI製ＰＣＳ接続枚数計算ツール!$Y$113)</f>
        <v>0.11268720000000002</v>
      </c>
      <c r="AC3" s="85">
        <f>HUAWEI製ＰＣＳ接続枚数計算ツール!$J$116*枚数!AC3/(VLOOKUP(HUAWEI製ＰＣＳ接続枚数計算ツール!$C$9, HUAWEI製ＰＣＳ接続枚数計算ツール!$B$119:$P$149,2,FALSE)*1000*HUAWEI製ＰＣＳ接続枚数計算ツール!$Y$113)</f>
        <v>0.11686080000000001</v>
      </c>
      <c r="AD3" s="85">
        <f>HUAWEI製ＰＣＳ接続枚数計算ツール!$J$116*枚数!AD3/(VLOOKUP(HUAWEI製ＰＣＳ接続枚数計算ツール!$C$9, HUAWEI製ＰＣＳ接続枚数計算ツール!$B$119:$P$149,2,FALSE)*1000*HUAWEI製ＰＣＳ接続枚数計算ツール!$Y$113)</f>
        <v>0.12103440000000001</v>
      </c>
      <c r="AE3" s="85">
        <f>HUAWEI製ＰＣＳ接続枚数計算ツール!$J$116*枚数!AE3/(VLOOKUP(HUAWEI製ＰＣＳ接続枚数計算ツール!$C$9, HUAWEI製ＰＣＳ接続枚数計算ツール!$B$119:$P$149,2,FALSE)*1000*HUAWEI製ＰＣＳ接続枚数計算ツール!$Y$113)</f>
        <v>0.12520800000000001</v>
      </c>
      <c r="AF3" s="85">
        <f>HUAWEI製ＰＣＳ接続枚数計算ツール!$J$116*枚数!AF3/(VLOOKUP(HUAWEI製ＰＣＳ接続枚数計算ツール!$C$9, HUAWEI製ＰＣＳ接続枚数計算ツール!$B$119:$P$149,2,FALSE)*1000*HUAWEI製ＰＣＳ接続枚数計算ツール!$Y$113)</f>
        <v>0.12938160000000001</v>
      </c>
      <c r="AG3" s="85">
        <f>HUAWEI製ＰＣＳ接続枚数計算ツール!$J$116*枚数!AG3/(VLOOKUP(HUAWEI製ＰＣＳ接続枚数計算ツール!$C$9, HUAWEI製ＰＣＳ接続枚数計算ツール!$B$119:$P$149,2,FALSE)*1000*HUAWEI製ＰＣＳ接続枚数計算ツール!$Y$113)</f>
        <v>0.13355520000000001</v>
      </c>
      <c r="AH3" s="85">
        <f>HUAWEI製ＰＣＳ接続枚数計算ツール!$J$116*枚数!AH3/(VLOOKUP(HUAWEI製ＰＣＳ接続枚数計算ツール!$C$9, HUAWEI製ＰＣＳ接続枚数計算ツール!$B$119:$P$149,2,FALSE)*1000*HUAWEI製ＰＣＳ接続枚数計算ツール!$Y$113)</f>
        <v>0.13772880000000001</v>
      </c>
      <c r="AI3" s="85">
        <f>HUAWEI製ＰＣＳ接続枚数計算ツール!$J$116*枚数!AI3/(VLOOKUP(HUAWEI製ＰＣＳ接続枚数計算ツール!$C$9, HUAWEI製ＰＣＳ接続枚数計算ツール!$B$119:$P$149,2,FALSE)*1000*HUAWEI製ＰＣＳ接続枚数計算ツール!$Y$113)</f>
        <v>0.14190240000000001</v>
      </c>
      <c r="AJ3" s="85">
        <f>HUAWEI製ＰＣＳ接続枚数計算ツール!$J$116*枚数!AJ3/(VLOOKUP(HUAWEI製ＰＣＳ接続枚数計算ツール!$C$9, HUAWEI製ＰＣＳ接続枚数計算ツール!$B$119:$P$149,2,FALSE)*1000*HUAWEI製ＰＣＳ接続枚数計算ツール!$Y$113)</f>
        <v>0.14607600000000001</v>
      </c>
      <c r="AK3" s="85">
        <f>HUAWEI製ＰＣＳ接続枚数計算ツール!$J$116*枚数!AK3/(VLOOKUP(HUAWEI製ＰＣＳ接続枚数計算ツール!$C$9, HUAWEI製ＰＣＳ接続枚数計算ツール!$B$119:$P$149,2,FALSE)*1000*HUAWEI製ＰＣＳ接続枚数計算ツール!$Y$113)</f>
        <v>0.15024960000000001</v>
      </c>
      <c r="AL3" s="85">
        <f>HUAWEI製ＰＣＳ接続枚数計算ツール!$J$116*枚数!AL3/(VLOOKUP(HUAWEI製ＰＣＳ接続枚数計算ツール!$C$9, HUAWEI製ＰＣＳ接続枚数計算ツール!$B$119:$P$149,2,FALSE)*1000*HUAWEI製ＰＣＳ接続枚数計算ツール!$Y$113)</f>
        <v>0.15442320000000001</v>
      </c>
      <c r="AM3" s="85">
        <f>HUAWEI製ＰＣＳ接続枚数計算ツール!$J$116*枚数!AM3/(VLOOKUP(HUAWEI製ＰＣＳ接続枚数計算ツール!$C$9, HUAWEI製ＰＣＳ接続枚数計算ツール!$B$119:$P$149,2,FALSE)*1000*HUAWEI製ＰＣＳ接続枚数計算ツール!$Y$113)</f>
        <v>0.15859680000000001</v>
      </c>
      <c r="AN3" s="85">
        <f>HUAWEI製ＰＣＳ接続枚数計算ツール!$J$116*枚数!AN3/(VLOOKUP(HUAWEI製ＰＣＳ接続枚数計算ツール!$C$9, HUAWEI製ＰＣＳ接続枚数計算ツール!$B$119:$P$149,2,FALSE)*1000*HUAWEI製ＰＣＳ接続枚数計算ツール!$Y$113)</f>
        <v>0.16277040000000001</v>
      </c>
      <c r="AO3" s="85">
        <f>HUAWEI製ＰＣＳ接続枚数計算ツール!$J$116*枚数!AO3/(VLOOKUP(HUAWEI製ＰＣＳ接続枚数計算ツール!$C$9, HUAWEI製ＰＣＳ接続枚数計算ツール!$B$119:$P$149,2,FALSE)*1000*HUAWEI製ＰＣＳ接続枚数計算ツール!$Y$113)</f>
        <v>0.16694400000000001</v>
      </c>
    </row>
    <row r="4" spans="1:41">
      <c r="A4">
        <v>2</v>
      </c>
      <c r="B4" s="85">
        <f>HUAWEI製ＰＣＳ接続枚数計算ツール!$J$116*枚数!B4/(VLOOKUP(HUAWEI製ＰＣＳ接続枚数計算ツール!$C$9, HUAWEI製ＰＣＳ接続枚数計算ツール!$B$119:$P$149,2,FALSE)*1000*HUAWEI製ＰＣＳ接続枚数計算ツール!$Y$113)</f>
        <v>8.3472000000000008E-3</v>
      </c>
      <c r="C4" s="85">
        <f>HUAWEI製ＰＣＳ接続枚数計算ツール!$J$116*枚数!C4/(VLOOKUP(HUAWEI製ＰＣＳ接続枚数計算ツール!$C$9, HUAWEI製ＰＣＳ接続枚数計算ツール!$B$119:$P$149,2,FALSE)*1000*HUAWEI製ＰＣＳ接続枚数計算ツール!$Y$113)</f>
        <v>1.6694400000000002E-2</v>
      </c>
      <c r="D4" s="85">
        <f>HUAWEI製ＰＣＳ接続枚数計算ツール!$J$116*枚数!D4/(VLOOKUP(HUAWEI製ＰＣＳ接続枚数計算ツール!$C$9, HUAWEI製ＰＣＳ接続枚数計算ツール!$B$119:$P$149,2,FALSE)*1000*HUAWEI製ＰＣＳ接続枚数計算ツール!$Y$113)</f>
        <v>2.5041600000000001E-2</v>
      </c>
      <c r="E4" s="85">
        <f>HUAWEI製ＰＣＳ接続枚数計算ツール!$J$116*枚数!E4/(VLOOKUP(HUAWEI製ＰＣＳ接続枚数計算ツール!$C$9, HUAWEI製ＰＣＳ接続枚数計算ツール!$B$119:$P$149,2,FALSE)*1000*HUAWEI製ＰＣＳ接続枚数計算ツール!$Y$113)</f>
        <v>3.3388800000000003E-2</v>
      </c>
      <c r="F4" s="85">
        <f>HUAWEI製ＰＣＳ接続枚数計算ツール!$J$116*枚数!F4/(VLOOKUP(HUAWEI製ＰＣＳ接続枚数計算ツール!$C$9, HUAWEI製ＰＣＳ接続枚数計算ツール!$B$119:$P$149,2,FALSE)*1000*HUAWEI製ＰＣＳ接続枚数計算ツール!$Y$113)</f>
        <v>4.1736000000000002E-2</v>
      </c>
      <c r="G4" s="85">
        <f>HUAWEI製ＰＣＳ接続枚数計算ツール!$J$116*枚数!G4/(VLOOKUP(HUAWEI製ＰＣＳ接続枚数計算ツール!$C$9, HUAWEI製ＰＣＳ接続枚数計算ツール!$B$119:$P$149,2,FALSE)*1000*HUAWEI製ＰＣＳ接続枚数計算ツール!$Y$113)</f>
        <v>5.0083200000000001E-2</v>
      </c>
      <c r="H4" s="85">
        <f>HUAWEI製ＰＣＳ接続枚数計算ツール!$J$116*枚数!H4/(VLOOKUP(HUAWEI製ＰＣＳ接続枚数計算ツール!$C$9, HUAWEI製ＰＣＳ接続枚数計算ツール!$B$119:$P$149,2,FALSE)*1000*HUAWEI製ＰＣＳ接続枚数計算ツール!$Y$113)</f>
        <v>5.8430400000000007E-2</v>
      </c>
      <c r="I4" s="85">
        <f>HUAWEI製ＰＣＳ接続枚数計算ツール!$J$116*枚数!I4/(VLOOKUP(HUAWEI製ＰＣＳ接続枚数計算ツール!$C$9, HUAWEI製ＰＣＳ接続枚数計算ツール!$B$119:$P$149,2,FALSE)*1000*HUAWEI製ＰＣＳ接続枚数計算ツール!$Y$113)</f>
        <v>6.6777600000000006E-2</v>
      </c>
      <c r="J4" s="85">
        <f>HUAWEI製ＰＣＳ接続枚数計算ツール!$J$116*枚数!J4/(VLOOKUP(HUAWEI製ＰＣＳ接続枚数計算ツール!$C$9, HUAWEI製ＰＣＳ接続枚数計算ツール!$B$119:$P$149,2,FALSE)*1000*HUAWEI製ＰＣＳ接続枚数計算ツール!$Y$113)</f>
        <v>7.5124800000000005E-2</v>
      </c>
      <c r="K4" s="85">
        <f>HUAWEI製ＰＣＳ接続枚数計算ツール!$J$116*枚数!K4/(VLOOKUP(HUAWEI製ＰＣＳ接続枚数計算ツール!$C$9, HUAWEI製ＰＣＳ接続枚数計算ツール!$B$119:$P$149,2,FALSE)*1000*HUAWEI製ＰＣＳ接続枚数計算ツール!$Y$113)</f>
        <v>8.3472000000000005E-2</v>
      </c>
      <c r="L4" s="85">
        <f>HUAWEI製ＰＣＳ接続枚数計算ツール!$J$116*枚数!L4/(VLOOKUP(HUAWEI製ＰＣＳ接続枚数計算ツール!$C$9, HUAWEI製ＰＣＳ接続枚数計算ツール!$B$119:$P$149,2,FALSE)*1000*HUAWEI製ＰＣＳ接続枚数計算ツール!$Y$113)</f>
        <v>9.1819200000000017E-2</v>
      </c>
      <c r="M4" s="85">
        <f>HUAWEI製ＰＣＳ接続枚数計算ツール!$J$116*枚数!M4/(VLOOKUP(HUAWEI製ＰＣＳ接続枚数計算ツール!$C$9, HUAWEI製ＰＣＳ接続枚数計算ツール!$B$119:$P$149,2,FALSE)*1000*HUAWEI製ＰＣＳ接続枚数計算ツール!$Y$113)</f>
        <v>0.1001664</v>
      </c>
      <c r="N4" s="85">
        <f>HUAWEI製ＰＣＳ接続枚数計算ツール!$J$116*枚数!N4/(VLOOKUP(HUAWEI製ＰＣＳ接続枚数計算ツール!$C$9, HUAWEI製ＰＣＳ接続枚数計算ツール!$B$119:$P$149,2,FALSE)*1000*HUAWEI製ＰＣＳ接続枚数計算ツール!$Y$113)</f>
        <v>0.1085136</v>
      </c>
      <c r="O4" s="85">
        <f>HUAWEI製ＰＣＳ接続枚数計算ツール!$J$116*枚数!O4/(VLOOKUP(HUAWEI製ＰＣＳ接続枚数計算ツール!$C$9, HUAWEI製ＰＣＳ接続枚数計算ツール!$B$119:$P$149,2,FALSE)*1000*HUAWEI製ＰＣＳ接続枚数計算ツール!$Y$113)</f>
        <v>0.11686080000000001</v>
      </c>
      <c r="P4" s="85">
        <f>HUAWEI製ＰＣＳ接続枚数計算ツール!$J$116*枚数!P4/(VLOOKUP(HUAWEI製ＰＣＳ接続枚数計算ツール!$C$9, HUAWEI製ＰＣＳ接続枚数計算ツール!$B$119:$P$149,2,FALSE)*1000*HUAWEI製ＰＣＳ接続枚数計算ツール!$Y$113)</f>
        <v>0.12520800000000001</v>
      </c>
      <c r="Q4" s="85">
        <f>HUAWEI製ＰＣＳ接続枚数計算ツール!$J$116*枚数!Q4/(VLOOKUP(HUAWEI製ＰＣＳ接続枚数計算ツール!$C$9, HUAWEI製ＰＣＳ接続枚数計算ツール!$B$119:$P$149,2,FALSE)*1000*HUAWEI製ＰＣＳ接続枚数計算ツール!$Y$113)</f>
        <v>0.13355520000000001</v>
      </c>
      <c r="R4" s="85">
        <f>HUAWEI製ＰＣＳ接続枚数計算ツール!$J$116*枚数!R4/(VLOOKUP(HUAWEI製ＰＣＳ接続枚数計算ツール!$C$9, HUAWEI製ＰＣＳ接続枚数計算ツール!$B$119:$P$149,2,FALSE)*1000*HUAWEI製ＰＣＳ接続枚数計算ツール!$Y$113)</f>
        <v>0.14190240000000001</v>
      </c>
      <c r="S4" s="85">
        <f>HUAWEI製ＰＣＳ接続枚数計算ツール!$J$116*枚数!S4/(VLOOKUP(HUAWEI製ＰＣＳ接続枚数計算ツール!$C$9, HUAWEI製ＰＣＳ接続枚数計算ツール!$B$119:$P$149,2,FALSE)*1000*HUAWEI製ＰＣＳ接続枚数計算ツール!$Y$113)</f>
        <v>0.15024960000000001</v>
      </c>
      <c r="T4" s="85">
        <f>HUAWEI製ＰＣＳ接続枚数計算ツール!$J$116*枚数!T4/(VLOOKUP(HUAWEI製ＰＣＳ接続枚数計算ツール!$C$9, HUAWEI製ＰＣＳ接続枚数計算ツール!$B$119:$P$149,2,FALSE)*1000*HUAWEI製ＰＣＳ接続枚数計算ツール!$Y$113)</f>
        <v>0.15859680000000001</v>
      </c>
      <c r="U4" s="85">
        <f>HUAWEI製ＰＣＳ接続枚数計算ツール!$J$116*枚数!U4/(VLOOKUP(HUAWEI製ＰＣＳ接続枚数計算ツール!$C$9, HUAWEI製ＰＣＳ接続枚数計算ツール!$B$119:$P$149,2,FALSE)*1000*HUAWEI製ＰＣＳ接続枚数計算ツール!$Y$113)</f>
        <v>0.16694400000000001</v>
      </c>
      <c r="V4" s="85">
        <f>HUAWEI製ＰＣＳ接続枚数計算ツール!$J$116*枚数!V4/(VLOOKUP(HUAWEI製ＰＣＳ接続枚数計算ツール!$C$9, HUAWEI製ＰＣＳ接続枚数計算ツール!$B$119:$P$149,2,FALSE)*1000*HUAWEI製ＰＣＳ接続枚数計算ツール!$Y$113)</f>
        <v>0.17529120000000001</v>
      </c>
      <c r="W4" s="85">
        <f>HUAWEI製ＰＣＳ接続枚数計算ツール!$J$116*枚数!W4/(VLOOKUP(HUAWEI製ＰＣＳ接続枚数計算ツール!$C$9, HUAWEI製ＰＣＳ接続枚数計算ツール!$B$119:$P$149,2,FALSE)*1000*HUAWEI製ＰＣＳ接続枚数計算ツール!$Y$113)</f>
        <v>0.18363840000000003</v>
      </c>
      <c r="X4" s="85">
        <f>HUAWEI製ＰＣＳ接続枚数計算ツール!$J$116*枚数!X4/(VLOOKUP(HUAWEI製ＰＣＳ接続枚数計算ツール!$C$9, HUAWEI製ＰＣＳ接続枚数計算ツール!$B$119:$P$149,2,FALSE)*1000*HUAWEI製ＰＣＳ接続枚数計算ツール!$Y$113)</f>
        <v>0.19198560000000001</v>
      </c>
      <c r="Y4" s="85">
        <f>HUAWEI製ＰＣＳ接続枚数計算ツール!$J$116*枚数!Y4/(VLOOKUP(HUAWEI製ＰＣＳ接続枚数計算ツール!$C$9, HUAWEI製ＰＣＳ接続枚数計算ツール!$B$119:$P$149,2,FALSE)*1000*HUAWEI製ＰＣＳ接続枚数計算ツール!$Y$113)</f>
        <v>0.20033280000000001</v>
      </c>
      <c r="Z4" s="85">
        <f>HUAWEI製ＰＣＳ接続枚数計算ツール!$J$116*枚数!Z4/(VLOOKUP(HUAWEI製ＰＣＳ接続枚数計算ツール!$C$9, HUAWEI製ＰＣＳ接続枚数計算ツール!$B$119:$P$149,2,FALSE)*1000*HUAWEI製ＰＣＳ接続枚数計算ツール!$Y$113)</f>
        <v>0.20868000000000003</v>
      </c>
      <c r="AA4" s="85">
        <f>HUAWEI製ＰＣＳ接続枚数計算ツール!$J$116*枚数!AA4/(VLOOKUP(HUAWEI製ＰＣＳ接続枚数計算ツール!$C$9, HUAWEI製ＰＣＳ接続枚数計算ツール!$B$119:$P$149,2,FALSE)*1000*HUAWEI製ＰＣＳ接続枚数計算ツール!$Y$113)</f>
        <v>0.2170272</v>
      </c>
      <c r="AB4" s="85">
        <f>HUAWEI製ＰＣＳ接続枚数計算ツール!$J$116*枚数!AB4/(VLOOKUP(HUAWEI製ＰＣＳ接続枚数計算ツール!$C$9, HUAWEI製ＰＣＳ接続枚数計算ツール!$B$119:$P$149,2,FALSE)*1000*HUAWEI製ＰＣＳ接続枚数計算ツール!$Y$113)</f>
        <v>0.22537440000000003</v>
      </c>
      <c r="AC4" s="85">
        <f>HUAWEI製ＰＣＳ接続枚数計算ツール!$J$116*枚数!AC4/(VLOOKUP(HUAWEI製ＰＣＳ接続枚数計算ツール!$C$9, HUAWEI製ＰＣＳ接続枚数計算ツール!$B$119:$P$149,2,FALSE)*1000*HUAWEI製ＰＣＳ接続枚数計算ツール!$Y$113)</f>
        <v>0.23372160000000003</v>
      </c>
      <c r="AD4" s="85">
        <f>HUAWEI製ＰＣＳ接続枚数計算ツール!$J$116*枚数!AD4/(VLOOKUP(HUAWEI製ＰＣＳ接続枚数計算ツール!$C$9, HUAWEI製ＰＣＳ接続枚数計算ツール!$B$119:$P$149,2,FALSE)*1000*HUAWEI製ＰＣＳ接続枚数計算ツール!$Y$113)</f>
        <v>0.24206880000000003</v>
      </c>
      <c r="AE4" s="85">
        <f>HUAWEI製ＰＣＳ接続枚数計算ツール!$J$116*枚数!AE4/(VLOOKUP(HUAWEI製ＰＣＳ接続枚数計算ツール!$C$9, HUAWEI製ＰＣＳ接続枚数計算ツール!$B$119:$P$149,2,FALSE)*1000*HUAWEI製ＰＣＳ接続枚数計算ツール!$Y$113)</f>
        <v>0.25041600000000003</v>
      </c>
      <c r="AF4" s="85">
        <f>HUAWEI製ＰＣＳ接続枚数計算ツール!$J$116*枚数!AF4/(VLOOKUP(HUAWEI製ＰＣＳ接続枚数計算ツール!$C$9, HUAWEI製ＰＣＳ接続枚数計算ツール!$B$119:$P$149,2,FALSE)*1000*HUAWEI製ＰＣＳ接続枚数計算ツール!$Y$113)</f>
        <v>0.25876320000000003</v>
      </c>
      <c r="AG4" s="85">
        <f>HUAWEI製ＰＣＳ接続枚数計算ツール!$J$116*枚数!AG4/(VLOOKUP(HUAWEI製ＰＣＳ接続枚数計算ツール!$C$9, HUAWEI製ＰＣＳ接続枚数計算ツール!$B$119:$P$149,2,FALSE)*1000*HUAWEI製ＰＣＳ接続枚数計算ツール!$Y$113)</f>
        <v>0.26711040000000003</v>
      </c>
      <c r="AH4" s="85">
        <f>HUAWEI製ＰＣＳ接続枚数計算ツール!$J$116*枚数!AH4/(VLOOKUP(HUAWEI製ＰＣＳ接続枚数計算ツール!$C$9, HUAWEI製ＰＣＳ接続枚数計算ツール!$B$119:$P$149,2,FALSE)*1000*HUAWEI製ＰＣＳ接続枚数計算ツール!$Y$113)</f>
        <v>0.27545760000000002</v>
      </c>
      <c r="AI4" s="85">
        <f>HUAWEI製ＰＣＳ接続枚数計算ツール!$J$116*枚数!AI4/(VLOOKUP(HUAWEI製ＰＣＳ接続枚数計算ツール!$C$9, HUAWEI製ＰＣＳ接続枚数計算ツール!$B$119:$P$149,2,FALSE)*1000*HUAWEI製ＰＣＳ接続枚数計算ツール!$Y$113)</f>
        <v>0.28380480000000002</v>
      </c>
      <c r="AJ4" s="85">
        <f>HUAWEI製ＰＣＳ接続枚数計算ツール!$J$116*枚数!AJ4/(VLOOKUP(HUAWEI製ＰＣＳ接続枚数計算ツール!$C$9, HUAWEI製ＰＣＳ接続枚数計算ツール!$B$119:$P$149,2,FALSE)*1000*HUAWEI製ＰＣＳ接続枚数計算ツール!$Y$113)</f>
        <v>0.29215200000000002</v>
      </c>
      <c r="AK4" s="85">
        <f>HUAWEI製ＰＣＳ接続枚数計算ツール!$J$116*枚数!AK4/(VLOOKUP(HUAWEI製ＰＣＳ接続枚数計算ツール!$C$9, HUAWEI製ＰＣＳ接続枚数計算ツール!$B$119:$P$149,2,FALSE)*1000*HUAWEI製ＰＣＳ接続枚数計算ツール!$Y$113)</f>
        <v>0.30049920000000002</v>
      </c>
      <c r="AL4" s="85">
        <f>HUAWEI製ＰＣＳ接続枚数計算ツール!$J$116*枚数!AL4/(VLOOKUP(HUAWEI製ＰＣＳ接続枚数計算ツール!$C$9, HUAWEI製ＰＣＳ接続枚数計算ツール!$B$119:$P$149,2,FALSE)*1000*HUAWEI製ＰＣＳ接続枚数計算ツール!$Y$113)</f>
        <v>0.30884640000000002</v>
      </c>
      <c r="AM4" s="85">
        <f>HUAWEI製ＰＣＳ接続枚数計算ツール!$J$116*枚数!AM4/(VLOOKUP(HUAWEI製ＰＣＳ接続枚数計算ツール!$C$9, HUAWEI製ＰＣＳ接続枚数計算ツール!$B$119:$P$149,2,FALSE)*1000*HUAWEI製ＰＣＳ接続枚数計算ツール!$Y$113)</f>
        <v>0.31719360000000002</v>
      </c>
      <c r="AN4" s="85">
        <f>HUAWEI製ＰＣＳ接続枚数計算ツール!$J$116*枚数!AN4/(VLOOKUP(HUAWEI製ＰＣＳ接続枚数計算ツール!$C$9, HUAWEI製ＰＣＳ接続枚数計算ツール!$B$119:$P$149,2,FALSE)*1000*HUAWEI製ＰＣＳ接続枚数計算ツール!$Y$113)</f>
        <v>0.32554080000000002</v>
      </c>
      <c r="AO4" s="85">
        <f>HUAWEI製ＰＣＳ接続枚数計算ツール!$J$116*枚数!AO4/(VLOOKUP(HUAWEI製ＰＣＳ接続枚数計算ツール!$C$9, HUAWEI製ＰＣＳ接続枚数計算ツール!$B$119:$P$149,2,FALSE)*1000*HUAWEI製ＰＣＳ接続枚数計算ツール!$Y$113)</f>
        <v>0.33388800000000002</v>
      </c>
    </row>
    <row r="5" spans="1:41">
      <c r="A5">
        <v>3</v>
      </c>
      <c r="B5" s="85">
        <f>HUAWEI製ＰＣＳ接続枚数計算ツール!$J$116*枚数!B5/(VLOOKUP(HUAWEI製ＰＣＳ接続枚数計算ツール!$C$9, HUAWEI製ＰＣＳ接続枚数計算ツール!$B$119:$P$149,2,FALSE)*1000*HUAWEI製ＰＣＳ接続枚数計算ツール!$Y$113)</f>
        <v>1.25208E-2</v>
      </c>
      <c r="C5" s="85">
        <f>HUAWEI製ＰＣＳ接続枚数計算ツール!$J$116*枚数!C5/(VLOOKUP(HUAWEI製ＰＣＳ接続枚数計算ツール!$C$9, HUAWEI製ＰＣＳ接続枚数計算ツール!$B$119:$P$149,2,FALSE)*1000*HUAWEI製ＰＣＳ接続枚数計算ツール!$Y$113)</f>
        <v>2.5041600000000001E-2</v>
      </c>
      <c r="D5" s="85">
        <f>HUAWEI製ＰＣＳ接続枚数計算ツール!$J$116*枚数!D5/(VLOOKUP(HUAWEI製ＰＣＳ接続枚数計算ツール!$C$9, HUAWEI製ＰＣＳ接続枚数計算ツール!$B$119:$P$149,2,FALSE)*1000*HUAWEI製ＰＣＳ接続枚数計算ツール!$Y$113)</f>
        <v>3.7562400000000003E-2</v>
      </c>
      <c r="E5" s="85">
        <f>HUAWEI製ＰＣＳ接続枚数計算ツール!$J$116*枚数!E5/(VLOOKUP(HUAWEI製ＰＣＳ接続枚数計算ツール!$C$9, HUAWEI製ＰＣＳ接続枚数計算ツール!$B$119:$P$149,2,FALSE)*1000*HUAWEI製ＰＣＳ接続枚数計算ツール!$Y$113)</f>
        <v>5.0083200000000001E-2</v>
      </c>
      <c r="F5" s="85">
        <f>HUAWEI製ＰＣＳ接続枚数計算ツール!$J$116*枚数!F5/(VLOOKUP(HUAWEI製ＰＣＳ接続枚数計算ツール!$C$9, HUAWEI製ＰＣＳ接続枚数計算ツール!$B$119:$P$149,2,FALSE)*1000*HUAWEI製ＰＣＳ接続枚数計算ツール!$Y$113)</f>
        <v>6.2604000000000007E-2</v>
      </c>
      <c r="G5" s="85">
        <f>HUAWEI製ＰＣＳ接続枚数計算ツール!$J$116*枚数!G5/(VLOOKUP(HUAWEI製ＰＣＳ接続枚数計算ツール!$C$9, HUAWEI製ＰＣＳ接続枚数計算ツール!$B$119:$P$149,2,FALSE)*1000*HUAWEI製ＰＣＳ接続枚数計算ツール!$Y$113)</f>
        <v>7.5124800000000005E-2</v>
      </c>
      <c r="H5" s="85">
        <f>HUAWEI製ＰＣＳ接続枚数計算ツール!$J$116*枚数!H5/(VLOOKUP(HUAWEI製ＰＣＳ接続枚数計算ツール!$C$9, HUAWEI製ＰＣＳ接続枚数計算ツール!$B$119:$P$149,2,FALSE)*1000*HUAWEI製ＰＣＳ接続枚数計算ツール!$Y$113)</f>
        <v>8.7645600000000004E-2</v>
      </c>
      <c r="I5" s="85">
        <f>HUAWEI製ＰＣＳ接続枚数計算ツール!$J$116*枚数!I5/(VLOOKUP(HUAWEI製ＰＣＳ接続枚数計算ツール!$C$9, HUAWEI製ＰＣＳ接続枚数計算ツール!$B$119:$P$149,2,FALSE)*1000*HUAWEI製ＰＣＳ接続枚数計算ツール!$Y$113)</f>
        <v>0.1001664</v>
      </c>
      <c r="J5" s="85">
        <f>HUAWEI製ＰＣＳ接続枚数計算ツール!$J$116*枚数!J5/(VLOOKUP(HUAWEI製ＰＣＳ接続枚数計算ツール!$C$9, HUAWEI製ＰＣＳ接続枚数計算ツール!$B$119:$P$149,2,FALSE)*1000*HUAWEI製ＰＣＳ接続枚数計算ツール!$Y$113)</f>
        <v>0.11268720000000002</v>
      </c>
      <c r="K5" s="85">
        <f>HUAWEI製ＰＣＳ接続枚数計算ツール!$J$116*枚数!K5/(VLOOKUP(HUAWEI製ＰＣＳ接続枚数計算ツール!$C$9, HUAWEI製ＰＣＳ接続枚数計算ツール!$B$119:$P$149,2,FALSE)*1000*HUAWEI製ＰＣＳ接続枚数計算ツール!$Y$113)</f>
        <v>0.12520800000000001</v>
      </c>
      <c r="L5" s="85">
        <f>HUAWEI製ＰＣＳ接続枚数計算ツール!$J$116*枚数!L5/(VLOOKUP(HUAWEI製ＰＣＳ接続枚数計算ツール!$C$9, HUAWEI製ＰＣＳ接続枚数計算ツール!$B$119:$P$149,2,FALSE)*1000*HUAWEI製ＰＣＳ接続枚数計算ツール!$Y$113)</f>
        <v>0.13772880000000001</v>
      </c>
      <c r="M5" s="85">
        <f>HUAWEI製ＰＣＳ接続枚数計算ツール!$J$116*枚数!M5/(VLOOKUP(HUAWEI製ＰＣＳ接続枚数計算ツール!$C$9, HUAWEI製ＰＣＳ接続枚数計算ツール!$B$119:$P$149,2,FALSE)*1000*HUAWEI製ＰＣＳ接続枚数計算ツール!$Y$113)</f>
        <v>0.15024960000000001</v>
      </c>
      <c r="N5" s="85">
        <f>HUAWEI製ＰＣＳ接続枚数計算ツール!$J$116*枚数!N5/(VLOOKUP(HUAWEI製ＰＣＳ接続枚数計算ツール!$C$9, HUAWEI製ＰＣＳ接続枚数計算ツール!$B$119:$P$149,2,FALSE)*1000*HUAWEI製ＰＣＳ接続枚数計算ツール!$Y$113)</f>
        <v>0.16277040000000001</v>
      </c>
      <c r="O5" s="85">
        <f>HUAWEI製ＰＣＳ接続枚数計算ツール!$J$116*枚数!O5/(VLOOKUP(HUAWEI製ＰＣＳ接続枚数計算ツール!$C$9, HUAWEI製ＰＣＳ接続枚数計算ツール!$B$119:$P$149,2,FALSE)*1000*HUAWEI製ＰＣＳ接続枚数計算ツール!$Y$113)</f>
        <v>0.17529120000000001</v>
      </c>
      <c r="P5" s="85">
        <f>HUAWEI製ＰＣＳ接続枚数計算ツール!$J$116*枚数!P5/(VLOOKUP(HUAWEI製ＰＣＳ接続枚数計算ツール!$C$9, HUAWEI製ＰＣＳ接続枚数計算ツール!$B$119:$P$149,2,FALSE)*1000*HUAWEI製ＰＣＳ接続枚数計算ツール!$Y$113)</f>
        <v>0.18781200000000003</v>
      </c>
      <c r="Q5" s="85">
        <f>HUAWEI製ＰＣＳ接続枚数計算ツール!$J$116*枚数!Q5/(VLOOKUP(HUAWEI製ＰＣＳ接続枚数計算ツール!$C$9, HUAWEI製ＰＣＳ接続枚数計算ツール!$B$119:$P$149,2,FALSE)*1000*HUAWEI製ＰＣＳ接続枚数計算ツール!$Y$113)</f>
        <v>0.20033280000000001</v>
      </c>
      <c r="R5" s="85">
        <f>HUAWEI製ＰＣＳ接続枚数計算ツール!$J$116*枚数!R5/(VLOOKUP(HUAWEI製ＰＣＳ接続枚数計算ツール!$C$9, HUAWEI製ＰＣＳ接続枚数計算ツール!$B$119:$P$149,2,FALSE)*1000*HUAWEI製ＰＣＳ接続枚数計算ツール!$Y$113)</f>
        <v>0.2128536</v>
      </c>
      <c r="S5" s="85">
        <f>HUAWEI製ＰＣＳ接続枚数計算ツール!$J$116*枚数!S5/(VLOOKUP(HUAWEI製ＰＣＳ接続枚数計算ツール!$C$9, HUAWEI製ＰＣＳ接続枚数計算ツール!$B$119:$P$149,2,FALSE)*1000*HUAWEI製ＰＣＳ接続枚数計算ツール!$Y$113)</f>
        <v>0.22537440000000003</v>
      </c>
      <c r="T5" s="85">
        <f>HUAWEI製ＰＣＳ接続枚数計算ツール!$J$116*枚数!T5/(VLOOKUP(HUAWEI製ＰＣＳ接続枚数計算ツール!$C$9, HUAWEI製ＰＣＳ接続枚数計算ツール!$B$119:$P$149,2,FALSE)*1000*HUAWEI製ＰＣＳ接続枚数計算ツール!$Y$113)</f>
        <v>0.2378952</v>
      </c>
      <c r="U5" s="85">
        <f>HUAWEI製ＰＣＳ接続枚数計算ツール!$J$116*枚数!U5/(VLOOKUP(HUAWEI製ＰＣＳ接続枚数計算ツール!$C$9, HUAWEI製ＰＣＳ接続枚数計算ツール!$B$119:$P$149,2,FALSE)*1000*HUAWEI製ＰＣＳ接続枚数計算ツール!$Y$113)</f>
        <v>0.25041600000000003</v>
      </c>
      <c r="V5" s="85">
        <f>HUAWEI製ＰＣＳ接続枚数計算ツール!$J$116*枚数!V5/(VLOOKUP(HUAWEI製ＰＣＳ接続枚数計算ツール!$C$9, HUAWEI製ＰＣＳ接続枚数計算ツール!$B$119:$P$149,2,FALSE)*1000*HUAWEI製ＰＣＳ接続枚数計算ツール!$Y$113)</f>
        <v>0.26293680000000003</v>
      </c>
      <c r="W5" s="85">
        <f>HUAWEI製ＰＣＳ接続枚数計算ツール!$J$116*枚数!W5/(VLOOKUP(HUAWEI製ＰＣＳ接続枚数計算ツール!$C$9, HUAWEI製ＰＣＳ接続枚数計算ツール!$B$119:$P$149,2,FALSE)*1000*HUAWEI製ＰＣＳ接続枚数計算ツール!$Y$113)</f>
        <v>0.27545760000000002</v>
      </c>
      <c r="X5" s="85">
        <f>HUAWEI製ＰＣＳ接続枚数計算ツール!$J$116*枚数!X5/(VLOOKUP(HUAWEI製ＰＣＳ接続枚数計算ツール!$C$9, HUAWEI製ＰＣＳ接続枚数計算ツール!$B$119:$P$149,2,FALSE)*1000*HUAWEI製ＰＣＳ接続枚数計算ツール!$Y$113)</f>
        <v>0.28797840000000002</v>
      </c>
      <c r="Y5" s="85">
        <f>HUAWEI製ＰＣＳ接続枚数計算ツール!$J$116*枚数!Y5/(VLOOKUP(HUAWEI製ＰＣＳ接続枚数計算ツール!$C$9, HUAWEI製ＰＣＳ接続枚数計算ツール!$B$119:$P$149,2,FALSE)*1000*HUAWEI製ＰＣＳ接続枚数計算ツール!$Y$113)</f>
        <v>0.30049920000000002</v>
      </c>
      <c r="Z5" s="85">
        <f>HUAWEI製ＰＣＳ接続枚数計算ツール!$J$116*枚数!Z5/(VLOOKUP(HUAWEI製ＰＣＳ接続枚数計算ツール!$C$9, HUAWEI製ＰＣＳ接続枚数計算ツール!$B$119:$P$149,2,FALSE)*1000*HUAWEI製ＰＣＳ接続枚数計算ツール!$Y$113)</f>
        <v>0.31302000000000002</v>
      </c>
      <c r="AA5" s="85">
        <f>HUAWEI製ＰＣＳ接続枚数計算ツール!$J$116*枚数!AA5/(VLOOKUP(HUAWEI製ＰＣＳ接続枚数計算ツール!$C$9, HUAWEI製ＰＣＳ接続枚数計算ツール!$B$119:$P$149,2,FALSE)*1000*HUAWEI製ＰＣＳ接続枚数計算ツール!$Y$113)</f>
        <v>0.32554080000000002</v>
      </c>
      <c r="AB5" s="85">
        <f>HUAWEI製ＰＣＳ接続枚数計算ツール!$J$116*枚数!AB5/(VLOOKUP(HUAWEI製ＰＣＳ接続枚数計算ツール!$C$9, HUAWEI製ＰＣＳ接続枚数計算ツール!$B$119:$P$149,2,FALSE)*1000*HUAWEI製ＰＣＳ接続枚数計算ツール!$Y$113)</f>
        <v>0.33806160000000002</v>
      </c>
      <c r="AC5" s="85">
        <f>HUAWEI製ＰＣＳ接続枚数計算ツール!$J$116*枚数!AC5/(VLOOKUP(HUAWEI製ＰＣＳ接続枚数計算ツール!$C$9, HUAWEI製ＰＣＳ接続枚数計算ツール!$B$119:$P$149,2,FALSE)*1000*HUAWEI製ＰＣＳ接続枚数計算ツール!$Y$113)</f>
        <v>0.35058240000000002</v>
      </c>
      <c r="AD5" s="85">
        <f>HUAWEI製ＰＣＳ接続枚数計算ツール!$J$116*枚数!AD5/(VLOOKUP(HUAWEI製ＰＣＳ接続枚数計算ツール!$C$9, HUAWEI製ＰＣＳ接続枚数計算ツール!$B$119:$P$149,2,FALSE)*1000*HUAWEI製ＰＣＳ接続枚数計算ツール!$Y$113)</f>
        <v>0.36310320000000001</v>
      </c>
      <c r="AE5" s="85">
        <f>HUAWEI製ＰＣＳ接続枚数計算ツール!$J$116*枚数!AE5/(VLOOKUP(HUAWEI製ＰＣＳ接続枚数計算ツール!$C$9, HUAWEI製ＰＣＳ接続枚数計算ツール!$B$119:$P$149,2,FALSE)*1000*HUAWEI製ＰＣＳ接続枚数計算ツール!$Y$113)</f>
        <v>0.37562400000000007</v>
      </c>
      <c r="AF5" s="85">
        <f>HUAWEI製ＰＣＳ接続枚数計算ツール!$J$116*枚数!AF5/(VLOOKUP(HUAWEI製ＰＣＳ接続枚数計算ツール!$C$9, HUAWEI製ＰＣＳ接続枚数計算ツール!$B$119:$P$149,2,FALSE)*1000*HUAWEI製ＰＣＳ接続枚数計算ツール!$Y$113)</f>
        <v>0.38814480000000007</v>
      </c>
      <c r="AG5" s="85">
        <f>HUAWEI製ＰＣＳ接続枚数計算ツール!$J$116*枚数!AG5/(VLOOKUP(HUAWEI製ＰＣＳ接続枚数計算ツール!$C$9, HUAWEI製ＰＣＳ接続枚数計算ツール!$B$119:$P$149,2,FALSE)*1000*HUAWEI製ＰＣＳ接続枚数計算ツール!$Y$113)</f>
        <v>0.40066560000000001</v>
      </c>
      <c r="AH5" s="85">
        <f>HUAWEI製ＰＣＳ接続枚数計算ツール!$J$116*枚数!AH5/(VLOOKUP(HUAWEI製ＰＣＳ接続枚数計算ツール!$C$9, HUAWEI製ＰＣＳ接続枚数計算ツール!$B$119:$P$149,2,FALSE)*1000*HUAWEI製ＰＣＳ接続枚数計算ツール!$Y$113)</f>
        <v>0.41318640000000001</v>
      </c>
      <c r="AI5" s="85">
        <f>HUAWEI製ＰＣＳ接続枚数計算ツール!$J$116*枚数!AI5/(VLOOKUP(HUAWEI製ＰＣＳ接続枚数計算ツール!$C$9, HUAWEI製ＰＣＳ接続枚数計算ツール!$B$119:$P$149,2,FALSE)*1000*HUAWEI製ＰＣＳ接続枚数計算ツール!$Y$113)</f>
        <v>0.42570720000000001</v>
      </c>
      <c r="AJ5" s="85">
        <f>HUAWEI製ＰＣＳ接続枚数計算ツール!$J$116*枚数!AJ5/(VLOOKUP(HUAWEI製ＰＣＳ接続枚数計算ツール!$C$9, HUAWEI製ＰＣＳ接続枚数計算ツール!$B$119:$P$149,2,FALSE)*1000*HUAWEI製ＰＣＳ接続枚数計算ツール!$Y$113)</f>
        <v>0.43822800000000006</v>
      </c>
      <c r="AK5" s="85">
        <f>HUAWEI製ＰＣＳ接続枚数計算ツール!$J$116*枚数!AK5/(VLOOKUP(HUAWEI製ＰＣＳ接続枚数計算ツール!$C$9, HUAWEI製ＰＣＳ接続枚数計算ツール!$B$119:$P$149,2,FALSE)*1000*HUAWEI製ＰＣＳ接続枚数計算ツール!$Y$113)</f>
        <v>0.45074880000000006</v>
      </c>
      <c r="AL5" s="85">
        <f>HUAWEI製ＰＣＳ接続枚数計算ツール!$J$116*枚数!AL5/(VLOOKUP(HUAWEI製ＰＣＳ接続枚数計算ツール!$C$9, HUAWEI製ＰＣＳ接続枚数計算ツール!$B$119:$P$149,2,FALSE)*1000*HUAWEI製ＰＣＳ接続枚数計算ツール!$Y$113)</f>
        <v>0.46326960000000006</v>
      </c>
      <c r="AM5" s="85">
        <f>HUAWEI製ＰＣＳ接続枚数計算ツール!$J$116*枚数!AM5/(VLOOKUP(HUAWEI製ＰＣＳ接続枚数計算ツール!$C$9, HUAWEI製ＰＣＳ接続枚数計算ツール!$B$119:$P$149,2,FALSE)*1000*HUAWEI製ＰＣＳ接続枚数計算ツール!$Y$113)</f>
        <v>0.4757904</v>
      </c>
      <c r="AN5" s="85">
        <f>HUAWEI製ＰＣＳ接続枚数計算ツール!$J$116*枚数!AN5/(VLOOKUP(HUAWEI製ＰＣＳ接続枚数計算ツール!$C$9, HUAWEI製ＰＣＳ接続枚数計算ツール!$B$119:$P$149,2,FALSE)*1000*HUAWEI製ＰＣＳ接続枚数計算ツール!$Y$113)</f>
        <v>0.48831120000000006</v>
      </c>
      <c r="AO5" s="85">
        <f>HUAWEI製ＰＣＳ接続枚数計算ツール!$J$116*枚数!AO5/(VLOOKUP(HUAWEI製ＰＣＳ接続枚数計算ツール!$C$9, HUAWEI製ＰＣＳ接続枚数計算ツール!$B$119:$P$149,2,FALSE)*1000*HUAWEI製ＰＣＳ接続枚数計算ツール!$Y$113)</f>
        <v>0.50083200000000005</v>
      </c>
    </row>
    <row r="6" spans="1:41">
      <c r="A6">
        <v>4</v>
      </c>
      <c r="B6" s="85">
        <f>HUAWEI製ＰＣＳ接続枚数計算ツール!$J$116*枚数!B6/(VLOOKUP(HUAWEI製ＰＣＳ接続枚数計算ツール!$C$9, HUAWEI製ＰＣＳ接続枚数計算ツール!$B$119:$P$149,2,FALSE)*1000*HUAWEI製ＰＣＳ接続枚数計算ツール!$Y$113)</f>
        <v>1.6694400000000002E-2</v>
      </c>
      <c r="C6" s="85">
        <f>HUAWEI製ＰＣＳ接続枚数計算ツール!$J$116*枚数!C6/(VLOOKUP(HUAWEI製ＰＣＳ接続枚数計算ツール!$C$9, HUAWEI製ＰＣＳ接続枚数計算ツール!$B$119:$P$149,2,FALSE)*1000*HUAWEI製ＰＣＳ接続枚数計算ツール!$Y$113)</f>
        <v>3.3388800000000003E-2</v>
      </c>
      <c r="D6" s="85">
        <f>HUAWEI製ＰＣＳ接続枚数計算ツール!$J$116*枚数!D6/(VLOOKUP(HUAWEI製ＰＣＳ接続枚数計算ツール!$C$9, HUAWEI製ＰＣＳ接続枚数計算ツール!$B$119:$P$149,2,FALSE)*1000*HUAWEI製ＰＣＳ接続枚数計算ツール!$Y$113)</f>
        <v>5.0083200000000001E-2</v>
      </c>
      <c r="E6" s="85">
        <f>HUAWEI製ＰＣＳ接続枚数計算ツール!$J$116*枚数!E6/(VLOOKUP(HUAWEI製ＰＣＳ接続枚数計算ツール!$C$9, HUAWEI製ＰＣＳ接続枚数計算ツール!$B$119:$P$149,2,FALSE)*1000*HUAWEI製ＰＣＳ接続枚数計算ツール!$Y$113)</f>
        <v>6.6777600000000006E-2</v>
      </c>
      <c r="F6" s="85">
        <f>HUAWEI製ＰＣＳ接続枚数計算ツール!$J$116*枚数!F6/(VLOOKUP(HUAWEI製ＰＣＳ接続枚数計算ツール!$C$9, HUAWEI製ＰＣＳ接続枚数計算ツール!$B$119:$P$149,2,FALSE)*1000*HUAWEI製ＰＣＳ接続枚数計算ツール!$Y$113)</f>
        <v>8.3472000000000005E-2</v>
      </c>
      <c r="G6" s="85">
        <f>HUAWEI製ＰＣＳ接続枚数計算ツール!$J$116*枚数!G6/(VLOOKUP(HUAWEI製ＰＣＳ接続枚数計算ツール!$C$9, HUAWEI製ＰＣＳ接続枚数計算ツール!$B$119:$P$149,2,FALSE)*1000*HUAWEI製ＰＣＳ接続枚数計算ツール!$Y$113)</f>
        <v>0.1001664</v>
      </c>
      <c r="H6" s="85">
        <f>HUAWEI製ＰＣＳ接続枚数計算ツール!$J$116*枚数!H6/(VLOOKUP(HUAWEI製ＰＣＳ接続枚数計算ツール!$C$9, HUAWEI製ＰＣＳ接続枚数計算ツール!$B$119:$P$149,2,FALSE)*1000*HUAWEI製ＰＣＳ接続枚数計算ツール!$Y$113)</f>
        <v>0.11686080000000001</v>
      </c>
      <c r="I6" s="85">
        <f>HUAWEI製ＰＣＳ接続枚数計算ツール!$J$116*枚数!I6/(VLOOKUP(HUAWEI製ＰＣＳ接続枚数計算ツール!$C$9, HUAWEI製ＰＣＳ接続枚数計算ツール!$B$119:$P$149,2,FALSE)*1000*HUAWEI製ＰＣＳ接続枚数計算ツール!$Y$113)</f>
        <v>0.13355520000000001</v>
      </c>
      <c r="J6" s="85">
        <f>HUAWEI製ＰＣＳ接続枚数計算ツール!$J$116*枚数!J6/(VLOOKUP(HUAWEI製ＰＣＳ接続枚数計算ツール!$C$9, HUAWEI製ＰＣＳ接続枚数計算ツール!$B$119:$P$149,2,FALSE)*1000*HUAWEI製ＰＣＳ接続枚数計算ツール!$Y$113)</f>
        <v>0.15024960000000001</v>
      </c>
      <c r="K6" s="85">
        <f>HUAWEI製ＰＣＳ接続枚数計算ツール!$J$116*枚数!K6/(VLOOKUP(HUAWEI製ＰＣＳ接続枚数計算ツール!$C$9, HUAWEI製ＰＣＳ接続枚数計算ツール!$B$119:$P$149,2,FALSE)*1000*HUAWEI製ＰＣＳ接続枚数計算ツール!$Y$113)</f>
        <v>0.16694400000000001</v>
      </c>
      <c r="L6" s="85">
        <f>HUAWEI製ＰＣＳ接続枚数計算ツール!$J$116*枚数!L6/(VLOOKUP(HUAWEI製ＰＣＳ接続枚数計算ツール!$C$9, HUAWEI製ＰＣＳ接続枚数計算ツール!$B$119:$P$149,2,FALSE)*1000*HUAWEI製ＰＣＳ接続枚数計算ツール!$Y$113)</f>
        <v>0.18363840000000003</v>
      </c>
      <c r="M6" s="85">
        <f>HUAWEI製ＰＣＳ接続枚数計算ツール!$J$116*枚数!M6/(VLOOKUP(HUAWEI製ＰＣＳ接続枚数計算ツール!$C$9, HUAWEI製ＰＣＳ接続枚数計算ツール!$B$119:$P$149,2,FALSE)*1000*HUAWEI製ＰＣＳ接続枚数計算ツール!$Y$113)</f>
        <v>0.20033280000000001</v>
      </c>
      <c r="N6" s="85">
        <f>HUAWEI製ＰＣＳ接続枚数計算ツール!$J$116*枚数!N6/(VLOOKUP(HUAWEI製ＰＣＳ接続枚数計算ツール!$C$9, HUAWEI製ＰＣＳ接続枚数計算ツール!$B$119:$P$149,2,FALSE)*1000*HUAWEI製ＰＣＳ接続枚数計算ツール!$Y$113)</f>
        <v>0.2170272</v>
      </c>
      <c r="O6" s="85">
        <f>HUAWEI製ＰＣＳ接続枚数計算ツール!$J$116*枚数!O6/(VLOOKUP(HUAWEI製ＰＣＳ接続枚数計算ツール!$C$9, HUAWEI製ＰＣＳ接続枚数計算ツール!$B$119:$P$149,2,FALSE)*1000*HUAWEI製ＰＣＳ接続枚数計算ツール!$Y$113)</f>
        <v>0.23372160000000003</v>
      </c>
      <c r="P6" s="85">
        <f>HUAWEI製ＰＣＳ接続枚数計算ツール!$J$116*枚数!P6/(VLOOKUP(HUAWEI製ＰＣＳ接続枚数計算ツール!$C$9, HUAWEI製ＰＣＳ接続枚数計算ツール!$B$119:$P$149,2,FALSE)*1000*HUAWEI製ＰＣＳ接続枚数計算ツール!$Y$113)</f>
        <v>0.25041600000000003</v>
      </c>
      <c r="Q6" s="85">
        <f>HUAWEI製ＰＣＳ接続枚数計算ツール!$J$116*枚数!Q6/(VLOOKUP(HUAWEI製ＰＣＳ接続枚数計算ツール!$C$9, HUAWEI製ＰＣＳ接続枚数計算ツール!$B$119:$P$149,2,FALSE)*1000*HUAWEI製ＰＣＳ接続枚数計算ツール!$Y$113)</f>
        <v>0.26711040000000003</v>
      </c>
      <c r="R6" s="85">
        <f>HUAWEI製ＰＣＳ接続枚数計算ツール!$J$116*枚数!R6/(VLOOKUP(HUAWEI製ＰＣＳ接続枚数計算ツール!$C$9, HUAWEI製ＰＣＳ接続枚数計算ツール!$B$119:$P$149,2,FALSE)*1000*HUAWEI製ＰＣＳ接続枚数計算ツール!$Y$113)</f>
        <v>0.28380480000000002</v>
      </c>
      <c r="S6" s="85">
        <f>HUAWEI製ＰＣＳ接続枚数計算ツール!$J$116*枚数!S6/(VLOOKUP(HUAWEI製ＰＣＳ接続枚数計算ツール!$C$9, HUAWEI製ＰＣＳ接続枚数計算ツール!$B$119:$P$149,2,FALSE)*1000*HUAWEI製ＰＣＳ接続枚数計算ツール!$Y$113)</f>
        <v>0.30049920000000002</v>
      </c>
      <c r="T6" s="85">
        <f>HUAWEI製ＰＣＳ接続枚数計算ツール!$J$116*枚数!T6/(VLOOKUP(HUAWEI製ＰＣＳ接続枚数計算ツール!$C$9, HUAWEI製ＰＣＳ接続枚数計算ツール!$B$119:$P$149,2,FALSE)*1000*HUAWEI製ＰＣＳ接続枚数計算ツール!$Y$113)</f>
        <v>0.31719360000000002</v>
      </c>
      <c r="U6" s="85">
        <f>HUAWEI製ＰＣＳ接続枚数計算ツール!$J$116*枚数!U6/(VLOOKUP(HUAWEI製ＰＣＳ接続枚数計算ツール!$C$9, HUAWEI製ＰＣＳ接続枚数計算ツール!$B$119:$P$149,2,FALSE)*1000*HUAWEI製ＰＣＳ接続枚数計算ツール!$Y$113)</f>
        <v>0.33388800000000002</v>
      </c>
      <c r="V6" s="85">
        <f>HUAWEI製ＰＣＳ接続枚数計算ツール!$J$116*枚数!V6/(VLOOKUP(HUAWEI製ＰＣＳ接続枚数計算ツール!$C$9, HUAWEI製ＰＣＳ接続枚数計算ツール!$B$119:$P$149,2,FALSE)*1000*HUAWEI製ＰＣＳ接続枚数計算ツール!$Y$113)</f>
        <v>0.35058240000000002</v>
      </c>
      <c r="W6" s="85">
        <f>HUAWEI製ＰＣＳ接続枚数計算ツール!$J$116*枚数!W6/(VLOOKUP(HUAWEI製ＰＣＳ接続枚数計算ツール!$C$9, HUAWEI製ＰＣＳ接続枚数計算ツール!$B$119:$P$149,2,FALSE)*1000*HUAWEI製ＰＣＳ接続枚数計算ツール!$Y$113)</f>
        <v>0.36727680000000007</v>
      </c>
      <c r="X6" s="85">
        <f>HUAWEI製ＰＣＳ接続枚数計算ツール!$J$116*枚数!X6/(VLOOKUP(HUAWEI製ＰＣＳ接続枚数計算ツール!$C$9, HUAWEI製ＰＣＳ接続枚数計算ツール!$B$119:$P$149,2,FALSE)*1000*HUAWEI製ＰＣＳ接続枚数計算ツール!$Y$113)</f>
        <v>0.38397120000000001</v>
      </c>
      <c r="Y6" s="85">
        <f>HUAWEI製ＰＣＳ接続枚数計算ツール!$J$116*枚数!Y6/(VLOOKUP(HUAWEI製ＰＣＳ接続枚数計算ツール!$C$9, HUAWEI製ＰＣＳ接続枚数計算ツール!$B$119:$P$149,2,FALSE)*1000*HUAWEI製ＰＣＳ接続枚数計算ツール!$Y$113)</f>
        <v>0.40066560000000001</v>
      </c>
      <c r="Z6" s="85">
        <f>HUAWEI製ＰＣＳ接続枚数計算ツール!$J$116*枚数!Z6/(VLOOKUP(HUAWEI製ＰＣＳ接続枚数計算ツール!$C$9, HUAWEI製ＰＣＳ接続枚数計算ツール!$B$119:$P$149,2,FALSE)*1000*HUAWEI製ＰＣＳ接続枚数計算ツール!$Y$113)</f>
        <v>0.41736000000000006</v>
      </c>
      <c r="AA6" s="85">
        <f>HUAWEI製ＰＣＳ接続枚数計算ツール!$J$116*枚数!AA6/(VLOOKUP(HUAWEI製ＰＣＳ接続枚数計算ツール!$C$9, HUAWEI製ＰＣＳ接続枚数計算ツール!$B$119:$P$149,2,FALSE)*1000*HUAWEI製ＰＣＳ接続枚数計算ツール!$Y$113)</f>
        <v>0.43405440000000001</v>
      </c>
      <c r="AB6" s="85">
        <f>HUAWEI製ＰＣＳ接続枚数計算ツール!$J$116*枚数!AB6/(VLOOKUP(HUAWEI製ＰＣＳ接続枚数計算ツール!$C$9, HUAWEI製ＰＣＳ接続枚数計算ツール!$B$119:$P$149,2,FALSE)*1000*HUAWEI製ＰＣＳ接続枚数計算ツール!$Y$113)</f>
        <v>0.45074880000000006</v>
      </c>
      <c r="AC6" s="85">
        <f>HUAWEI製ＰＣＳ接続枚数計算ツール!$J$116*枚数!AC6/(VLOOKUP(HUAWEI製ＰＣＳ接続枚数計算ツール!$C$9, HUAWEI製ＰＣＳ接続枚数計算ツール!$B$119:$P$149,2,FALSE)*1000*HUAWEI製ＰＣＳ接続枚数計算ツール!$Y$113)</f>
        <v>0.46744320000000006</v>
      </c>
      <c r="AD6" s="85">
        <f>HUAWEI製ＰＣＳ接続枚数計算ツール!$J$116*枚数!AD6/(VLOOKUP(HUAWEI製ＰＣＳ接続枚数計算ツール!$C$9, HUAWEI製ＰＣＳ接続枚数計算ツール!$B$119:$P$149,2,FALSE)*1000*HUAWEI製ＰＣＳ接続枚数計算ツール!$Y$113)</f>
        <v>0.48413760000000006</v>
      </c>
      <c r="AE6" s="85">
        <f>HUAWEI製ＰＣＳ接続枚数計算ツール!$J$116*枚数!AE6/(VLOOKUP(HUAWEI製ＰＣＳ接続枚数計算ツール!$C$9, HUAWEI製ＰＣＳ接続枚数計算ツール!$B$119:$P$149,2,FALSE)*1000*HUAWEI製ＰＣＳ接続枚数計算ツール!$Y$113)</f>
        <v>0.50083200000000005</v>
      </c>
      <c r="AF6" s="85">
        <f>HUAWEI製ＰＣＳ接続枚数計算ツール!$J$116*枚数!AF6/(VLOOKUP(HUAWEI製ＰＣＳ接続枚数計算ツール!$C$9, HUAWEI製ＰＣＳ接続枚数計算ツール!$B$119:$P$149,2,FALSE)*1000*HUAWEI製ＰＣＳ接続枚数計算ツール!$Y$113)</f>
        <v>0.51752640000000005</v>
      </c>
      <c r="AG6" s="85">
        <f>HUAWEI製ＰＣＳ接続枚数計算ツール!$J$116*枚数!AG6/(VLOOKUP(HUAWEI製ＰＣＳ接続枚数計算ツール!$C$9, HUAWEI製ＰＣＳ接続枚数計算ツール!$B$119:$P$149,2,FALSE)*1000*HUAWEI製ＰＣＳ接続枚数計算ツール!$Y$113)</f>
        <v>0.53422080000000005</v>
      </c>
      <c r="AH6" s="85">
        <f>HUAWEI製ＰＣＳ接続枚数計算ツール!$J$116*枚数!AH6/(VLOOKUP(HUAWEI製ＰＣＳ接続枚数計算ツール!$C$9, HUAWEI製ＰＣＳ接続枚数計算ツール!$B$119:$P$149,2,FALSE)*1000*HUAWEI製ＰＣＳ接続枚数計算ツール!$Y$113)</f>
        <v>0.55091520000000005</v>
      </c>
      <c r="AI6" s="85">
        <f>HUAWEI製ＰＣＳ接続枚数計算ツール!$J$116*枚数!AI6/(VLOOKUP(HUAWEI製ＰＣＳ接続枚数計算ツール!$C$9, HUAWEI製ＰＣＳ接続枚数計算ツール!$B$119:$P$149,2,FALSE)*1000*HUAWEI製ＰＣＳ接続枚数計算ツール!$Y$113)</f>
        <v>0.56760960000000005</v>
      </c>
      <c r="AJ6" s="85">
        <f>HUAWEI製ＰＣＳ接続枚数計算ツール!$J$116*枚数!AJ6/(VLOOKUP(HUAWEI製ＰＣＳ接続枚数計算ツール!$C$9, HUAWEI製ＰＣＳ接続枚数計算ツール!$B$119:$P$149,2,FALSE)*1000*HUAWEI製ＰＣＳ接続枚数計算ツール!$Y$113)</f>
        <v>0.58430400000000005</v>
      </c>
      <c r="AK6" s="85">
        <f>HUAWEI製ＰＣＳ接続枚数計算ツール!$J$116*枚数!AK6/(VLOOKUP(HUAWEI製ＰＣＳ接続枚数計算ツール!$C$9, HUAWEI製ＰＣＳ接続枚数計算ツール!$B$119:$P$149,2,FALSE)*1000*HUAWEI製ＰＣＳ接続枚数計算ツール!$Y$113)</f>
        <v>0.60099840000000004</v>
      </c>
      <c r="AL6" s="85">
        <f>HUAWEI製ＰＣＳ接続枚数計算ツール!$J$116*枚数!AL6/(VLOOKUP(HUAWEI製ＰＣＳ接続枚数計算ツール!$C$9, HUAWEI製ＰＣＳ接続枚数計算ツール!$B$119:$P$149,2,FALSE)*1000*HUAWEI製ＰＣＳ接続枚数計算ツール!$Y$113)</f>
        <v>0.61769280000000004</v>
      </c>
      <c r="AM6" s="85">
        <f>HUAWEI製ＰＣＳ接続枚数計算ツール!$J$116*枚数!AM6/(VLOOKUP(HUAWEI製ＰＣＳ接続枚数計算ツール!$C$9, HUAWEI製ＰＣＳ接続枚数計算ツール!$B$119:$P$149,2,FALSE)*1000*HUAWEI製ＰＣＳ接続枚数計算ツール!$Y$113)</f>
        <v>0.63438720000000004</v>
      </c>
      <c r="AN6" s="85">
        <f>HUAWEI製ＰＣＳ接続枚数計算ツール!$J$116*枚数!AN6/(VLOOKUP(HUAWEI製ＰＣＳ接続枚数計算ツール!$C$9, HUAWEI製ＰＣＳ接続枚数計算ツール!$B$119:$P$149,2,FALSE)*1000*HUAWEI製ＰＣＳ接続枚数計算ツール!$Y$113)</f>
        <v>0.65108160000000004</v>
      </c>
      <c r="AO6" s="85">
        <f>HUAWEI製ＰＣＳ接続枚数計算ツール!$J$116*枚数!AO6/(VLOOKUP(HUAWEI製ＰＣＳ接続枚数計算ツール!$C$9, HUAWEI製ＰＣＳ接続枚数計算ツール!$B$119:$P$149,2,FALSE)*1000*HUAWEI製ＰＣＳ接続枚数計算ツール!$Y$113)</f>
        <v>0.66777600000000004</v>
      </c>
    </row>
    <row r="7" spans="1:41">
      <c r="A7">
        <v>5</v>
      </c>
      <c r="B7" s="85">
        <f>HUAWEI製ＰＣＳ接続枚数計算ツール!$J$116*枚数!B7/(VLOOKUP(HUAWEI製ＰＣＳ接続枚数計算ツール!$C$9, HUAWEI製ＰＣＳ接続枚数計算ツール!$B$119:$P$149,2,FALSE)*1000*HUAWEI製ＰＣＳ接続枚数計算ツール!$Y$113)</f>
        <v>2.0868000000000001E-2</v>
      </c>
      <c r="C7" s="85">
        <f>HUAWEI製ＰＣＳ接続枚数計算ツール!$J$116*枚数!C7/(VLOOKUP(HUAWEI製ＰＣＳ接続枚数計算ツール!$C$9, HUAWEI製ＰＣＳ接続枚数計算ツール!$B$119:$P$149,2,FALSE)*1000*HUAWEI製ＰＣＳ接続枚数計算ツール!$Y$113)</f>
        <v>4.1736000000000002E-2</v>
      </c>
      <c r="D7" s="85">
        <f>HUAWEI製ＰＣＳ接続枚数計算ツール!$J$116*枚数!D7/(VLOOKUP(HUAWEI製ＰＣＳ接続枚数計算ツール!$C$9, HUAWEI製ＰＣＳ接続枚数計算ツール!$B$119:$P$149,2,FALSE)*1000*HUAWEI製ＰＣＳ接続枚数計算ツール!$Y$113)</f>
        <v>6.2604000000000007E-2</v>
      </c>
      <c r="E7" s="85">
        <f>HUAWEI製ＰＣＳ接続枚数計算ツール!$J$116*枚数!E7/(VLOOKUP(HUAWEI製ＰＣＳ接続枚数計算ツール!$C$9, HUAWEI製ＰＣＳ接続枚数計算ツール!$B$119:$P$149,2,FALSE)*1000*HUAWEI製ＰＣＳ接続枚数計算ツール!$Y$113)</f>
        <v>8.3472000000000005E-2</v>
      </c>
      <c r="F7" s="85">
        <f>HUAWEI製ＰＣＳ接続枚数計算ツール!$J$116*枚数!F7/(VLOOKUP(HUAWEI製ＰＣＳ接続枚数計算ツール!$C$9, HUAWEI製ＰＣＳ接続枚数計算ツール!$B$119:$P$149,2,FALSE)*1000*HUAWEI製ＰＣＳ接続枚数計算ツール!$Y$113)</f>
        <v>0.10434000000000002</v>
      </c>
      <c r="G7" s="85">
        <f>HUAWEI製ＰＣＳ接続枚数計算ツール!$J$116*枚数!G7/(VLOOKUP(HUAWEI製ＰＣＳ接続枚数計算ツール!$C$9, HUAWEI製ＰＣＳ接続枚数計算ツール!$B$119:$P$149,2,FALSE)*1000*HUAWEI製ＰＣＳ接続枚数計算ツール!$Y$113)</f>
        <v>0.12520800000000001</v>
      </c>
      <c r="H7" s="85">
        <f>HUAWEI製ＰＣＳ接続枚数計算ツール!$J$116*枚数!H7/(VLOOKUP(HUAWEI製ＰＣＳ接続枚数計算ツール!$C$9, HUAWEI製ＰＣＳ接続枚数計算ツール!$B$119:$P$149,2,FALSE)*1000*HUAWEI製ＰＣＳ接続枚数計算ツール!$Y$113)</f>
        <v>0.14607600000000001</v>
      </c>
      <c r="I7" s="85">
        <f>HUAWEI製ＰＣＳ接続枚数計算ツール!$J$116*枚数!I7/(VLOOKUP(HUAWEI製ＰＣＳ接続枚数計算ツール!$C$9, HUAWEI製ＰＣＳ接続枚数計算ツール!$B$119:$P$149,2,FALSE)*1000*HUAWEI製ＰＣＳ接続枚数計算ツール!$Y$113)</f>
        <v>0.16694400000000001</v>
      </c>
      <c r="J7" s="85">
        <f>HUAWEI製ＰＣＳ接続枚数計算ツール!$J$116*枚数!J7/(VLOOKUP(HUAWEI製ＰＣＳ接続枚数計算ツール!$C$9, HUAWEI製ＰＣＳ接続枚数計算ツール!$B$119:$P$149,2,FALSE)*1000*HUAWEI製ＰＣＳ接続枚数計算ツール!$Y$113)</f>
        <v>0.18781200000000003</v>
      </c>
      <c r="K7" s="85">
        <f>HUAWEI製ＰＣＳ接続枚数計算ツール!$J$116*枚数!K7/(VLOOKUP(HUAWEI製ＰＣＳ接続枚数計算ツール!$C$9, HUAWEI製ＰＣＳ接続枚数計算ツール!$B$119:$P$149,2,FALSE)*1000*HUAWEI製ＰＣＳ接続枚数計算ツール!$Y$113)</f>
        <v>0.20868000000000003</v>
      </c>
      <c r="L7" s="85">
        <f>HUAWEI製ＰＣＳ接続枚数計算ツール!$J$116*枚数!L7/(VLOOKUP(HUAWEI製ＰＣＳ接続枚数計算ツール!$C$9, HUAWEI製ＰＣＳ接続枚数計算ツール!$B$119:$P$149,2,FALSE)*1000*HUAWEI製ＰＣＳ接続枚数計算ツール!$Y$113)</f>
        <v>0.22954800000000003</v>
      </c>
      <c r="M7" s="85">
        <f>HUAWEI製ＰＣＳ接続枚数計算ツール!$J$116*枚数!M7/(VLOOKUP(HUAWEI製ＰＣＳ接続枚数計算ツール!$C$9, HUAWEI製ＰＣＳ接続枚数計算ツール!$B$119:$P$149,2,FALSE)*1000*HUAWEI製ＰＣＳ接続枚数計算ツール!$Y$113)</f>
        <v>0.25041600000000003</v>
      </c>
      <c r="N7" s="85">
        <f>HUAWEI製ＰＣＳ接続枚数計算ツール!$J$116*枚数!N7/(VLOOKUP(HUAWEI製ＰＣＳ接続枚数計算ツール!$C$9, HUAWEI製ＰＣＳ接続枚数計算ツール!$B$119:$P$149,2,FALSE)*1000*HUAWEI製ＰＣＳ接続枚数計算ツール!$Y$113)</f>
        <v>0.27128400000000003</v>
      </c>
      <c r="O7" s="85">
        <f>HUAWEI製ＰＣＳ接続枚数計算ツール!$J$116*枚数!O7/(VLOOKUP(HUAWEI製ＰＣＳ接続枚数計算ツール!$C$9, HUAWEI製ＰＣＳ接続枚数計算ツール!$B$119:$P$149,2,FALSE)*1000*HUAWEI製ＰＣＳ接続枚数計算ツール!$Y$113)</f>
        <v>0.29215200000000002</v>
      </c>
      <c r="P7" s="85">
        <f>HUAWEI製ＰＣＳ接続枚数計算ツール!$J$116*枚数!P7/(VLOOKUP(HUAWEI製ＰＣＳ接続枚数計算ツール!$C$9, HUAWEI製ＰＣＳ接続枚数計算ツール!$B$119:$P$149,2,FALSE)*1000*HUAWEI製ＰＣＳ接続枚数計算ツール!$Y$113)</f>
        <v>0.31302000000000002</v>
      </c>
      <c r="Q7" s="85">
        <f>HUAWEI製ＰＣＳ接続枚数計算ツール!$J$116*枚数!Q7/(VLOOKUP(HUAWEI製ＰＣＳ接続枚数計算ツール!$C$9, HUAWEI製ＰＣＳ接続枚数計算ツール!$B$119:$P$149,2,FALSE)*1000*HUAWEI製ＰＣＳ接続枚数計算ツール!$Y$113)</f>
        <v>0.33388800000000002</v>
      </c>
      <c r="R7" s="85">
        <f>HUAWEI製ＰＣＳ接続枚数計算ツール!$J$116*枚数!R7/(VLOOKUP(HUAWEI製ＰＣＳ接続枚数計算ツール!$C$9, HUAWEI製ＰＣＳ接続枚数計算ツール!$B$119:$P$149,2,FALSE)*1000*HUAWEI製ＰＣＳ接続枚数計算ツール!$Y$113)</f>
        <v>0.35475600000000007</v>
      </c>
      <c r="S7" s="85">
        <f>HUAWEI製ＰＣＳ接続枚数計算ツール!$J$116*枚数!S7/(VLOOKUP(HUAWEI製ＰＣＳ接続枚数計算ツール!$C$9, HUAWEI製ＰＣＳ接続枚数計算ツール!$B$119:$P$149,2,FALSE)*1000*HUAWEI製ＰＣＳ接続枚数計算ツール!$Y$113)</f>
        <v>0.37562400000000007</v>
      </c>
      <c r="T7" s="85">
        <f>HUAWEI製ＰＣＳ接続枚数計算ツール!$J$116*枚数!T7/(VLOOKUP(HUAWEI製ＰＣＳ接続枚数計算ツール!$C$9, HUAWEI製ＰＣＳ接続枚数計算ツール!$B$119:$P$149,2,FALSE)*1000*HUAWEI製ＰＣＳ接続枚数計算ツール!$Y$113)</f>
        <v>0.39649200000000007</v>
      </c>
      <c r="U7" s="85">
        <f>HUAWEI製ＰＣＳ接続枚数計算ツール!$J$116*枚数!U7/(VLOOKUP(HUAWEI製ＰＣＳ接続枚数計算ツール!$C$9, HUAWEI製ＰＣＳ接続枚数計算ツール!$B$119:$P$149,2,FALSE)*1000*HUAWEI製ＰＣＳ接続枚数計算ツール!$Y$113)</f>
        <v>0.41736000000000006</v>
      </c>
      <c r="V7" s="85">
        <f>HUAWEI製ＰＣＳ接続枚数計算ツール!$J$116*枚数!V7/(VLOOKUP(HUAWEI製ＰＣＳ接続枚数計算ツール!$C$9, HUAWEI製ＰＣＳ接続枚数計算ツール!$B$119:$P$149,2,FALSE)*1000*HUAWEI製ＰＣＳ接続枚数計算ツール!$Y$113)</f>
        <v>0.43822800000000006</v>
      </c>
      <c r="W7" s="85">
        <f>HUAWEI製ＰＣＳ接続枚数計算ツール!$J$116*枚数!W7/(VLOOKUP(HUAWEI製ＰＣＳ接続枚数計算ツール!$C$9, HUAWEI製ＰＣＳ接続枚数計算ツール!$B$119:$P$149,2,FALSE)*1000*HUAWEI製ＰＣＳ接続枚数計算ツール!$Y$113)</f>
        <v>0.45909600000000006</v>
      </c>
      <c r="X7" s="85">
        <f>HUAWEI製ＰＣＳ接続枚数計算ツール!$J$116*枚数!X7/(VLOOKUP(HUAWEI製ＰＣＳ接続枚数計算ツール!$C$9, HUAWEI製ＰＣＳ接続枚数計算ツール!$B$119:$P$149,2,FALSE)*1000*HUAWEI製ＰＣＳ接続枚数計算ツール!$Y$113)</f>
        <v>0.47996400000000006</v>
      </c>
      <c r="Y7" s="85">
        <f>HUAWEI製ＰＣＳ接続枚数計算ツール!$J$116*枚数!Y7/(VLOOKUP(HUAWEI製ＰＣＳ接続枚数計算ツール!$C$9, HUAWEI製ＰＣＳ接続枚数計算ツール!$B$119:$P$149,2,FALSE)*1000*HUAWEI製ＰＣＳ接続枚数計算ツール!$Y$113)</f>
        <v>0.50083200000000005</v>
      </c>
      <c r="Z7" s="85">
        <f>HUAWEI製ＰＣＳ接続枚数計算ツール!$J$116*枚数!Z7/(VLOOKUP(HUAWEI製ＰＣＳ接続枚数計算ツール!$C$9, HUAWEI製ＰＣＳ接続枚数計算ツール!$B$119:$P$149,2,FALSE)*1000*HUAWEI製ＰＣＳ接続枚数計算ツール!$Y$113)</f>
        <v>0.52170000000000005</v>
      </c>
      <c r="AA7" s="85">
        <f>HUAWEI製ＰＣＳ接続枚数計算ツール!$J$116*枚数!AA7/(VLOOKUP(HUAWEI製ＰＣＳ接続枚数計算ツール!$C$9, HUAWEI製ＰＣＳ接続枚数計算ツール!$B$119:$P$149,2,FALSE)*1000*HUAWEI製ＰＣＳ接続枚数計算ツール!$Y$113)</f>
        <v>0.54256800000000005</v>
      </c>
      <c r="AB7" s="85">
        <f>HUAWEI製ＰＣＳ接続枚数計算ツール!$J$116*枚数!AB7/(VLOOKUP(HUAWEI製ＰＣＳ接続枚数計算ツール!$C$9, HUAWEI製ＰＣＳ接続枚数計算ツール!$B$119:$P$149,2,FALSE)*1000*HUAWEI製ＰＣＳ接続枚数計算ツール!$Y$113)</f>
        <v>0.56343600000000005</v>
      </c>
      <c r="AC7" s="85">
        <f>HUAWEI製ＰＣＳ接続枚数計算ツール!$J$116*枚数!AC7/(VLOOKUP(HUAWEI製ＰＣＳ接続枚数計算ツール!$C$9, HUAWEI製ＰＣＳ接続枚数計算ツール!$B$119:$P$149,2,FALSE)*1000*HUAWEI製ＰＣＳ接続枚数計算ツール!$Y$113)</f>
        <v>0.58430400000000005</v>
      </c>
      <c r="AD7" s="85">
        <f>HUAWEI製ＰＣＳ接続枚数計算ツール!$J$116*枚数!AD7/(VLOOKUP(HUAWEI製ＰＣＳ接続枚数計算ツール!$C$9, HUAWEI製ＰＣＳ接続枚数計算ツール!$B$119:$P$149,2,FALSE)*1000*HUAWEI製ＰＣＳ接続枚数計算ツール!$Y$113)</f>
        <v>0.60517200000000004</v>
      </c>
      <c r="AE7" s="85">
        <f>HUAWEI製ＰＣＳ接続枚数計算ツール!$J$116*枚数!AE7/(VLOOKUP(HUAWEI製ＰＣＳ接続枚数計算ツール!$C$9, HUAWEI製ＰＣＳ接続枚数計算ツール!$B$119:$P$149,2,FALSE)*1000*HUAWEI製ＰＣＳ接続枚数計算ツール!$Y$113)</f>
        <v>0.62604000000000004</v>
      </c>
      <c r="AF7" s="85">
        <f>HUAWEI製ＰＣＳ接続枚数計算ツール!$J$116*枚数!AF7/(VLOOKUP(HUAWEI製ＰＣＳ接続枚数計算ツール!$C$9, HUAWEI製ＰＣＳ接続枚数計算ツール!$B$119:$P$149,2,FALSE)*1000*HUAWEI製ＰＣＳ接続枚数計算ツール!$Y$113)</f>
        <v>0.64690800000000004</v>
      </c>
      <c r="AG7" s="85">
        <f>HUAWEI製ＰＣＳ接続枚数計算ツール!$J$116*枚数!AG7/(VLOOKUP(HUAWEI製ＰＣＳ接続枚数計算ツール!$C$9, HUAWEI製ＰＣＳ接続枚数計算ツール!$B$119:$P$149,2,FALSE)*1000*HUAWEI製ＰＣＳ接続枚数計算ツール!$Y$113)</f>
        <v>0.66777600000000004</v>
      </c>
      <c r="AH7" s="85">
        <f>HUAWEI製ＰＣＳ接続枚数計算ツール!$J$116*枚数!AH7/(VLOOKUP(HUAWEI製ＰＣＳ接続枚数計算ツール!$C$9, HUAWEI製ＰＣＳ接続枚数計算ツール!$B$119:$P$149,2,FALSE)*1000*HUAWEI製ＰＣＳ接続枚数計算ツール!$Y$113)</f>
        <v>0.68864400000000014</v>
      </c>
      <c r="AI7" s="85">
        <f>HUAWEI製ＰＣＳ接続枚数計算ツール!$J$116*枚数!AI7/(VLOOKUP(HUAWEI製ＰＣＳ接続枚数計算ツール!$C$9, HUAWEI製ＰＣＳ接続枚数計算ツール!$B$119:$P$149,2,FALSE)*1000*HUAWEI製ＰＣＳ接続枚数計算ツール!$Y$113)</f>
        <v>0.70951200000000014</v>
      </c>
      <c r="AJ7" s="85">
        <f>HUAWEI製ＰＣＳ接続枚数計算ツール!$J$116*枚数!AJ7/(VLOOKUP(HUAWEI製ＰＣＳ接続枚数計算ツール!$C$9, HUAWEI製ＰＣＳ接続枚数計算ツール!$B$119:$P$149,2,FALSE)*1000*HUAWEI製ＰＣＳ接続枚数計算ツール!$Y$113)</f>
        <v>0.73038000000000014</v>
      </c>
      <c r="AK7" s="85">
        <f>HUAWEI製ＰＣＳ接続枚数計算ツール!$J$116*枚数!AK7/(VLOOKUP(HUAWEI製ＰＣＳ接続枚数計算ツール!$C$9, HUAWEI製ＰＣＳ接続枚数計算ツール!$B$119:$P$149,2,FALSE)*1000*HUAWEI製ＰＣＳ接続枚数計算ツール!$Y$113)</f>
        <v>0.75124800000000014</v>
      </c>
      <c r="AL7" s="85">
        <f>HUAWEI製ＰＣＳ接続枚数計算ツール!$J$116*枚数!AL7/(VLOOKUP(HUAWEI製ＰＣＳ接続枚数計算ツール!$C$9, HUAWEI製ＰＣＳ接続枚数計算ツール!$B$119:$P$149,2,FALSE)*1000*HUAWEI製ＰＣＳ接続枚数計算ツール!$Y$113)</f>
        <v>0.77211600000000014</v>
      </c>
      <c r="AM7" s="85">
        <f>HUAWEI製ＰＣＳ接続枚数計算ツール!$J$116*枚数!AM7/(VLOOKUP(HUAWEI製ＰＣＳ接続枚数計算ツール!$C$9, HUAWEI製ＰＣＳ接続枚数計算ツール!$B$119:$P$149,2,FALSE)*1000*HUAWEI製ＰＣＳ接続枚数計算ツール!$Y$113)</f>
        <v>0.79298400000000013</v>
      </c>
      <c r="AN7" s="85">
        <f>HUAWEI製ＰＣＳ接続枚数計算ツール!$J$116*枚数!AN7/(VLOOKUP(HUAWEI製ＰＣＳ接続枚数計算ツール!$C$9, HUAWEI製ＰＣＳ接続枚数計算ツール!$B$119:$P$149,2,FALSE)*1000*HUAWEI製ＰＣＳ接続枚数計算ツール!$Y$113)</f>
        <v>0.81385200000000013</v>
      </c>
      <c r="AO7" s="85">
        <f>HUAWEI製ＰＣＳ接続枚数計算ツール!$J$116*枚数!AO7/(VLOOKUP(HUAWEI製ＰＣＳ接続枚数計算ツール!$C$9, HUAWEI製ＰＣＳ接続枚数計算ツール!$B$119:$P$149,2,FALSE)*1000*HUAWEI製ＰＣＳ接続枚数計算ツール!$Y$113)</f>
        <v>0.83472000000000013</v>
      </c>
    </row>
    <row r="8" spans="1:41">
      <c r="A8">
        <v>6</v>
      </c>
      <c r="B8" s="85">
        <f>HUAWEI製ＰＣＳ接続枚数計算ツール!$J$116*枚数!B8/(VLOOKUP(HUAWEI製ＰＣＳ接続枚数計算ツール!$C$9, HUAWEI製ＰＣＳ接続枚数計算ツール!$B$119:$P$149,2,FALSE)*1000*HUAWEI製ＰＣＳ接続枚数計算ツール!$Y$113)</f>
        <v>2.5041600000000001E-2</v>
      </c>
      <c r="C8" s="85">
        <f>HUAWEI製ＰＣＳ接続枚数計算ツール!$J$116*枚数!C8/(VLOOKUP(HUAWEI製ＰＣＳ接続枚数計算ツール!$C$9, HUAWEI製ＰＣＳ接続枚数計算ツール!$B$119:$P$149,2,FALSE)*1000*HUAWEI製ＰＣＳ接続枚数計算ツール!$Y$113)</f>
        <v>5.0083200000000001E-2</v>
      </c>
      <c r="D8" s="85">
        <f>HUAWEI製ＰＣＳ接続枚数計算ツール!$J$116*枚数!D8/(VLOOKUP(HUAWEI製ＰＣＳ接続枚数計算ツール!$C$9, HUAWEI製ＰＣＳ接続枚数計算ツール!$B$119:$P$149,2,FALSE)*1000*HUAWEI製ＰＣＳ接続枚数計算ツール!$Y$113)</f>
        <v>7.5124800000000005E-2</v>
      </c>
      <c r="E8" s="85">
        <f>HUAWEI製ＰＣＳ接続枚数計算ツール!$J$116*枚数!E8/(VLOOKUP(HUAWEI製ＰＣＳ接続枚数計算ツール!$C$9, HUAWEI製ＰＣＳ接続枚数計算ツール!$B$119:$P$149,2,FALSE)*1000*HUAWEI製ＰＣＳ接続枚数計算ツール!$Y$113)</f>
        <v>0.1001664</v>
      </c>
      <c r="F8" s="85">
        <f>HUAWEI製ＰＣＳ接続枚数計算ツール!$J$116*枚数!F8/(VLOOKUP(HUAWEI製ＰＣＳ接続枚数計算ツール!$C$9, HUAWEI製ＰＣＳ接続枚数計算ツール!$B$119:$P$149,2,FALSE)*1000*HUAWEI製ＰＣＳ接続枚数計算ツール!$Y$113)</f>
        <v>0.12520800000000001</v>
      </c>
      <c r="G8" s="85">
        <f>HUAWEI製ＰＣＳ接続枚数計算ツール!$J$116*枚数!G8/(VLOOKUP(HUAWEI製ＰＣＳ接続枚数計算ツール!$C$9, HUAWEI製ＰＣＳ接続枚数計算ツール!$B$119:$P$149,2,FALSE)*1000*HUAWEI製ＰＣＳ接続枚数計算ツール!$Y$113)</f>
        <v>0.15024960000000001</v>
      </c>
      <c r="H8" s="85">
        <f>HUAWEI製ＰＣＳ接続枚数計算ツール!$J$116*枚数!H8/(VLOOKUP(HUAWEI製ＰＣＳ接続枚数計算ツール!$C$9, HUAWEI製ＰＣＳ接続枚数計算ツール!$B$119:$P$149,2,FALSE)*1000*HUAWEI製ＰＣＳ接続枚数計算ツール!$Y$113)</f>
        <v>0.17529120000000001</v>
      </c>
      <c r="I8" s="85">
        <f>HUAWEI製ＰＣＳ接続枚数計算ツール!$J$116*枚数!I8/(VLOOKUP(HUAWEI製ＰＣＳ接続枚数計算ツール!$C$9, HUAWEI製ＰＣＳ接続枚数計算ツール!$B$119:$P$149,2,FALSE)*1000*HUAWEI製ＰＣＳ接続枚数計算ツール!$Y$113)</f>
        <v>0.20033280000000001</v>
      </c>
      <c r="J8" s="85">
        <f>HUAWEI製ＰＣＳ接続枚数計算ツール!$J$116*枚数!J8/(VLOOKUP(HUAWEI製ＰＣＳ接続枚数計算ツール!$C$9, HUAWEI製ＰＣＳ接続枚数計算ツール!$B$119:$P$149,2,FALSE)*1000*HUAWEI製ＰＣＳ接続枚数計算ツール!$Y$113)</f>
        <v>0.22537440000000003</v>
      </c>
      <c r="K8" s="85">
        <f>HUAWEI製ＰＣＳ接続枚数計算ツール!$J$116*枚数!K8/(VLOOKUP(HUAWEI製ＰＣＳ接続枚数計算ツール!$C$9, HUAWEI製ＰＣＳ接続枚数計算ツール!$B$119:$P$149,2,FALSE)*1000*HUAWEI製ＰＣＳ接続枚数計算ツール!$Y$113)</f>
        <v>0.25041600000000003</v>
      </c>
      <c r="L8" s="85">
        <f>HUAWEI製ＰＣＳ接続枚数計算ツール!$J$116*枚数!L8/(VLOOKUP(HUAWEI製ＰＣＳ接続枚数計算ツール!$C$9, HUAWEI製ＰＣＳ接続枚数計算ツール!$B$119:$P$149,2,FALSE)*1000*HUAWEI製ＰＣＳ接続枚数計算ツール!$Y$113)</f>
        <v>0.27545760000000002</v>
      </c>
      <c r="M8" s="85">
        <f>HUAWEI製ＰＣＳ接続枚数計算ツール!$J$116*枚数!M8/(VLOOKUP(HUAWEI製ＰＣＳ接続枚数計算ツール!$C$9, HUAWEI製ＰＣＳ接続枚数計算ツール!$B$119:$P$149,2,FALSE)*1000*HUAWEI製ＰＣＳ接続枚数計算ツール!$Y$113)</f>
        <v>0.30049920000000002</v>
      </c>
      <c r="N8" s="85">
        <f>HUAWEI製ＰＣＳ接続枚数計算ツール!$J$116*枚数!N8/(VLOOKUP(HUAWEI製ＰＣＳ接続枚数計算ツール!$C$9, HUAWEI製ＰＣＳ接続枚数計算ツール!$B$119:$P$149,2,FALSE)*1000*HUAWEI製ＰＣＳ接続枚数計算ツール!$Y$113)</f>
        <v>0.32554080000000002</v>
      </c>
      <c r="O8" s="85">
        <f>HUAWEI製ＰＣＳ接続枚数計算ツール!$J$116*枚数!O8/(VLOOKUP(HUAWEI製ＰＣＳ接続枚数計算ツール!$C$9, HUAWEI製ＰＣＳ接続枚数計算ツール!$B$119:$P$149,2,FALSE)*1000*HUAWEI製ＰＣＳ接続枚数計算ツール!$Y$113)</f>
        <v>0.35058240000000002</v>
      </c>
      <c r="P8" s="85">
        <f>HUAWEI製ＰＣＳ接続枚数計算ツール!$J$116*枚数!P8/(VLOOKUP(HUAWEI製ＰＣＳ接続枚数計算ツール!$C$9, HUAWEI製ＰＣＳ接続枚数計算ツール!$B$119:$P$149,2,FALSE)*1000*HUAWEI製ＰＣＳ接続枚数計算ツール!$Y$113)</f>
        <v>0.37562400000000007</v>
      </c>
      <c r="Q8" s="85">
        <f>HUAWEI製ＰＣＳ接続枚数計算ツール!$J$116*枚数!Q8/(VLOOKUP(HUAWEI製ＰＣＳ接続枚数計算ツール!$C$9, HUAWEI製ＰＣＳ接続枚数計算ツール!$B$119:$P$149,2,FALSE)*1000*HUAWEI製ＰＣＳ接続枚数計算ツール!$Y$113)</f>
        <v>0.40066560000000001</v>
      </c>
      <c r="R8" s="85">
        <f>HUAWEI製ＰＣＳ接続枚数計算ツール!$J$116*枚数!R8/(VLOOKUP(HUAWEI製ＰＣＳ接続枚数計算ツール!$C$9, HUAWEI製ＰＣＳ接続枚数計算ツール!$B$119:$P$149,2,FALSE)*1000*HUAWEI製ＰＣＳ接続枚数計算ツール!$Y$113)</f>
        <v>0.42570720000000001</v>
      </c>
      <c r="S8" s="85">
        <f>HUAWEI製ＰＣＳ接続枚数計算ツール!$J$116*枚数!S8/(VLOOKUP(HUAWEI製ＰＣＳ接続枚数計算ツール!$C$9, HUAWEI製ＰＣＳ接続枚数計算ツール!$B$119:$P$149,2,FALSE)*1000*HUAWEI製ＰＣＳ接続枚数計算ツール!$Y$113)</f>
        <v>0.45074880000000006</v>
      </c>
      <c r="T8" s="85">
        <f>HUAWEI製ＰＣＳ接続枚数計算ツール!$J$116*枚数!T8/(VLOOKUP(HUAWEI製ＰＣＳ接続枚数計算ツール!$C$9, HUAWEI製ＰＣＳ接続枚数計算ツール!$B$119:$P$149,2,FALSE)*1000*HUAWEI製ＰＣＳ接続枚数計算ツール!$Y$113)</f>
        <v>0.4757904</v>
      </c>
      <c r="U8" s="85">
        <f>HUAWEI製ＰＣＳ接続枚数計算ツール!$J$116*枚数!U8/(VLOOKUP(HUAWEI製ＰＣＳ接続枚数計算ツール!$C$9, HUAWEI製ＰＣＳ接続枚数計算ツール!$B$119:$P$149,2,FALSE)*1000*HUAWEI製ＰＣＳ接続枚数計算ツール!$Y$113)</f>
        <v>0.50083200000000005</v>
      </c>
      <c r="V8" s="85">
        <f>HUAWEI製ＰＣＳ接続枚数計算ツール!$J$116*枚数!V8/(VLOOKUP(HUAWEI製ＰＣＳ接続枚数計算ツール!$C$9, HUAWEI製ＰＣＳ接続枚数計算ツール!$B$119:$P$149,2,FALSE)*1000*HUAWEI製ＰＣＳ接続枚数計算ツール!$Y$113)</f>
        <v>0.52587360000000005</v>
      </c>
      <c r="W8" s="85">
        <f>HUAWEI製ＰＣＳ接続枚数計算ツール!$J$116*枚数!W8/(VLOOKUP(HUAWEI製ＰＣＳ接続枚数計算ツール!$C$9, HUAWEI製ＰＣＳ接続枚数計算ツール!$B$119:$P$149,2,FALSE)*1000*HUAWEI製ＰＣＳ接続枚数計算ツール!$Y$113)</f>
        <v>0.55091520000000005</v>
      </c>
      <c r="X8" s="85">
        <f>HUAWEI製ＰＣＳ接続枚数計算ツール!$J$116*枚数!X8/(VLOOKUP(HUAWEI製ＰＣＳ接続枚数計算ツール!$C$9, HUAWEI製ＰＣＳ接続枚数計算ツール!$B$119:$P$149,2,FALSE)*1000*HUAWEI製ＰＣＳ接続枚数計算ツール!$Y$113)</f>
        <v>0.57595680000000005</v>
      </c>
      <c r="Y8" s="85">
        <f>HUAWEI製ＰＣＳ接続枚数計算ツール!$J$116*枚数!Y8/(VLOOKUP(HUAWEI製ＰＣＳ接続枚数計算ツール!$C$9, HUAWEI製ＰＣＳ接続枚数計算ツール!$B$119:$P$149,2,FALSE)*1000*HUAWEI製ＰＣＳ接続枚数計算ツール!$Y$113)</f>
        <v>0.60099840000000004</v>
      </c>
      <c r="Z8" s="85">
        <f>HUAWEI製ＰＣＳ接続枚数計算ツール!$J$116*枚数!Z8/(VLOOKUP(HUAWEI製ＰＣＳ接続枚数計算ツール!$C$9, HUAWEI製ＰＣＳ接続枚数計算ツール!$B$119:$P$149,2,FALSE)*1000*HUAWEI製ＰＣＳ接続枚数計算ツール!$Y$113)</f>
        <v>0.62604000000000004</v>
      </c>
      <c r="AA8" s="85">
        <f>HUAWEI製ＰＣＳ接続枚数計算ツール!$J$116*枚数!AA8/(VLOOKUP(HUAWEI製ＰＣＳ接続枚数計算ツール!$C$9, HUAWEI製ＰＣＳ接続枚数計算ツール!$B$119:$P$149,2,FALSE)*1000*HUAWEI製ＰＣＳ接続枚数計算ツール!$Y$113)</f>
        <v>0.65108160000000004</v>
      </c>
      <c r="AB8" s="85">
        <f>HUAWEI製ＰＣＳ接続枚数計算ツール!$J$116*枚数!AB8/(VLOOKUP(HUAWEI製ＰＣＳ接続枚数計算ツール!$C$9, HUAWEI製ＰＣＳ接続枚数計算ツール!$B$119:$P$149,2,FALSE)*1000*HUAWEI製ＰＣＳ接続枚数計算ツール!$Y$113)</f>
        <v>0.67612320000000004</v>
      </c>
      <c r="AC8" s="85">
        <f>HUAWEI製ＰＣＳ接続枚数計算ツール!$J$116*枚数!AC8/(VLOOKUP(HUAWEI製ＰＣＳ接続枚数計算ツール!$C$9, HUAWEI製ＰＣＳ接続枚数計算ツール!$B$119:$P$149,2,FALSE)*1000*HUAWEI製ＰＣＳ接続枚数計算ツール!$Y$113)</f>
        <v>0.70116480000000003</v>
      </c>
      <c r="AD8" s="85">
        <f>HUAWEI製ＰＣＳ接続枚数計算ツール!$J$116*枚数!AD8/(VLOOKUP(HUAWEI製ＰＣＳ接続枚数計算ツール!$C$9, HUAWEI製ＰＣＳ接続枚数計算ツール!$B$119:$P$149,2,FALSE)*1000*HUAWEI製ＰＣＳ接続枚数計算ツール!$Y$113)</f>
        <v>0.72620640000000003</v>
      </c>
      <c r="AE8" s="85">
        <f>HUAWEI製ＰＣＳ接続枚数計算ツール!$J$116*枚数!AE8/(VLOOKUP(HUAWEI製ＰＣＳ接続枚数計算ツール!$C$9, HUAWEI製ＰＣＳ接続枚数計算ツール!$B$119:$P$149,2,FALSE)*1000*HUAWEI製ＰＣＳ接続枚数計算ツール!$Y$113)</f>
        <v>0.75124800000000014</v>
      </c>
      <c r="AF8" s="85">
        <f>HUAWEI製ＰＣＳ接続枚数計算ツール!$J$116*枚数!AF8/(VLOOKUP(HUAWEI製ＰＣＳ接続枚数計算ツール!$C$9, HUAWEI製ＰＣＳ接続枚数計算ツール!$B$119:$P$149,2,FALSE)*1000*HUAWEI製ＰＣＳ接続枚数計算ツール!$Y$113)</f>
        <v>0.77628960000000014</v>
      </c>
      <c r="AG8" s="85">
        <f>HUAWEI製ＰＣＳ接続枚数計算ツール!$J$116*枚数!AG8/(VLOOKUP(HUAWEI製ＰＣＳ接続枚数計算ツール!$C$9, HUAWEI製ＰＣＳ接続枚数計算ツール!$B$119:$P$149,2,FALSE)*1000*HUAWEI製ＰＣＳ接続枚数計算ツール!$Y$113)</f>
        <v>0.80133120000000002</v>
      </c>
      <c r="AH8" s="85">
        <f>HUAWEI製ＰＣＳ接続枚数計算ツール!$J$116*枚数!AH8/(VLOOKUP(HUAWEI製ＰＣＳ接続枚数計算ツール!$C$9, HUAWEI製ＰＣＳ接続枚数計算ツール!$B$119:$P$149,2,FALSE)*1000*HUAWEI製ＰＣＳ接続枚数計算ツール!$Y$113)</f>
        <v>0.82637280000000002</v>
      </c>
      <c r="AI8" s="85">
        <f>HUAWEI製ＰＣＳ接続枚数計算ツール!$J$116*枚数!AI8/(VLOOKUP(HUAWEI製ＰＣＳ接続枚数計算ツール!$C$9, HUAWEI製ＰＣＳ接続枚数計算ツール!$B$119:$P$149,2,FALSE)*1000*HUAWEI製ＰＣＳ接続枚数計算ツール!$Y$113)</f>
        <v>0.85141440000000002</v>
      </c>
      <c r="AJ8" s="85">
        <f>HUAWEI製ＰＣＳ接続枚数計算ツール!$J$116*枚数!AJ8/(VLOOKUP(HUAWEI製ＰＣＳ接続枚数計算ツール!$C$9, HUAWEI製ＰＣＳ接続枚数計算ツール!$B$119:$P$149,2,FALSE)*1000*HUAWEI製ＰＣＳ接続枚数計算ツール!$Y$113)</f>
        <v>0.87645600000000012</v>
      </c>
      <c r="AK8" s="85">
        <f>HUAWEI製ＰＣＳ接続枚数計算ツール!$J$116*枚数!AK8/(VLOOKUP(HUAWEI製ＰＣＳ接続枚数計算ツール!$C$9, HUAWEI製ＰＣＳ接続枚数計算ツール!$B$119:$P$149,2,FALSE)*1000*HUAWEI製ＰＣＳ接続枚数計算ツール!$Y$113)</f>
        <v>0.90149760000000012</v>
      </c>
      <c r="AL8" s="85">
        <f>HUAWEI製ＰＣＳ接続枚数計算ツール!$J$116*枚数!AL8/(VLOOKUP(HUAWEI製ＰＣＳ接続枚数計算ツール!$C$9, HUAWEI製ＰＣＳ接続枚数計算ツール!$B$119:$P$149,2,FALSE)*1000*HUAWEI製ＰＣＳ接続枚数計算ツール!$Y$113)</f>
        <v>0.92653920000000012</v>
      </c>
      <c r="AM8" s="85">
        <f>HUAWEI製ＰＣＳ接続枚数計算ツール!$J$116*枚数!AM8/(VLOOKUP(HUAWEI製ＰＣＳ接続枚数計算ツール!$C$9, HUAWEI製ＰＣＳ接続枚数計算ツール!$B$119:$P$149,2,FALSE)*1000*HUAWEI製ＰＣＳ接続枚数計算ツール!$Y$113)</f>
        <v>0.9515808</v>
      </c>
      <c r="AN8" s="85">
        <f>HUAWEI製ＰＣＳ接続枚数計算ツール!$J$116*枚数!AN8/(VLOOKUP(HUAWEI製ＰＣＳ接続枚数計算ツール!$C$9, HUAWEI製ＰＣＳ接続枚数計算ツール!$B$119:$P$149,2,FALSE)*1000*HUAWEI製ＰＣＳ接続枚数計算ツール!$Y$113)</f>
        <v>0.97662240000000011</v>
      </c>
      <c r="AO8" s="85">
        <f>HUAWEI製ＰＣＳ接続枚数計算ツール!$J$116*枚数!AO8/(VLOOKUP(HUAWEI製ＰＣＳ接続枚数計算ツール!$C$9, HUAWEI製ＰＣＳ接続枚数計算ツール!$B$119:$P$149,2,FALSE)*1000*HUAWEI製ＰＣＳ接続枚数計算ツール!$Y$113)</f>
        <v>1.0016640000000001</v>
      </c>
    </row>
    <row r="9" spans="1:41">
      <c r="A9">
        <v>7</v>
      </c>
      <c r="B9" s="85">
        <f>HUAWEI製ＰＣＳ接続枚数計算ツール!$J$116*枚数!B9/(VLOOKUP(HUAWEI製ＰＣＳ接続枚数計算ツール!$C$9, HUAWEI製ＰＣＳ接続枚数計算ツール!$B$119:$P$149,2,FALSE)*1000*HUAWEI製ＰＣＳ接続枚数計算ツール!$Y$113)</f>
        <v>2.9215200000000004E-2</v>
      </c>
      <c r="C9" s="85">
        <f>HUAWEI製ＰＣＳ接続枚数計算ツール!$J$116*枚数!C9/(VLOOKUP(HUAWEI製ＰＣＳ接続枚数計算ツール!$C$9, HUAWEI製ＰＣＳ接続枚数計算ツール!$B$119:$P$149,2,FALSE)*1000*HUAWEI製ＰＣＳ接続枚数計算ツール!$Y$113)</f>
        <v>5.8430400000000007E-2</v>
      </c>
      <c r="D9" s="85">
        <f>HUAWEI製ＰＣＳ接続枚数計算ツール!$J$116*枚数!D9/(VLOOKUP(HUAWEI製ＰＣＳ接続枚数計算ツール!$C$9, HUAWEI製ＰＣＳ接続枚数計算ツール!$B$119:$P$149,2,FALSE)*1000*HUAWEI製ＰＣＳ接続枚数計算ツール!$Y$113)</f>
        <v>8.7645600000000004E-2</v>
      </c>
      <c r="E9" s="85">
        <f>HUAWEI製ＰＣＳ接続枚数計算ツール!$J$116*枚数!E9/(VLOOKUP(HUAWEI製ＰＣＳ接続枚数計算ツール!$C$9, HUAWEI製ＰＣＳ接続枚数計算ツール!$B$119:$P$149,2,FALSE)*1000*HUAWEI製ＰＣＳ接続枚数計算ツール!$Y$113)</f>
        <v>0.11686080000000001</v>
      </c>
      <c r="F9" s="85">
        <f>HUAWEI製ＰＣＳ接続枚数計算ツール!$J$116*枚数!F9/(VLOOKUP(HUAWEI製ＰＣＳ接続枚数計算ツール!$C$9, HUAWEI製ＰＣＳ接続枚数計算ツール!$B$119:$P$149,2,FALSE)*1000*HUAWEI製ＰＣＳ接続枚数計算ツール!$Y$113)</f>
        <v>0.14607600000000001</v>
      </c>
      <c r="G9" s="85">
        <f>HUAWEI製ＰＣＳ接続枚数計算ツール!$J$116*枚数!G9/(VLOOKUP(HUAWEI製ＰＣＳ接続枚数計算ツール!$C$9, HUAWEI製ＰＣＳ接続枚数計算ツール!$B$119:$P$149,2,FALSE)*1000*HUAWEI製ＰＣＳ接続枚数計算ツール!$Y$113)</f>
        <v>0.17529120000000001</v>
      </c>
      <c r="H9" s="85">
        <f>HUAWEI製ＰＣＳ接続枚数計算ツール!$J$116*枚数!H9/(VLOOKUP(HUAWEI製ＰＣＳ接続枚数計算ツール!$C$9, HUAWEI製ＰＣＳ接続枚数計算ツール!$B$119:$P$149,2,FALSE)*1000*HUAWEI製ＰＣＳ接続枚数計算ツール!$Y$113)</f>
        <v>0.20450640000000003</v>
      </c>
      <c r="I9" s="85">
        <f>HUAWEI製ＰＣＳ接続枚数計算ツール!$J$116*枚数!I9/(VLOOKUP(HUAWEI製ＰＣＳ接続枚数計算ツール!$C$9, HUAWEI製ＰＣＳ接続枚数計算ツール!$B$119:$P$149,2,FALSE)*1000*HUAWEI製ＰＣＳ接続枚数計算ツール!$Y$113)</f>
        <v>0.23372160000000003</v>
      </c>
      <c r="J9" s="85">
        <f>HUAWEI製ＰＣＳ接続枚数計算ツール!$J$116*枚数!J9/(VLOOKUP(HUAWEI製ＰＣＳ接続枚数計算ツール!$C$9, HUAWEI製ＰＣＳ接続枚数計算ツール!$B$119:$P$149,2,FALSE)*1000*HUAWEI製ＰＣＳ接続枚数計算ツール!$Y$113)</f>
        <v>0.26293680000000003</v>
      </c>
      <c r="K9" s="85">
        <f>HUAWEI製ＰＣＳ接続枚数計算ツール!$J$116*枚数!K9/(VLOOKUP(HUAWEI製ＰＣＳ接続枚数計算ツール!$C$9, HUAWEI製ＰＣＳ接続枚数計算ツール!$B$119:$P$149,2,FALSE)*1000*HUAWEI製ＰＣＳ接続枚数計算ツール!$Y$113)</f>
        <v>0.29215200000000002</v>
      </c>
      <c r="L9" s="85">
        <f>HUAWEI製ＰＣＳ接続枚数計算ツール!$J$116*枚数!L9/(VLOOKUP(HUAWEI製ＰＣＳ接続枚数計算ツール!$C$9, HUAWEI製ＰＣＳ接続枚数計算ツール!$B$119:$P$149,2,FALSE)*1000*HUAWEI製ＰＣＳ接続枚数計算ツール!$Y$113)</f>
        <v>0.32136720000000002</v>
      </c>
      <c r="M9" s="85">
        <f>HUAWEI製ＰＣＳ接続枚数計算ツール!$J$116*枚数!M9/(VLOOKUP(HUAWEI製ＰＣＳ接続枚数計算ツール!$C$9, HUAWEI製ＰＣＳ接続枚数計算ツール!$B$119:$P$149,2,FALSE)*1000*HUAWEI製ＰＣＳ接続枚数計算ツール!$Y$113)</f>
        <v>0.35058240000000002</v>
      </c>
      <c r="N9" s="85">
        <f>HUAWEI製ＰＣＳ接続枚数計算ツール!$J$116*枚数!N9/(VLOOKUP(HUAWEI製ＰＣＳ接続枚数計算ツール!$C$9, HUAWEI製ＰＣＳ接続枚数計算ツール!$B$119:$P$149,2,FALSE)*1000*HUAWEI製ＰＣＳ接続枚数計算ツール!$Y$113)</f>
        <v>0.37979760000000001</v>
      </c>
      <c r="O9" s="85">
        <f>HUAWEI製ＰＣＳ接続枚数計算ツール!$J$116*枚数!O9/(VLOOKUP(HUAWEI製ＰＣＳ接続枚数計算ツール!$C$9, HUAWEI製ＰＣＳ接続枚数計算ツール!$B$119:$P$149,2,FALSE)*1000*HUAWEI製ＰＣＳ接続枚数計算ツール!$Y$113)</f>
        <v>0.40901280000000007</v>
      </c>
      <c r="P9" s="85">
        <f>HUAWEI製ＰＣＳ接続枚数計算ツール!$J$116*枚数!P9/(VLOOKUP(HUAWEI製ＰＣＳ接続枚数計算ツール!$C$9, HUAWEI製ＰＣＳ接続枚数計算ツール!$B$119:$P$149,2,FALSE)*1000*HUAWEI製ＰＣＳ接続枚数計算ツール!$Y$113)</f>
        <v>0.43822800000000006</v>
      </c>
      <c r="Q9" s="85">
        <f>HUAWEI製ＰＣＳ接続枚数計算ツール!$J$116*枚数!Q9/(VLOOKUP(HUAWEI製ＰＣＳ接続枚数計算ツール!$C$9, HUAWEI製ＰＣＳ接続枚数計算ツール!$B$119:$P$149,2,FALSE)*1000*HUAWEI製ＰＣＳ接続枚数計算ツール!$Y$113)</f>
        <v>0.46744320000000006</v>
      </c>
      <c r="R9" s="85">
        <f>HUAWEI製ＰＣＳ接続枚数計算ツール!$J$116*枚数!R9/(VLOOKUP(HUAWEI製ＰＣＳ接続枚数計算ツール!$C$9, HUAWEI製ＰＣＳ接続枚数計算ツール!$B$119:$P$149,2,FALSE)*1000*HUAWEI製ＰＣＳ接続枚数計算ツール!$Y$113)</f>
        <v>0.4966584</v>
      </c>
      <c r="S9" s="85">
        <f>HUAWEI製ＰＣＳ接続枚数計算ツール!$J$116*枚数!S9/(VLOOKUP(HUAWEI製ＰＣＳ接続枚数計算ツール!$C$9, HUAWEI製ＰＣＳ接続枚数計算ツール!$B$119:$P$149,2,FALSE)*1000*HUAWEI製ＰＣＳ接続枚数計算ツール!$Y$113)</f>
        <v>0.52587360000000005</v>
      </c>
      <c r="T9" s="85">
        <f>HUAWEI製ＰＣＳ接続枚数計算ツール!$J$116*枚数!T9/(VLOOKUP(HUAWEI製ＰＣＳ接続枚数計算ツール!$C$9, HUAWEI製ＰＣＳ接続枚数計算ツール!$B$119:$P$149,2,FALSE)*1000*HUAWEI製ＰＣＳ接続枚数計算ツール!$Y$113)</f>
        <v>0.55508880000000005</v>
      </c>
      <c r="U9" s="85">
        <f>HUAWEI製ＰＣＳ接続枚数計算ツール!$J$116*枚数!U9/(VLOOKUP(HUAWEI製ＰＣＳ接続枚数計算ツール!$C$9, HUAWEI製ＰＣＳ接続枚数計算ツール!$B$119:$P$149,2,FALSE)*1000*HUAWEI製ＰＣＳ接続枚数計算ツール!$Y$113)</f>
        <v>0.58430400000000005</v>
      </c>
      <c r="V9" s="85">
        <f>HUAWEI製ＰＣＳ接続枚数計算ツール!$J$116*枚数!V9/(VLOOKUP(HUAWEI製ＰＣＳ接続枚数計算ツール!$C$9, HUAWEI製ＰＣＳ接続枚数計算ツール!$B$119:$P$149,2,FALSE)*1000*HUAWEI製ＰＣＳ接続枚数計算ツール!$Y$113)</f>
        <v>0.61351920000000004</v>
      </c>
      <c r="W9" s="85">
        <f>HUAWEI製ＰＣＳ接続枚数計算ツール!$J$116*枚数!W9/(VLOOKUP(HUAWEI製ＰＣＳ接続枚数計算ツール!$C$9, HUAWEI製ＰＣＳ接続枚数計算ツール!$B$119:$P$149,2,FALSE)*1000*HUAWEI製ＰＣＳ接続枚数計算ツール!$Y$113)</f>
        <v>0.64273440000000004</v>
      </c>
      <c r="X9" s="85">
        <f>HUAWEI製ＰＣＳ接続枚数計算ツール!$J$116*枚数!X9/(VLOOKUP(HUAWEI製ＰＣＳ接続枚数計算ツール!$C$9, HUAWEI製ＰＣＳ接続枚数計算ツール!$B$119:$P$149,2,FALSE)*1000*HUAWEI製ＰＣＳ接続枚数計算ツール!$Y$113)</f>
        <v>0.67194960000000015</v>
      </c>
      <c r="Y9" s="85">
        <f>HUAWEI製ＰＣＳ接続枚数計算ツール!$J$116*枚数!Y9/(VLOOKUP(HUAWEI製ＰＣＳ接続枚数計算ツール!$C$9, HUAWEI製ＰＣＳ接続枚数計算ツール!$B$119:$P$149,2,FALSE)*1000*HUAWEI製ＰＣＳ接続枚数計算ツール!$Y$113)</f>
        <v>0.70116480000000003</v>
      </c>
      <c r="Z9" s="85">
        <f>HUAWEI製ＰＣＳ接続枚数計算ツール!$J$116*枚数!Z9/(VLOOKUP(HUAWEI製ＰＣＳ接続枚数計算ツール!$C$9, HUAWEI製ＰＣＳ接続枚数計算ツール!$B$119:$P$149,2,FALSE)*1000*HUAWEI製ＰＣＳ接続枚数計算ツール!$Y$113)</f>
        <v>0.73038000000000014</v>
      </c>
      <c r="AA9" s="85">
        <f>HUAWEI製ＰＣＳ接続枚数計算ツール!$J$116*枚数!AA9/(VLOOKUP(HUAWEI製ＰＣＳ接続枚数計算ツール!$C$9, HUAWEI製ＰＣＳ接続枚数計算ツール!$B$119:$P$149,2,FALSE)*1000*HUAWEI製ＰＣＳ接続枚数計算ツール!$Y$113)</f>
        <v>0.75959520000000003</v>
      </c>
      <c r="AB9" s="85">
        <f>HUAWEI製ＰＣＳ接続枚数計算ツール!$J$116*枚数!AB9/(VLOOKUP(HUAWEI製ＰＣＳ接続枚数計算ツール!$C$9, HUAWEI製ＰＣＳ接続枚数計算ツール!$B$119:$P$149,2,FALSE)*1000*HUAWEI製ＰＣＳ接続枚数計算ツール!$Y$113)</f>
        <v>0.78881040000000002</v>
      </c>
      <c r="AC9" s="85">
        <f>HUAWEI製ＰＣＳ接続枚数計算ツール!$J$116*枚数!AC9/(VLOOKUP(HUAWEI製ＰＣＳ接続枚数計算ツール!$C$9, HUAWEI製ＰＣＳ接続枚数計算ツール!$B$119:$P$149,2,FALSE)*1000*HUAWEI製ＰＣＳ接続枚数計算ツール!$Y$113)</f>
        <v>0.81802560000000013</v>
      </c>
      <c r="AD9" s="85">
        <f>HUAWEI製ＰＣＳ接続枚数計算ツール!$J$116*枚数!AD9/(VLOOKUP(HUAWEI製ＰＣＳ接続枚数計算ツール!$C$9, HUAWEI製ＰＣＳ接続枚数計算ツール!$B$119:$P$149,2,FALSE)*1000*HUAWEI製ＰＣＳ接続枚数計算ツール!$Y$113)</f>
        <v>0.84724080000000002</v>
      </c>
      <c r="AE9" s="85">
        <f>HUAWEI製ＰＣＳ接続枚数計算ツール!$J$116*枚数!AE9/(VLOOKUP(HUAWEI製ＰＣＳ接続枚数計算ツール!$C$9, HUAWEI製ＰＣＳ接続枚数計算ツール!$B$119:$P$149,2,FALSE)*1000*HUAWEI製ＰＣＳ接続枚数計算ツール!$Y$113)</f>
        <v>0.87645600000000012</v>
      </c>
      <c r="AF9" s="85">
        <f>HUAWEI製ＰＣＳ接続枚数計算ツール!$J$116*枚数!AF9/(VLOOKUP(HUAWEI製ＰＣＳ接続枚数計算ツール!$C$9, HUAWEI製ＰＣＳ接続枚数計算ツール!$B$119:$P$149,2,FALSE)*1000*HUAWEI製ＰＣＳ接続枚数計算ツール!$Y$113)</f>
        <v>0.90567120000000012</v>
      </c>
      <c r="AG9" s="85">
        <f>HUAWEI製ＰＣＳ接続枚数計算ツール!$J$116*枚数!AG9/(VLOOKUP(HUAWEI製ＰＣＳ接続枚数計算ツール!$C$9, HUAWEI製ＰＣＳ接続枚数計算ツール!$B$119:$P$149,2,FALSE)*1000*HUAWEI製ＰＣＳ接続枚数計算ツール!$Y$113)</f>
        <v>0.93488640000000012</v>
      </c>
      <c r="AH9" s="85">
        <f>HUAWEI製ＰＣＳ接続枚数計算ツール!$J$116*枚数!AH9/(VLOOKUP(HUAWEI製ＰＣＳ接続枚数計算ツール!$C$9, HUAWEI製ＰＣＳ接続枚数計算ツール!$B$119:$P$149,2,FALSE)*1000*HUAWEI製ＰＣＳ接続枚数計算ツール!$Y$113)</f>
        <v>0.96410160000000011</v>
      </c>
      <c r="AI9" s="85">
        <f>HUAWEI製ＰＣＳ接続枚数計算ツール!$J$116*枚数!AI9/(VLOOKUP(HUAWEI製ＰＣＳ接続枚数計算ツール!$C$9, HUAWEI製ＰＣＳ接続枚数計算ツール!$B$119:$P$149,2,FALSE)*1000*HUAWEI製ＰＣＳ接続枚数計算ツール!$Y$113)</f>
        <v>0.9933168</v>
      </c>
      <c r="AJ9" s="85">
        <f>HUAWEI製ＰＣＳ接続枚数計算ツール!$J$116*枚数!AJ9/(VLOOKUP(HUAWEI製ＰＣＳ接続枚数計算ツール!$C$9, HUAWEI製ＰＣＳ接続枚数計算ツール!$B$119:$P$149,2,FALSE)*1000*HUAWEI製ＰＣＳ接続枚数計算ツール!$Y$113)</f>
        <v>1.0225320000000002</v>
      </c>
      <c r="AK9" s="85">
        <f>HUAWEI製ＰＣＳ接続枚数計算ツール!$J$116*枚数!AK9/(VLOOKUP(HUAWEI製ＰＣＳ接続枚数計算ツール!$C$9, HUAWEI製ＰＣＳ接続枚数計算ツール!$B$119:$P$149,2,FALSE)*1000*HUAWEI製ＰＣＳ接続枚数計算ツール!$Y$113)</f>
        <v>1.0517472000000001</v>
      </c>
      <c r="AL9" s="85">
        <f>HUAWEI製ＰＣＳ接続枚数計算ツール!$J$116*枚数!AL9/(VLOOKUP(HUAWEI製ＰＣＳ接続枚数計算ツール!$C$9, HUAWEI製ＰＣＳ接続枚数計算ツール!$B$119:$P$149,2,FALSE)*1000*HUAWEI製ＰＣＳ接続枚数計算ツール!$Y$113)</f>
        <v>1.0809624000000002</v>
      </c>
      <c r="AM9" s="85">
        <f>HUAWEI製ＰＣＳ接続枚数計算ツール!$J$116*枚数!AM9/(VLOOKUP(HUAWEI製ＰＣＳ接続枚数計算ツール!$C$9, HUAWEI製ＰＣＳ接続枚数計算ツール!$B$119:$P$149,2,FALSE)*1000*HUAWEI製ＰＣＳ接続枚数計算ツール!$Y$113)</f>
        <v>1.1101776000000001</v>
      </c>
      <c r="AN9" s="85">
        <f>HUAWEI製ＰＣＳ接続枚数計算ツール!$J$116*枚数!AN9/(VLOOKUP(HUAWEI製ＰＣＳ接続枚数計算ツール!$C$9, HUAWEI製ＰＣＳ接続枚数計算ツール!$B$119:$P$149,2,FALSE)*1000*HUAWEI製ＰＣＳ接続枚数計算ツール!$Y$113)</f>
        <v>1.1393928</v>
      </c>
      <c r="AO9" s="85">
        <f>HUAWEI製ＰＣＳ接続枚数計算ツール!$J$116*枚数!AO9/(VLOOKUP(HUAWEI製ＰＣＳ接続枚数計算ツール!$C$9, HUAWEI製ＰＣＳ接続枚数計算ツール!$B$119:$P$149,2,FALSE)*1000*HUAWEI製ＰＣＳ接続枚数計算ツール!$Y$113)</f>
        <v>1.1686080000000001</v>
      </c>
    </row>
    <row r="10" spans="1:41">
      <c r="A10">
        <v>8</v>
      </c>
      <c r="B10" s="85">
        <f>HUAWEI製ＰＣＳ接続枚数計算ツール!$J$116*枚数!B10/(VLOOKUP(HUAWEI製ＰＣＳ接続枚数計算ツール!$C$9, HUAWEI製ＰＣＳ接続枚数計算ツール!$B$119:$P$149,2,FALSE)*1000*HUAWEI製ＰＣＳ接続枚数計算ツール!$Y$113)</f>
        <v>3.3388800000000003E-2</v>
      </c>
      <c r="C10" s="85">
        <f>HUAWEI製ＰＣＳ接続枚数計算ツール!$J$116*枚数!C10/(VLOOKUP(HUAWEI製ＰＣＳ接続枚数計算ツール!$C$9, HUAWEI製ＰＣＳ接続枚数計算ツール!$B$119:$P$149,2,FALSE)*1000*HUAWEI製ＰＣＳ接続枚数計算ツール!$Y$113)</f>
        <v>6.6777600000000006E-2</v>
      </c>
      <c r="D10" s="85">
        <f>HUAWEI製ＰＣＳ接続枚数計算ツール!$J$116*枚数!D10/(VLOOKUP(HUAWEI製ＰＣＳ接続枚数計算ツール!$C$9, HUAWEI製ＰＣＳ接続枚数計算ツール!$B$119:$P$149,2,FALSE)*1000*HUAWEI製ＰＣＳ接続枚数計算ツール!$Y$113)</f>
        <v>0.1001664</v>
      </c>
      <c r="E10" s="85">
        <f>HUAWEI製ＰＣＳ接続枚数計算ツール!$J$116*枚数!E10/(VLOOKUP(HUAWEI製ＰＣＳ接続枚数計算ツール!$C$9, HUAWEI製ＰＣＳ接続枚数計算ツール!$B$119:$P$149,2,FALSE)*1000*HUAWEI製ＰＣＳ接続枚数計算ツール!$Y$113)</f>
        <v>0.13355520000000001</v>
      </c>
      <c r="F10" s="85">
        <f>HUAWEI製ＰＣＳ接続枚数計算ツール!$J$116*枚数!F10/(VLOOKUP(HUAWEI製ＰＣＳ接続枚数計算ツール!$C$9, HUAWEI製ＰＣＳ接続枚数計算ツール!$B$119:$P$149,2,FALSE)*1000*HUAWEI製ＰＣＳ接続枚数計算ツール!$Y$113)</f>
        <v>0.16694400000000001</v>
      </c>
      <c r="G10" s="85">
        <f>HUAWEI製ＰＣＳ接続枚数計算ツール!$J$116*枚数!G10/(VLOOKUP(HUAWEI製ＰＣＳ接続枚数計算ツール!$C$9, HUAWEI製ＰＣＳ接続枚数計算ツール!$B$119:$P$149,2,FALSE)*1000*HUAWEI製ＰＣＳ接続枚数計算ツール!$Y$113)</f>
        <v>0.20033280000000001</v>
      </c>
      <c r="H10" s="85">
        <f>HUAWEI製ＰＣＳ接続枚数計算ツール!$J$116*枚数!H10/(VLOOKUP(HUAWEI製ＰＣＳ接続枚数計算ツール!$C$9, HUAWEI製ＰＣＳ接続枚数計算ツール!$B$119:$P$149,2,FALSE)*1000*HUAWEI製ＰＣＳ接続枚数計算ツール!$Y$113)</f>
        <v>0.23372160000000003</v>
      </c>
      <c r="I10" s="85">
        <f>HUAWEI製ＰＣＳ接続枚数計算ツール!$J$116*枚数!I10/(VLOOKUP(HUAWEI製ＰＣＳ接続枚数計算ツール!$C$9, HUAWEI製ＰＣＳ接続枚数計算ツール!$B$119:$P$149,2,FALSE)*1000*HUAWEI製ＰＣＳ接続枚数計算ツール!$Y$113)</f>
        <v>0.26711040000000003</v>
      </c>
      <c r="J10" s="85">
        <f>HUAWEI製ＰＣＳ接続枚数計算ツール!$J$116*枚数!J10/(VLOOKUP(HUAWEI製ＰＣＳ接続枚数計算ツール!$C$9, HUAWEI製ＰＣＳ接続枚数計算ツール!$B$119:$P$149,2,FALSE)*1000*HUAWEI製ＰＣＳ接続枚数計算ツール!$Y$113)</f>
        <v>0.30049920000000002</v>
      </c>
      <c r="K10" s="85">
        <f>HUAWEI製ＰＣＳ接続枚数計算ツール!$J$116*枚数!K10/(VLOOKUP(HUAWEI製ＰＣＳ接続枚数計算ツール!$C$9, HUAWEI製ＰＣＳ接続枚数計算ツール!$B$119:$P$149,2,FALSE)*1000*HUAWEI製ＰＣＳ接続枚数計算ツール!$Y$113)</f>
        <v>0.33388800000000002</v>
      </c>
      <c r="L10" s="85">
        <f>HUAWEI製ＰＣＳ接続枚数計算ツール!$J$116*枚数!L10/(VLOOKUP(HUAWEI製ＰＣＳ接続枚数計算ツール!$C$9, HUAWEI製ＰＣＳ接続枚数計算ツール!$B$119:$P$149,2,FALSE)*1000*HUAWEI製ＰＣＳ接続枚数計算ツール!$Y$113)</f>
        <v>0.36727680000000007</v>
      </c>
      <c r="M10" s="85">
        <f>HUAWEI製ＰＣＳ接続枚数計算ツール!$J$116*枚数!M10/(VLOOKUP(HUAWEI製ＰＣＳ接続枚数計算ツール!$C$9, HUAWEI製ＰＣＳ接続枚数計算ツール!$B$119:$P$149,2,FALSE)*1000*HUAWEI製ＰＣＳ接続枚数計算ツール!$Y$113)</f>
        <v>0.40066560000000001</v>
      </c>
      <c r="N10" s="85">
        <f>HUAWEI製ＰＣＳ接続枚数計算ツール!$J$116*枚数!N10/(VLOOKUP(HUAWEI製ＰＣＳ接続枚数計算ツール!$C$9, HUAWEI製ＰＣＳ接続枚数計算ツール!$B$119:$P$149,2,FALSE)*1000*HUAWEI製ＰＣＳ接続枚数計算ツール!$Y$113)</f>
        <v>0.43405440000000001</v>
      </c>
      <c r="O10" s="85">
        <f>HUAWEI製ＰＣＳ接続枚数計算ツール!$J$116*枚数!O10/(VLOOKUP(HUAWEI製ＰＣＳ接続枚数計算ツール!$C$9, HUAWEI製ＰＣＳ接続枚数計算ツール!$B$119:$P$149,2,FALSE)*1000*HUAWEI製ＰＣＳ接続枚数計算ツール!$Y$113)</f>
        <v>0.46744320000000006</v>
      </c>
      <c r="P10" s="85">
        <f>HUAWEI製ＰＣＳ接続枚数計算ツール!$J$116*枚数!P10/(VLOOKUP(HUAWEI製ＰＣＳ接続枚数計算ツール!$C$9, HUAWEI製ＰＣＳ接続枚数計算ツール!$B$119:$P$149,2,FALSE)*1000*HUAWEI製ＰＣＳ接続枚数計算ツール!$Y$113)</f>
        <v>0.50083200000000005</v>
      </c>
      <c r="Q10" s="85">
        <f>HUAWEI製ＰＣＳ接続枚数計算ツール!$J$116*枚数!Q10/(VLOOKUP(HUAWEI製ＰＣＳ接続枚数計算ツール!$C$9, HUAWEI製ＰＣＳ接続枚数計算ツール!$B$119:$P$149,2,FALSE)*1000*HUAWEI製ＰＣＳ接続枚数計算ツール!$Y$113)</f>
        <v>0.53422080000000005</v>
      </c>
      <c r="R10" s="85">
        <f>HUAWEI製ＰＣＳ接続枚数計算ツール!$J$116*枚数!R10/(VLOOKUP(HUAWEI製ＰＣＳ接続枚数計算ツール!$C$9, HUAWEI製ＰＣＳ接続枚数計算ツール!$B$119:$P$149,2,FALSE)*1000*HUAWEI製ＰＣＳ接続枚数計算ツール!$Y$113)</f>
        <v>0.56760960000000005</v>
      </c>
      <c r="S10" s="85">
        <f>HUAWEI製ＰＣＳ接続枚数計算ツール!$J$116*枚数!S10/(VLOOKUP(HUAWEI製ＰＣＳ接続枚数計算ツール!$C$9, HUAWEI製ＰＣＳ接続枚数計算ツール!$B$119:$P$149,2,FALSE)*1000*HUAWEI製ＰＣＳ接続枚数計算ツール!$Y$113)</f>
        <v>0.60099840000000004</v>
      </c>
      <c r="T10" s="85">
        <f>HUAWEI製ＰＣＳ接続枚数計算ツール!$J$116*枚数!T10/(VLOOKUP(HUAWEI製ＰＣＳ接続枚数計算ツール!$C$9, HUAWEI製ＰＣＳ接続枚数計算ツール!$B$119:$P$149,2,FALSE)*1000*HUAWEI製ＰＣＳ接続枚数計算ツール!$Y$113)</f>
        <v>0.63438720000000004</v>
      </c>
      <c r="U10" s="85">
        <f>HUAWEI製ＰＣＳ接続枚数計算ツール!$J$116*枚数!U10/(VLOOKUP(HUAWEI製ＰＣＳ接続枚数計算ツール!$C$9, HUAWEI製ＰＣＳ接続枚数計算ツール!$B$119:$P$149,2,FALSE)*1000*HUAWEI製ＰＣＳ接続枚数計算ツール!$Y$113)</f>
        <v>0.66777600000000004</v>
      </c>
      <c r="V10" s="85">
        <f>HUAWEI製ＰＣＳ接続枚数計算ツール!$J$116*枚数!V10/(VLOOKUP(HUAWEI製ＰＣＳ接続枚数計算ツール!$C$9, HUAWEI製ＰＣＳ接続枚数計算ツール!$B$119:$P$149,2,FALSE)*1000*HUAWEI製ＰＣＳ接続枚数計算ツール!$Y$113)</f>
        <v>0.70116480000000003</v>
      </c>
      <c r="W10" s="85">
        <f>HUAWEI製ＰＣＳ接続枚数計算ツール!$J$116*枚数!W10/(VLOOKUP(HUAWEI製ＰＣＳ接続枚数計算ツール!$C$9, HUAWEI製ＰＣＳ接続枚数計算ツール!$B$119:$P$149,2,FALSE)*1000*HUAWEI製ＰＣＳ接続枚数計算ツール!$Y$113)</f>
        <v>0.73455360000000014</v>
      </c>
      <c r="X10" s="85">
        <f>HUAWEI製ＰＣＳ接続枚数計算ツール!$J$116*枚数!X10/(VLOOKUP(HUAWEI製ＰＣＳ接続枚数計算ツール!$C$9, HUAWEI製ＰＣＳ接続枚数計算ツール!$B$119:$P$149,2,FALSE)*1000*HUAWEI製ＰＣＳ接続枚数計算ツール!$Y$113)</f>
        <v>0.76794240000000002</v>
      </c>
      <c r="Y10" s="85">
        <f>HUAWEI製ＰＣＳ接続枚数計算ツール!$J$116*枚数!Y10/(VLOOKUP(HUAWEI製ＰＣＳ接続枚数計算ツール!$C$9, HUAWEI製ＰＣＳ接続枚数計算ツール!$B$119:$P$149,2,FALSE)*1000*HUAWEI製ＰＣＳ接続枚数計算ツール!$Y$113)</f>
        <v>0.80133120000000002</v>
      </c>
      <c r="Z10" s="85">
        <f>HUAWEI製ＰＣＳ接続枚数計算ツール!$J$116*枚数!Z10/(VLOOKUP(HUAWEI製ＰＣＳ接続枚数計算ツール!$C$9, HUAWEI製ＰＣＳ接続枚数計算ツール!$B$119:$P$149,2,FALSE)*1000*HUAWEI製ＰＣＳ接続枚数計算ツール!$Y$113)</f>
        <v>0.83472000000000013</v>
      </c>
      <c r="AA10" s="85">
        <f>HUAWEI製ＰＣＳ接続枚数計算ツール!$J$116*枚数!AA10/(VLOOKUP(HUAWEI製ＰＣＳ接続枚数計算ツール!$C$9, HUAWEI製ＰＣＳ接続枚数計算ツール!$B$119:$P$149,2,FALSE)*1000*HUAWEI製ＰＣＳ接続枚数計算ツール!$Y$113)</f>
        <v>0.86810880000000001</v>
      </c>
      <c r="AB10" s="85">
        <f>HUAWEI製ＰＣＳ接続枚数計算ツール!$J$116*枚数!AB10/(VLOOKUP(HUAWEI製ＰＣＳ接続枚数計算ツール!$C$9, HUAWEI製ＰＣＳ接続枚数計算ツール!$B$119:$P$149,2,FALSE)*1000*HUAWEI製ＰＣＳ接続枚数計算ツール!$Y$113)</f>
        <v>0.90149760000000012</v>
      </c>
      <c r="AC10" s="85">
        <f>HUAWEI製ＰＣＳ接続枚数計算ツール!$J$116*枚数!AC10/(VLOOKUP(HUAWEI製ＰＣＳ接続枚数計算ツール!$C$9, HUAWEI製ＰＣＳ接続枚数計算ツール!$B$119:$P$149,2,FALSE)*1000*HUAWEI製ＰＣＳ接続枚数計算ツール!$Y$113)</f>
        <v>0.93488640000000012</v>
      </c>
      <c r="AD10" s="85">
        <f>HUAWEI製ＰＣＳ接続枚数計算ツール!$J$116*枚数!AD10/(VLOOKUP(HUAWEI製ＰＣＳ接続枚数計算ツール!$C$9, HUAWEI製ＰＣＳ接続枚数計算ツール!$B$119:$P$149,2,FALSE)*1000*HUAWEI製ＰＣＳ接続枚数計算ツール!$Y$113)</f>
        <v>0.96827520000000011</v>
      </c>
      <c r="AE10" s="85">
        <f>HUAWEI製ＰＣＳ接続枚数計算ツール!$J$116*枚数!AE10/(VLOOKUP(HUAWEI製ＰＣＳ接続枚数計算ツール!$C$9, HUAWEI製ＰＣＳ接続枚数計算ツール!$B$119:$P$149,2,FALSE)*1000*HUAWEI製ＰＣＳ接続枚数計算ツール!$Y$113)</f>
        <v>1.0016640000000001</v>
      </c>
      <c r="AF10" s="85">
        <f>HUAWEI製ＰＣＳ接続枚数計算ツール!$J$116*枚数!AF10/(VLOOKUP(HUAWEI製ＰＣＳ接続枚数計算ツール!$C$9, HUAWEI製ＰＣＳ接続枚数計算ツール!$B$119:$P$149,2,FALSE)*1000*HUAWEI製ＰＣＳ接続枚数計算ツール!$Y$113)</f>
        <v>1.0350528000000001</v>
      </c>
      <c r="AG10" s="85">
        <f>HUAWEI製ＰＣＳ接続枚数計算ツール!$J$116*枚数!AG10/(VLOOKUP(HUAWEI製ＰＣＳ接続枚数計算ツール!$C$9, HUAWEI製ＰＣＳ接続枚数計算ツール!$B$119:$P$149,2,FALSE)*1000*HUAWEI製ＰＣＳ接続枚数計算ツール!$Y$113)</f>
        <v>1.0684416000000001</v>
      </c>
      <c r="AH10" s="85">
        <f>HUAWEI製ＰＣＳ接続枚数計算ツール!$J$116*枚数!AH10/(VLOOKUP(HUAWEI製ＰＣＳ接続枚数計算ツール!$C$9, HUAWEI製ＰＣＳ接続枚数計算ツール!$B$119:$P$149,2,FALSE)*1000*HUAWEI製ＰＣＳ接続枚数計算ツール!$Y$113)</f>
        <v>1.1018304000000001</v>
      </c>
      <c r="AI10" s="85">
        <f>HUAWEI製ＰＣＳ接続枚数計算ツール!$J$116*枚数!AI10/(VLOOKUP(HUAWEI製ＰＣＳ接続枚数計算ツール!$C$9, HUAWEI製ＰＣＳ接続枚数計算ツール!$B$119:$P$149,2,FALSE)*1000*HUAWEI製ＰＣＳ接続枚数計算ツール!$Y$113)</f>
        <v>1.1352192000000001</v>
      </c>
      <c r="AJ10" s="85">
        <f>HUAWEI製ＰＣＳ接続枚数計算ツール!$J$116*枚数!AJ10/(VLOOKUP(HUAWEI製ＰＣＳ接続枚数計算ツール!$C$9, HUAWEI製ＰＣＳ接続枚数計算ツール!$B$119:$P$149,2,FALSE)*1000*HUAWEI製ＰＣＳ接続枚数計算ツール!$Y$113)</f>
        <v>1.1686080000000001</v>
      </c>
      <c r="AK10" s="85">
        <f>HUAWEI製ＰＣＳ接続枚数計算ツール!$J$116*枚数!AK10/(VLOOKUP(HUAWEI製ＰＣＳ接続枚数計算ツール!$C$9, HUAWEI製ＰＣＳ接続枚数計算ツール!$B$119:$P$149,2,FALSE)*1000*HUAWEI製ＰＣＳ接続枚数計算ツール!$Y$113)</f>
        <v>1.2019968000000001</v>
      </c>
      <c r="AL10" s="85">
        <f>HUAWEI製ＰＣＳ接続枚数計算ツール!$J$116*枚数!AL10/(VLOOKUP(HUAWEI製ＰＣＳ接続枚数計算ツール!$C$9, HUAWEI製ＰＣＳ接続枚数計算ツール!$B$119:$P$149,2,FALSE)*1000*HUAWEI製ＰＣＳ接続枚数計算ツール!$Y$113)</f>
        <v>1.2353856000000001</v>
      </c>
      <c r="AM10" s="85">
        <f>HUAWEI製ＰＣＳ接続枚数計算ツール!$J$116*枚数!AM10/(VLOOKUP(HUAWEI製ＰＣＳ接続枚数計算ツール!$C$9, HUAWEI製ＰＣＳ接続枚数計算ツール!$B$119:$P$149,2,FALSE)*1000*HUAWEI製ＰＣＳ接続枚数計算ツール!$Y$113)</f>
        <v>1.2687744000000001</v>
      </c>
      <c r="AN10" s="85">
        <f>HUAWEI製ＰＣＳ接続枚数計算ツール!$J$116*枚数!AN10/(VLOOKUP(HUAWEI製ＰＣＳ接続枚数計算ツール!$C$9, HUAWEI製ＰＣＳ接続枚数計算ツール!$B$119:$P$149,2,FALSE)*1000*HUAWEI製ＰＣＳ接続枚数計算ツール!$Y$113)</f>
        <v>1.3021632000000001</v>
      </c>
      <c r="AO10" s="85">
        <f>HUAWEI製ＰＣＳ接続枚数計算ツール!$J$116*枚数!AO10/(VLOOKUP(HUAWEI製ＰＣＳ接続枚数計算ツール!$C$9, HUAWEI製ＰＣＳ接続枚数計算ツール!$B$119:$P$149,2,FALSE)*1000*HUAWEI製ＰＣＳ接続枚数計算ツール!$Y$113)</f>
        <v>1.3355520000000001</v>
      </c>
    </row>
    <row r="11" spans="1:41">
      <c r="A11">
        <v>9</v>
      </c>
      <c r="B11" s="85">
        <f>HUAWEI製ＰＣＳ接続枚数計算ツール!$J$116*枚数!B11/(VLOOKUP(HUAWEI製ＰＣＳ接続枚数計算ツール!$C$9, HUAWEI製ＰＣＳ接続枚数計算ツール!$B$119:$P$149,2,FALSE)*1000*HUAWEI製ＰＣＳ接続枚数計算ツール!$Y$113)</f>
        <v>3.7562400000000003E-2</v>
      </c>
      <c r="C11" s="85">
        <f>HUAWEI製ＰＣＳ接続枚数計算ツール!$J$116*枚数!C11/(VLOOKUP(HUAWEI製ＰＣＳ接続枚数計算ツール!$C$9, HUAWEI製ＰＣＳ接続枚数計算ツール!$B$119:$P$149,2,FALSE)*1000*HUAWEI製ＰＣＳ接続枚数計算ツール!$Y$113)</f>
        <v>7.5124800000000005E-2</v>
      </c>
      <c r="D11" s="85">
        <f>HUAWEI製ＰＣＳ接続枚数計算ツール!$J$116*枚数!D11/(VLOOKUP(HUAWEI製ＰＣＳ接続枚数計算ツール!$C$9, HUAWEI製ＰＣＳ接続枚数計算ツール!$B$119:$P$149,2,FALSE)*1000*HUAWEI製ＰＣＳ接続枚数計算ツール!$Y$113)</f>
        <v>0.11268720000000002</v>
      </c>
      <c r="E11" s="85">
        <f>HUAWEI製ＰＣＳ接続枚数計算ツール!$J$116*枚数!E11/(VLOOKUP(HUAWEI製ＰＣＳ接続枚数計算ツール!$C$9, HUAWEI製ＰＣＳ接続枚数計算ツール!$B$119:$P$149,2,FALSE)*1000*HUAWEI製ＰＣＳ接続枚数計算ツール!$Y$113)</f>
        <v>0.15024960000000001</v>
      </c>
      <c r="F11" s="85">
        <f>HUAWEI製ＰＣＳ接続枚数計算ツール!$J$116*枚数!F11/(VLOOKUP(HUAWEI製ＰＣＳ接続枚数計算ツール!$C$9, HUAWEI製ＰＣＳ接続枚数計算ツール!$B$119:$P$149,2,FALSE)*1000*HUAWEI製ＰＣＳ接続枚数計算ツール!$Y$113)</f>
        <v>0.18781200000000003</v>
      </c>
      <c r="G11" s="85">
        <f>HUAWEI製ＰＣＳ接続枚数計算ツール!$J$116*枚数!G11/(VLOOKUP(HUAWEI製ＰＣＳ接続枚数計算ツール!$C$9, HUAWEI製ＰＣＳ接続枚数計算ツール!$B$119:$P$149,2,FALSE)*1000*HUAWEI製ＰＣＳ接続枚数計算ツール!$Y$113)</f>
        <v>0.22537440000000003</v>
      </c>
      <c r="H11" s="85">
        <f>HUAWEI製ＰＣＳ接続枚数計算ツール!$J$116*枚数!H11/(VLOOKUP(HUAWEI製ＰＣＳ接続枚数計算ツール!$C$9, HUAWEI製ＰＣＳ接続枚数計算ツール!$B$119:$P$149,2,FALSE)*1000*HUAWEI製ＰＣＳ接続枚数計算ツール!$Y$113)</f>
        <v>0.26293680000000003</v>
      </c>
      <c r="I11" s="85">
        <f>HUAWEI製ＰＣＳ接続枚数計算ツール!$J$116*枚数!I11/(VLOOKUP(HUAWEI製ＰＣＳ接続枚数計算ツール!$C$9, HUAWEI製ＰＣＳ接続枚数計算ツール!$B$119:$P$149,2,FALSE)*1000*HUAWEI製ＰＣＳ接続枚数計算ツール!$Y$113)</f>
        <v>0.30049920000000002</v>
      </c>
      <c r="J11" s="85">
        <f>HUAWEI製ＰＣＳ接続枚数計算ツール!$J$116*枚数!J11/(VLOOKUP(HUAWEI製ＰＣＳ接続枚数計算ツール!$C$9, HUAWEI製ＰＣＳ接続枚数計算ツール!$B$119:$P$149,2,FALSE)*1000*HUAWEI製ＰＣＳ接続枚数計算ツール!$Y$113)</f>
        <v>0.33806160000000002</v>
      </c>
      <c r="K11" s="85">
        <f>HUAWEI製ＰＣＳ接続枚数計算ツール!$J$116*枚数!K11/(VLOOKUP(HUAWEI製ＰＣＳ接続枚数計算ツール!$C$9, HUAWEI製ＰＣＳ接続枚数計算ツール!$B$119:$P$149,2,FALSE)*1000*HUAWEI製ＰＣＳ接続枚数計算ツール!$Y$113)</f>
        <v>0.37562400000000007</v>
      </c>
      <c r="L11" s="85">
        <f>HUAWEI製ＰＣＳ接続枚数計算ツール!$J$116*枚数!L11/(VLOOKUP(HUAWEI製ＰＣＳ接続枚数計算ツール!$C$9, HUAWEI製ＰＣＳ接続枚数計算ツール!$B$119:$P$149,2,FALSE)*1000*HUAWEI製ＰＣＳ接続枚数計算ツール!$Y$113)</f>
        <v>0.41318640000000001</v>
      </c>
      <c r="M11" s="85">
        <f>HUAWEI製ＰＣＳ接続枚数計算ツール!$J$116*枚数!M11/(VLOOKUP(HUAWEI製ＰＣＳ接続枚数計算ツール!$C$9, HUAWEI製ＰＣＳ接続枚数計算ツール!$B$119:$P$149,2,FALSE)*1000*HUAWEI製ＰＣＳ接続枚数計算ツール!$Y$113)</f>
        <v>0.45074880000000006</v>
      </c>
      <c r="N11" s="85">
        <f>HUAWEI製ＰＣＳ接続枚数計算ツール!$J$116*枚数!N11/(VLOOKUP(HUAWEI製ＰＣＳ接続枚数計算ツール!$C$9, HUAWEI製ＰＣＳ接続枚数計算ツール!$B$119:$P$149,2,FALSE)*1000*HUAWEI製ＰＣＳ接続枚数計算ツール!$Y$113)</f>
        <v>0.48831120000000006</v>
      </c>
      <c r="O11" s="85">
        <f>HUAWEI製ＰＣＳ接続枚数計算ツール!$J$116*枚数!O11/(VLOOKUP(HUAWEI製ＰＣＳ接続枚数計算ツール!$C$9, HUAWEI製ＰＣＳ接続枚数計算ツール!$B$119:$P$149,2,FALSE)*1000*HUAWEI製ＰＣＳ接続枚数計算ツール!$Y$113)</f>
        <v>0.52587360000000005</v>
      </c>
      <c r="P11" s="85">
        <f>HUAWEI製ＰＣＳ接続枚数計算ツール!$J$116*枚数!P11/(VLOOKUP(HUAWEI製ＰＣＳ接続枚数計算ツール!$C$9, HUAWEI製ＰＣＳ接続枚数計算ツール!$B$119:$P$149,2,FALSE)*1000*HUAWEI製ＰＣＳ接続枚数計算ツール!$Y$113)</f>
        <v>0.56343600000000005</v>
      </c>
      <c r="Q11" s="85">
        <f>HUAWEI製ＰＣＳ接続枚数計算ツール!$J$116*枚数!Q11/(VLOOKUP(HUAWEI製ＰＣＳ接続枚数計算ツール!$C$9, HUAWEI製ＰＣＳ接続枚数計算ツール!$B$119:$P$149,2,FALSE)*1000*HUAWEI製ＰＣＳ接続枚数計算ツール!$Y$113)</f>
        <v>0.60099840000000004</v>
      </c>
      <c r="R11" s="85">
        <f>HUAWEI製ＰＣＳ接続枚数計算ツール!$J$116*枚数!R11/(VLOOKUP(HUAWEI製ＰＣＳ接続枚数計算ツール!$C$9, HUAWEI製ＰＣＳ接続枚数計算ツール!$B$119:$P$149,2,FALSE)*1000*HUAWEI製ＰＣＳ接続枚数計算ツール!$Y$113)</f>
        <v>0.63856080000000004</v>
      </c>
      <c r="S11" s="85">
        <f>HUAWEI製ＰＣＳ接続枚数計算ツール!$J$116*枚数!S11/(VLOOKUP(HUAWEI製ＰＣＳ接続枚数計算ツール!$C$9, HUAWEI製ＰＣＳ接続枚数計算ツール!$B$119:$P$149,2,FALSE)*1000*HUAWEI製ＰＣＳ接続枚数計算ツール!$Y$113)</f>
        <v>0.67612320000000004</v>
      </c>
      <c r="T11" s="85">
        <f>HUAWEI製ＰＣＳ接続枚数計算ツール!$J$116*枚数!T11/(VLOOKUP(HUAWEI製ＰＣＳ接続枚数計算ツール!$C$9, HUAWEI製ＰＣＳ接続枚数計算ツール!$B$119:$P$149,2,FALSE)*1000*HUAWEI製ＰＣＳ接続枚数計算ツール!$Y$113)</f>
        <v>0.71368560000000014</v>
      </c>
      <c r="U11" s="85">
        <f>HUAWEI製ＰＣＳ接続枚数計算ツール!$J$116*枚数!U11/(VLOOKUP(HUAWEI製ＰＣＳ接続枚数計算ツール!$C$9, HUAWEI製ＰＣＳ接続枚数計算ツール!$B$119:$P$149,2,FALSE)*1000*HUAWEI製ＰＣＳ接続枚数計算ツール!$Y$113)</f>
        <v>0.75124800000000014</v>
      </c>
      <c r="V11" s="85">
        <f>HUAWEI製ＰＣＳ接続枚数計算ツール!$J$116*枚数!V11/(VLOOKUP(HUAWEI製ＰＣＳ接続枚数計算ツール!$C$9, HUAWEI製ＰＣＳ接続枚数計算ツール!$B$119:$P$149,2,FALSE)*1000*HUAWEI製ＰＣＳ接続枚数計算ツール!$Y$113)</f>
        <v>0.78881040000000002</v>
      </c>
      <c r="W11" s="85">
        <f>HUAWEI製ＰＣＳ接続枚数計算ツール!$J$116*枚数!W11/(VLOOKUP(HUAWEI製ＰＣＳ接続枚数計算ツール!$C$9, HUAWEI製ＰＣＳ接続枚数計算ツール!$B$119:$P$149,2,FALSE)*1000*HUAWEI製ＰＣＳ接続枚数計算ツール!$Y$113)</f>
        <v>0.82637280000000002</v>
      </c>
      <c r="X11" s="85">
        <f>HUAWEI製ＰＣＳ接続枚数計算ツール!$J$116*枚数!X11/(VLOOKUP(HUAWEI製ＰＣＳ接続枚数計算ツール!$C$9, HUAWEI製ＰＣＳ接続枚数計算ツール!$B$119:$P$149,2,FALSE)*1000*HUAWEI製ＰＣＳ接続枚数計算ツール!$Y$113)</f>
        <v>0.86393520000000013</v>
      </c>
      <c r="Y11" s="85">
        <f>HUAWEI製ＰＣＳ接続枚数計算ツール!$J$116*枚数!Y11/(VLOOKUP(HUAWEI製ＰＣＳ接続枚数計算ツール!$C$9, HUAWEI製ＰＣＳ接続枚数計算ツール!$B$119:$P$149,2,FALSE)*1000*HUAWEI製ＰＣＳ接続枚数計算ツール!$Y$113)</f>
        <v>0.90149760000000012</v>
      </c>
      <c r="Z11" s="85">
        <f>HUAWEI製ＰＣＳ接続枚数計算ツール!$J$116*枚数!Z11/(VLOOKUP(HUAWEI製ＰＣＳ接続枚数計算ツール!$C$9, HUAWEI製ＰＣＳ接続枚数計算ツール!$B$119:$P$149,2,FALSE)*1000*HUAWEI製ＰＣＳ接続枚数計算ツール!$Y$113)</f>
        <v>0.93906000000000012</v>
      </c>
      <c r="AA11" s="85">
        <f>HUAWEI製ＰＣＳ接続枚数計算ツール!$J$116*枚数!AA11/(VLOOKUP(HUAWEI製ＰＣＳ接続枚数計算ツール!$C$9, HUAWEI製ＰＣＳ接続枚数計算ツール!$B$119:$P$149,2,FALSE)*1000*HUAWEI製ＰＣＳ接続枚数計算ツール!$Y$113)</f>
        <v>0.97662240000000011</v>
      </c>
      <c r="AB11" s="85">
        <f>HUAWEI製ＰＣＳ接続枚数計算ツール!$J$116*枚数!AB11/(VLOOKUP(HUAWEI製ＰＣＳ接続枚数計算ツール!$C$9, HUAWEI製ＰＣＳ接続枚数計算ツール!$B$119:$P$149,2,FALSE)*1000*HUAWEI製ＰＣＳ接続枚数計算ツール!$Y$113)</f>
        <v>1.0141848</v>
      </c>
      <c r="AC11" s="85">
        <f>HUAWEI製ＰＣＳ接続枚数計算ツール!$J$116*枚数!AC11/(VLOOKUP(HUAWEI製ＰＣＳ接続枚数計算ツール!$C$9, HUAWEI製ＰＣＳ接続枚数計算ツール!$B$119:$P$149,2,FALSE)*1000*HUAWEI製ＰＣＳ接続枚数計算ツール!$Y$113)</f>
        <v>1.0517472000000001</v>
      </c>
      <c r="AD11" s="85">
        <f>HUAWEI製ＰＣＳ接続枚数計算ツール!$J$116*枚数!AD11/(VLOOKUP(HUAWEI製ＰＣＳ接続枚数計算ツール!$C$9, HUAWEI製ＰＣＳ接続枚数計算ツール!$B$119:$P$149,2,FALSE)*1000*HUAWEI製ＰＣＳ接続枚数計算ツール!$Y$113)</f>
        <v>1.0893096</v>
      </c>
      <c r="AE11" s="85">
        <f>HUAWEI製ＰＣＳ接続枚数計算ツール!$J$116*枚数!AE11/(VLOOKUP(HUAWEI製ＰＣＳ接続枚数計算ツール!$C$9, HUAWEI製ＰＣＳ接続枚数計算ツール!$B$119:$P$149,2,FALSE)*1000*HUAWEI製ＰＣＳ接続枚数計算ツール!$Y$113)</f>
        <v>1.1268720000000001</v>
      </c>
      <c r="AF11" s="85">
        <f>HUAWEI製ＰＣＳ接続枚数計算ツール!$J$116*枚数!AF11/(VLOOKUP(HUAWEI製ＰＣＳ接続枚数計算ツール!$C$9, HUAWEI製ＰＣＳ接続枚数計算ツール!$B$119:$P$149,2,FALSE)*1000*HUAWEI製ＰＣＳ接続枚数計算ツール!$Y$113)</f>
        <v>1.1644344000000002</v>
      </c>
      <c r="AG11" s="85">
        <f>HUAWEI製ＰＣＳ接続枚数計算ツール!$J$116*枚数!AG11/(VLOOKUP(HUAWEI製ＰＣＳ接続枚数計算ツール!$C$9, HUAWEI製ＰＣＳ接続枚数計算ツール!$B$119:$P$149,2,FALSE)*1000*HUAWEI製ＰＣＳ接続枚数計算ツール!$Y$113)</f>
        <v>1.2019968000000001</v>
      </c>
      <c r="AH11" s="85">
        <f>HUAWEI製ＰＣＳ接続枚数計算ツール!$J$116*枚数!AH11/(VLOOKUP(HUAWEI製ＰＣＳ接続枚数計算ツール!$C$9, HUAWEI製ＰＣＳ接続枚数計算ツール!$B$119:$P$149,2,FALSE)*1000*HUAWEI製ＰＣＳ接続枚数計算ツール!$Y$113)</f>
        <v>1.2395592000000002</v>
      </c>
      <c r="AI11" s="85">
        <f>HUAWEI製ＰＣＳ接続枚数計算ツール!$J$116*枚数!AI11/(VLOOKUP(HUAWEI製ＰＣＳ接続枚数計算ツール!$C$9, HUAWEI製ＰＣＳ接続枚数計算ツール!$B$119:$P$149,2,FALSE)*1000*HUAWEI製ＰＣＳ接続枚数計算ツール!$Y$113)</f>
        <v>1.2771216000000001</v>
      </c>
      <c r="AJ11" s="85">
        <f>HUAWEI製ＰＣＳ接続枚数計算ツール!$J$116*枚数!AJ11/(VLOOKUP(HUAWEI製ＰＣＳ接続枚数計算ツール!$C$9, HUAWEI製ＰＣＳ接続枚数計算ツール!$B$119:$P$149,2,FALSE)*1000*HUAWEI製ＰＣＳ接続枚数計算ツール!$Y$113)</f>
        <v>1.314684</v>
      </c>
      <c r="AK11" s="85">
        <f>HUAWEI製ＰＣＳ接続枚数計算ツール!$J$116*枚数!AK11/(VLOOKUP(HUAWEI製ＰＣＳ接続枚数計算ツール!$C$9, HUAWEI製ＰＣＳ接続枚数計算ツール!$B$119:$P$149,2,FALSE)*1000*HUAWEI製ＰＣＳ接続枚数計算ツール!$Y$113)</f>
        <v>1.3522464000000001</v>
      </c>
      <c r="AL11" s="85">
        <f>HUAWEI製ＰＣＳ接続枚数計算ツール!$J$116*枚数!AL11/(VLOOKUP(HUAWEI製ＰＣＳ接続枚数計算ツール!$C$9, HUAWEI製ＰＣＳ接続枚数計算ツール!$B$119:$P$149,2,FALSE)*1000*HUAWEI製ＰＣＳ接続枚数計算ツール!$Y$113)</f>
        <v>1.3898088</v>
      </c>
      <c r="AM11" s="85">
        <f>HUAWEI製ＰＣＳ接続枚数計算ツール!$J$116*枚数!AM11/(VLOOKUP(HUAWEI製ＰＣＳ接続枚数計算ツール!$C$9, HUAWEI製ＰＣＳ接続枚数計算ツール!$B$119:$P$149,2,FALSE)*1000*HUAWEI製ＰＣＳ接続枚数計算ツール!$Y$113)</f>
        <v>1.4273712000000003</v>
      </c>
      <c r="AN11" s="85">
        <f>HUAWEI製ＰＣＳ接続枚数計算ツール!$J$116*枚数!AN11/(VLOOKUP(HUAWEI製ＰＣＳ接続枚数計算ツール!$C$9, HUAWEI製ＰＣＳ接続枚数計算ツール!$B$119:$P$149,2,FALSE)*1000*HUAWEI製ＰＣＳ接続枚数計算ツール!$Y$113)</f>
        <v>1.4649336000000002</v>
      </c>
      <c r="AO11" s="85">
        <f>HUAWEI製ＰＣＳ接続枚数計算ツール!$J$116*枚数!AO11/(VLOOKUP(HUAWEI製ＰＣＳ接続枚数計算ツール!$C$9, HUAWEI製ＰＣＳ接続枚数計算ツール!$B$119:$P$149,2,FALSE)*1000*HUAWEI製ＰＣＳ接続枚数計算ツール!$Y$113)</f>
        <v>1.5024960000000003</v>
      </c>
    </row>
    <row r="12" spans="1:41">
      <c r="A12">
        <v>10</v>
      </c>
      <c r="B12" s="85">
        <f>HUAWEI製ＰＣＳ接続枚数計算ツール!$J$116*枚数!B12/(VLOOKUP(HUAWEI製ＰＣＳ接続枚数計算ツール!$C$9, HUAWEI製ＰＣＳ接続枚数計算ツール!$B$119:$P$149,2,FALSE)*1000*HUAWEI製ＰＣＳ接続枚数計算ツール!$Y$113)</f>
        <v>4.1736000000000002E-2</v>
      </c>
      <c r="C12" s="85">
        <f>HUAWEI製ＰＣＳ接続枚数計算ツール!$J$116*枚数!C12/(VLOOKUP(HUAWEI製ＰＣＳ接続枚数計算ツール!$C$9, HUAWEI製ＰＣＳ接続枚数計算ツール!$B$119:$P$149,2,FALSE)*1000*HUAWEI製ＰＣＳ接続枚数計算ツール!$Y$113)</f>
        <v>8.3472000000000005E-2</v>
      </c>
      <c r="D12" s="85">
        <f>HUAWEI製ＰＣＳ接続枚数計算ツール!$J$116*枚数!D12/(VLOOKUP(HUAWEI製ＰＣＳ接続枚数計算ツール!$C$9, HUAWEI製ＰＣＳ接続枚数計算ツール!$B$119:$P$149,2,FALSE)*1000*HUAWEI製ＰＣＳ接続枚数計算ツール!$Y$113)</f>
        <v>0.12520800000000001</v>
      </c>
      <c r="E12" s="85">
        <f>HUAWEI製ＰＣＳ接続枚数計算ツール!$J$116*枚数!E12/(VLOOKUP(HUAWEI製ＰＣＳ接続枚数計算ツール!$C$9, HUAWEI製ＰＣＳ接続枚数計算ツール!$B$119:$P$149,2,FALSE)*1000*HUAWEI製ＰＣＳ接続枚数計算ツール!$Y$113)</f>
        <v>0.16694400000000001</v>
      </c>
      <c r="F12" s="85">
        <f>HUAWEI製ＰＣＳ接続枚数計算ツール!$J$116*枚数!F12/(VLOOKUP(HUAWEI製ＰＣＳ接続枚数計算ツール!$C$9, HUAWEI製ＰＣＳ接続枚数計算ツール!$B$119:$P$149,2,FALSE)*1000*HUAWEI製ＰＣＳ接続枚数計算ツール!$Y$113)</f>
        <v>0.20868000000000003</v>
      </c>
      <c r="G12" s="85">
        <f>HUAWEI製ＰＣＳ接続枚数計算ツール!$J$116*枚数!G12/(VLOOKUP(HUAWEI製ＰＣＳ接続枚数計算ツール!$C$9, HUAWEI製ＰＣＳ接続枚数計算ツール!$B$119:$P$149,2,FALSE)*1000*HUAWEI製ＰＣＳ接続枚数計算ツール!$Y$113)</f>
        <v>0.25041600000000003</v>
      </c>
      <c r="H12" s="85">
        <f>HUAWEI製ＰＣＳ接続枚数計算ツール!$J$116*枚数!H12/(VLOOKUP(HUAWEI製ＰＣＳ接続枚数計算ツール!$C$9, HUAWEI製ＰＣＳ接続枚数計算ツール!$B$119:$P$149,2,FALSE)*1000*HUAWEI製ＰＣＳ接続枚数計算ツール!$Y$113)</f>
        <v>0.29215200000000002</v>
      </c>
      <c r="I12" s="85">
        <f>HUAWEI製ＰＣＳ接続枚数計算ツール!$J$116*枚数!I12/(VLOOKUP(HUAWEI製ＰＣＳ接続枚数計算ツール!$C$9, HUAWEI製ＰＣＳ接続枚数計算ツール!$B$119:$P$149,2,FALSE)*1000*HUAWEI製ＰＣＳ接続枚数計算ツール!$Y$113)</f>
        <v>0.33388800000000002</v>
      </c>
      <c r="J12" s="85">
        <f>HUAWEI製ＰＣＳ接続枚数計算ツール!$J$116*枚数!J12/(VLOOKUP(HUAWEI製ＰＣＳ接続枚数計算ツール!$C$9, HUAWEI製ＰＣＳ接続枚数計算ツール!$B$119:$P$149,2,FALSE)*1000*HUAWEI製ＰＣＳ接続枚数計算ツール!$Y$113)</f>
        <v>0.37562400000000007</v>
      </c>
      <c r="K12" s="85">
        <f>HUAWEI製ＰＣＳ接続枚数計算ツール!$J$116*枚数!K12/(VLOOKUP(HUAWEI製ＰＣＳ接続枚数計算ツール!$C$9, HUAWEI製ＰＣＳ接続枚数計算ツール!$B$119:$P$149,2,FALSE)*1000*HUAWEI製ＰＣＳ接続枚数計算ツール!$Y$113)</f>
        <v>0.41736000000000006</v>
      </c>
      <c r="L12" s="85">
        <f>HUAWEI製ＰＣＳ接続枚数計算ツール!$J$116*枚数!L12/(VLOOKUP(HUAWEI製ＰＣＳ接続枚数計算ツール!$C$9, HUAWEI製ＰＣＳ接続枚数計算ツール!$B$119:$P$149,2,FALSE)*1000*HUAWEI製ＰＣＳ接続枚数計算ツール!$Y$113)</f>
        <v>0.45909600000000006</v>
      </c>
      <c r="M12" s="85">
        <f>HUAWEI製ＰＣＳ接続枚数計算ツール!$J$116*枚数!M12/(VLOOKUP(HUAWEI製ＰＣＳ接続枚数計算ツール!$C$9, HUAWEI製ＰＣＳ接続枚数計算ツール!$B$119:$P$149,2,FALSE)*1000*HUAWEI製ＰＣＳ接続枚数計算ツール!$Y$113)</f>
        <v>0.50083200000000005</v>
      </c>
      <c r="N12" s="85">
        <f>HUAWEI製ＰＣＳ接続枚数計算ツール!$J$116*枚数!N12/(VLOOKUP(HUAWEI製ＰＣＳ接続枚数計算ツール!$C$9, HUAWEI製ＰＣＳ接続枚数計算ツール!$B$119:$P$149,2,FALSE)*1000*HUAWEI製ＰＣＳ接続枚数計算ツール!$Y$113)</f>
        <v>0.54256800000000005</v>
      </c>
      <c r="O12" s="85">
        <f>HUAWEI製ＰＣＳ接続枚数計算ツール!$J$116*枚数!O12/(VLOOKUP(HUAWEI製ＰＣＳ接続枚数計算ツール!$C$9, HUAWEI製ＰＣＳ接続枚数計算ツール!$B$119:$P$149,2,FALSE)*1000*HUAWEI製ＰＣＳ接続枚数計算ツール!$Y$113)</f>
        <v>0.58430400000000005</v>
      </c>
      <c r="P12" s="85">
        <f>HUAWEI製ＰＣＳ接続枚数計算ツール!$J$116*枚数!P12/(VLOOKUP(HUAWEI製ＰＣＳ接続枚数計算ツール!$C$9, HUAWEI製ＰＣＳ接続枚数計算ツール!$B$119:$P$149,2,FALSE)*1000*HUAWEI製ＰＣＳ接続枚数計算ツール!$Y$113)</f>
        <v>0.62604000000000004</v>
      </c>
      <c r="Q12" s="85">
        <f>HUAWEI製ＰＣＳ接続枚数計算ツール!$J$116*枚数!Q12/(VLOOKUP(HUAWEI製ＰＣＳ接続枚数計算ツール!$C$9, HUAWEI製ＰＣＳ接続枚数計算ツール!$B$119:$P$149,2,FALSE)*1000*HUAWEI製ＰＣＳ接続枚数計算ツール!$Y$113)</f>
        <v>0.66777600000000004</v>
      </c>
      <c r="R12" s="85">
        <f>HUAWEI製ＰＣＳ接続枚数計算ツール!$J$116*枚数!R12/(VLOOKUP(HUAWEI製ＰＣＳ接続枚数計算ツール!$C$9, HUAWEI製ＰＣＳ接続枚数計算ツール!$B$119:$P$149,2,FALSE)*1000*HUAWEI製ＰＣＳ接続枚数計算ツール!$Y$113)</f>
        <v>0.70951200000000014</v>
      </c>
      <c r="S12" s="85">
        <f>HUAWEI製ＰＣＳ接続枚数計算ツール!$J$116*枚数!S12/(VLOOKUP(HUAWEI製ＰＣＳ接続枚数計算ツール!$C$9, HUAWEI製ＰＣＳ接続枚数計算ツール!$B$119:$P$149,2,FALSE)*1000*HUAWEI製ＰＣＳ接続枚数計算ツール!$Y$113)</f>
        <v>0.75124800000000014</v>
      </c>
      <c r="T12" s="85">
        <f>HUAWEI製ＰＣＳ接続枚数計算ツール!$J$116*枚数!T12/(VLOOKUP(HUAWEI製ＰＣＳ接続枚数計算ツール!$C$9, HUAWEI製ＰＣＳ接続枚数計算ツール!$B$119:$P$149,2,FALSE)*1000*HUAWEI製ＰＣＳ接続枚数計算ツール!$Y$113)</f>
        <v>0.79298400000000013</v>
      </c>
      <c r="U12" s="85">
        <f>HUAWEI製ＰＣＳ接続枚数計算ツール!$J$116*枚数!U12/(VLOOKUP(HUAWEI製ＰＣＳ接続枚数計算ツール!$C$9, HUAWEI製ＰＣＳ接続枚数計算ツール!$B$119:$P$149,2,FALSE)*1000*HUAWEI製ＰＣＳ接続枚数計算ツール!$Y$113)</f>
        <v>0.83472000000000013</v>
      </c>
      <c r="V12" s="85">
        <f>HUAWEI製ＰＣＳ接続枚数計算ツール!$J$116*枚数!V12/(VLOOKUP(HUAWEI製ＰＣＳ接続枚数計算ツール!$C$9, HUAWEI製ＰＣＳ接続枚数計算ツール!$B$119:$P$149,2,FALSE)*1000*HUAWEI製ＰＣＳ接続枚数計算ツール!$Y$113)</f>
        <v>0.87645600000000012</v>
      </c>
      <c r="W12" s="85">
        <f>HUAWEI製ＰＣＳ接続枚数計算ツール!$J$116*枚数!W12/(VLOOKUP(HUAWEI製ＰＣＳ接続枚数計算ツール!$C$9, HUAWEI製ＰＣＳ接続枚数計算ツール!$B$119:$P$149,2,FALSE)*1000*HUAWEI製ＰＣＳ接続枚数計算ツール!$Y$113)</f>
        <v>0.91819200000000012</v>
      </c>
      <c r="X12" s="85">
        <f>HUAWEI製ＰＣＳ接続枚数計算ツール!$J$116*枚数!X12/(VLOOKUP(HUAWEI製ＰＣＳ接続枚数計算ツール!$C$9, HUAWEI製ＰＣＳ接続枚数計算ツール!$B$119:$P$149,2,FALSE)*1000*HUAWEI製ＰＣＳ接続枚数計算ツール!$Y$113)</f>
        <v>0.95992800000000011</v>
      </c>
      <c r="Y12" s="85">
        <f>HUAWEI製ＰＣＳ接続枚数計算ツール!$J$116*枚数!Y12/(VLOOKUP(HUAWEI製ＰＣＳ接続枚数計算ツール!$C$9, HUAWEI製ＰＣＳ接続枚数計算ツール!$B$119:$P$149,2,FALSE)*1000*HUAWEI製ＰＣＳ接続枚数計算ツール!$Y$113)</f>
        <v>1.0016640000000001</v>
      </c>
      <c r="Z12" s="85">
        <f>HUAWEI製ＰＣＳ接続枚数計算ツール!$J$116*枚数!Z12/(VLOOKUP(HUAWEI製ＰＣＳ接続枚数計算ツール!$C$9, HUAWEI製ＰＣＳ接続枚数計算ツール!$B$119:$P$149,2,FALSE)*1000*HUAWEI製ＰＣＳ接続枚数計算ツール!$Y$113)</f>
        <v>1.0434000000000001</v>
      </c>
      <c r="AA12" s="85">
        <f>HUAWEI製ＰＣＳ接続枚数計算ツール!$J$116*枚数!AA12/(VLOOKUP(HUAWEI製ＰＣＳ接続枚数計算ツール!$C$9, HUAWEI製ＰＣＳ接続枚数計算ツール!$B$119:$P$149,2,FALSE)*1000*HUAWEI製ＰＣＳ接続枚数計算ツール!$Y$113)</f>
        <v>1.0851360000000001</v>
      </c>
      <c r="AB12" s="85">
        <f>HUAWEI製ＰＣＳ接続枚数計算ツール!$J$116*枚数!AB12/(VLOOKUP(HUAWEI製ＰＣＳ接続枚数計算ツール!$C$9, HUAWEI製ＰＣＳ接続枚数計算ツール!$B$119:$P$149,2,FALSE)*1000*HUAWEI製ＰＣＳ接続枚数計算ツール!$Y$113)</f>
        <v>1.1268720000000001</v>
      </c>
      <c r="AC12" s="85">
        <f>HUAWEI製ＰＣＳ接続枚数計算ツール!$J$116*枚数!AC12/(VLOOKUP(HUAWEI製ＰＣＳ接続枚数計算ツール!$C$9, HUAWEI製ＰＣＳ接続枚数計算ツール!$B$119:$P$149,2,FALSE)*1000*HUAWEI製ＰＣＳ接続枚数計算ツール!$Y$113)</f>
        <v>1.1686080000000001</v>
      </c>
      <c r="AD12" s="85">
        <f>HUAWEI製ＰＣＳ接続枚数計算ツール!$J$116*枚数!AD12/(VLOOKUP(HUAWEI製ＰＣＳ接続枚数計算ツール!$C$9, HUAWEI製ＰＣＳ接続枚数計算ツール!$B$119:$P$149,2,FALSE)*1000*HUAWEI製ＰＣＳ接続枚数計算ツール!$Y$113)</f>
        <v>1.2103440000000001</v>
      </c>
      <c r="AE12" s="85">
        <f>HUAWEI製ＰＣＳ接続枚数計算ツール!$J$116*枚数!AE12/(VLOOKUP(HUAWEI製ＰＣＳ接続枚数計算ツール!$C$9, HUAWEI製ＰＣＳ接続枚数計算ツール!$B$119:$P$149,2,FALSE)*1000*HUAWEI製ＰＣＳ接続枚数計算ツール!$Y$113)</f>
        <v>1.2520800000000001</v>
      </c>
      <c r="AF12" s="85">
        <f>HUAWEI製ＰＣＳ接続枚数計算ツール!$J$116*枚数!AF12/(VLOOKUP(HUAWEI製ＰＣＳ接続枚数計算ツール!$C$9, HUAWEI製ＰＣＳ接続枚数計算ツール!$B$119:$P$149,2,FALSE)*1000*HUAWEI製ＰＣＳ接続枚数計算ツール!$Y$113)</f>
        <v>1.2938160000000001</v>
      </c>
      <c r="AG12" s="85">
        <f>HUAWEI製ＰＣＳ接続枚数計算ツール!$J$116*枚数!AG12/(VLOOKUP(HUAWEI製ＰＣＳ接続枚数計算ツール!$C$9, HUAWEI製ＰＣＳ接続枚数計算ツール!$B$119:$P$149,2,FALSE)*1000*HUAWEI製ＰＣＳ接続枚数計算ツール!$Y$113)</f>
        <v>1.3355520000000001</v>
      </c>
      <c r="AH12" s="85">
        <f>HUAWEI製ＰＣＳ接続枚数計算ツール!$J$116*枚数!AH12/(VLOOKUP(HUAWEI製ＰＣＳ接続枚数計算ツール!$C$9, HUAWEI製ＰＣＳ接続枚数計算ツール!$B$119:$P$149,2,FALSE)*1000*HUAWEI製ＰＣＳ接続枚数計算ツール!$Y$113)</f>
        <v>1.3772880000000003</v>
      </c>
      <c r="AI12" s="85">
        <f>HUAWEI製ＰＣＳ接続枚数計算ツール!$J$116*枚数!AI12/(VLOOKUP(HUAWEI製ＰＣＳ接続枚数計算ツール!$C$9, HUAWEI製ＰＣＳ接続枚数計算ツール!$B$119:$P$149,2,FALSE)*1000*HUAWEI製ＰＣＳ接続枚数計算ツール!$Y$113)</f>
        <v>1.4190240000000003</v>
      </c>
      <c r="AJ12" s="85">
        <f>HUAWEI製ＰＣＳ接続枚数計算ツール!$J$116*枚数!AJ12/(VLOOKUP(HUAWEI製ＰＣＳ接続枚数計算ツール!$C$9, HUAWEI製ＰＣＳ接続枚数計算ツール!$B$119:$P$149,2,FALSE)*1000*HUAWEI製ＰＣＳ接続枚数計算ツール!$Y$113)</f>
        <v>1.4607600000000003</v>
      </c>
      <c r="AK12" s="85">
        <f>HUAWEI製ＰＣＳ接続枚数計算ツール!$J$116*枚数!AK12/(VLOOKUP(HUAWEI製ＰＣＳ接続枚数計算ツール!$C$9, HUAWEI製ＰＣＳ接続枚数計算ツール!$B$119:$P$149,2,FALSE)*1000*HUAWEI製ＰＣＳ接続枚数計算ツール!$Y$113)</f>
        <v>1.5024960000000003</v>
      </c>
      <c r="AL12" s="85">
        <f>HUAWEI製ＰＣＳ接続枚数計算ツール!$J$116*枚数!AL12/(VLOOKUP(HUAWEI製ＰＣＳ接続枚数計算ツール!$C$9, HUAWEI製ＰＣＳ接続枚数計算ツール!$B$119:$P$149,2,FALSE)*1000*HUAWEI製ＰＣＳ接続枚数計算ツール!$Y$113)</f>
        <v>1.5442320000000003</v>
      </c>
      <c r="AM12" s="85">
        <f>HUAWEI製ＰＣＳ接続枚数計算ツール!$J$116*枚数!AM12/(VLOOKUP(HUAWEI製ＰＣＳ接続枚数計算ツール!$C$9, HUAWEI製ＰＣＳ接続枚数計算ツール!$B$119:$P$149,2,FALSE)*1000*HUAWEI製ＰＣＳ接続枚数計算ツール!$Y$113)</f>
        <v>1.5859680000000003</v>
      </c>
      <c r="AN12" s="85">
        <f>HUAWEI製ＰＣＳ接続枚数計算ツール!$J$116*枚数!AN12/(VLOOKUP(HUAWEI製ＰＣＳ接続枚数計算ツール!$C$9, HUAWEI製ＰＣＳ接続枚数計算ツール!$B$119:$P$149,2,FALSE)*1000*HUAWEI製ＰＣＳ接続枚数計算ツール!$Y$113)</f>
        <v>1.6277040000000003</v>
      </c>
      <c r="AO12" s="85">
        <f>HUAWEI製ＰＣＳ接続枚数計算ツール!$J$116*枚数!AO12/(VLOOKUP(HUAWEI製ＰＣＳ接続枚数計算ツール!$C$9, HUAWEI製ＰＣＳ接続枚数計算ツール!$B$119:$P$149,2,FALSE)*1000*HUAWEI製ＰＣＳ接続枚数計算ツール!$Y$113)</f>
        <v>1.6694400000000003</v>
      </c>
    </row>
    <row r="13" spans="1:41">
      <c r="A13">
        <v>11</v>
      </c>
      <c r="B13" s="85">
        <f>HUAWEI製ＰＣＳ接続枚数計算ツール!$J$116*枚数!B13/(VLOOKUP(HUAWEI製ＰＣＳ接続枚数計算ツール!$C$9, HUAWEI製ＰＣＳ接続枚数計算ツール!$B$119:$P$149,2,FALSE)*1000*HUAWEI製ＰＣＳ接続枚数計算ツール!$Y$113)</f>
        <v>4.5909600000000009E-2</v>
      </c>
      <c r="C13" s="85">
        <f>HUAWEI製ＰＣＳ接続枚数計算ツール!$J$116*枚数!C13/(VLOOKUP(HUAWEI製ＰＣＳ接続枚数計算ツール!$C$9, HUAWEI製ＰＣＳ接続枚数計算ツール!$B$119:$P$149,2,FALSE)*1000*HUAWEI製ＰＣＳ接続枚数計算ツール!$Y$113)</f>
        <v>9.1819200000000017E-2</v>
      </c>
      <c r="D13" s="85">
        <f>HUAWEI製ＰＣＳ接続枚数計算ツール!$J$116*枚数!D13/(VLOOKUP(HUAWEI製ＰＣＳ接続枚数計算ツール!$C$9, HUAWEI製ＰＣＳ接続枚数計算ツール!$B$119:$P$149,2,FALSE)*1000*HUAWEI製ＰＣＳ接続枚数計算ツール!$Y$113)</f>
        <v>0.13772880000000001</v>
      </c>
      <c r="E13" s="85">
        <f>HUAWEI製ＰＣＳ接続枚数計算ツール!$J$116*枚数!E13/(VLOOKUP(HUAWEI製ＰＣＳ接続枚数計算ツール!$C$9, HUAWEI製ＰＣＳ接続枚数計算ツール!$B$119:$P$149,2,FALSE)*1000*HUAWEI製ＰＣＳ接続枚数計算ツール!$Y$113)</f>
        <v>0.18363840000000003</v>
      </c>
      <c r="F13" s="85">
        <f>HUAWEI製ＰＣＳ接続枚数計算ツール!$J$116*枚数!F13/(VLOOKUP(HUAWEI製ＰＣＳ接続枚数計算ツール!$C$9, HUAWEI製ＰＣＳ接続枚数計算ツール!$B$119:$P$149,2,FALSE)*1000*HUAWEI製ＰＣＳ接続枚数計算ツール!$Y$113)</f>
        <v>0.22954800000000003</v>
      </c>
      <c r="G13" s="85">
        <f>HUAWEI製ＰＣＳ接続枚数計算ツール!$J$116*枚数!G13/(VLOOKUP(HUAWEI製ＰＣＳ接続枚数計算ツール!$C$9, HUAWEI製ＰＣＳ接続枚数計算ツール!$B$119:$P$149,2,FALSE)*1000*HUAWEI製ＰＣＳ接続枚数計算ツール!$Y$113)</f>
        <v>0.27545760000000002</v>
      </c>
      <c r="H13" s="85">
        <f>HUAWEI製ＰＣＳ接続枚数計算ツール!$J$116*枚数!H13/(VLOOKUP(HUAWEI製ＰＣＳ接続枚数計算ツール!$C$9, HUAWEI製ＰＣＳ接続枚数計算ツール!$B$119:$P$149,2,FALSE)*1000*HUAWEI製ＰＣＳ接続枚数計算ツール!$Y$113)</f>
        <v>0.32136720000000002</v>
      </c>
      <c r="I13" s="85">
        <f>HUAWEI製ＰＣＳ接続枚数計算ツール!$J$116*枚数!I13/(VLOOKUP(HUAWEI製ＰＣＳ接続枚数計算ツール!$C$9, HUAWEI製ＰＣＳ接続枚数計算ツール!$B$119:$P$149,2,FALSE)*1000*HUAWEI製ＰＣＳ接続枚数計算ツール!$Y$113)</f>
        <v>0.36727680000000007</v>
      </c>
      <c r="J13" s="85">
        <f>HUAWEI製ＰＣＳ接続枚数計算ツール!$J$116*枚数!J13/(VLOOKUP(HUAWEI製ＰＣＳ接続枚数計算ツール!$C$9, HUAWEI製ＰＣＳ接続枚数計算ツール!$B$119:$P$149,2,FALSE)*1000*HUAWEI製ＰＣＳ接続枚数計算ツール!$Y$113)</f>
        <v>0.41318640000000001</v>
      </c>
      <c r="K13" s="85">
        <f>HUAWEI製ＰＣＳ接続枚数計算ツール!$J$116*枚数!K13/(VLOOKUP(HUAWEI製ＰＣＳ接続枚数計算ツール!$C$9, HUAWEI製ＰＣＳ接続枚数計算ツール!$B$119:$P$149,2,FALSE)*1000*HUAWEI製ＰＣＳ接続枚数計算ツール!$Y$113)</f>
        <v>0.45909600000000006</v>
      </c>
      <c r="L13" s="85">
        <f>HUAWEI製ＰＣＳ接続枚数計算ツール!$J$116*枚数!L13/(VLOOKUP(HUAWEI製ＰＣＳ接続枚数計算ツール!$C$9, HUAWEI製ＰＣＳ接続枚数計算ツール!$B$119:$P$149,2,FALSE)*1000*HUAWEI製ＰＣＳ接続枚数計算ツール!$Y$113)</f>
        <v>0.50500560000000005</v>
      </c>
      <c r="M13" s="85">
        <f>HUAWEI製ＰＣＳ接続枚数計算ツール!$J$116*枚数!M13/(VLOOKUP(HUAWEI製ＰＣＳ接続枚数計算ツール!$C$9, HUAWEI製ＰＣＳ接続枚数計算ツール!$B$119:$P$149,2,FALSE)*1000*HUAWEI製ＰＣＳ接続枚数計算ツール!$Y$113)</f>
        <v>0.55091520000000005</v>
      </c>
      <c r="N13" s="85">
        <f>HUAWEI製ＰＣＳ接続枚数計算ツール!$J$116*枚数!N13/(VLOOKUP(HUAWEI製ＰＣＳ接続枚数計算ツール!$C$9, HUAWEI製ＰＣＳ接続枚数計算ツール!$B$119:$P$149,2,FALSE)*1000*HUAWEI製ＰＣＳ接続枚数計算ツール!$Y$113)</f>
        <v>0.59682480000000004</v>
      </c>
      <c r="O13" s="85">
        <f>HUAWEI製ＰＣＳ接続枚数計算ツール!$J$116*枚数!O13/(VLOOKUP(HUAWEI製ＰＣＳ接続枚数計算ツール!$C$9, HUAWEI製ＰＣＳ接続枚数計算ツール!$B$119:$P$149,2,FALSE)*1000*HUAWEI製ＰＣＳ接続枚数計算ツール!$Y$113)</f>
        <v>0.64273440000000004</v>
      </c>
      <c r="P13" s="85">
        <f>HUAWEI製ＰＣＳ接続枚数計算ツール!$J$116*枚数!P13/(VLOOKUP(HUAWEI製ＰＣＳ接続枚数計算ツール!$C$9, HUAWEI製ＰＣＳ接続枚数計算ツール!$B$119:$P$149,2,FALSE)*1000*HUAWEI製ＰＣＳ接続枚数計算ツール!$Y$113)</f>
        <v>0.68864400000000014</v>
      </c>
      <c r="Q13" s="85">
        <f>HUAWEI製ＰＣＳ接続枚数計算ツール!$J$116*枚数!Q13/(VLOOKUP(HUAWEI製ＰＣＳ接続枚数計算ツール!$C$9, HUAWEI製ＰＣＳ接続枚数計算ツール!$B$119:$P$149,2,FALSE)*1000*HUAWEI製ＰＣＳ接続枚数計算ツール!$Y$113)</f>
        <v>0.73455360000000014</v>
      </c>
      <c r="R13" s="85">
        <f>HUAWEI製ＰＣＳ接続枚数計算ツール!$J$116*枚数!R13/(VLOOKUP(HUAWEI製ＰＣＳ接続枚数計算ツール!$C$9, HUAWEI製ＰＣＳ接続枚数計算ツール!$B$119:$P$149,2,FALSE)*1000*HUAWEI製ＰＣＳ接続枚数計算ツール!$Y$113)</f>
        <v>0.78046320000000002</v>
      </c>
      <c r="S13" s="85">
        <f>HUAWEI製ＰＣＳ接続枚数計算ツール!$J$116*枚数!S13/(VLOOKUP(HUAWEI製ＰＣＳ接続枚数計算ツール!$C$9, HUAWEI製ＰＣＳ接続枚数計算ツール!$B$119:$P$149,2,FALSE)*1000*HUAWEI製ＰＣＳ接続枚数計算ツール!$Y$113)</f>
        <v>0.82637280000000002</v>
      </c>
      <c r="T13" s="85">
        <f>HUAWEI製ＰＣＳ接続枚数計算ツール!$J$116*枚数!T13/(VLOOKUP(HUAWEI製ＰＣＳ接続枚数計算ツール!$C$9, HUAWEI製ＰＣＳ接続枚数計算ツール!$B$119:$P$149,2,FALSE)*1000*HUAWEI製ＰＣＳ接続枚数計算ツール!$Y$113)</f>
        <v>0.87228240000000001</v>
      </c>
      <c r="U13" s="85">
        <f>HUAWEI製ＰＣＳ接続枚数計算ツール!$J$116*枚数!U13/(VLOOKUP(HUAWEI製ＰＣＳ接続枚数計算ツール!$C$9, HUAWEI製ＰＣＳ接続枚数計算ツール!$B$119:$P$149,2,FALSE)*1000*HUAWEI製ＰＣＳ接続枚数計算ツール!$Y$113)</f>
        <v>0.91819200000000012</v>
      </c>
      <c r="V13" s="85">
        <f>HUAWEI製ＰＣＳ接続枚数計算ツール!$J$116*枚数!V13/(VLOOKUP(HUAWEI製ＰＣＳ接続枚数計算ツール!$C$9, HUAWEI製ＰＣＳ接続枚数計算ツール!$B$119:$P$149,2,FALSE)*1000*HUAWEI製ＰＣＳ接続枚数計算ツール!$Y$113)</f>
        <v>0.96410160000000011</v>
      </c>
      <c r="W13" s="85">
        <f>HUAWEI製ＰＣＳ接続枚数計算ツール!$J$116*枚数!W13/(VLOOKUP(HUAWEI製ＰＣＳ接続枚数計算ツール!$C$9, HUAWEI製ＰＣＳ接続枚数計算ツール!$B$119:$P$149,2,FALSE)*1000*HUAWEI製ＰＣＳ接続枚数計算ツール!$Y$113)</f>
        <v>1.0100112000000001</v>
      </c>
      <c r="X13" s="85">
        <f>HUAWEI製ＰＣＳ接続枚数計算ツール!$J$116*枚数!X13/(VLOOKUP(HUAWEI製ＰＣＳ接続枚数計算ツール!$C$9, HUAWEI製ＰＣＳ接続枚数計算ツール!$B$119:$P$149,2,FALSE)*1000*HUAWEI製ＰＣＳ接続枚数計算ツール!$Y$113)</f>
        <v>1.0559208</v>
      </c>
      <c r="Y13" s="85">
        <f>HUAWEI製ＰＣＳ接続枚数計算ツール!$J$116*枚数!Y13/(VLOOKUP(HUAWEI製ＰＣＳ接続枚数計算ツール!$C$9, HUAWEI製ＰＣＳ接続枚数計算ツール!$B$119:$P$149,2,FALSE)*1000*HUAWEI製ＰＣＳ接続枚数計算ツール!$Y$113)</f>
        <v>1.1018304000000001</v>
      </c>
      <c r="Z13" s="85">
        <f>HUAWEI製ＰＣＳ接続枚数計算ツール!$J$116*枚数!Z13/(VLOOKUP(HUAWEI製ＰＣＳ接続枚数計算ツール!$C$9, HUAWEI製ＰＣＳ接続枚数計算ツール!$B$119:$P$149,2,FALSE)*1000*HUAWEI製ＰＣＳ接続枚数計算ツール!$Y$113)</f>
        <v>1.14774</v>
      </c>
      <c r="AA13" s="85">
        <f>HUAWEI製ＰＣＳ接続枚数計算ツール!$J$116*枚数!AA13/(VLOOKUP(HUAWEI製ＰＣＳ接続枚数計算ツール!$C$9, HUAWEI製ＰＣＳ接続枚数計算ツール!$B$119:$P$149,2,FALSE)*1000*HUAWEI製ＰＣＳ接続枚数計算ツール!$Y$113)</f>
        <v>1.1936496000000001</v>
      </c>
      <c r="AB13" s="85">
        <f>HUAWEI製ＰＣＳ接続枚数計算ツール!$J$116*枚数!AB13/(VLOOKUP(HUAWEI製ＰＣＳ接続枚数計算ツール!$C$9, HUAWEI製ＰＣＳ接続枚数計算ツール!$B$119:$P$149,2,FALSE)*1000*HUAWEI製ＰＣＳ接続枚数計算ツール!$Y$113)</f>
        <v>1.2395592000000002</v>
      </c>
      <c r="AC13" s="85">
        <f>HUAWEI製ＰＣＳ接続枚数計算ツール!$J$116*枚数!AC13/(VLOOKUP(HUAWEI製ＰＣＳ接続枚数計算ツール!$C$9, HUAWEI製ＰＣＳ接続枚数計算ツール!$B$119:$P$149,2,FALSE)*1000*HUAWEI製ＰＣＳ接続枚数計算ツール!$Y$113)</f>
        <v>1.2854688000000001</v>
      </c>
      <c r="AD13" s="85">
        <f>HUAWEI製ＰＣＳ接続枚数計算ツール!$J$116*枚数!AD13/(VLOOKUP(HUAWEI製ＰＣＳ接続枚数計算ツール!$C$9, HUAWEI製ＰＣＳ接続枚数計算ツール!$B$119:$P$149,2,FALSE)*1000*HUAWEI製ＰＣＳ接続枚数計算ツール!$Y$113)</f>
        <v>1.3313784000000002</v>
      </c>
      <c r="AE13" s="85">
        <f>HUAWEI製ＰＣＳ接続枚数計算ツール!$J$116*枚数!AE13/(VLOOKUP(HUAWEI製ＰＣＳ接続枚数計算ツール!$C$9, HUAWEI製ＰＣＳ接続枚数計算ツール!$B$119:$P$149,2,FALSE)*1000*HUAWEI製ＰＣＳ接続枚数計算ツール!$Y$113)</f>
        <v>1.3772880000000003</v>
      </c>
      <c r="AF13" s="85">
        <f>HUAWEI製ＰＣＳ接続枚数計算ツール!$J$116*枚数!AF13/(VLOOKUP(HUAWEI製ＰＣＳ接続枚数計算ツール!$C$9, HUAWEI製ＰＣＳ接続枚数計算ツール!$B$119:$P$149,2,FALSE)*1000*HUAWEI製ＰＣＳ接続枚数計算ツール!$Y$113)</f>
        <v>1.4231976000000002</v>
      </c>
      <c r="AG13" s="85">
        <f>HUAWEI製ＰＣＳ接続枚数計算ツール!$J$116*枚数!AG13/(VLOOKUP(HUAWEI製ＰＣＳ接続枚数計算ツール!$C$9, HUAWEI製ＰＣＳ接続枚数計算ツール!$B$119:$P$149,2,FALSE)*1000*HUAWEI製ＰＣＳ接続枚数計算ツール!$Y$113)</f>
        <v>1.4691072000000003</v>
      </c>
      <c r="AH13" s="85">
        <f>HUAWEI製ＰＣＳ接続枚数計算ツール!$J$116*枚数!AH13/(VLOOKUP(HUAWEI製ＰＣＳ接続枚数計算ツール!$C$9, HUAWEI製ＰＣＳ接続枚数計算ツール!$B$119:$P$149,2,FALSE)*1000*HUAWEI製ＰＣＳ接続枚数計算ツール!$Y$113)</f>
        <v>1.5150167999999999</v>
      </c>
      <c r="AI13" s="85">
        <f>HUAWEI製ＰＣＳ接続枚数計算ツール!$J$116*枚数!AI13/(VLOOKUP(HUAWEI製ＰＣＳ接続枚数計算ツール!$C$9, HUAWEI製ＰＣＳ接続枚数計算ツール!$B$119:$P$149,2,FALSE)*1000*HUAWEI製ＰＣＳ接続枚数計算ツール!$Y$113)</f>
        <v>1.5609264</v>
      </c>
      <c r="AJ13" s="85">
        <f>HUAWEI製ＰＣＳ接続枚数計算ツール!$J$116*枚数!AJ13/(VLOOKUP(HUAWEI製ＰＣＳ接続枚数計算ツール!$C$9, HUAWEI製ＰＣＳ接続枚数計算ツール!$B$119:$P$149,2,FALSE)*1000*HUAWEI製ＰＣＳ接続枚数計算ツール!$Y$113)</f>
        <v>1.6068360000000002</v>
      </c>
      <c r="AK13" s="85">
        <f>HUAWEI製ＰＣＳ接続枚数計算ツール!$J$116*枚数!AK13/(VLOOKUP(HUAWEI製ＰＣＳ接続枚数計算ツール!$C$9, HUAWEI製ＰＣＳ接続枚数計算ツール!$B$119:$P$149,2,FALSE)*1000*HUAWEI製ＰＣＳ接続枚数計算ツール!$Y$113)</f>
        <v>1.6527456</v>
      </c>
      <c r="AL13" s="85">
        <f>HUAWEI製ＰＣＳ接続枚数計算ツール!$J$116*枚数!AL13/(VLOOKUP(HUAWEI製ＰＣＳ接続枚数計算ツール!$C$9, HUAWEI製ＰＣＳ接続枚数計算ツール!$B$119:$P$149,2,FALSE)*1000*HUAWEI製ＰＣＳ接続枚数計算ツール!$Y$113)</f>
        <v>1.6986552000000001</v>
      </c>
      <c r="AM13" s="85">
        <f>HUAWEI製ＰＣＳ接続枚数計算ツール!$J$116*枚数!AM13/(VLOOKUP(HUAWEI製ＰＣＳ接続枚数計算ツール!$C$9, HUAWEI製ＰＣＳ接続枚数計算ツール!$B$119:$P$149,2,FALSE)*1000*HUAWEI製ＰＣＳ接続枚数計算ツール!$Y$113)</f>
        <v>1.7445648</v>
      </c>
      <c r="AN13" s="85">
        <f>HUAWEI製ＰＣＳ接続枚数計算ツール!$J$116*枚数!AN13/(VLOOKUP(HUAWEI製ＰＣＳ接続枚数計算ツール!$C$9, HUAWEI製ＰＣＳ接続枚数計算ツール!$B$119:$P$149,2,FALSE)*1000*HUAWEI製ＰＣＳ接続枚数計算ツール!$Y$113)</f>
        <v>1.7904744000000001</v>
      </c>
      <c r="AO13" s="85">
        <f>HUAWEI製ＰＣＳ接続枚数計算ツール!$J$116*枚数!AO13/(VLOOKUP(HUAWEI製ＰＣＳ接続枚数計算ツール!$C$9, HUAWEI製ＰＣＳ接続枚数計算ツール!$B$119:$P$149,2,FALSE)*1000*HUAWEI製ＰＣＳ接続枚数計算ツール!$Y$113)</f>
        <v>1.8363840000000002</v>
      </c>
    </row>
    <row r="14" spans="1:41">
      <c r="A14">
        <v>12</v>
      </c>
      <c r="B14" s="85">
        <f>HUAWEI製ＰＣＳ接続枚数計算ツール!$J$116*枚数!B14/(VLOOKUP(HUAWEI製ＰＣＳ接続枚数計算ツール!$C$9, HUAWEI製ＰＣＳ接続枚数計算ツール!$B$119:$P$149,2,FALSE)*1000*HUAWEI製ＰＣＳ接続枚数計算ツール!$Y$113)</f>
        <v>5.0083200000000001E-2</v>
      </c>
      <c r="C14" s="85">
        <f>HUAWEI製ＰＣＳ接続枚数計算ツール!$J$116*枚数!C14/(VLOOKUP(HUAWEI製ＰＣＳ接続枚数計算ツール!$C$9, HUAWEI製ＰＣＳ接続枚数計算ツール!$B$119:$P$149,2,FALSE)*1000*HUAWEI製ＰＣＳ接続枚数計算ツール!$Y$113)</f>
        <v>0.1001664</v>
      </c>
      <c r="D14" s="85">
        <f>HUAWEI製ＰＣＳ接続枚数計算ツール!$J$116*枚数!D14/(VLOOKUP(HUAWEI製ＰＣＳ接続枚数計算ツール!$C$9, HUAWEI製ＰＣＳ接続枚数計算ツール!$B$119:$P$149,2,FALSE)*1000*HUAWEI製ＰＣＳ接続枚数計算ツール!$Y$113)</f>
        <v>0.15024960000000001</v>
      </c>
      <c r="E14" s="85">
        <f>HUAWEI製ＰＣＳ接続枚数計算ツール!$J$116*枚数!E14/(VLOOKUP(HUAWEI製ＰＣＳ接続枚数計算ツール!$C$9, HUAWEI製ＰＣＳ接続枚数計算ツール!$B$119:$P$149,2,FALSE)*1000*HUAWEI製ＰＣＳ接続枚数計算ツール!$Y$113)</f>
        <v>0.20033280000000001</v>
      </c>
      <c r="F14" s="85">
        <f>HUAWEI製ＰＣＳ接続枚数計算ツール!$J$116*枚数!F14/(VLOOKUP(HUAWEI製ＰＣＳ接続枚数計算ツール!$C$9, HUAWEI製ＰＣＳ接続枚数計算ツール!$B$119:$P$149,2,FALSE)*1000*HUAWEI製ＰＣＳ接続枚数計算ツール!$Y$113)</f>
        <v>0.25041600000000003</v>
      </c>
      <c r="G14" s="85">
        <f>HUAWEI製ＰＣＳ接続枚数計算ツール!$J$116*枚数!G14/(VLOOKUP(HUAWEI製ＰＣＳ接続枚数計算ツール!$C$9, HUAWEI製ＰＣＳ接続枚数計算ツール!$B$119:$P$149,2,FALSE)*1000*HUAWEI製ＰＣＳ接続枚数計算ツール!$Y$113)</f>
        <v>0.30049920000000002</v>
      </c>
      <c r="H14" s="85">
        <f>HUAWEI製ＰＣＳ接続枚数計算ツール!$J$116*枚数!H14/(VLOOKUP(HUAWEI製ＰＣＳ接続枚数計算ツール!$C$9, HUAWEI製ＰＣＳ接続枚数計算ツール!$B$119:$P$149,2,FALSE)*1000*HUAWEI製ＰＣＳ接続枚数計算ツール!$Y$113)</f>
        <v>0.35058240000000002</v>
      </c>
      <c r="I14" s="85">
        <f>HUAWEI製ＰＣＳ接続枚数計算ツール!$J$116*枚数!I14/(VLOOKUP(HUAWEI製ＰＣＳ接続枚数計算ツール!$C$9, HUAWEI製ＰＣＳ接続枚数計算ツール!$B$119:$P$149,2,FALSE)*1000*HUAWEI製ＰＣＳ接続枚数計算ツール!$Y$113)</f>
        <v>0.40066560000000001</v>
      </c>
      <c r="J14" s="85">
        <f>HUAWEI製ＰＣＳ接続枚数計算ツール!$J$116*枚数!J14/(VLOOKUP(HUAWEI製ＰＣＳ接続枚数計算ツール!$C$9, HUAWEI製ＰＣＳ接続枚数計算ツール!$B$119:$P$149,2,FALSE)*1000*HUAWEI製ＰＣＳ接続枚数計算ツール!$Y$113)</f>
        <v>0.45074880000000006</v>
      </c>
      <c r="K14" s="85">
        <f>HUAWEI製ＰＣＳ接続枚数計算ツール!$J$116*枚数!K14/(VLOOKUP(HUAWEI製ＰＣＳ接続枚数計算ツール!$C$9, HUAWEI製ＰＣＳ接続枚数計算ツール!$B$119:$P$149,2,FALSE)*1000*HUAWEI製ＰＣＳ接続枚数計算ツール!$Y$113)</f>
        <v>0.50083200000000005</v>
      </c>
      <c r="L14" s="85">
        <f>HUAWEI製ＰＣＳ接続枚数計算ツール!$J$116*枚数!L14/(VLOOKUP(HUAWEI製ＰＣＳ接続枚数計算ツール!$C$9, HUAWEI製ＰＣＳ接続枚数計算ツール!$B$119:$P$149,2,FALSE)*1000*HUAWEI製ＰＣＳ接続枚数計算ツール!$Y$113)</f>
        <v>0.55091520000000005</v>
      </c>
      <c r="M14" s="85">
        <f>HUAWEI製ＰＣＳ接続枚数計算ツール!$J$116*枚数!M14/(VLOOKUP(HUAWEI製ＰＣＳ接続枚数計算ツール!$C$9, HUAWEI製ＰＣＳ接続枚数計算ツール!$B$119:$P$149,2,FALSE)*1000*HUAWEI製ＰＣＳ接続枚数計算ツール!$Y$113)</f>
        <v>0.60099840000000004</v>
      </c>
      <c r="N14" s="85">
        <f>HUAWEI製ＰＣＳ接続枚数計算ツール!$J$116*枚数!N14/(VLOOKUP(HUAWEI製ＰＣＳ接続枚数計算ツール!$C$9, HUAWEI製ＰＣＳ接続枚数計算ツール!$B$119:$P$149,2,FALSE)*1000*HUAWEI製ＰＣＳ接続枚数計算ツール!$Y$113)</f>
        <v>0.65108160000000004</v>
      </c>
      <c r="O14" s="85">
        <f>HUAWEI製ＰＣＳ接続枚数計算ツール!$J$116*枚数!O14/(VLOOKUP(HUAWEI製ＰＣＳ接続枚数計算ツール!$C$9, HUAWEI製ＰＣＳ接続枚数計算ツール!$B$119:$P$149,2,FALSE)*1000*HUAWEI製ＰＣＳ接続枚数計算ツール!$Y$113)</f>
        <v>0.70116480000000003</v>
      </c>
      <c r="P14" s="85">
        <f>HUAWEI製ＰＣＳ接続枚数計算ツール!$J$116*枚数!P14/(VLOOKUP(HUAWEI製ＰＣＳ接続枚数計算ツール!$C$9, HUAWEI製ＰＣＳ接続枚数計算ツール!$B$119:$P$149,2,FALSE)*1000*HUAWEI製ＰＣＳ接続枚数計算ツール!$Y$113)</f>
        <v>0.75124800000000014</v>
      </c>
      <c r="Q14" s="85">
        <f>HUAWEI製ＰＣＳ接続枚数計算ツール!$J$116*枚数!Q14/(VLOOKUP(HUAWEI製ＰＣＳ接続枚数計算ツール!$C$9, HUAWEI製ＰＣＳ接続枚数計算ツール!$B$119:$P$149,2,FALSE)*1000*HUAWEI製ＰＣＳ接続枚数計算ツール!$Y$113)</f>
        <v>0.80133120000000002</v>
      </c>
      <c r="R14" s="85">
        <f>HUAWEI製ＰＣＳ接続枚数計算ツール!$J$116*枚数!R14/(VLOOKUP(HUAWEI製ＰＣＳ接続枚数計算ツール!$C$9, HUAWEI製ＰＣＳ接続枚数計算ツール!$B$119:$P$149,2,FALSE)*1000*HUAWEI製ＰＣＳ接続枚数計算ツール!$Y$113)</f>
        <v>0.85141440000000002</v>
      </c>
      <c r="S14" s="85">
        <f>HUAWEI製ＰＣＳ接続枚数計算ツール!$J$116*枚数!S14/(VLOOKUP(HUAWEI製ＰＣＳ接続枚数計算ツール!$C$9, HUAWEI製ＰＣＳ接続枚数計算ツール!$B$119:$P$149,2,FALSE)*1000*HUAWEI製ＰＣＳ接続枚数計算ツール!$Y$113)</f>
        <v>0.90149760000000012</v>
      </c>
      <c r="T14" s="85">
        <f>HUAWEI製ＰＣＳ接続枚数計算ツール!$J$116*枚数!T14/(VLOOKUP(HUAWEI製ＰＣＳ接続枚数計算ツール!$C$9, HUAWEI製ＰＣＳ接続枚数計算ツール!$B$119:$P$149,2,FALSE)*1000*HUAWEI製ＰＣＳ接続枚数計算ツール!$Y$113)</f>
        <v>0.9515808</v>
      </c>
      <c r="U14" s="85">
        <f>HUAWEI製ＰＣＳ接続枚数計算ツール!$J$116*枚数!U14/(VLOOKUP(HUAWEI製ＰＣＳ接続枚数計算ツール!$C$9, HUAWEI製ＰＣＳ接続枚数計算ツール!$B$119:$P$149,2,FALSE)*1000*HUAWEI製ＰＣＳ接続枚数計算ツール!$Y$113)</f>
        <v>1.0016640000000001</v>
      </c>
      <c r="V14" s="85">
        <f>HUAWEI製ＰＣＳ接続枚数計算ツール!$J$116*枚数!V14/(VLOOKUP(HUAWEI製ＰＣＳ接続枚数計算ツール!$C$9, HUAWEI製ＰＣＳ接続枚数計算ツール!$B$119:$P$149,2,FALSE)*1000*HUAWEI製ＰＣＳ接続枚数計算ツール!$Y$113)</f>
        <v>1.0517472000000001</v>
      </c>
      <c r="W14" s="85">
        <f>HUAWEI製ＰＣＳ接続枚数計算ツール!$J$116*枚数!W14/(VLOOKUP(HUAWEI製ＰＣＳ接続枚数計算ツール!$C$9, HUAWEI製ＰＣＳ接続枚数計算ツール!$B$119:$P$149,2,FALSE)*1000*HUAWEI製ＰＣＳ接続枚数計算ツール!$Y$113)</f>
        <v>1.1018304000000001</v>
      </c>
      <c r="X14" s="85">
        <f>HUAWEI製ＰＣＳ接続枚数計算ツール!$J$116*枚数!X14/(VLOOKUP(HUAWEI製ＰＣＳ接続枚数計算ツール!$C$9, HUAWEI製ＰＣＳ接続枚数計算ツール!$B$119:$P$149,2,FALSE)*1000*HUAWEI製ＰＣＳ接続枚数計算ツール!$Y$113)</f>
        <v>1.1519136000000001</v>
      </c>
      <c r="Y14" s="85">
        <f>HUAWEI製ＰＣＳ接続枚数計算ツール!$J$116*枚数!Y14/(VLOOKUP(HUAWEI製ＰＣＳ接続枚数計算ツール!$C$9, HUAWEI製ＰＣＳ接続枚数計算ツール!$B$119:$P$149,2,FALSE)*1000*HUAWEI製ＰＣＳ接続枚数計算ツール!$Y$113)</f>
        <v>1.2019968000000001</v>
      </c>
      <c r="Z14" s="85">
        <f>HUAWEI製ＰＣＳ接続枚数計算ツール!$J$116*枚数!Z14/(VLOOKUP(HUAWEI製ＰＣＳ接続枚数計算ツール!$C$9, HUAWEI製ＰＣＳ接続枚数計算ツール!$B$119:$P$149,2,FALSE)*1000*HUAWEI製ＰＣＳ接続枚数計算ツール!$Y$113)</f>
        <v>1.2520800000000001</v>
      </c>
      <c r="AA14" s="85">
        <f>HUAWEI製ＰＣＳ接続枚数計算ツール!$J$116*枚数!AA14/(VLOOKUP(HUAWEI製ＰＣＳ接続枚数計算ツール!$C$9, HUAWEI製ＰＣＳ接続枚数計算ツール!$B$119:$P$149,2,FALSE)*1000*HUAWEI製ＰＣＳ接続枚数計算ツール!$Y$113)</f>
        <v>1.3021632000000001</v>
      </c>
      <c r="AB14" s="85">
        <f>HUAWEI製ＰＣＳ接続枚数計算ツール!$J$116*枚数!AB14/(VLOOKUP(HUAWEI製ＰＣＳ接続枚数計算ツール!$C$9, HUAWEI製ＰＣＳ接続枚数計算ツール!$B$119:$P$149,2,FALSE)*1000*HUAWEI製ＰＣＳ接続枚数計算ツール!$Y$113)</f>
        <v>1.3522464000000001</v>
      </c>
      <c r="AC14" s="85">
        <f>HUAWEI製ＰＣＳ接続枚数計算ツール!$J$116*枚数!AC14/(VLOOKUP(HUAWEI製ＰＣＳ接続枚数計算ツール!$C$9, HUAWEI製ＰＣＳ接続枚数計算ツール!$B$119:$P$149,2,FALSE)*1000*HUAWEI製ＰＣＳ接続枚数計算ツール!$Y$113)</f>
        <v>1.4023296000000001</v>
      </c>
      <c r="AD14" s="85">
        <f>HUAWEI製ＰＣＳ接続枚数計算ツール!$J$116*枚数!AD14/(VLOOKUP(HUAWEI製ＰＣＳ接続枚数計算ツール!$C$9, HUAWEI製ＰＣＳ接続枚数計算ツール!$B$119:$P$149,2,FALSE)*1000*HUAWEI製ＰＣＳ接続枚数計算ツール!$Y$113)</f>
        <v>1.4524128000000001</v>
      </c>
      <c r="AE14" s="85">
        <f>HUAWEI製ＰＣＳ接続枚数計算ツール!$J$116*枚数!AE14/(VLOOKUP(HUAWEI製ＰＣＳ接続枚数計算ツール!$C$9, HUAWEI製ＰＣＳ接続枚数計算ツール!$B$119:$P$149,2,FALSE)*1000*HUAWEI製ＰＣＳ接続枚数計算ツール!$Y$113)</f>
        <v>1.5024960000000003</v>
      </c>
      <c r="AF14" s="85">
        <f>HUAWEI製ＰＣＳ接続枚数計算ツール!$J$116*枚数!AF14/(VLOOKUP(HUAWEI製ＰＣＳ接続枚数計算ツール!$C$9, HUAWEI製ＰＣＳ接続枚数計算ツール!$B$119:$P$149,2,FALSE)*1000*HUAWEI製ＰＣＳ接続枚数計算ツール!$Y$113)</f>
        <v>1.5525792000000003</v>
      </c>
      <c r="AG14" s="85">
        <f>HUAWEI製ＰＣＳ接続枚数計算ツール!$J$116*枚数!AG14/(VLOOKUP(HUAWEI製ＰＣＳ接続枚数計算ツール!$C$9, HUAWEI製ＰＣＳ接続枚数計算ツール!$B$119:$P$149,2,FALSE)*1000*HUAWEI製ＰＣＳ接続枚数計算ツール!$Y$113)</f>
        <v>1.6026624</v>
      </c>
      <c r="AH14" s="85">
        <f>HUAWEI製ＰＣＳ接続枚数計算ツール!$J$116*枚数!AH14/(VLOOKUP(HUAWEI製ＰＣＳ接続枚数計算ツール!$C$9, HUAWEI製ＰＣＳ接続枚数計算ツール!$B$119:$P$149,2,FALSE)*1000*HUAWEI製ＰＣＳ接続枚数計算ツール!$Y$113)</f>
        <v>1.6527456</v>
      </c>
      <c r="AI14" s="85">
        <f>HUAWEI製ＰＣＳ接続枚数計算ツール!$J$116*枚数!AI14/(VLOOKUP(HUAWEI製ＰＣＳ接続枚数計算ツール!$C$9, HUAWEI製ＰＣＳ接続枚数計算ツール!$B$119:$P$149,2,FALSE)*1000*HUAWEI製ＰＣＳ接続枚数計算ツール!$Y$113)</f>
        <v>1.7028288</v>
      </c>
      <c r="AJ14" s="85">
        <f>HUAWEI製ＰＣＳ接続枚数計算ツール!$J$116*枚数!AJ14/(VLOOKUP(HUAWEI製ＰＣＳ接続枚数計算ツール!$C$9, HUAWEI製ＰＣＳ接続枚数計算ツール!$B$119:$P$149,2,FALSE)*1000*HUAWEI製ＰＣＳ接続枚数計算ツール!$Y$113)</f>
        <v>1.7529120000000002</v>
      </c>
      <c r="AK14" s="85">
        <f>HUAWEI製ＰＣＳ接続枚数計算ツール!$J$116*枚数!AK14/(VLOOKUP(HUAWEI製ＰＣＳ接続枚数計算ツール!$C$9, HUAWEI製ＰＣＳ接続枚数計算ツール!$B$119:$P$149,2,FALSE)*1000*HUAWEI製ＰＣＳ接続枚数計算ツール!$Y$113)</f>
        <v>1.8029952000000002</v>
      </c>
      <c r="AL14" s="85">
        <f>HUAWEI製ＰＣＳ接続枚数計算ツール!$J$116*枚数!AL14/(VLOOKUP(HUAWEI製ＰＣＳ接続枚数計算ツール!$C$9, HUAWEI製ＰＣＳ接続枚数計算ツール!$B$119:$P$149,2,FALSE)*1000*HUAWEI製ＰＣＳ接続枚数計算ツール!$Y$113)</f>
        <v>1.8530784000000002</v>
      </c>
      <c r="AM14" s="85">
        <f>HUAWEI製ＰＣＳ接続枚数計算ツール!$J$116*枚数!AM14/(VLOOKUP(HUAWEI製ＰＣＳ接続枚数計算ツール!$C$9, HUAWEI製ＰＣＳ接続枚数計算ツール!$B$119:$P$149,2,FALSE)*1000*HUAWEI製ＰＣＳ接続枚数計算ツール!$Y$113)</f>
        <v>1.9031616</v>
      </c>
      <c r="AN14" s="85">
        <f>HUAWEI製ＰＣＳ接続枚数計算ツール!$J$116*枚数!AN14/(VLOOKUP(HUAWEI製ＰＣＳ接続枚数計算ツール!$C$9, HUAWEI製ＰＣＳ接続枚数計算ツール!$B$119:$P$149,2,FALSE)*1000*HUAWEI製ＰＣＳ接続枚数計算ツール!$Y$113)</f>
        <v>1.9532448000000002</v>
      </c>
      <c r="AO14" s="85">
        <f>HUAWEI製ＰＣＳ接続枚数計算ツール!$J$116*枚数!AO14/(VLOOKUP(HUAWEI製ＰＣＳ接続枚数計算ツール!$C$9, HUAWEI製ＰＣＳ接続枚数計算ツール!$B$119:$P$149,2,FALSE)*1000*HUAWEI製ＰＣＳ接続枚数計算ツール!$Y$113)</f>
        <v>2.0033280000000002</v>
      </c>
    </row>
    <row r="15" spans="1:41">
      <c r="A15">
        <v>13</v>
      </c>
      <c r="B15" s="85">
        <f>HUAWEI製ＰＣＳ接続枚数計算ツール!$J$116*枚数!B15/(VLOOKUP(HUAWEI製ＰＣＳ接続枚数計算ツール!$C$9, HUAWEI製ＰＣＳ接続枚数計算ツール!$B$119:$P$149,2,FALSE)*1000*HUAWEI製ＰＣＳ接続枚数計算ツール!$Y$113)</f>
        <v>5.4256800000000001E-2</v>
      </c>
      <c r="C15" s="85">
        <f>HUAWEI製ＰＣＳ接続枚数計算ツール!$J$116*枚数!C15/(VLOOKUP(HUAWEI製ＰＣＳ接続枚数計算ツール!$C$9, HUAWEI製ＰＣＳ接続枚数計算ツール!$B$119:$P$149,2,FALSE)*1000*HUAWEI製ＰＣＳ接続枚数計算ツール!$Y$113)</f>
        <v>0.1085136</v>
      </c>
      <c r="D15" s="85">
        <f>HUAWEI製ＰＣＳ接続枚数計算ツール!$J$116*枚数!D15/(VLOOKUP(HUAWEI製ＰＣＳ接続枚数計算ツール!$C$9, HUAWEI製ＰＣＳ接続枚数計算ツール!$B$119:$P$149,2,FALSE)*1000*HUAWEI製ＰＣＳ接続枚数計算ツール!$Y$113)</f>
        <v>0.16277040000000001</v>
      </c>
      <c r="E15" s="85">
        <f>HUAWEI製ＰＣＳ接続枚数計算ツール!$J$116*枚数!E15/(VLOOKUP(HUAWEI製ＰＣＳ接続枚数計算ツール!$C$9, HUAWEI製ＰＣＳ接続枚数計算ツール!$B$119:$P$149,2,FALSE)*1000*HUAWEI製ＰＣＳ接続枚数計算ツール!$Y$113)</f>
        <v>0.2170272</v>
      </c>
      <c r="F15" s="85">
        <f>HUAWEI製ＰＣＳ接続枚数計算ツール!$J$116*枚数!F15/(VLOOKUP(HUAWEI製ＰＣＳ接続枚数計算ツール!$C$9, HUAWEI製ＰＣＳ接続枚数計算ツール!$B$119:$P$149,2,FALSE)*1000*HUAWEI製ＰＣＳ接続枚数計算ツール!$Y$113)</f>
        <v>0.27128400000000003</v>
      </c>
      <c r="G15" s="85">
        <f>HUAWEI製ＰＣＳ接続枚数計算ツール!$J$116*枚数!G15/(VLOOKUP(HUAWEI製ＰＣＳ接続枚数計算ツール!$C$9, HUAWEI製ＰＣＳ接続枚数計算ツール!$B$119:$P$149,2,FALSE)*1000*HUAWEI製ＰＣＳ接続枚数計算ツール!$Y$113)</f>
        <v>0.32554080000000002</v>
      </c>
      <c r="H15" s="85">
        <f>HUAWEI製ＰＣＳ接続枚数計算ツール!$J$116*枚数!H15/(VLOOKUP(HUAWEI製ＰＣＳ接続枚数計算ツール!$C$9, HUAWEI製ＰＣＳ接続枚数計算ツール!$B$119:$P$149,2,FALSE)*1000*HUAWEI製ＰＣＳ接続枚数計算ツール!$Y$113)</f>
        <v>0.37979760000000001</v>
      </c>
      <c r="I15" s="85">
        <f>HUAWEI製ＰＣＳ接続枚数計算ツール!$J$116*枚数!I15/(VLOOKUP(HUAWEI製ＰＣＳ接続枚数計算ツール!$C$9, HUAWEI製ＰＣＳ接続枚数計算ツール!$B$119:$P$149,2,FALSE)*1000*HUAWEI製ＰＣＳ接続枚数計算ツール!$Y$113)</f>
        <v>0.43405440000000001</v>
      </c>
      <c r="J15" s="85">
        <f>HUAWEI製ＰＣＳ接続枚数計算ツール!$J$116*枚数!J15/(VLOOKUP(HUAWEI製ＰＣＳ接続枚数計算ツール!$C$9, HUAWEI製ＰＣＳ接続枚数計算ツール!$B$119:$P$149,2,FALSE)*1000*HUAWEI製ＰＣＳ接続枚数計算ツール!$Y$113)</f>
        <v>0.48831120000000006</v>
      </c>
      <c r="K15" s="85">
        <f>HUAWEI製ＰＣＳ接続枚数計算ツール!$J$116*枚数!K15/(VLOOKUP(HUAWEI製ＰＣＳ接続枚数計算ツール!$C$9, HUAWEI製ＰＣＳ接続枚数計算ツール!$B$119:$P$149,2,FALSE)*1000*HUAWEI製ＰＣＳ接続枚数計算ツール!$Y$113)</f>
        <v>0.54256800000000005</v>
      </c>
      <c r="L15" s="85">
        <f>HUAWEI製ＰＣＳ接続枚数計算ツール!$J$116*枚数!L15/(VLOOKUP(HUAWEI製ＰＣＳ接続枚数計算ツール!$C$9, HUAWEI製ＰＣＳ接続枚数計算ツール!$B$119:$P$149,2,FALSE)*1000*HUAWEI製ＰＣＳ接続枚数計算ツール!$Y$113)</f>
        <v>0.59682480000000004</v>
      </c>
      <c r="M15" s="85">
        <f>HUAWEI製ＰＣＳ接続枚数計算ツール!$J$116*枚数!M15/(VLOOKUP(HUAWEI製ＰＣＳ接続枚数計算ツール!$C$9, HUAWEI製ＰＣＳ接続枚数計算ツール!$B$119:$P$149,2,FALSE)*1000*HUAWEI製ＰＣＳ接続枚数計算ツール!$Y$113)</f>
        <v>0.65108160000000004</v>
      </c>
      <c r="N15" s="85">
        <f>HUAWEI製ＰＣＳ接続枚数計算ツール!$J$116*枚数!N15/(VLOOKUP(HUAWEI製ＰＣＳ接続枚数計算ツール!$C$9, HUAWEI製ＰＣＳ接続枚数計算ツール!$B$119:$P$149,2,FALSE)*1000*HUAWEI製ＰＣＳ接続枚数計算ツール!$Y$113)</f>
        <v>0.70533840000000003</v>
      </c>
      <c r="O15" s="85">
        <f>HUAWEI製ＰＣＳ接続枚数計算ツール!$J$116*枚数!O15/(VLOOKUP(HUAWEI製ＰＣＳ接続枚数計算ツール!$C$9, HUAWEI製ＰＣＳ接続枚数計算ツール!$B$119:$P$149,2,FALSE)*1000*HUAWEI製ＰＣＳ接続枚数計算ツール!$Y$113)</f>
        <v>0.75959520000000003</v>
      </c>
      <c r="P15" s="85">
        <f>HUAWEI製ＰＣＳ接続枚数計算ツール!$J$116*枚数!P15/(VLOOKUP(HUAWEI製ＰＣＳ接続枚数計算ツール!$C$9, HUAWEI製ＰＣＳ接続枚数計算ツール!$B$119:$P$149,2,FALSE)*1000*HUAWEI製ＰＣＳ接続枚数計算ツール!$Y$113)</f>
        <v>0.81385200000000013</v>
      </c>
      <c r="Q15" s="85">
        <f>HUAWEI製ＰＣＳ接続枚数計算ツール!$J$116*枚数!Q15/(VLOOKUP(HUAWEI製ＰＣＳ接続枚数計算ツール!$C$9, HUAWEI製ＰＣＳ接続枚数計算ツール!$B$119:$P$149,2,FALSE)*1000*HUAWEI製ＰＣＳ接続枚数計算ツール!$Y$113)</f>
        <v>0.86810880000000001</v>
      </c>
      <c r="R15" s="85">
        <f>HUAWEI製ＰＣＳ接続枚数計算ツール!$J$116*枚数!R15/(VLOOKUP(HUAWEI製ＰＣＳ接続枚数計算ツール!$C$9, HUAWEI製ＰＣＳ接続枚数計算ツール!$B$119:$P$149,2,FALSE)*1000*HUAWEI製ＰＣＳ接続枚数計算ツール!$Y$113)</f>
        <v>0.92236560000000012</v>
      </c>
      <c r="S15" s="85">
        <f>HUAWEI製ＰＣＳ接続枚数計算ツール!$J$116*枚数!S15/(VLOOKUP(HUAWEI製ＰＣＳ接続枚数計算ツール!$C$9, HUAWEI製ＰＣＳ接続枚数計算ツール!$B$119:$P$149,2,FALSE)*1000*HUAWEI製ＰＣＳ接続枚数計算ツール!$Y$113)</f>
        <v>0.97662240000000011</v>
      </c>
      <c r="T15" s="85">
        <f>HUAWEI製ＰＣＳ接続枚数計算ツール!$J$116*枚数!T15/(VLOOKUP(HUAWEI製ＰＣＳ接続枚数計算ツール!$C$9, HUAWEI製ＰＣＳ接続枚数計算ツール!$B$119:$P$149,2,FALSE)*1000*HUAWEI製ＰＣＳ接続枚数計算ツール!$Y$113)</f>
        <v>1.0308792</v>
      </c>
      <c r="U15" s="85">
        <f>HUAWEI製ＰＣＳ接続枚数計算ツール!$J$116*枚数!U15/(VLOOKUP(HUAWEI製ＰＣＳ接続枚数計算ツール!$C$9, HUAWEI製ＰＣＳ接続枚数計算ツール!$B$119:$P$149,2,FALSE)*1000*HUAWEI製ＰＣＳ接続枚数計算ツール!$Y$113)</f>
        <v>1.0851360000000001</v>
      </c>
      <c r="V15" s="85">
        <f>HUAWEI製ＰＣＳ接続枚数計算ツール!$J$116*枚数!V15/(VLOOKUP(HUAWEI製ＰＣＳ接続枚数計算ツール!$C$9, HUAWEI製ＰＣＳ接続枚数計算ツール!$B$119:$P$149,2,FALSE)*1000*HUAWEI製ＰＣＳ接続枚数計算ツール!$Y$113)</f>
        <v>1.1393928</v>
      </c>
      <c r="W15" s="85">
        <f>HUAWEI製ＰＣＳ接続枚数計算ツール!$J$116*枚数!W15/(VLOOKUP(HUAWEI製ＰＣＳ接続枚数計算ツール!$C$9, HUAWEI製ＰＣＳ接続枚数計算ツール!$B$119:$P$149,2,FALSE)*1000*HUAWEI製ＰＣＳ接続枚数計算ツール!$Y$113)</f>
        <v>1.1936496000000001</v>
      </c>
      <c r="X15" s="85">
        <f>HUAWEI製ＰＣＳ接続枚数計算ツール!$J$116*枚数!X15/(VLOOKUP(HUAWEI製ＰＣＳ接続枚数計算ツール!$C$9, HUAWEI製ＰＣＳ接続枚数計算ツール!$B$119:$P$149,2,FALSE)*1000*HUAWEI製ＰＣＳ接続枚数計算ツール!$Y$113)</f>
        <v>1.2479064000000002</v>
      </c>
      <c r="Y15" s="85">
        <f>HUAWEI製ＰＣＳ接続枚数計算ツール!$J$116*枚数!Y15/(VLOOKUP(HUAWEI製ＰＣＳ接続枚数計算ツール!$C$9, HUAWEI製ＰＣＳ接続枚数計算ツール!$B$119:$P$149,2,FALSE)*1000*HUAWEI製ＰＣＳ接続枚数計算ツール!$Y$113)</f>
        <v>1.3021632000000001</v>
      </c>
      <c r="Z15" s="85">
        <f>HUAWEI製ＰＣＳ接続枚数計算ツール!$J$116*枚数!Z15/(VLOOKUP(HUAWEI製ＰＣＳ接続枚数計算ツール!$C$9, HUAWEI製ＰＣＳ接続枚数計算ツール!$B$119:$P$149,2,FALSE)*1000*HUAWEI製ＰＣＳ接続枚数計算ツール!$Y$113)</f>
        <v>1.3564200000000002</v>
      </c>
      <c r="AA15" s="85">
        <f>HUAWEI製ＰＣＳ接続枚数計算ツール!$J$116*枚数!AA15/(VLOOKUP(HUAWEI製ＰＣＳ接続枚数計算ツール!$C$9, HUAWEI製ＰＣＳ接続枚数計算ツール!$B$119:$P$149,2,FALSE)*1000*HUAWEI製ＰＣＳ接続枚数計算ツール!$Y$113)</f>
        <v>1.4106768000000001</v>
      </c>
      <c r="AB15" s="85">
        <f>HUAWEI製ＰＣＳ接続枚数計算ツール!$J$116*枚数!AB15/(VLOOKUP(HUAWEI製ＰＣＳ接続枚数計算ツール!$C$9, HUAWEI製ＰＣＳ接続枚数計算ツール!$B$119:$P$149,2,FALSE)*1000*HUAWEI製ＰＣＳ接続枚数計算ツール!$Y$113)</f>
        <v>1.4649336000000002</v>
      </c>
      <c r="AC15" s="85">
        <f>HUAWEI製ＰＣＳ接続枚数計算ツール!$J$116*枚数!AC15/(VLOOKUP(HUAWEI製ＰＣＳ接続枚数計算ツール!$C$9, HUAWEI製ＰＣＳ接続枚数計算ツール!$B$119:$P$149,2,FALSE)*1000*HUAWEI製ＰＣＳ接続枚数計算ツール!$Y$113)</f>
        <v>1.5191904000000001</v>
      </c>
      <c r="AD15" s="85">
        <f>HUAWEI製ＰＣＳ接続枚数計算ツール!$J$116*枚数!AD15/(VLOOKUP(HUAWEI製ＰＣＳ接続枚数計算ツール!$C$9, HUAWEI製ＰＣＳ接続枚数計算ツール!$B$119:$P$149,2,FALSE)*1000*HUAWEI製ＰＣＳ接続枚数計算ツール!$Y$113)</f>
        <v>1.5734472000000002</v>
      </c>
      <c r="AE15" s="85">
        <f>HUAWEI製ＰＣＳ接続枚数計算ツール!$J$116*枚数!AE15/(VLOOKUP(HUAWEI製ＰＣＳ接続枚数計算ツール!$C$9, HUAWEI製ＰＣＳ接続枚数計算ツール!$B$119:$P$149,2,FALSE)*1000*HUAWEI製ＰＣＳ接続枚数計算ツール!$Y$113)</f>
        <v>1.6277040000000003</v>
      </c>
      <c r="AF15" s="85">
        <f>HUAWEI製ＰＣＳ接続枚数計算ツール!$J$116*枚数!AF15/(VLOOKUP(HUAWEI製ＰＣＳ接続枚数計算ツール!$C$9, HUAWEI製ＰＣＳ接続枚数計算ツール!$B$119:$P$149,2,FALSE)*1000*HUAWEI製ＰＣＳ接続枚数計算ツール!$Y$113)</f>
        <v>1.6819608000000001</v>
      </c>
      <c r="AG15" s="85">
        <f>HUAWEI製ＰＣＳ接続枚数計算ツール!$J$116*枚数!AG15/(VLOOKUP(HUAWEI製ＰＣＳ接続枚数計算ツール!$C$9, HUAWEI製ＰＣＳ接続枚数計算ツール!$B$119:$P$149,2,FALSE)*1000*HUAWEI製ＰＣＳ接続枚数計算ツール!$Y$113)</f>
        <v>1.7362176</v>
      </c>
      <c r="AH15" s="85">
        <f>HUAWEI製ＰＣＳ接続枚数計算ツール!$J$116*枚数!AH15/(VLOOKUP(HUAWEI製ＰＣＳ接続枚数計算ツール!$C$9, HUAWEI製ＰＣＳ接続枚数計算ツール!$B$119:$P$149,2,FALSE)*1000*HUAWEI製ＰＣＳ接続枚数計算ツール!$Y$113)</f>
        <v>1.7904744000000001</v>
      </c>
      <c r="AI15" s="85">
        <f>HUAWEI製ＰＣＳ接続枚数計算ツール!$J$116*枚数!AI15/(VLOOKUP(HUAWEI製ＰＣＳ接続枚数計算ツール!$C$9, HUAWEI製ＰＣＳ接続枚数計算ツール!$B$119:$P$149,2,FALSE)*1000*HUAWEI製ＰＣＳ接続枚数計算ツール!$Y$113)</f>
        <v>1.8447312000000002</v>
      </c>
      <c r="AJ15" s="85">
        <f>HUAWEI製ＰＣＳ接続枚数計算ツール!$J$116*枚数!AJ15/(VLOOKUP(HUAWEI製ＰＣＳ接続枚数計算ツール!$C$9, HUAWEI製ＰＣＳ接続枚数計算ツール!$B$119:$P$149,2,FALSE)*1000*HUAWEI製ＰＣＳ接続枚数計算ツール!$Y$113)</f>
        <v>1.8989880000000003</v>
      </c>
      <c r="AK15" s="85">
        <f>HUAWEI製ＰＣＳ接続枚数計算ツール!$J$116*枚数!AK15/(VLOOKUP(HUAWEI製ＰＣＳ接続枚数計算ツール!$C$9, HUAWEI製ＰＣＳ接続枚数計算ツール!$B$119:$P$149,2,FALSE)*1000*HUAWEI製ＰＣＳ接続枚数計算ツール!$Y$113)</f>
        <v>1.9532448000000002</v>
      </c>
      <c r="AL15" s="85">
        <f>HUAWEI製ＰＣＳ接続枚数計算ツール!$J$116*枚数!AL15/(VLOOKUP(HUAWEI製ＰＣＳ接続枚数計算ツール!$C$9, HUAWEI製ＰＣＳ接続枚数計算ツール!$B$119:$P$149,2,FALSE)*1000*HUAWEI製ＰＣＳ接続枚数計算ツール!$Y$113)</f>
        <v>2.0075015999999999</v>
      </c>
      <c r="AM15" s="85">
        <f>HUAWEI製ＰＣＳ接続枚数計算ツール!$J$116*枚数!AM15/(VLOOKUP(HUAWEI製ＰＣＳ接続枚数計算ツール!$C$9, HUAWEI製ＰＣＳ接続枚数計算ツール!$B$119:$P$149,2,FALSE)*1000*HUAWEI製ＰＣＳ接続枚数計算ツール!$Y$113)</f>
        <v>2.0617584</v>
      </c>
      <c r="AN15" s="85">
        <f>HUAWEI製ＰＣＳ接続枚数計算ツール!$J$116*枚数!AN15/(VLOOKUP(HUAWEI製ＰＣＳ接続枚数計算ツール!$C$9, HUAWEI製ＰＣＳ接続枚数計算ツール!$B$119:$P$149,2,FALSE)*1000*HUAWEI製ＰＣＳ接続枚数計算ツール!$Y$113)</f>
        <v>2.1160152000000001</v>
      </c>
      <c r="AO15" s="85">
        <f>HUAWEI製ＰＣＳ接続枚数計算ツール!$J$116*枚数!AO15/(VLOOKUP(HUAWEI製ＰＣＳ接続枚数計算ツール!$C$9, HUAWEI製ＰＣＳ接続枚数計算ツール!$B$119:$P$149,2,FALSE)*1000*HUAWEI製ＰＣＳ接続枚数計算ツール!$Y$113)</f>
        <v>2.1702720000000002</v>
      </c>
    </row>
    <row r="16" spans="1:41">
      <c r="A16">
        <v>14</v>
      </c>
      <c r="B16" s="85">
        <f>HUAWEI製ＰＣＳ接続枚数計算ツール!$J$116*枚数!B16/(VLOOKUP(HUAWEI製ＰＣＳ接続枚数計算ツール!$C$9, HUAWEI製ＰＣＳ接続枚数計算ツール!$B$119:$P$149,2,FALSE)*1000*HUAWEI製ＰＣＳ接続枚数計算ツール!$Y$113)</f>
        <v>5.8430400000000007E-2</v>
      </c>
      <c r="C16" s="85">
        <f>HUAWEI製ＰＣＳ接続枚数計算ツール!$J$116*枚数!C16/(VLOOKUP(HUAWEI製ＰＣＳ接続枚数計算ツール!$C$9, HUAWEI製ＰＣＳ接続枚数計算ツール!$B$119:$P$149,2,FALSE)*1000*HUAWEI製ＰＣＳ接続枚数計算ツール!$Y$113)</f>
        <v>0.11686080000000001</v>
      </c>
      <c r="D16" s="85">
        <f>HUAWEI製ＰＣＳ接続枚数計算ツール!$J$116*枚数!D16/(VLOOKUP(HUAWEI製ＰＣＳ接続枚数計算ツール!$C$9, HUAWEI製ＰＣＳ接続枚数計算ツール!$B$119:$P$149,2,FALSE)*1000*HUAWEI製ＰＣＳ接続枚数計算ツール!$Y$113)</f>
        <v>0.17529120000000001</v>
      </c>
      <c r="E16" s="85">
        <f>HUAWEI製ＰＣＳ接続枚数計算ツール!$J$116*枚数!E16/(VLOOKUP(HUAWEI製ＰＣＳ接続枚数計算ツール!$C$9, HUAWEI製ＰＣＳ接続枚数計算ツール!$B$119:$P$149,2,FALSE)*1000*HUAWEI製ＰＣＳ接続枚数計算ツール!$Y$113)</f>
        <v>0.23372160000000003</v>
      </c>
      <c r="F16" s="85">
        <f>HUAWEI製ＰＣＳ接続枚数計算ツール!$J$116*枚数!F16/(VLOOKUP(HUAWEI製ＰＣＳ接続枚数計算ツール!$C$9, HUAWEI製ＰＣＳ接続枚数計算ツール!$B$119:$P$149,2,FALSE)*1000*HUAWEI製ＰＣＳ接続枚数計算ツール!$Y$113)</f>
        <v>0.29215200000000002</v>
      </c>
      <c r="G16" s="85">
        <f>HUAWEI製ＰＣＳ接続枚数計算ツール!$J$116*枚数!G16/(VLOOKUP(HUAWEI製ＰＣＳ接続枚数計算ツール!$C$9, HUAWEI製ＰＣＳ接続枚数計算ツール!$B$119:$P$149,2,FALSE)*1000*HUAWEI製ＰＣＳ接続枚数計算ツール!$Y$113)</f>
        <v>0.35058240000000002</v>
      </c>
      <c r="H16" s="85">
        <f>HUAWEI製ＰＣＳ接続枚数計算ツール!$J$116*枚数!H16/(VLOOKUP(HUAWEI製ＰＣＳ接続枚数計算ツール!$C$9, HUAWEI製ＰＣＳ接続枚数計算ツール!$B$119:$P$149,2,FALSE)*1000*HUAWEI製ＰＣＳ接続枚数計算ツール!$Y$113)</f>
        <v>0.40901280000000007</v>
      </c>
      <c r="I16" s="85">
        <f>HUAWEI製ＰＣＳ接続枚数計算ツール!$J$116*枚数!I16/(VLOOKUP(HUAWEI製ＰＣＳ接続枚数計算ツール!$C$9, HUAWEI製ＰＣＳ接続枚数計算ツール!$B$119:$P$149,2,FALSE)*1000*HUAWEI製ＰＣＳ接続枚数計算ツール!$Y$113)</f>
        <v>0.46744320000000006</v>
      </c>
      <c r="J16" s="85">
        <f>HUAWEI製ＰＣＳ接続枚数計算ツール!$J$116*枚数!J16/(VLOOKUP(HUAWEI製ＰＣＳ接続枚数計算ツール!$C$9, HUAWEI製ＰＣＳ接続枚数計算ツール!$B$119:$P$149,2,FALSE)*1000*HUAWEI製ＰＣＳ接続枚数計算ツール!$Y$113)</f>
        <v>0.52587360000000005</v>
      </c>
      <c r="K16" s="85">
        <f>HUAWEI製ＰＣＳ接続枚数計算ツール!$J$116*枚数!K16/(VLOOKUP(HUAWEI製ＰＣＳ接続枚数計算ツール!$C$9, HUAWEI製ＰＣＳ接続枚数計算ツール!$B$119:$P$149,2,FALSE)*1000*HUAWEI製ＰＣＳ接続枚数計算ツール!$Y$113)</f>
        <v>0.58430400000000005</v>
      </c>
      <c r="L16" s="85">
        <f>HUAWEI製ＰＣＳ接続枚数計算ツール!$J$116*枚数!L16/(VLOOKUP(HUAWEI製ＰＣＳ接続枚数計算ツール!$C$9, HUAWEI製ＰＣＳ接続枚数計算ツール!$B$119:$P$149,2,FALSE)*1000*HUAWEI製ＰＣＳ接続枚数計算ツール!$Y$113)</f>
        <v>0.64273440000000004</v>
      </c>
      <c r="M16" s="85">
        <f>HUAWEI製ＰＣＳ接続枚数計算ツール!$J$116*枚数!M16/(VLOOKUP(HUAWEI製ＰＣＳ接続枚数計算ツール!$C$9, HUAWEI製ＰＣＳ接続枚数計算ツール!$B$119:$P$149,2,FALSE)*1000*HUAWEI製ＰＣＳ接続枚数計算ツール!$Y$113)</f>
        <v>0.70116480000000003</v>
      </c>
      <c r="N16" s="85">
        <f>HUAWEI製ＰＣＳ接続枚数計算ツール!$J$116*枚数!N16/(VLOOKUP(HUAWEI製ＰＣＳ接続枚数計算ツール!$C$9, HUAWEI製ＰＣＳ接続枚数計算ツール!$B$119:$P$149,2,FALSE)*1000*HUAWEI製ＰＣＳ接続枚数計算ツール!$Y$113)</f>
        <v>0.75959520000000003</v>
      </c>
      <c r="O16" s="85">
        <f>HUAWEI製ＰＣＳ接続枚数計算ツール!$J$116*枚数!O16/(VLOOKUP(HUAWEI製ＰＣＳ接続枚数計算ツール!$C$9, HUAWEI製ＰＣＳ接続枚数計算ツール!$B$119:$P$149,2,FALSE)*1000*HUAWEI製ＰＣＳ接続枚数計算ツール!$Y$113)</f>
        <v>0.81802560000000013</v>
      </c>
      <c r="P16" s="85">
        <f>HUAWEI製ＰＣＳ接続枚数計算ツール!$J$116*枚数!P16/(VLOOKUP(HUAWEI製ＰＣＳ接続枚数計算ツール!$C$9, HUAWEI製ＰＣＳ接続枚数計算ツール!$B$119:$P$149,2,FALSE)*1000*HUAWEI製ＰＣＳ接続枚数計算ツール!$Y$113)</f>
        <v>0.87645600000000012</v>
      </c>
      <c r="Q16" s="85">
        <f>HUAWEI製ＰＣＳ接続枚数計算ツール!$J$116*枚数!Q16/(VLOOKUP(HUAWEI製ＰＣＳ接続枚数計算ツール!$C$9, HUAWEI製ＰＣＳ接続枚数計算ツール!$B$119:$P$149,2,FALSE)*1000*HUAWEI製ＰＣＳ接続枚数計算ツール!$Y$113)</f>
        <v>0.93488640000000012</v>
      </c>
      <c r="R16" s="85">
        <f>HUAWEI製ＰＣＳ接続枚数計算ツール!$J$116*枚数!R16/(VLOOKUP(HUAWEI製ＰＣＳ接続枚数計算ツール!$C$9, HUAWEI製ＰＣＳ接続枚数計算ツール!$B$119:$P$149,2,FALSE)*1000*HUAWEI製ＰＣＳ接続枚数計算ツール!$Y$113)</f>
        <v>0.9933168</v>
      </c>
      <c r="S16" s="85">
        <f>HUAWEI製ＰＣＳ接続枚数計算ツール!$J$116*枚数!S16/(VLOOKUP(HUAWEI製ＰＣＳ接続枚数計算ツール!$C$9, HUAWEI製ＰＣＳ接続枚数計算ツール!$B$119:$P$149,2,FALSE)*1000*HUAWEI製ＰＣＳ接続枚数計算ツール!$Y$113)</f>
        <v>1.0517472000000001</v>
      </c>
      <c r="T16" s="85">
        <f>HUAWEI製ＰＣＳ接続枚数計算ツール!$J$116*枚数!T16/(VLOOKUP(HUAWEI製ＰＣＳ接続枚数計算ツール!$C$9, HUAWEI製ＰＣＳ接続枚数計算ツール!$B$119:$P$149,2,FALSE)*1000*HUAWEI製ＰＣＳ接続枚数計算ツール!$Y$113)</f>
        <v>1.1101776000000001</v>
      </c>
      <c r="U16" s="85">
        <f>HUAWEI製ＰＣＳ接続枚数計算ツール!$J$116*枚数!U16/(VLOOKUP(HUAWEI製ＰＣＳ接続枚数計算ツール!$C$9, HUAWEI製ＰＣＳ接続枚数計算ツール!$B$119:$P$149,2,FALSE)*1000*HUAWEI製ＰＣＳ接続枚数計算ツール!$Y$113)</f>
        <v>1.1686080000000001</v>
      </c>
      <c r="V16" s="85">
        <f>HUAWEI製ＰＣＳ接続枚数計算ツール!$J$116*枚数!V16/(VLOOKUP(HUAWEI製ＰＣＳ接続枚数計算ツール!$C$9, HUAWEI製ＰＣＳ接続枚数計算ツール!$B$119:$P$149,2,FALSE)*1000*HUAWEI製ＰＣＳ接続枚数計算ツール!$Y$113)</f>
        <v>1.2270384000000001</v>
      </c>
      <c r="W16" s="85">
        <f>HUAWEI製ＰＣＳ接続枚数計算ツール!$J$116*枚数!W16/(VLOOKUP(HUAWEI製ＰＣＳ接続枚数計算ツール!$C$9, HUAWEI製ＰＣＳ接続枚数計算ツール!$B$119:$P$149,2,FALSE)*1000*HUAWEI製ＰＣＳ接続枚数計算ツール!$Y$113)</f>
        <v>1.2854688000000001</v>
      </c>
      <c r="X16" s="85">
        <f>HUAWEI製ＰＣＳ接続枚数計算ツール!$J$116*枚数!X16/(VLOOKUP(HUAWEI製ＰＣＳ接続枚数計算ツール!$C$9, HUAWEI製ＰＣＳ接続枚数計算ツール!$B$119:$P$149,2,FALSE)*1000*HUAWEI製ＰＣＳ接続枚数計算ツール!$Y$113)</f>
        <v>1.3438992000000003</v>
      </c>
      <c r="Y16" s="85">
        <f>HUAWEI製ＰＣＳ接続枚数計算ツール!$J$116*枚数!Y16/(VLOOKUP(HUAWEI製ＰＣＳ接続枚数計算ツール!$C$9, HUAWEI製ＰＣＳ接続枚数計算ツール!$B$119:$P$149,2,FALSE)*1000*HUAWEI製ＰＣＳ接続枚数計算ツール!$Y$113)</f>
        <v>1.4023296000000001</v>
      </c>
      <c r="Z16" s="85">
        <f>HUAWEI製ＰＣＳ接続枚数計算ツール!$J$116*枚数!Z16/(VLOOKUP(HUAWEI製ＰＣＳ接続枚数計算ツール!$C$9, HUAWEI製ＰＣＳ接続枚数計算ツール!$B$119:$P$149,2,FALSE)*1000*HUAWEI製ＰＣＳ接続枚数計算ツール!$Y$113)</f>
        <v>1.4607600000000003</v>
      </c>
      <c r="AA16" s="85">
        <f>HUAWEI製ＰＣＳ接続枚数計算ツール!$J$116*枚数!AA16/(VLOOKUP(HUAWEI製ＰＣＳ接続枚数計算ツール!$C$9, HUAWEI製ＰＣＳ接続枚数計算ツール!$B$119:$P$149,2,FALSE)*1000*HUAWEI製ＰＣＳ接続枚数計算ツール!$Y$113)</f>
        <v>1.5191904000000001</v>
      </c>
      <c r="AB16" s="85">
        <f>HUAWEI製ＰＣＳ接続枚数計算ツール!$J$116*枚数!AB16/(VLOOKUP(HUAWEI製ＰＣＳ接続枚数計算ツール!$C$9, HUAWEI製ＰＣＳ接続枚数計算ツール!$B$119:$P$149,2,FALSE)*1000*HUAWEI製ＰＣＳ接続枚数計算ツール!$Y$113)</f>
        <v>1.5776208</v>
      </c>
      <c r="AC16" s="85">
        <f>HUAWEI製ＰＣＳ接続枚数計算ツール!$J$116*枚数!AC16/(VLOOKUP(HUAWEI製ＰＣＳ接続枚数計算ツール!$C$9, HUAWEI製ＰＣＳ接続枚数計算ツール!$B$119:$P$149,2,FALSE)*1000*HUAWEI製ＰＣＳ接続枚数計算ツール!$Y$113)</f>
        <v>1.6360512000000003</v>
      </c>
      <c r="AD16" s="85">
        <f>HUAWEI製ＰＣＳ接続枚数計算ツール!$J$116*枚数!AD16/(VLOOKUP(HUAWEI製ＰＣＳ接続枚数計算ツール!$C$9, HUAWEI製ＰＣＳ接続枚数計算ツール!$B$119:$P$149,2,FALSE)*1000*HUAWEI製ＰＣＳ接続枚数計算ツール!$Y$113)</f>
        <v>1.6944816</v>
      </c>
      <c r="AE16" s="85">
        <f>HUAWEI製ＰＣＳ接続枚数計算ツール!$J$116*枚数!AE16/(VLOOKUP(HUAWEI製ＰＣＳ接続枚数計算ツール!$C$9, HUAWEI製ＰＣＳ接続枚数計算ツール!$B$119:$P$149,2,FALSE)*1000*HUAWEI製ＰＣＳ接続枚数計算ツール!$Y$113)</f>
        <v>1.7529120000000002</v>
      </c>
      <c r="AF16" s="85">
        <f>HUAWEI製ＰＣＳ接続枚数計算ツール!$J$116*枚数!AF16/(VLOOKUP(HUAWEI製ＰＣＳ接続枚数計算ツール!$C$9, HUAWEI製ＰＣＳ接続枚数計算ツール!$B$119:$P$149,2,FALSE)*1000*HUAWEI製ＰＣＳ接続枚数計算ツール!$Y$113)</f>
        <v>1.8113424000000002</v>
      </c>
      <c r="AG16" s="85">
        <f>HUAWEI製ＰＣＳ接続枚数計算ツール!$J$116*枚数!AG16/(VLOOKUP(HUAWEI製ＰＣＳ接続枚数計算ツール!$C$9, HUAWEI製ＰＣＳ接続枚数計算ツール!$B$119:$P$149,2,FALSE)*1000*HUAWEI製ＰＣＳ接続枚数計算ツール!$Y$113)</f>
        <v>1.8697728000000002</v>
      </c>
      <c r="AH16" s="85">
        <f>HUAWEI製ＰＣＳ接続枚数計算ツール!$J$116*枚数!AH16/(VLOOKUP(HUAWEI製ＰＣＳ接続枚数計算ツール!$C$9, HUAWEI製ＰＣＳ接続枚数計算ツール!$B$119:$P$149,2,FALSE)*1000*HUAWEI製ＰＣＳ接続枚数計算ツール!$Y$113)</f>
        <v>1.9282032000000002</v>
      </c>
      <c r="AI16" s="85">
        <f>HUAWEI製ＰＣＳ接続枚数計算ツール!$J$116*枚数!AI16/(VLOOKUP(HUAWEI製ＰＣＳ接続枚数計算ツール!$C$9, HUAWEI製ＰＣＳ接続枚数計算ツール!$B$119:$P$149,2,FALSE)*1000*HUAWEI製ＰＣＳ接続枚数計算ツール!$Y$113)</f>
        <v>1.9866336</v>
      </c>
      <c r="AJ16" s="85">
        <f>HUAWEI製ＰＣＳ接続枚数計算ツール!$J$116*枚数!AJ16/(VLOOKUP(HUAWEI製ＰＣＳ接続枚数計算ツール!$C$9, HUAWEI製ＰＣＳ接続枚数計算ツール!$B$119:$P$149,2,FALSE)*1000*HUAWEI製ＰＣＳ接続枚数計算ツール!$Y$113)</f>
        <v>2.0450640000000004</v>
      </c>
      <c r="AK16" s="85">
        <f>HUAWEI製ＰＣＳ接続枚数計算ツール!$J$116*枚数!AK16/(VLOOKUP(HUAWEI製ＰＣＳ接続枚数計算ツール!$C$9, HUAWEI製ＰＣＳ接続枚数計算ツール!$B$119:$P$149,2,FALSE)*1000*HUAWEI製ＰＣＳ接続枚数計算ツール!$Y$113)</f>
        <v>2.1034944000000002</v>
      </c>
      <c r="AL16" s="85">
        <f>HUAWEI製ＰＣＳ接続枚数計算ツール!$J$116*枚数!AL16/(VLOOKUP(HUAWEI製ＰＣＳ接続枚数計算ツール!$C$9, HUAWEI製ＰＣＳ接続枚数計算ツール!$B$119:$P$149,2,FALSE)*1000*HUAWEI製ＰＣＳ接続枚数計算ツール!$Y$113)</f>
        <v>2.1619248000000004</v>
      </c>
      <c r="AM16" s="85">
        <f>HUAWEI製ＰＣＳ接続枚数計算ツール!$J$116*枚数!AM16/(VLOOKUP(HUAWEI製ＰＣＳ接続枚数計算ツール!$C$9, HUAWEI製ＰＣＳ接続枚数計算ツール!$B$119:$P$149,2,FALSE)*1000*HUAWEI製ＰＣＳ接続枚数計算ツール!$Y$113)</f>
        <v>2.2203552000000002</v>
      </c>
      <c r="AN16" s="85">
        <f>HUAWEI製ＰＣＳ接続枚数計算ツール!$J$116*枚数!AN16/(VLOOKUP(HUAWEI製ＰＣＳ接続枚数計算ツール!$C$9, HUAWEI製ＰＣＳ接続枚数計算ツール!$B$119:$P$149,2,FALSE)*1000*HUAWEI製ＰＣＳ接続枚数計算ツール!$Y$113)</f>
        <v>2.2787856</v>
      </c>
      <c r="AO16" s="85">
        <f>HUAWEI製ＰＣＳ接続枚数計算ツール!$J$116*枚数!AO16/(VLOOKUP(HUAWEI製ＰＣＳ接続枚数計算ツール!$C$9, HUAWEI製ＰＣＳ接続枚数計算ツール!$B$119:$P$149,2,FALSE)*1000*HUAWEI製ＰＣＳ接続枚数計算ツール!$Y$113)</f>
        <v>2.3372160000000002</v>
      </c>
    </row>
    <row r="17" spans="1:41">
      <c r="A17">
        <v>15</v>
      </c>
      <c r="B17" s="85">
        <f>HUAWEI製ＰＣＳ接続枚数計算ツール!$J$116*枚数!B17/(VLOOKUP(HUAWEI製ＰＣＳ接続枚数計算ツール!$C$9, HUAWEI製ＰＣＳ接続枚数計算ツール!$B$119:$P$149,2,FALSE)*1000*HUAWEI製ＰＣＳ接続枚数計算ツール!$Y$113)</f>
        <v>6.2604000000000007E-2</v>
      </c>
      <c r="C17" s="85">
        <f>HUAWEI製ＰＣＳ接続枚数計算ツール!$J$116*枚数!C17/(VLOOKUP(HUAWEI製ＰＣＳ接続枚数計算ツール!$C$9, HUAWEI製ＰＣＳ接続枚数計算ツール!$B$119:$P$149,2,FALSE)*1000*HUAWEI製ＰＣＳ接続枚数計算ツール!$Y$113)</f>
        <v>0.12520800000000001</v>
      </c>
      <c r="D17" s="85">
        <f>HUAWEI製ＰＣＳ接続枚数計算ツール!$J$116*枚数!D17/(VLOOKUP(HUAWEI製ＰＣＳ接続枚数計算ツール!$C$9, HUAWEI製ＰＣＳ接続枚数計算ツール!$B$119:$P$149,2,FALSE)*1000*HUAWEI製ＰＣＳ接続枚数計算ツール!$Y$113)</f>
        <v>0.18781200000000003</v>
      </c>
      <c r="E17" s="85">
        <f>HUAWEI製ＰＣＳ接続枚数計算ツール!$J$116*枚数!E17/(VLOOKUP(HUAWEI製ＰＣＳ接続枚数計算ツール!$C$9, HUAWEI製ＰＣＳ接続枚数計算ツール!$B$119:$P$149,2,FALSE)*1000*HUAWEI製ＰＣＳ接続枚数計算ツール!$Y$113)</f>
        <v>0.25041600000000003</v>
      </c>
      <c r="F17" s="85">
        <f>HUAWEI製ＰＣＳ接続枚数計算ツール!$J$116*枚数!F17/(VLOOKUP(HUAWEI製ＰＣＳ接続枚数計算ツール!$C$9, HUAWEI製ＰＣＳ接続枚数計算ツール!$B$119:$P$149,2,FALSE)*1000*HUAWEI製ＰＣＳ接続枚数計算ツール!$Y$113)</f>
        <v>0.31302000000000002</v>
      </c>
      <c r="G17" s="85">
        <f>HUAWEI製ＰＣＳ接続枚数計算ツール!$J$116*枚数!G17/(VLOOKUP(HUAWEI製ＰＣＳ接続枚数計算ツール!$C$9, HUAWEI製ＰＣＳ接続枚数計算ツール!$B$119:$P$149,2,FALSE)*1000*HUAWEI製ＰＣＳ接続枚数計算ツール!$Y$113)</f>
        <v>0.37562400000000007</v>
      </c>
      <c r="H17" s="85">
        <f>HUAWEI製ＰＣＳ接続枚数計算ツール!$J$116*枚数!H17/(VLOOKUP(HUAWEI製ＰＣＳ接続枚数計算ツール!$C$9, HUAWEI製ＰＣＳ接続枚数計算ツール!$B$119:$P$149,2,FALSE)*1000*HUAWEI製ＰＣＳ接続枚数計算ツール!$Y$113)</f>
        <v>0.43822800000000006</v>
      </c>
      <c r="I17" s="85">
        <f>HUAWEI製ＰＣＳ接続枚数計算ツール!$J$116*枚数!I17/(VLOOKUP(HUAWEI製ＰＣＳ接続枚数計算ツール!$C$9, HUAWEI製ＰＣＳ接続枚数計算ツール!$B$119:$P$149,2,FALSE)*1000*HUAWEI製ＰＣＳ接続枚数計算ツール!$Y$113)</f>
        <v>0.50083200000000005</v>
      </c>
      <c r="J17" s="85">
        <f>HUAWEI製ＰＣＳ接続枚数計算ツール!$J$116*枚数!J17/(VLOOKUP(HUAWEI製ＰＣＳ接続枚数計算ツール!$C$9, HUAWEI製ＰＣＳ接続枚数計算ツール!$B$119:$P$149,2,FALSE)*1000*HUAWEI製ＰＣＳ接続枚数計算ツール!$Y$113)</f>
        <v>0.56343600000000005</v>
      </c>
      <c r="K17" s="85">
        <f>HUAWEI製ＰＣＳ接続枚数計算ツール!$J$116*枚数!K17/(VLOOKUP(HUAWEI製ＰＣＳ接続枚数計算ツール!$C$9, HUAWEI製ＰＣＳ接続枚数計算ツール!$B$119:$P$149,2,FALSE)*1000*HUAWEI製ＰＣＳ接続枚数計算ツール!$Y$113)</f>
        <v>0.62604000000000004</v>
      </c>
      <c r="L17" s="85">
        <f>HUAWEI製ＰＣＳ接続枚数計算ツール!$J$116*枚数!L17/(VLOOKUP(HUAWEI製ＰＣＳ接続枚数計算ツール!$C$9, HUAWEI製ＰＣＳ接続枚数計算ツール!$B$119:$P$149,2,FALSE)*1000*HUAWEI製ＰＣＳ接続枚数計算ツール!$Y$113)</f>
        <v>0.68864400000000014</v>
      </c>
      <c r="M17" s="85">
        <f>HUAWEI製ＰＣＳ接続枚数計算ツール!$J$116*枚数!M17/(VLOOKUP(HUAWEI製ＰＣＳ接続枚数計算ツール!$C$9, HUAWEI製ＰＣＳ接続枚数計算ツール!$B$119:$P$149,2,FALSE)*1000*HUAWEI製ＰＣＳ接続枚数計算ツール!$Y$113)</f>
        <v>0.75124800000000014</v>
      </c>
      <c r="N17" s="85">
        <f>HUAWEI製ＰＣＳ接続枚数計算ツール!$J$116*枚数!N17/(VLOOKUP(HUAWEI製ＰＣＳ接続枚数計算ツール!$C$9, HUAWEI製ＰＣＳ接続枚数計算ツール!$B$119:$P$149,2,FALSE)*1000*HUAWEI製ＰＣＳ接続枚数計算ツール!$Y$113)</f>
        <v>0.81385200000000013</v>
      </c>
      <c r="O17" s="85">
        <f>HUAWEI製ＰＣＳ接続枚数計算ツール!$J$116*枚数!O17/(VLOOKUP(HUAWEI製ＰＣＳ接続枚数計算ツール!$C$9, HUAWEI製ＰＣＳ接続枚数計算ツール!$B$119:$P$149,2,FALSE)*1000*HUAWEI製ＰＣＳ接続枚数計算ツール!$Y$113)</f>
        <v>0.87645600000000012</v>
      </c>
      <c r="P17" s="85">
        <f>HUAWEI製ＰＣＳ接続枚数計算ツール!$J$116*枚数!P17/(VLOOKUP(HUAWEI製ＰＣＳ接続枚数計算ツール!$C$9, HUAWEI製ＰＣＳ接続枚数計算ツール!$B$119:$P$149,2,FALSE)*1000*HUAWEI製ＰＣＳ接続枚数計算ツール!$Y$113)</f>
        <v>0.93906000000000012</v>
      </c>
      <c r="Q17" s="85">
        <f>HUAWEI製ＰＣＳ接続枚数計算ツール!$J$116*枚数!Q17/(VLOOKUP(HUAWEI製ＰＣＳ接続枚数計算ツール!$C$9, HUAWEI製ＰＣＳ接続枚数計算ツール!$B$119:$P$149,2,FALSE)*1000*HUAWEI製ＰＣＳ接続枚数計算ツール!$Y$113)</f>
        <v>1.0016640000000001</v>
      </c>
      <c r="R17" s="85">
        <f>HUAWEI製ＰＣＳ接続枚数計算ツール!$J$116*枚数!R17/(VLOOKUP(HUAWEI製ＰＣＳ接続枚数計算ツール!$C$9, HUAWEI製ＰＣＳ接続枚数計算ツール!$B$119:$P$149,2,FALSE)*1000*HUAWEI製ＰＣＳ接続枚数計算ツール!$Y$113)</f>
        <v>1.064268</v>
      </c>
      <c r="S17" s="85">
        <f>HUAWEI製ＰＣＳ接続枚数計算ツール!$J$116*枚数!S17/(VLOOKUP(HUAWEI製ＰＣＳ接続枚数計算ツール!$C$9, HUAWEI製ＰＣＳ接続枚数計算ツール!$B$119:$P$149,2,FALSE)*1000*HUAWEI製ＰＣＳ接続枚数計算ツール!$Y$113)</f>
        <v>1.1268720000000001</v>
      </c>
      <c r="T17" s="85">
        <f>HUAWEI製ＰＣＳ接続枚数計算ツール!$J$116*枚数!T17/(VLOOKUP(HUAWEI製ＰＣＳ接続枚数計算ツール!$C$9, HUAWEI製ＰＣＳ接続枚数計算ツール!$B$119:$P$149,2,FALSE)*1000*HUAWEI製ＰＣＳ接続枚数計算ツール!$Y$113)</f>
        <v>1.189476</v>
      </c>
      <c r="U17" s="85">
        <f>HUAWEI製ＰＣＳ接続枚数計算ツール!$J$116*枚数!U17/(VLOOKUP(HUAWEI製ＰＣＳ接続枚数計算ツール!$C$9, HUAWEI製ＰＣＳ接続枚数計算ツール!$B$119:$P$149,2,FALSE)*1000*HUAWEI製ＰＣＳ接続枚数計算ツール!$Y$113)</f>
        <v>1.2520800000000001</v>
      </c>
      <c r="V17" s="85">
        <f>HUAWEI製ＰＣＳ接続枚数計算ツール!$J$116*枚数!V17/(VLOOKUP(HUAWEI製ＰＣＳ接続枚数計算ツール!$C$9, HUAWEI製ＰＣＳ接続枚数計算ツール!$B$119:$P$149,2,FALSE)*1000*HUAWEI製ＰＣＳ接続枚数計算ツール!$Y$113)</f>
        <v>1.314684</v>
      </c>
      <c r="W17" s="85">
        <f>HUAWEI製ＰＣＳ接続枚数計算ツール!$J$116*枚数!W17/(VLOOKUP(HUAWEI製ＰＣＳ接続枚数計算ツール!$C$9, HUAWEI製ＰＣＳ接続枚数計算ツール!$B$119:$P$149,2,FALSE)*1000*HUAWEI製ＰＣＳ接続枚数計算ツール!$Y$113)</f>
        <v>1.3772880000000003</v>
      </c>
      <c r="X17" s="85">
        <f>HUAWEI製ＰＣＳ接続枚数計算ツール!$J$116*枚数!X17/(VLOOKUP(HUAWEI製ＰＣＳ接続枚数計算ツール!$C$9, HUAWEI製ＰＣＳ接続枚数計算ツール!$B$119:$P$149,2,FALSE)*1000*HUAWEI製ＰＣＳ接続枚数計算ツール!$Y$113)</f>
        <v>1.4398920000000002</v>
      </c>
      <c r="Y17" s="85">
        <f>HUAWEI製ＰＣＳ接続枚数計算ツール!$J$116*枚数!Y17/(VLOOKUP(HUAWEI製ＰＣＳ接続枚数計算ツール!$C$9, HUAWEI製ＰＣＳ接続枚数計算ツール!$B$119:$P$149,2,FALSE)*1000*HUAWEI製ＰＣＳ接続枚数計算ツール!$Y$113)</f>
        <v>1.5024960000000003</v>
      </c>
      <c r="Z17" s="85">
        <f>HUAWEI製ＰＣＳ接続枚数計算ツール!$J$116*枚数!Z17/(VLOOKUP(HUAWEI製ＰＣＳ接続枚数計算ツール!$C$9, HUAWEI製ＰＣＳ接続枚数計算ツール!$B$119:$P$149,2,FALSE)*1000*HUAWEI製ＰＣＳ接続枚数計算ツール!$Y$113)</f>
        <v>1.5651000000000002</v>
      </c>
      <c r="AA17" s="85">
        <f>HUAWEI製ＰＣＳ接続枚数計算ツール!$J$116*枚数!AA17/(VLOOKUP(HUAWEI製ＰＣＳ接続枚数計算ツール!$C$9, HUAWEI製ＰＣＳ接続枚数計算ツール!$B$119:$P$149,2,FALSE)*1000*HUAWEI製ＰＣＳ接続枚数計算ツール!$Y$113)</f>
        <v>1.6277040000000003</v>
      </c>
      <c r="AB17" s="85">
        <f>HUAWEI製ＰＣＳ接続枚数計算ツール!$J$116*枚数!AB17/(VLOOKUP(HUAWEI製ＰＣＳ接続枚数計算ツール!$C$9, HUAWEI製ＰＣＳ接続枚数計算ツール!$B$119:$P$149,2,FALSE)*1000*HUAWEI製ＰＣＳ接続枚数計算ツール!$Y$113)</f>
        <v>1.6903080000000001</v>
      </c>
      <c r="AC17" s="85">
        <f>HUAWEI製ＰＣＳ接続枚数計算ツール!$J$116*枚数!AC17/(VLOOKUP(HUAWEI製ＰＣＳ接続枚数計算ツール!$C$9, HUAWEI製ＰＣＳ接続枚数計算ツール!$B$119:$P$149,2,FALSE)*1000*HUAWEI製ＰＣＳ接続枚数計算ツール!$Y$113)</f>
        <v>1.7529120000000002</v>
      </c>
      <c r="AD17" s="85">
        <f>HUAWEI製ＰＣＳ接続枚数計算ツール!$J$116*枚数!AD17/(VLOOKUP(HUAWEI製ＰＣＳ接続枚数計算ツール!$C$9, HUAWEI製ＰＣＳ接続枚数計算ツール!$B$119:$P$149,2,FALSE)*1000*HUAWEI製ＰＣＳ接続枚数計算ツール!$Y$113)</f>
        <v>1.8155160000000001</v>
      </c>
      <c r="AE17" s="85">
        <f>HUAWEI製ＰＣＳ接続枚数計算ツール!$J$116*枚数!AE17/(VLOOKUP(HUAWEI製ＰＣＳ接続枚数計算ツール!$C$9, HUAWEI製ＰＣＳ接続枚数計算ツール!$B$119:$P$149,2,FALSE)*1000*HUAWEI製ＰＣＳ接続枚数計算ツール!$Y$113)</f>
        <v>1.8781200000000002</v>
      </c>
      <c r="AF17" s="85">
        <f>HUAWEI製ＰＣＳ接続枚数計算ツール!$J$116*枚数!AF17/(VLOOKUP(HUAWEI製ＰＣＳ接続枚数計算ツール!$C$9, HUAWEI製ＰＣＳ接続枚数計算ツール!$B$119:$P$149,2,FALSE)*1000*HUAWEI製ＰＣＳ接続枚数計算ツール!$Y$113)</f>
        <v>1.9407240000000003</v>
      </c>
      <c r="AG17" s="85">
        <f>HUAWEI製ＰＣＳ接続枚数計算ツール!$J$116*枚数!AG17/(VLOOKUP(HUAWEI製ＰＣＳ接続枚数計算ツール!$C$9, HUAWEI製ＰＣＳ接続枚数計算ツール!$B$119:$P$149,2,FALSE)*1000*HUAWEI製ＰＣＳ接続枚数計算ツール!$Y$113)</f>
        <v>2.0033280000000002</v>
      </c>
      <c r="AH17" s="85">
        <f>HUAWEI製ＰＣＳ接続枚数計算ツール!$J$116*枚数!AH17/(VLOOKUP(HUAWEI製ＰＣＳ接続枚数計算ツール!$C$9, HUAWEI製ＰＣＳ接続枚数計算ツール!$B$119:$P$149,2,FALSE)*1000*HUAWEI製ＰＣＳ接続枚数計算ツール!$Y$113)</f>
        <v>2.0659320000000001</v>
      </c>
      <c r="AI17" s="85">
        <f>HUAWEI製ＰＣＳ接続枚数計算ツール!$J$116*枚数!AI17/(VLOOKUP(HUAWEI製ＰＣＳ接続枚数計算ツール!$C$9, HUAWEI製ＰＣＳ接続枚数計算ツール!$B$119:$P$149,2,FALSE)*1000*HUAWEI製ＰＣＳ接続枚数計算ツール!$Y$113)</f>
        <v>2.128536</v>
      </c>
      <c r="AJ17" s="85">
        <f>HUAWEI製ＰＣＳ接続枚数計算ツール!$J$116*枚数!AJ17/(VLOOKUP(HUAWEI製ＰＣＳ接続枚数計算ツール!$C$9, HUAWEI製ＰＣＳ接続枚数計算ツール!$B$119:$P$149,2,FALSE)*1000*HUAWEI製ＰＣＳ接続枚数計算ツール!$Y$113)</f>
        <v>2.1911399999999999</v>
      </c>
      <c r="AK17" s="85">
        <f>HUAWEI製ＰＣＳ接続枚数計算ツール!$J$116*枚数!AK17/(VLOOKUP(HUAWEI製ＰＣＳ接続枚数計算ツール!$C$9, HUAWEI製ＰＣＳ接続枚数計算ツール!$B$119:$P$149,2,FALSE)*1000*HUAWEI製ＰＣＳ接続枚数計算ツール!$Y$113)</f>
        <v>2.2537440000000002</v>
      </c>
      <c r="AL17" s="85">
        <f>HUAWEI製ＰＣＳ接続枚数計算ツール!$J$116*枚数!AL17/(VLOOKUP(HUAWEI製ＰＣＳ接続枚数計算ツール!$C$9, HUAWEI製ＰＣＳ接続枚数計算ツール!$B$119:$P$149,2,FALSE)*1000*HUAWEI製ＰＣＳ接続枚数計算ツール!$Y$113)</f>
        <v>2.3163480000000001</v>
      </c>
      <c r="AM17" s="85">
        <f>HUAWEI製ＰＣＳ接続枚数計算ツール!$J$116*枚数!AM17/(VLOOKUP(HUAWEI製ＰＣＳ接続枚数計算ツール!$C$9, HUAWEI製ＰＣＳ接続枚数計算ツール!$B$119:$P$149,2,FALSE)*1000*HUAWEI製ＰＣＳ接続枚数計算ツール!$Y$113)</f>
        <v>2.378952</v>
      </c>
      <c r="AN17" s="85">
        <f>HUAWEI製ＰＣＳ接続枚数計算ツール!$J$116*枚数!AN17/(VLOOKUP(HUAWEI製ＰＣＳ接続枚数計算ツール!$C$9, HUAWEI製ＰＣＳ接続枚数計算ツール!$B$119:$P$149,2,FALSE)*1000*HUAWEI製ＰＣＳ接続枚数計算ツール!$Y$113)</f>
        <v>2.4415559999999998</v>
      </c>
      <c r="AO17" s="85">
        <f>HUAWEI製ＰＣＳ接続枚数計算ツール!$J$116*枚数!AO17/(VLOOKUP(HUAWEI製ＰＣＳ接続枚数計算ツール!$C$9, HUAWEI製ＰＣＳ接続枚数計算ツール!$B$119:$P$149,2,FALSE)*1000*HUAWEI製ＰＣＳ接続枚数計算ツール!$Y$113)</f>
        <v>2.5041600000000002</v>
      </c>
    </row>
    <row r="18" spans="1:41">
      <c r="A18">
        <v>16</v>
      </c>
      <c r="B18" s="85">
        <f>HUAWEI製ＰＣＳ接続枚数計算ツール!$J$116*枚数!B18/(VLOOKUP(HUAWEI製ＰＣＳ接続枚数計算ツール!$C$9, HUAWEI製ＰＣＳ接続枚数計算ツール!$B$119:$P$149,2,FALSE)*1000*HUAWEI製ＰＣＳ接続枚数計算ツール!$Y$113)</f>
        <v>6.6777600000000006E-2</v>
      </c>
      <c r="C18" s="85">
        <f>HUAWEI製ＰＣＳ接続枚数計算ツール!$J$116*枚数!C18/(VLOOKUP(HUAWEI製ＰＣＳ接続枚数計算ツール!$C$9, HUAWEI製ＰＣＳ接続枚数計算ツール!$B$119:$P$149,2,FALSE)*1000*HUAWEI製ＰＣＳ接続枚数計算ツール!$Y$113)</f>
        <v>0.13355520000000001</v>
      </c>
      <c r="D18" s="85">
        <f>HUAWEI製ＰＣＳ接続枚数計算ツール!$J$116*枚数!D18/(VLOOKUP(HUAWEI製ＰＣＳ接続枚数計算ツール!$C$9, HUAWEI製ＰＣＳ接続枚数計算ツール!$B$119:$P$149,2,FALSE)*1000*HUAWEI製ＰＣＳ接続枚数計算ツール!$Y$113)</f>
        <v>0.20033280000000001</v>
      </c>
      <c r="E18" s="85">
        <f>HUAWEI製ＰＣＳ接続枚数計算ツール!$J$116*枚数!E18/(VLOOKUP(HUAWEI製ＰＣＳ接続枚数計算ツール!$C$9, HUAWEI製ＰＣＳ接続枚数計算ツール!$B$119:$P$149,2,FALSE)*1000*HUAWEI製ＰＣＳ接続枚数計算ツール!$Y$113)</f>
        <v>0.26711040000000003</v>
      </c>
      <c r="F18" s="85">
        <f>HUAWEI製ＰＣＳ接続枚数計算ツール!$J$116*枚数!F18/(VLOOKUP(HUAWEI製ＰＣＳ接続枚数計算ツール!$C$9, HUAWEI製ＰＣＳ接続枚数計算ツール!$B$119:$P$149,2,FALSE)*1000*HUAWEI製ＰＣＳ接続枚数計算ツール!$Y$113)</f>
        <v>0.33388800000000002</v>
      </c>
      <c r="G18" s="85">
        <f>HUAWEI製ＰＣＳ接続枚数計算ツール!$J$116*枚数!G18/(VLOOKUP(HUAWEI製ＰＣＳ接続枚数計算ツール!$C$9, HUAWEI製ＰＣＳ接続枚数計算ツール!$B$119:$P$149,2,FALSE)*1000*HUAWEI製ＰＣＳ接続枚数計算ツール!$Y$113)</f>
        <v>0.40066560000000001</v>
      </c>
      <c r="H18" s="85">
        <f>HUAWEI製ＰＣＳ接続枚数計算ツール!$J$116*枚数!H18/(VLOOKUP(HUAWEI製ＰＣＳ接続枚数計算ツール!$C$9, HUAWEI製ＰＣＳ接続枚数計算ツール!$B$119:$P$149,2,FALSE)*1000*HUAWEI製ＰＣＳ接続枚数計算ツール!$Y$113)</f>
        <v>0.46744320000000006</v>
      </c>
      <c r="I18" s="85">
        <f>HUAWEI製ＰＣＳ接続枚数計算ツール!$J$116*枚数!I18/(VLOOKUP(HUAWEI製ＰＣＳ接続枚数計算ツール!$C$9, HUAWEI製ＰＣＳ接続枚数計算ツール!$B$119:$P$149,2,FALSE)*1000*HUAWEI製ＰＣＳ接続枚数計算ツール!$Y$113)</f>
        <v>0.53422080000000005</v>
      </c>
      <c r="J18" s="85">
        <f>HUAWEI製ＰＣＳ接続枚数計算ツール!$J$116*枚数!J18/(VLOOKUP(HUAWEI製ＰＣＳ接続枚数計算ツール!$C$9, HUAWEI製ＰＣＳ接続枚数計算ツール!$B$119:$P$149,2,FALSE)*1000*HUAWEI製ＰＣＳ接続枚数計算ツール!$Y$113)</f>
        <v>0.60099840000000004</v>
      </c>
      <c r="K18" s="85">
        <f>HUAWEI製ＰＣＳ接続枚数計算ツール!$J$116*枚数!K18/(VLOOKUP(HUAWEI製ＰＣＳ接続枚数計算ツール!$C$9, HUAWEI製ＰＣＳ接続枚数計算ツール!$B$119:$P$149,2,FALSE)*1000*HUAWEI製ＰＣＳ接続枚数計算ツール!$Y$113)</f>
        <v>0.66777600000000004</v>
      </c>
      <c r="L18" s="85">
        <f>HUAWEI製ＰＣＳ接続枚数計算ツール!$J$116*枚数!L18/(VLOOKUP(HUAWEI製ＰＣＳ接続枚数計算ツール!$C$9, HUAWEI製ＰＣＳ接続枚数計算ツール!$B$119:$P$149,2,FALSE)*1000*HUAWEI製ＰＣＳ接続枚数計算ツール!$Y$113)</f>
        <v>0.73455360000000014</v>
      </c>
      <c r="M18" s="85">
        <f>HUAWEI製ＰＣＳ接続枚数計算ツール!$J$116*枚数!M18/(VLOOKUP(HUAWEI製ＰＣＳ接続枚数計算ツール!$C$9, HUAWEI製ＰＣＳ接続枚数計算ツール!$B$119:$P$149,2,FALSE)*1000*HUAWEI製ＰＣＳ接続枚数計算ツール!$Y$113)</f>
        <v>0.80133120000000002</v>
      </c>
      <c r="N18" s="85">
        <f>HUAWEI製ＰＣＳ接続枚数計算ツール!$J$116*枚数!N18/(VLOOKUP(HUAWEI製ＰＣＳ接続枚数計算ツール!$C$9, HUAWEI製ＰＣＳ接続枚数計算ツール!$B$119:$P$149,2,FALSE)*1000*HUAWEI製ＰＣＳ接続枚数計算ツール!$Y$113)</f>
        <v>0.86810880000000001</v>
      </c>
      <c r="O18" s="85">
        <f>HUAWEI製ＰＣＳ接続枚数計算ツール!$J$116*枚数!O18/(VLOOKUP(HUAWEI製ＰＣＳ接続枚数計算ツール!$C$9, HUAWEI製ＰＣＳ接続枚数計算ツール!$B$119:$P$149,2,FALSE)*1000*HUAWEI製ＰＣＳ接続枚数計算ツール!$Y$113)</f>
        <v>0.93488640000000012</v>
      </c>
      <c r="P18" s="85">
        <f>HUAWEI製ＰＣＳ接続枚数計算ツール!$J$116*枚数!P18/(VLOOKUP(HUAWEI製ＰＣＳ接続枚数計算ツール!$C$9, HUAWEI製ＰＣＳ接続枚数計算ツール!$B$119:$P$149,2,FALSE)*1000*HUAWEI製ＰＣＳ接続枚数計算ツール!$Y$113)</f>
        <v>1.0016640000000001</v>
      </c>
      <c r="Q18" s="85">
        <f>HUAWEI製ＰＣＳ接続枚数計算ツール!$J$116*枚数!Q18/(VLOOKUP(HUAWEI製ＰＣＳ接続枚数計算ツール!$C$9, HUAWEI製ＰＣＳ接続枚数計算ツール!$B$119:$P$149,2,FALSE)*1000*HUAWEI製ＰＣＳ接続枚数計算ツール!$Y$113)</f>
        <v>1.0684416000000001</v>
      </c>
      <c r="R18" s="85">
        <f>HUAWEI製ＰＣＳ接続枚数計算ツール!$J$116*枚数!R18/(VLOOKUP(HUAWEI製ＰＣＳ接続枚数計算ツール!$C$9, HUAWEI製ＰＣＳ接続枚数計算ツール!$B$119:$P$149,2,FALSE)*1000*HUAWEI製ＰＣＳ接続枚数計算ツール!$Y$113)</f>
        <v>1.1352192000000001</v>
      </c>
      <c r="S18" s="85">
        <f>HUAWEI製ＰＣＳ接続枚数計算ツール!$J$116*枚数!S18/(VLOOKUP(HUAWEI製ＰＣＳ接続枚数計算ツール!$C$9, HUAWEI製ＰＣＳ接続枚数計算ツール!$B$119:$P$149,2,FALSE)*1000*HUAWEI製ＰＣＳ接続枚数計算ツール!$Y$113)</f>
        <v>1.2019968000000001</v>
      </c>
      <c r="T18" s="85">
        <f>HUAWEI製ＰＣＳ接続枚数計算ツール!$J$116*枚数!T18/(VLOOKUP(HUAWEI製ＰＣＳ接続枚数計算ツール!$C$9, HUAWEI製ＰＣＳ接続枚数計算ツール!$B$119:$P$149,2,FALSE)*1000*HUAWEI製ＰＣＳ接続枚数計算ツール!$Y$113)</f>
        <v>1.2687744000000001</v>
      </c>
      <c r="U18" s="85">
        <f>HUAWEI製ＰＣＳ接続枚数計算ツール!$J$116*枚数!U18/(VLOOKUP(HUAWEI製ＰＣＳ接続枚数計算ツール!$C$9, HUAWEI製ＰＣＳ接続枚数計算ツール!$B$119:$P$149,2,FALSE)*1000*HUAWEI製ＰＣＳ接続枚数計算ツール!$Y$113)</f>
        <v>1.3355520000000001</v>
      </c>
      <c r="V18" s="85">
        <f>HUAWEI製ＰＣＳ接続枚数計算ツール!$J$116*枚数!V18/(VLOOKUP(HUAWEI製ＰＣＳ接続枚数計算ツール!$C$9, HUAWEI製ＰＣＳ接続枚数計算ツール!$B$119:$P$149,2,FALSE)*1000*HUAWEI製ＰＣＳ接続枚数計算ツール!$Y$113)</f>
        <v>1.4023296000000001</v>
      </c>
      <c r="W18" s="85">
        <f>HUAWEI製ＰＣＳ接続枚数計算ツール!$J$116*枚数!W18/(VLOOKUP(HUAWEI製ＰＣＳ接続枚数計算ツール!$C$9, HUAWEI製ＰＣＳ接続枚数計算ツール!$B$119:$P$149,2,FALSE)*1000*HUAWEI製ＰＣＳ接続枚数計算ツール!$Y$113)</f>
        <v>1.4691072000000003</v>
      </c>
      <c r="X18" s="85">
        <f>HUAWEI製ＰＣＳ接続枚数計算ツール!$J$116*枚数!X18/(VLOOKUP(HUAWEI製ＰＣＳ接続枚数計算ツール!$C$9, HUAWEI製ＰＣＳ接続枚数計算ツール!$B$119:$P$149,2,FALSE)*1000*HUAWEI製ＰＣＳ接続枚数計算ツール!$Y$113)</f>
        <v>1.5358848</v>
      </c>
      <c r="Y18" s="85">
        <f>HUAWEI製ＰＣＳ接続枚数計算ツール!$J$116*枚数!Y18/(VLOOKUP(HUAWEI製ＰＣＳ接続枚数計算ツール!$C$9, HUAWEI製ＰＣＳ接続枚数計算ツール!$B$119:$P$149,2,FALSE)*1000*HUAWEI製ＰＣＳ接続枚数計算ツール!$Y$113)</f>
        <v>1.6026624</v>
      </c>
      <c r="Z18" s="85">
        <f>HUAWEI製ＰＣＳ接続枚数計算ツール!$J$116*枚数!Z18/(VLOOKUP(HUAWEI製ＰＣＳ接続枚数計算ツール!$C$9, HUAWEI製ＰＣＳ接続枚数計算ツール!$B$119:$P$149,2,FALSE)*1000*HUAWEI製ＰＣＳ接続枚数計算ツール!$Y$113)</f>
        <v>1.6694400000000003</v>
      </c>
      <c r="AA18" s="85">
        <f>HUAWEI製ＰＣＳ接続枚数計算ツール!$J$116*枚数!AA18/(VLOOKUP(HUAWEI製ＰＣＳ接続枚数計算ツール!$C$9, HUAWEI製ＰＣＳ接続枚数計算ツール!$B$119:$P$149,2,FALSE)*1000*HUAWEI製ＰＣＳ接続枚数計算ツール!$Y$113)</f>
        <v>1.7362176</v>
      </c>
      <c r="AB18" s="85">
        <f>HUAWEI製ＰＣＳ接続枚数計算ツール!$J$116*枚数!AB18/(VLOOKUP(HUAWEI製ＰＣＳ接続枚数計算ツール!$C$9, HUAWEI製ＰＣＳ接続枚数計算ツール!$B$119:$P$149,2,FALSE)*1000*HUAWEI製ＰＣＳ接続枚数計算ツール!$Y$113)</f>
        <v>1.8029952000000002</v>
      </c>
      <c r="AC18" s="85">
        <f>HUAWEI製ＰＣＳ接続枚数計算ツール!$J$116*枚数!AC18/(VLOOKUP(HUAWEI製ＰＣＳ接続枚数計算ツール!$C$9, HUAWEI製ＰＣＳ接続枚数計算ツール!$B$119:$P$149,2,FALSE)*1000*HUAWEI製ＰＣＳ接続枚数計算ツール!$Y$113)</f>
        <v>1.8697728000000002</v>
      </c>
      <c r="AD18" s="85">
        <f>HUAWEI製ＰＣＳ接続枚数計算ツール!$J$116*枚数!AD18/(VLOOKUP(HUAWEI製ＰＣＳ接続枚数計算ツール!$C$9, HUAWEI製ＰＣＳ接続枚数計算ツール!$B$119:$P$149,2,FALSE)*1000*HUAWEI製ＰＣＳ接続枚数計算ツール!$Y$113)</f>
        <v>1.9365504000000002</v>
      </c>
      <c r="AE18" s="85">
        <f>HUAWEI製ＰＣＳ接続枚数計算ツール!$J$116*枚数!AE18/(VLOOKUP(HUAWEI製ＰＣＳ接続枚数計算ツール!$C$9, HUAWEI製ＰＣＳ接続枚数計算ツール!$B$119:$P$149,2,FALSE)*1000*HUAWEI製ＰＣＳ接続枚数計算ツール!$Y$113)</f>
        <v>2.0033280000000002</v>
      </c>
      <c r="AF18" s="85">
        <f>HUAWEI製ＰＣＳ接続枚数計算ツール!$J$116*枚数!AF18/(VLOOKUP(HUAWEI製ＰＣＳ接続枚数計算ツール!$C$9, HUAWEI製ＰＣＳ接続枚数計算ツール!$B$119:$P$149,2,FALSE)*1000*HUAWEI製ＰＣＳ接続枚数計算ツール!$Y$113)</f>
        <v>2.0701056000000002</v>
      </c>
      <c r="AG18" s="85">
        <f>HUAWEI製ＰＣＳ接続枚数計算ツール!$J$116*枚数!AG18/(VLOOKUP(HUAWEI製ＰＣＳ接続枚数計算ツール!$C$9, HUAWEI製ＰＣＳ接続枚数計算ツール!$B$119:$P$149,2,FALSE)*1000*HUAWEI製ＰＣＳ接続枚数計算ツール!$Y$113)</f>
        <v>2.1368832000000002</v>
      </c>
      <c r="AH18" s="85">
        <f>HUAWEI製ＰＣＳ接続枚数計算ツール!$J$116*枚数!AH18/(VLOOKUP(HUAWEI製ＰＣＳ接続枚数計算ツール!$C$9, HUAWEI製ＰＣＳ接続枚数計算ツール!$B$119:$P$149,2,FALSE)*1000*HUAWEI製ＰＣＳ接続枚数計算ツール!$Y$113)</f>
        <v>2.2036608000000002</v>
      </c>
      <c r="AI18" s="85">
        <f>HUAWEI製ＰＣＳ接続枚数計算ツール!$J$116*枚数!AI18/(VLOOKUP(HUAWEI製ＰＣＳ接続枚数計算ツール!$C$9, HUAWEI製ＰＣＳ接続枚数計算ツール!$B$119:$P$149,2,FALSE)*1000*HUAWEI製ＰＣＳ接続枚数計算ツール!$Y$113)</f>
        <v>2.2704384000000002</v>
      </c>
      <c r="AJ18" s="85">
        <f>HUAWEI製ＰＣＳ接続枚数計算ツール!$J$116*枚数!AJ18/(VLOOKUP(HUAWEI製ＰＣＳ接続枚数計算ツール!$C$9, HUAWEI製ＰＣＳ接続枚数計算ツール!$B$119:$P$149,2,FALSE)*1000*HUAWEI製ＰＣＳ接続枚数計算ツール!$Y$113)</f>
        <v>2.3372160000000002</v>
      </c>
      <c r="AK18" s="85">
        <f>HUAWEI製ＰＣＳ接続枚数計算ツール!$J$116*枚数!AK18/(VLOOKUP(HUAWEI製ＰＣＳ接続枚数計算ツール!$C$9, HUAWEI製ＰＣＳ接続枚数計算ツール!$B$119:$P$149,2,FALSE)*1000*HUAWEI製ＰＣＳ接続枚数計算ツール!$Y$113)</f>
        <v>2.4039936000000002</v>
      </c>
      <c r="AL18" s="85">
        <f>HUAWEI製ＰＣＳ接続枚数計算ツール!$J$116*枚数!AL18/(VLOOKUP(HUAWEI製ＰＣＳ接続枚数計算ツール!$C$9, HUAWEI製ＰＣＳ接続枚数計算ツール!$B$119:$P$149,2,FALSE)*1000*HUAWEI製ＰＣＳ接続枚数計算ツール!$Y$113)</f>
        <v>2.4707712000000002</v>
      </c>
      <c r="AM18" s="85">
        <f>HUAWEI製ＰＣＳ接続枚数計算ツール!$J$116*枚数!AM18/(VLOOKUP(HUAWEI製ＰＣＳ接続枚数計算ツール!$C$9, HUAWEI製ＰＣＳ接続枚数計算ツール!$B$119:$P$149,2,FALSE)*1000*HUAWEI製ＰＣＳ接続枚数計算ツール!$Y$113)</f>
        <v>2.5375488000000002</v>
      </c>
      <c r="AN18" s="85">
        <f>HUAWEI製ＰＣＳ接続枚数計算ツール!$J$116*枚数!AN18/(VLOOKUP(HUAWEI製ＰＣＳ接続枚数計算ツール!$C$9, HUAWEI製ＰＣＳ接続枚数計算ツール!$B$119:$P$149,2,FALSE)*1000*HUAWEI製ＰＣＳ接続枚数計算ツール!$Y$113)</f>
        <v>2.6043264000000002</v>
      </c>
      <c r="AO18" s="85">
        <f>HUAWEI製ＰＣＳ接続枚数計算ツール!$J$116*枚数!AO18/(VLOOKUP(HUAWEI製ＰＣＳ接続枚数計算ツール!$C$9, HUAWEI製ＰＣＳ接続枚数計算ツール!$B$119:$P$149,2,FALSE)*1000*HUAWEI製ＰＣＳ接続枚数計算ツール!$Y$113)</f>
        <v>2.6711040000000001</v>
      </c>
    </row>
    <row r="19" spans="1:41">
      <c r="A19">
        <v>17</v>
      </c>
      <c r="B19" s="85">
        <f>HUAWEI製ＰＣＳ接続枚数計算ツール!$J$116*枚数!B19/(VLOOKUP(HUAWEI製ＰＣＳ接続枚数計算ツール!$C$9, HUAWEI製ＰＣＳ接続枚数計算ツール!$B$119:$P$149,2,FALSE)*1000*HUAWEI製ＰＣＳ接続枚数計算ツール!$Y$113)</f>
        <v>7.0951200000000006E-2</v>
      </c>
      <c r="C19" s="85">
        <f>HUAWEI製ＰＣＳ接続枚数計算ツール!$J$116*枚数!C19/(VLOOKUP(HUAWEI製ＰＣＳ接続枚数計算ツール!$C$9, HUAWEI製ＰＣＳ接続枚数計算ツール!$B$119:$P$149,2,FALSE)*1000*HUAWEI製ＰＣＳ接続枚数計算ツール!$Y$113)</f>
        <v>0.14190240000000001</v>
      </c>
      <c r="D19" s="85">
        <f>HUAWEI製ＰＣＳ接続枚数計算ツール!$J$116*枚数!D19/(VLOOKUP(HUAWEI製ＰＣＳ接続枚数計算ツール!$C$9, HUAWEI製ＰＣＳ接続枚数計算ツール!$B$119:$P$149,2,FALSE)*1000*HUAWEI製ＰＣＳ接続枚数計算ツール!$Y$113)</f>
        <v>0.2128536</v>
      </c>
      <c r="E19" s="85">
        <f>HUAWEI製ＰＣＳ接続枚数計算ツール!$J$116*枚数!E19/(VLOOKUP(HUAWEI製ＰＣＳ接続枚数計算ツール!$C$9, HUAWEI製ＰＣＳ接続枚数計算ツール!$B$119:$P$149,2,FALSE)*1000*HUAWEI製ＰＣＳ接続枚数計算ツール!$Y$113)</f>
        <v>0.28380480000000002</v>
      </c>
      <c r="F19" s="85">
        <f>HUAWEI製ＰＣＳ接続枚数計算ツール!$J$116*枚数!F19/(VLOOKUP(HUAWEI製ＰＣＳ接続枚数計算ツール!$C$9, HUAWEI製ＰＣＳ接続枚数計算ツール!$B$119:$P$149,2,FALSE)*1000*HUAWEI製ＰＣＳ接続枚数計算ツール!$Y$113)</f>
        <v>0.35475600000000007</v>
      </c>
      <c r="G19" s="85">
        <f>HUAWEI製ＰＣＳ接続枚数計算ツール!$J$116*枚数!G19/(VLOOKUP(HUAWEI製ＰＣＳ接続枚数計算ツール!$C$9, HUAWEI製ＰＣＳ接続枚数計算ツール!$B$119:$P$149,2,FALSE)*1000*HUAWEI製ＰＣＳ接続枚数計算ツール!$Y$113)</f>
        <v>0.42570720000000001</v>
      </c>
      <c r="H19" s="85">
        <f>HUAWEI製ＰＣＳ接続枚数計算ツール!$J$116*枚数!H19/(VLOOKUP(HUAWEI製ＰＣＳ接続枚数計算ツール!$C$9, HUAWEI製ＰＣＳ接続枚数計算ツール!$B$119:$P$149,2,FALSE)*1000*HUAWEI製ＰＣＳ接続枚数計算ツール!$Y$113)</f>
        <v>0.4966584</v>
      </c>
      <c r="I19" s="85">
        <f>HUAWEI製ＰＣＳ接続枚数計算ツール!$J$116*枚数!I19/(VLOOKUP(HUAWEI製ＰＣＳ接続枚数計算ツール!$C$9, HUAWEI製ＰＣＳ接続枚数計算ツール!$B$119:$P$149,2,FALSE)*1000*HUAWEI製ＰＣＳ接続枚数計算ツール!$Y$113)</f>
        <v>0.56760960000000005</v>
      </c>
      <c r="J19" s="85">
        <f>HUAWEI製ＰＣＳ接続枚数計算ツール!$J$116*枚数!J19/(VLOOKUP(HUAWEI製ＰＣＳ接続枚数計算ツール!$C$9, HUAWEI製ＰＣＳ接続枚数計算ツール!$B$119:$P$149,2,FALSE)*1000*HUAWEI製ＰＣＳ接続枚数計算ツール!$Y$113)</f>
        <v>0.63856080000000004</v>
      </c>
      <c r="K19" s="85">
        <f>HUAWEI製ＰＣＳ接続枚数計算ツール!$J$116*枚数!K19/(VLOOKUP(HUAWEI製ＰＣＳ接続枚数計算ツール!$C$9, HUAWEI製ＰＣＳ接続枚数計算ツール!$B$119:$P$149,2,FALSE)*1000*HUAWEI製ＰＣＳ接続枚数計算ツール!$Y$113)</f>
        <v>0.70951200000000014</v>
      </c>
      <c r="L19" s="85">
        <f>HUAWEI製ＰＣＳ接続枚数計算ツール!$J$116*枚数!L19/(VLOOKUP(HUAWEI製ＰＣＳ接続枚数計算ツール!$C$9, HUAWEI製ＰＣＳ接続枚数計算ツール!$B$119:$P$149,2,FALSE)*1000*HUAWEI製ＰＣＳ接続枚数計算ツール!$Y$113)</f>
        <v>0.78046320000000002</v>
      </c>
      <c r="M19" s="85">
        <f>HUAWEI製ＰＣＳ接続枚数計算ツール!$J$116*枚数!M19/(VLOOKUP(HUAWEI製ＰＣＳ接続枚数計算ツール!$C$9, HUAWEI製ＰＣＳ接続枚数計算ツール!$B$119:$P$149,2,FALSE)*1000*HUAWEI製ＰＣＳ接続枚数計算ツール!$Y$113)</f>
        <v>0.85141440000000002</v>
      </c>
      <c r="N19" s="85">
        <f>HUAWEI製ＰＣＳ接続枚数計算ツール!$J$116*枚数!N19/(VLOOKUP(HUAWEI製ＰＣＳ接続枚数計算ツール!$C$9, HUAWEI製ＰＣＳ接続枚数計算ツール!$B$119:$P$149,2,FALSE)*1000*HUAWEI製ＰＣＳ接続枚数計算ツール!$Y$113)</f>
        <v>0.92236560000000012</v>
      </c>
      <c r="O19" s="85">
        <f>HUAWEI製ＰＣＳ接続枚数計算ツール!$J$116*枚数!O19/(VLOOKUP(HUAWEI製ＰＣＳ接続枚数計算ツール!$C$9, HUAWEI製ＰＣＳ接続枚数計算ツール!$B$119:$P$149,2,FALSE)*1000*HUAWEI製ＰＣＳ接続枚数計算ツール!$Y$113)</f>
        <v>0.9933168</v>
      </c>
      <c r="P19" s="85">
        <f>HUAWEI製ＰＣＳ接続枚数計算ツール!$J$116*枚数!P19/(VLOOKUP(HUAWEI製ＰＣＳ接続枚数計算ツール!$C$9, HUAWEI製ＰＣＳ接続枚数計算ツール!$B$119:$P$149,2,FALSE)*1000*HUAWEI製ＰＣＳ接続枚数計算ツール!$Y$113)</f>
        <v>1.064268</v>
      </c>
      <c r="Q19" s="85">
        <f>HUAWEI製ＰＣＳ接続枚数計算ツール!$J$116*枚数!Q19/(VLOOKUP(HUAWEI製ＰＣＳ接続枚数計算ツール!$C$9, HUAWEI製ＰＣＳ接続枚数計算ツール!$B$119:$P$149,2,FALSE)*1000*HUAWEI製ＰＣＳ接続枚数計算ツール!$Y$113)</f>
        <v>1.1352192000000001</v>
      </c>
      <c r="R19" s="85">
        <f>HUAWEI製ＰＣＳ接続枚数計算ツール!$J$116*枚数!R19/(VLOOKUP(HUAWEI製ＰＣＳ接続枚数計算ツール!$C$9, HUAWEI製ＰＣＳ接続枚数計算ツール!$B$119:$P$149,2,FALSE)*1000*HUAWEI製ＰＣＳ接続枚数計算ツール!$Y$113)</f>
        <v>1.2061704000000002</v>
      </c>
      <c r="S19" s="85">
        <f>HUAWEI製ＰＣＳ接続枚数計算ツール!$J$116*枚数!S19/(VLOOKUP(HUAWEI製ＰＣＳ接続枚数計算ツール!$C$9, HUAWEI製ＰＣＳ接続枚数計算ツール!$B$119:$P$149,2,FALSE)*1000*HUAWEI製ＰＣＳ接続枚数計算ツール!$Y$113)</f>
        <v>1.2771216000000001</v>
      </c>
      <c r="T19" s="85">
        <f>HUAWEI製ＰＣＳ接続枚数計算ツール!$J$116*枚数!T19/(VLOOKUP(HUAWEI製ＰＣＳ接続枚数計算ツール!$C$9, HUAWEI製ＰＣＳ接続枚数計算ツール!$B$119:$P$149,2,FALSE)*1000*HUAWEI製ＰＣＳ接続枚数計算ツール!$Y$113)</f>
        <v>1.3480728</v>
      </c>
      <c r="U19" s="85">
        <f>HUAWEI製ＰＣＳ接続枚数計算ツール!$J$116*枚数!U19/(VLOOKUP(HUAWEI製ＰＣＳ接続枚数計算ツール!$C$9, HUAWEI製ＰＣＳ接続枚数計算ツール!$B$119:$P$149,2,FALSE)*1000*HUAWEI製ＰＣＳ接続枚数計算ツール!$Y$113)</f>
        <v>1.4190240000000003</v>
      </c>
      <c r="V19" s="85">
        <f>HUAWEI製ＰＣＳ接続枚数計算ツール!$J$116*枚数!V19/(VLOOKUP(HUAWEI製ＰＣＳ接続枚数計算ツール!$C$9, HUAWEI製ＰＣＳ接続枚数計算ツール!$B$119:$P$149,2,FALSE)*1000*HUAWEI製ＰＣＳ接続枚数計算ツール!$Y$113)</f>
        <v>1.4899752000000002</v>
      </c>
      <c r="W19" s="85">
        <f>HUAWEI製ＰＣＳ接続枚数計算ツール!$J$116*枚数!W19/(VLOOKUP(HUAWEI製ＰＣＳ接続枚数計算ツール!$C$9, HUAWEI製ＰＣＳ接続枚数計算ツール!$B$119:$P$149,2,FALSE)*1000*HUAWEI製ＰＣＳ接続枚数計算ツール!$Y$113)</f>
        <v>1.5609264</v>
      </c>
      <c r="X19" s="85">
        <f>HUAWEI製ＰＣＳ接続枚数計算ツール!$J$116*枚数!X19/(VLOOKUP(HUAWEI製ＰＣＳ接続枚数計算ツール!$C$9, HUAWEI製ＰＣＳ接続枚数計算ツール!$B$119:$P$149,2,FALSE)*1000*HUAWEI製ＰＣＳ接続枚数計算ツール!$Y$113)</f>
        <v>1.6318776000000002</v>
      </c>
      <c r="Y19" s="85">
        <f>HUAWEI製ＰＣＳ接続枚数計算ツール!$J$116*枚数!Y19/(VLOOKUP(HUAWEI製ＰＣＳ接続枚数計算ツール!$C$9, HUAWEI製ＰＣＳ接続枚数計算ツール!$B$119:$P$149,2,FALSE)*1000*HUAWEI製ＰＣＳ接続枚数計算ツール!$Y$113)</f>
        <v>1.7028288</v>
      </c>
      <c r="Z19" s="85">
        <f>HUAWEI製ＰＣＳ接続枚数計算ツール!$J$116*枚数!Z19/(VLOOKUP(HUAWEI製ＰＣＳ接続枚数計算ツール!$C$9, HUAWEI製ＰＣＳ接続枚数計算ツール!$B$119:$P$149,2,FALSE)*1000*HUAWEI製ＰＣＳ接続枚数計算ツール!$Y$113)</f>
        <v>1.7737800000000001</v>
      </c>
      <c r="AA19" s="85">
        <f>HUAWEI製ＰＣＳ接続枚数計算ツール!$J$116*枚数!AA19/(VLOOKUP(HUAWEI製ＰＣＳ接続枚数計算ツール!$C$9, HUAWEI製ＰＣＳ接続枚数計算ツール!$B$119:$P$149,2,FALSE)*1000*HUAWEI製ＰＣＳ接続枚数計算ツール!$Y$113)</f>
        <v>1.8447312000000002</v>
      </c>
      <c r="AB19" s="85">
        <f>HUAWEI製ＰＣＳ接続枚数計算ツール!$J$116*枚数!AB19/(VLOOKUP(HUAWEI製ＰＣＳ接続枚数計算ツール!$C$9, HUAWEI製ＰＣＳ接続枚数計算ツール!$B$119:$P$149,2,FALSE)*1000*HUAWEI製ＰＣＳ接続枚数計算ツール!$Y$113)</f>
        <v>1.9156824000000001</v>
      </c>
      <c r="AC19" s="85">
        <f>HUAWEI製ＰＣＳ接続枚数計算ツール!$J$116*枚数!AC19/(VLOOKUP(HUAWEI製ＰＣＳ接続枚数計算ツール!$C$9, HUAWEI製ＰＣＳ接続枚数計算ツール!$B$119:$P$149,2,FALSE)*1000*HUAWEI製ＰＣＳ接続枚数計算ツール!$Y$113)</f>
        <v>1.9866336</v>
      </c>
      <c r="AD19" s="85">
        <f>HUAWEI製ＰＣＳ接続枚数計算ツール!$J$116*枚数!AD19/(VLOOKUP(HUAWEI製ＰＣＳ接続枚数計算ツール!$C$9, HUAWEI製ＰＣＳ接続枚数計算ツール!$B$119:$P$149,2,FALSE)*1000*HUAWEI製ＰＣＳ接続枚数計算ツール!$Y$113)</f>
        <v>2.0575848000000003</v>
      </c>
      <c r="AE19" s="85">
        <f>HUAWEI製ＰＣＳ接続枚数計算ツール!$J$116*枚数!AE19/(VLOOKUP(HUAWEI製ＰＣＳ接続枚数計算ツール!$C$9, HUAWEI製ＰＣＳ接続枚数計算ツール!$B$119:$P$149,2,FALSE)*1000*HUAWEI製ＰＣＳ接続枚数計算ツール!$Y$113)</f>
        <v>2.128536</v>
      </c>
      <c r="AF19" s="85">
        <f>HUAWEI製ＰＣＳ接続枚数計算ツール!$J$116*枚数!AF19/(VLOOKUP(HUAWEI製ＰＣＳ接続枚数計算ツール!$C$9, HUAWEI製ＰＣＳ接続枚数計算ツール!$B$119:$P$149,2,FALSE)*1000*HUAWEI製ＰＣＳ接続枚数計算ツール!$Y$113)</f>
        <v>2.1994872000000001</v>
      </c>
      <c r="AG19" s="85">
        <f>HUAWEI製ＰＣＳ接続枚数計算ツール!$J$116*枚数!AG19/(VLOOKUP(HUAWEI製ＰＣＳ接続枚数計算ツール!$C$9, HUAWEI製ＰＣＳ接続枚数計算ツール!$B$119:$P$149,2,FALSE)*1000*HUAWEI製ＰＣＳ接続枚数計算ツール!$Y$113)</f>
        <v>2.2704384000000002</v>
      </c>
      <c r="AH19" s="85">
        <f>HUAWEI製ＰＣＳ接続枚数計算ツール!$J$116*枚数!AH19/(VLOOKUP(HUAWEI製ＰＣＳ接続枚数計算ツール!$C$9, HUAWEI製ＰＣＳ接続枚数計算ツール!$B$119:$P$149,2,FALSE)*1000*HUAWEI製ＰＣＳ接続枚数計算ツール!$Y$113)</f>
        <v>2.3413896000000003</v>
      </c>
      <c r="AI19" s="85">
        <f>HUAWEI製ＰＣＳ接続枚数計算ツール!$J$116*枚数!AI19/(VLOOKUP(HUAWEI製ＰＣＳ接続枚数計算ツール!$C$9, HUAWEI製ＰＣＳ接続枚数計算ツール!$B$119:$P$149,2,FALSE)*1000*HUAWEI製ＰＣＳ接続枚数計算ツール!$Y$113)</f>
        <v>2.4123408000000004</v>
      </c>
      <c r="AJ19" s="85">
        <f>HUAWEI製ＰＣＳ接続枚数計算ツール!$J$116*枚数!AJ19/(VLOOKUP(HUAWEI製ＰＣＳ接続枚数計算ツール!$C$9, HUAWEI製ＰＣＳ接続枚数計算ツール!$B$119:$P$149,2,FALSE)*1000*HUAWEI製ＰＣＳ接続枚数計算ツール!$Y$113)</f>
        <v>2.4832920000000001</v>
      </c>
      <c r="AK19" s="85">
        <f>HUAWEI製ＰＣＳ接続枚数計算ツール!$J$116*枚数!AK19/(VLOOKUP(HUAWEI製ＰＣＳ接続枚数計算ツール!$C$9, HUAWEI製ＰＣＳ接続枚数計算ツール!$B$119:$P$149,2,FALSE)*1000*HUAWEI製ＰＣＳ接続枚数計算ツール!$Y$113)</f>
        <v>2.5542432000000002</v>
      </c>
      <c r="AL19" s="85">
        <f>HUAWEI製ＰＣＳ接続枚数計算ツール!$J$116*枚数!AL19/(VLOOKUP(HUAWEI製ＰＣＳ接続枚数計算ツール!$C$9, HUAWEI製ＰＣＳ接続枚数計算ツール!$B$119:$P$149,2,FALSE)*1000*HUAWEI製ＰＣＳ接続枚数計算ツール!$Y$113)</f>
        <v>2.6251944000000003</v>
      </c>
      <c r="AM19" s="85">
        <f>HUAWEI製ＰＣＳ接続枚数計算ツール!$J$116*枚数!AM19/(VLOOKUP(HUAWEI製ＰＣＳ接続枚数計算ツール!$C$9, HUAWEI製ＰＣＳ接続枚数計算ツール!$B$119:$P$149,2,FALSE)*1000*HUAWEI製ＰＣＳ接続枚数計算ツール!$Y$113)</f>
        <v>2.6961455999999999</v>
      </c>
      <c r="AN19" s="85">
        <f>HUAWEI製ＰＣＳ接続枚数計算ツール!$J$116*枚数!AN19/(VLOOKUP(HUAWEI製ＰＣＳ接続枚数計算ツール!$C$9, HUAWEI製ＰＣＳ接続枚数計算ツール!$B$119:$P$149,2,FALSE)*1000*HUAWEI製ＰＣＳ接続枚数計算ツール!$Y$113)</f>
        <v>2.7670968000000005</v>
      </c>
      <c r="AO19" s="85">
        <f>HUAWEI製ＰＣＳ接続枚数計算ツール!$J$116*枚数!AO19/(VLOOKUP(HUAWEI製ＰＣＳ接続枚数計算ツール!$C$9, HUAWEI製ＰＣＳ接続枚数計算ツール!$B$119:$P$149,2,FALSE)*1000*HUAWEI製ＰＣＳ接続枚数計算ツール!$Y$113)</f>
        <v>2.8380480000000006</v>
      </c>
    </row>
    <row r="20" spans="1:41">
      <c r="A20">
        <v>18</v>
      </c>
      <c r="B20" s="85">
        <f>HUAWEI製ＰＣＳ接続枚数計算ツール!$J$116*枚数!B20/(VLOOKUP(HUAWEI製ＰＣＳ接続枚数計算ツール!$C$9, HUAWEI製ＰＣＳ接続枚数計算ツール!$B$119:$P$149,2,FALSE)*1000*HUAWEI製ＰＣＳ接続枚数計算ツール!$Y$113)</f>
        <v>7.5124800000000005E-2</v>
      </c>
      <c r="C20" s="85">
        <f>HUAWEI製ＰＣＳ接続枚数計算ツール!$J$116*枚数!C20/(VLOOKUP(HUAWEI製ＰＣＳ接続枚数計算ツール!$C$9, HUAWEI製ＰＣＳ接続枚数計算ツール!$B$119:$P$149,2,FALSE)*1000*HUAWEI製ＰＣＳ接続枚数計算ツール!$Y$113)</f>
        <v>0.15024960000000001</v>
      </c>
      <c r="D20" s="85">
        <f>HUAWEI製ＰＣＳ接続枚数計算ツール!$J$116*枚数!D20/(VLOOKUP(HUAWEI製ＰＣＳ接続枚数計算ツール!$C$9, HUAWEI製ＰＣＳ接続枚数計算ツール!$B$119:$P$149,2,FALSE)*1000*HUAWEI製ＰＣＳ接続枚数計算ツール!$Y$113)</f>
        <v>0.22537440000000003</v>
      </c>
      <c r="E20" s="85">
        <f>HUAWEI製ＰＣＳ接続枚数計算ツール!$J$116*枚数!E20/(VLOOKUP(HUAWEI製ＰＣＳ接続枚数計算ツール!$C$9, HUAWEI製ＰＣＳ接続枚数計算ツール!$B$119:$P$149,2,FALSE)*1000*HUAWEI製ＰＣＳ接続枚数計算ツール!$Y$113)</f>
        <v>0.30049920000000002</v>
      </c>
      <c r="F20" s="85">
        <f>HUAWEI製ＰＣＳ接続枚数計算ツール!$J$116*枚数!F20/(VLOOKUP(HUAWEI製ＰＣＳ接続枚数計算ツール!$C$9, HUAWEI製ＰＣＳ接続枚数計算ツール!$B$119:$P$149,2,FALSE)*1000*HUAWEI製ＰＣＳ接続枚数計算ツール!$Y$113)</f>
        <v>0.37562400000000007</v>
      </c>
      <c r="G20" s="85">
        <f>HUAWEI製ＰＣＳ接続枚数計算ツール!$J$116*枚数!G20/(VLOOKUP(HUAWEI製ＰＣＳ接続枚数計算ツール!$C$9, HUAWEI製ＰＣＳ接続枚数計算ツール!$B$119:$P$149,2,FALSE)*1000*HUAWEI製ＰＣＳ接続枚数計算ツール!$Y$113)</f>
        <v>0.45074880000000006</v>
      </c>
      <c r="H20" s="85">
        <f>HUAWEI製ＰＣＳ接続枚数計算ツール!$J$116*枚数!H20/(VLOOKUP(HUAWEI製ＰＣＳ接続枚数計算ツール!$C$9, HUAWEI製ＰＣＳ接続枚数計算ツール!$B$119:$P$149,2,FALSE)*1000*HUAWEI製ＰＣＳ接続枚数計算ツール!$Y$113)</f>
        <v>0.52587360000000005</v>
      </c>
      <c r="I20" s="85">
        <f>HUAWEI製ＰＣＳ接続枚数計算ツール!$J$116*枚数!I20/(VLOOKUP(HUAWEI製ＰＣＳ接続枚数計算ツール!$C$9, HUAWEI製ＰＣＳ接続枚数計算ツール!$B$119:$P$149,2,FALSE)*1000*HUAWEI製ＰＣＳ接続枚数計算ツール!$Y$113)</f>
        <v>0.60099840000000004</v>
      </c>
      <c r="J20" s="85">
        <f>HUAWEI製ＰＣＳ接続枚数計算ツール!$J$116*枚数!J20/(VLOOKUP(HUAWEI製ＰＣＳ接続枚数計算ツール!$C$9, HUAWEI製ＰＣＳ接続枚数計算ツール!$B$119:$P$149,2,FALSE)*1000*HUAWEI製ＰＣＳ接続枚数計算ツール!$Y$113)</f>
        <v>0.67612320000000004</v>
      </c>
      <c r="K20" s="85">
        <f>HUAWEI製ＰＣＳ接続枚数計算ツール!$J$116*枚数!K20/(VLOOKUP(HUAWEI製ＰＣＳ接続枚数計算ツール!$C$9, HUAWEI製ＰＣＳ接続枚数計算ツール!$B$119:$P$149,2,FALSE)*1000*HUAWEI製ＰＣＳ接続枚数計算ツール!$Y$113)</f>
        <v>0.75124800000000014</v>
      </c>
      <c r="L20" s="85">
        <f>HUAWEI製ＰＣＳ接続枚数計算ツール!$J$116*枚数!L20/(VLOOKUP(HUAWEI製ＰＣＳ接続枚数計算ツール!$C$9, HUAWEI製ＰＣＳ接続枚数計算ツール!$B$119:$P$149,2,FALSE)*1000*HUAWEI製ＰＣＳ接続枚数計算ツール!$Y$113)</f>
        <v>0.82637280000000002</v>
      </c>
      <c r="M20" s="85">
        <f>HUAWEI製ＰＣＳ接続枚数計算ツール!$J$116*枚数!M20/(VLOOKUP(HUAWEI製ＰＣＳ接続枚数計算ツール!$C$9, HUAWEI製ＰＣＳ接続枚数計算ツール!$B$119:$P$149,2,FALSE)*1000*HUAWEI製ＰＣＳ接続枚数計算ツール!$Y$113)</f>
        <v>0.90149760000000012</v>
      </c>
      <c r="N20" s="85">
        <f>HUAWEI製ＰＣＳ接続枚数計算ツール!$J$116*枚数!N20/(VLOOKUP(HUAWEI製ＰＣＳ接続枚数計算ツール!$C$9, HUAWEI製ＰＣＳ接続枚数計算ツール!$B$119:$P$149,2,FALSE)*1000*HUAWEI製ＰＣＳ接続枚数計算ツール!$Y$113)</f>
        <v>0.97662240000000011</v>
      </c>
      <c r="O20" s="85">
        <f>HUAWEI製ＰＣＳ接続枚数計算ツール!$J$116*枚数!O20/(VLOOKUP(HUAWEI製ＰＣＳ接続枚数計算ツール!$C$9, HUAWEI製ＰＣＳ接続枚数計算ツール!$B$119:$P$149,2,FALSE)*1000*HUAWEI製ＰＣＳ接続枚数計算ツール!$Y$113)</f>
        <v>1.0517472000000001</v>
      </c>
      <c r="P20" s="85">
        <f>HUAWEI製ＰＣＳ接続枚数計算ツール!$J$116*枚数!P20/(VLOOKUP(HUAWEI製ＰＣＳ接続枚数計算ツール!$C$9, HUAWEI製ＰＣＳ接続枚数計算ツール!$B$119:$P$149,2,FALSE)*1000*HUAWEI製ＰＣＳ接続枚数計算ツール!$Y$113)</f>
        <v>1.1268720000000001</v>
      </c>
      <c r="Q20" s="85">
        <f>HUAWEI製ＰＣＳ接続枚数計算ツール!$J$116*枚数!Q20/(VLOOKUP(HUAWEI製ＰＣＳ接続枚数計算ツール!$C$9, HUAWEI製ＰＣＳ接続枚数計算ツール!$B$119:$P$149,2,FALSE)*1000*HUAWEI製ＰＣＳ接続枚数計算ツール!$Y$113)</f>
        <v>1.2019968000000001</v>
      </c>
      <c r="R20" s="85">
        <f>HUAWEI製ＰＣＳ接続枚数計算ツール!$J$116*枚数!R20/(VLOOKUP(HUAWEI製ＰＣＳ接続枚数計算ツール!$C$9, HUAWEI製ＰＣＳ接続枚数計算ツール!$B$119:$P$149,2,FALSE)*1000*HUAWEI製ＰＣＳ接続枚数計算ツール!$Y$113)</f>
        <v>1.2771216000000001</v>
      </c>
      <c r="S20" s="85">
        <f>HUAWEI製ＰＣＳ接続枚数計算ツール!$J$116*枚数!S20/(VLOOKUP(HUAWEI製ＰＣＳ接続枚数計算ツール!$C$9, HUAWEI製ＰＣＳ接続枚数計算ツール!$B$119:$P$149,2,FALSE)*1000*HUAWEI製ＰＣＳ接続枚数計算ツール!$Y$113)</f>
        <v>1.3522464000000001</v>
      </c>
      <c r="T20" s="85">
        <f>HUAWEI製ＰＣＳ接続枚数計算ツール!$J$116*枚数!T20/(VLOOKUP(HUAWEI製ＰＣＳ接続枚数計算ツール!$C$9, HUAWEI製ＰＣＳ接続枚数計算ツール!$B$119:$P$149,2,FALSE)*1000*HUAWEI製ＰＣＳ接続枚数計算ツール!$Y$113)</f>
        <v>1.4273712000000003</v>
      </c>
      <c r="U20" s="85">
        <f>HUAWEI製ＰＣＳ接続枚数計算ツール!$J$116*枚数!U20/(VLOOKUP(HUAWEI製ＰＣＳ接続枚数計算ツール!$C$9, HUAWEI製ＰＣＳ接続枚数計算ツール!$B$119:$P$149,2,FALSE)*1000*HUAWEI製ＰＣＳ接続枚数計算ツール!$Y$113)</f>
        <v>1.5024960000000003</v>
      </c>
      <c r="V20" s="85">
        <f>HUAWEI製ＰＣＳ接続枚数計算ツール!$J$116*枚数!V20/(VLOOKUP(HUAWEI製ＰＣＳ接続枚数計算ツール!$C$9, HUAWEI製ＰＣＳ接続枚数計算ツール!$B$119:$P$149,2,FALSE)*1000*HUAWEI製ＰＣＳ接続枚数計算ツール!$Y$113)</f>
        <v>1.5776208</v>
      </c>
      <c r="W20" s="85">
        <f>HUAWEI製ＰＣＳ接続枚数計算ツール!$J$116*枚数!W20/(VLOOKUP(HUAWEI製ＰＣＳ接続枚数計算ツール!$C$9, HUAWEI製ＰＣＳ接続枚数計算ツール!$B$119:$P$149,2,FALSE)*1000*HUAWEI製ＰＣＳ接続枚数計算ツール!$Y$113)</f>
        <v>1.6527456</v>
      </c>
      <c r="X20" s="85">
        <f>HUAWEI製ＰＣＳ接続枚数計算ツール!$J$116*枚数!X20/(VLOOKUP(HUAWEI製ＰＣＳ接続枚数計算ツール!$C$9, HUAWEI製ＰＣＳ接続枚数計算ツール!$B$119:$P$149,2,FALSE)*1000*HUAWEI製ＰＣＳ接続枚数計算ツール!$Y$113)</f>
        <v>1.7278704000000003</v>
      </c>
      <c r="Y20" s="85">
        <f>HUAWEI製ＰＣＳ接続枚数計算ツール!$J$116*枚数!Y20/(VLOOKUP(HUAWEI製ＰＣＳ接続枚数計算ツール!$C$9, HUAWEI製ＰＣＳ接続枚数計算ツール!$B$119:$P$149,2,FALSE)*1000*HUAWEI製ＰＣＳ接続枚数計算ツール!$Y$113)</f>
        <v>1.8029952000000002</v>
      </c>
      <c r="Z20" s="85">
        <f>HUAWEI製ＰＣＳ接続枚数計算ツール!$J$116*枚数!Z20/(VLOOKUP(HUAWEI製ＰＣＳ接続枚数計算ツール!$C$9, HUAWEI製ＰＣＳ接続枚数計算ツール!$B$119:$P$149,2,FALSE)*1000*HUAWEI製ＰＣＳ接続枚数計算ツール!$Y$113)</f>
        <v>1.8781200000000002</v>
      </c>
      <c r="AA20" s="85">
        <f>HUAWEI製ＰＣＳ接続枚数計算ツール!$J$116*枚数!AA20/(VLOOKUP(HUAWEI製ＰＣＳ接続枚数計算ツール!$C$9, HUAWEI製ＰＣＳ接続枚数計算ツール!$B$119:$P$149,2,FALSE)*1000*HUAWEI製ＰＣＳ接続枚数計算ツール!$Y$113)</f>
        <v>1.9532448000000002</v>
      </c>
      <c r="AB20" s="85">
        <f>HUAWEI製ＰＣＳ接続枚数計算ツール!$J$116*枚数!AB20/(VLOOKUP(HUAWEI製ＰＣＳ接続枚数計算ツール!$C$9, HUAWEI製ＰＣＳ接続枚数計算ツール!$B$119:$P$149,2,FALSE)*1000*HUAWEI製ＰＣＳ接続枚数計算ツール!$Y$113)</f>
        <v>2.0283696</v>
      </c>
      <c r="AC20" s="85">
        <f>HUAWEI製ＰＣＳ接続枚数計算ツール!$J$116*枚数!AC20/(VLOOKUP(HUAWEI製ＰＣＳ接続枚数計算ツール!$C$9, HUAWEI製ＰＣＳ接続枚数計算ツール!$B$119:$P$149,2,FALSE)*1000*HUAWEI製ＰＣＳ接続枚数計算ツール!$Y$113)</f>
        <v>2.1034944000000002</v>
      </c>
      <c r="AD20" s="85">
        <f>HUAWEI製ＰＣＳ接続枚数計算ツール!$J$116*枚数!AD20/(VLOOKUP(HUAWEI製ＰＣＳ接続枚数計算ツール!$C$9, HUAWEI製ＰＣＳ接続枚数計算ツール!$B$119:$P$149,2,FALSE)*1000*HUAWEI製ＰＣＳ接続枚数計算ツール!$Y$113)</f>
        <v>2.1786192</v>
      </c>
      <c r="AE20" s="85">
        <f>HUAWEI製ＰＣＳ接続枚数計算ツール!$J$116*枚数!AE20/(VLOOKUP(HUAWEI製ＰＣＳ接続枚数計算ツール!$C$9, HUAWEI製ＰＣＳ接続枚数計算ツール!$B$119:$P$149,2,FALSE)*1000*HUAWEI製ＰＣＳ接続枚数計算ツール!$Y$113)</f>
        <v>2.2537440000000002</v>
      </c>
      <c r="AF20" s="85">
        <f>HUAWEI製ＰＣＳ接続枚数計算ツール!$J$116*枚数!AF20/(VLOOKUP(HUAWEI製ＰＣＳ接続枚数計算ツール!$C$9, HUAWEI製ＰＣＳ接続枚数計算ツール!$B$119:$P$149,2,FALSE)*1000*HUAWEI製ＰＣＳ接続枚数計算ツール!$Y$113)</f>
        <v>2.3288688000000004</v>
      </c>
      <c r="AG20" s="85">
        <f>HUAWEI製ＰＣＳ接続枚数計算ツール!$J$116*枚数!AG20/(VLOOKUP(HUAWEI製ＰＣＳ接続枚数計算ツール!$C$9, HUAWEI製ＰＣＳ接続枚数計算ツール!$B$119:$P$149,2,FALSE)*1000*HUAWEI製ＰＣＳ接続枚数計算ツール!$Y$113)</f>
        <v>2.4039936000000002</v>
      </c>
      <c r="AH20" s="85">
        <f>HUAWEI製ＰＣＳ接続枚数計算ツール!$J$116*枚数!AH20/(VLOOKUP(HUAWEI製ＰＣＳ接続枚数計算ツール!$C$9, HUAWEI製ＰＣＳ接続枚数計算ツール!$B$119:$P$149,2,FALSE)*1000*HUAWEI製ＰＣＳ接続枚数計算ツール!$Y$113)</f>
        <v>2.4791184000000004</v>
      </c>
      <c r="AI20" s="85">
        <f>HUAWEI製ＰＣＳ接続枚数計算ツール!$J$116*枚数!AI20/(VLOOKUP(HUAWEI製ＰＣＳ接続枚数計算ツール!$C$9, HUAWEI製ＰＣＳ接続枚数計算ツール!$B$119:$P$149,2,FALSE)*1000*HUAWEI製ＰＣＳ接続枚数計算ツール!$Y$113)</f>
        <v>2.5542432000000002</v>
      </c>
      <c r="AJ20" s="85">
        <f>HUAWEI製ＰＣＳ接続枚数計算ツール!$J$116*枚数!AJ20/(VLOOKUP(HUAWEI製ＰＣＳ接続枚数計算ツール!$C$9, HUAWEI製ＰＣＳ接続枚数計算ツール!$B$119:$P$149,2,FALSE)*1000*HUAWEI製ＰＣＳ接続枚数計算ツール!$Y$113)</f>
        <v>2.6293679999999999</v>
      </c>
      <c r="AK20" s="85">
        <f>HUAWEI製ＰＣＳ接続枚数計算ツール!$J$116*枚数!AK20/(VLOOKUP(HUAWEI製ＰＣＳ接続枚数計算ツール!$C$9, HUAWEI製ＰＣＳ接続枚数計算ツール!$B$119:$P$149,2,FALSE)*1000*HUAWEI製ＰＣＳ接続枚数計算ツール!$Y$113)</f>
        <v>2.7044928000000001</v>
      </c>
      <c r="AL20" s="85">
        <f>HUAWEI製ＰＣＳ接続枚数計算ツール!$J$116*枚数!AL20/(VLOOKUP(HUAWEI製ＰＣＳ接続枚数計算ツール!$C$9, HUAWEI製ＰＣＳ接続枚数計算ツール!$B$119:$P$149,2,FALSE)*1000*HUAWEI製ＰＣＳ接続枚数計算ツール!$Y$113)</f>
        <v>2.7796175999999999</v>
      </c>
      <c r="AM20" s="85">
        <f>HUAWEI製ＰＣＳ接続枚数計算ツール!$J$116*枚数!AM20/(VLOOKUP(HUAWEI製ＰＣＳ接続枚数計算ツール!$C$9, HUAWEI製ＰＣＳ接続枚数計算ツール!$B$119:$P$149,2,FALSE)*1000*HUAWEI製ＰＣＳ接続枚数計算ツール!$Y$113)</f>
        <v>2.8547424000000006</v>
      </c>
      <c r="AN20" s="85">
        <f>HUAWEI製ＰＣＳ接続枚数計算ツール!$J$116*枚数!AN20/(VLOOKUP(HUAWEI製ＰＣＳ接続枚数計算ツール!$C$9, HUAWEI製ＰＣＳ接続枚数計算ツール!$B$119:$P$149,2,FALSE)*1000*HUAWEI製ＰＣＳ接続枚数計算ツール!$Y$113)</f>
        <v>2.9298672000000003</v>
      </c>
      <c r="AO20" s="85">
        <f>HUAWEI製ＰＣＳ接続枚数計算ツール!$J$116*枚数!AO20/(VLOOKUP(HUAWEI製ＰＣＳ接続枚数計算ツール!$C$9, HUAWEI製ＰＣＳ接続枚数計算ツール!$B$119:$P$149,2,FALSE)*1000*HUAWEI製ＰＣＳ接続枚数計算ツール!$Y$113)</f>
        <v>3.0049920000000006</v>
      </c>
    </row>
    <row r="21" spans="1:41">
      <c r="A21">
        <v>19</v>
      </c>
      <c r="B21" s="85">
        <f>HUAWEI製ＰＣＳ接続枚数計算ツール!$J$116*枚数!B21/(VLOOKUP(HUAWEI製ＰＣＳ接続枚数計算ツール!$C$9, HUAWEI製ＰＣＳ接続枚数計算ツール!$B$119:$P$149,2,FALSE)*1000*HUAWEI製ＰＣＳ接続枚数計算ツール!$Y$113)</f>
        <v>0</v>
      </c>
      <c r="C21" s="85">
        <f>HUAWEI製ＰＣＳ接続枚数計算ツール!$J$116*枚数!C21/(VLOOKUP(HUAWEI製ＰＣＳ接続枚数計算ツール!$C$9, HUAWEI製ＰＣＳ接続枚数計算ツール!$B$119:$P$149,2,FALSE)*1000*HUAWEI製ＰＣＳ接続枚数計算ツール!$Y$113)</f>
        <v>0</v>
      </c>
      <c r="D21" s="85">
        <f>HUAWEI製ＰＣＳ接続枚数計算ツール!$J$116*枚数!D21/(VLOOKUP(HUAWEI製ＰＣＳ接続枚数計算ツール!$C$9, HUAWEI製ＰＣＳ接続枚数計算ツール!$B$119:$P$149,2,FALSE)*1000*HUAWEI製ＰＣＳ接続枚数計算ツール!$Y$113)</f>
        <v>0</v>
      </c>
      <c r="E21" s="85">
        <f>HUAWEI製ＰＣＳ接続枚数計算ツール!$J$116*枚数!E21/(VLOOKUP(HUAWEI製ＰＣＳ接続枚数計算ツール!$C$9, HUAWEI製ＰＣＳ接続枚数計算ツール!$B$119:$P$149,2,FALSE)*1000*HUAWEI製ＰＣＳ接続枚数計算ツール!$Y$113)</f>
        <v>0</v>
      </c>
      <c r="F21" s="85">
        <f>HUAWEI製ＰＣＳ接続枚数計算ツール!$J$116*枚数!F21/(VLOOKUP(HUAWEI製ＰＣＳ接続枚数計算ツール!$C$9, HUAWEI製ＰＣＳ接続枚数計算ツール!$B$119:$P$149,2,FALSE)*1000*HUAWEI製ＰＣＳ接続枚数計算ツール!$Y$113)</f>
        <v>0</v>
      </c>
      <c r="G21" s="85">
        <f>HUAWEI製ＰＣＳ接続枚数計算ツール!$J$116*枚数!G21/(VLOOKUP(HUAWEI製ＰＣＳ接続枚数計算ツール!$C$9, HUAWEI製ＰＣＳ接続枚数計算ツール!$B$119:$P$149,2,FALSE)*1000*HUAWEI製ＰＣＳ接続枚数計算ツール!$Y$113)</f>
        <v>0</v>
      </c>
      <c r="H21" s="85">
        <f>HUAWEI製ＰＣＳ接続枚数計算ツール!$J$116*枚数!H21/(VLOOKUP(HUAWEI製ＰＣＳ接続枚数計算ツール!$C$9, HUAWEI製ＰＣＳ接続枚数計算ツール!$B$119:$P$149,2,FALSE)*1000*HUAWEI製ＰＣＳ接続枚数計算ツール!$Y$113)</f>
        <v>0</v>
      </c>
      <c r="I21" s="85">
        <f>HUAWEI製ＰＣＳ接続枚数計算ツール!$J$116*枚数!I21/(VLOOKUP(HUAWEI製ＰＣＳ接続枚数計算ツール!$C$9, HUAWEI製ＰＣＳ接続枚数計算ツール!$B$119:$P$149,2,FALSE)*1000*HUAWEI製ＰＣＳ接続枚数計算ツール!$Y$113)</f>
        <v>0</v>
      </c>
      <c r="J21" s="85">
        <f>HUAWEI製ＰＣＳ接続枚数計算ツール!$J$116*枚数!J21/(VLOOKUP(HUAWEI製ＰＣＳ接続枚数計算ツール!$C$9, HUAWEI製ＰＣＳ接続枚数計算ツール!$B$119:$P$149,2,FALSE)*1000*HUAWEI製ＰＣＳ接続枚数計算ツール!$Y$113)</f>
        <v>0</v>
      </c>
      <c r="K21" s="85">
        <f>HUAWEI製ＰＣＳ接続枚数計算ツール!$J$116*枚数!K21/(VLOOKUP(HUAWEI製ＰＣＳ接続枚数計算ツール!$C$9, HUAWEI製ＰＣＳ接続枚数計算ツール!$B$119:$P$149,2,FALSE)*1000*HUAWEI製ＰＣＳ接続枚数計算ツール!$Y$113)</f>
        <v>0</v>
      </c>
      <c r="L21" s="85">
        <f>HUAWEI製ＰＣＳ接続枚数計算ツール!$J$116*枚数!L21/(VLOOKUP(HUAWEI製ＰＣＳ接続枚数計算ツール!$C$9, HUAWEI製ＰＣＳ接続枚数計算ツール!$B$119:$P$149,2,FALSE)*1000*HUAWEI製ＰＣＳ接続枚数計算ツール!$Y$113)</f>
        <v>0</v>
      </c>
      <c r="M21" s="85">
        <f>HUAWEI製ＰＣＳ接続枚数計算ツール!$J$116*枚数!M21/(VLOOKUP(HUAWEI製ＰＣＳ接続枚数計算ツール!$C$9, HUAWEI製ＰＣＳ接続枚数計算ツール!$B$119:$P$149,2,FALSE)*1000*HUAWEI製ＰＣＳ接続枚数計算ツール!$Y$113)</f>
        <v>0</v>
      </c>
      <c r="N21" s="85">
        <f>HUAWEI製ＰＣＳ接続枚数計算ツール!$J$116*枚数!N21/(VLOOKUP(HUAWEI製ＰＣＳ接続枚数計算ツール!$C$9, HUAWEI製ＰＣＳ接続枚数計算ツール!$B$119:$P$149,2,FALSE)*1000*HUAWEI製ＰＣＳ接続枚数計算ツール!$Y$113)</f>
        <v>0</v>
      </c>
      <c r="O21" s="85">
        <f>HUAWEI製ＰＣＳ接続枚数計算ツール!$J$116*枚数!O21/(VLOOKUP(HUAWEI製ＰＣＳ接続枚数計算ツール!$C$9, HUAWEI製ＰＣＳ接続枚数計算ツール!$B$119:$P$149,2,FALSE)*1000*HUAWEI製ＰＣＳ接続枚数計算ツール!$Y$113)</f>
        <v>0</v>
      </c>
      <c r="P21" s="85">
        <f>HUAWEI製ＰＣＳ接続枚数計算ツール!$J$116*枚数!P21/(VLOOKUP(HUAWEI製ＰＣＳ接続枚数計算ツール!$C$9, HUAWEI製ＰＣＳ接続枚数計算ツール!$B$119:$P$149,2,FALSE)*1000*HUAWEI製ＰＣＳ接続枚数計算ツール!$Y$113)</f>
        <v>0</v>
      </c>
      <c r="Q21" s="85">
        <f>HUAWEI製ＰＣＳ接続枚数計算ツール!$J$116*枚数!Q21/(VLOOKUP(HUAWEI製ＰＣＳ接続枚数計算ツール!$C$9, HUAWEI製ＰＣＳ接続枚数計算ツール!$B$119:$P$149,2,FALSE)*1000*HUAWEI製ＰＣＳ接続枚数計算ツール!$Y$113)</f>
        <v>0</v>
      </c>
      <c r="R21" s="85">
        <f>HUAWEI製ＰＣＳ接続枚数計算ツール!$J$116*枚数!R21/(VLOOKUP(HUAWEI製ＰＣＳ接続枚数計算ツール!$C$9, HUAWEI製ＰＣＳ接続枚数計算ツール!$B$119:$P$149,2,FALSE)*1000*HUAWEI製ＰＣＳ接続枚数計算ツール!$Y$113)</f>
        <v>0</v>
      </c>
      <c r="S21" s="85">
        <f>HUAWEI製ＰＣＳ接続枚数計算ツール!$J$116*枚数!S21/(VLOOKUP(HUAWEI製ＰＣＳ接続枚数計算ツール!$C$9, HUAWEI製ＰＣＳ接続枚数計算ツール!$B$119:$P$149,2,FALSE)*1000*HUAWEI製ＰＣＳ接続枚数計算ツール!$Y$113)</f>
        <v>0</v>
      </c>
      <c r="T21" s="85">
        <f>HUAWEI製ＰＣＳ接続枚数計算ツール!$J$116*枚数!T21/(VLOOKUP(HUAWEI製ＰＣＳ接続枚数計算ツール!$C$9, HUAWEI製ＰＣＳ接続枚数計算ツール!$B$119:$P$149,2,FALSE)*1000*HUAWEI製ＰＣＳ接続枚数計算ツール!$Y$113)</f>
        <v>0</v>
      </c>
      <c r="U21" s="85">
        <f>HUAWEI製ＰＣＳ接続枚数計算ツール!$J$116*枚数!U21/(VLOOKUP(HUAWEI製ＰＣＳ接続枚数計算ツール!$C$9, HUAWEI製ＰＣＳ接続枚数計算ツール!$B$119:$P$149,2,FALSE)*1000*HUAWEI製ＰＣＳ接続枚数計算ツール!$Y$113)</f>
        <v>0</v>
      </c>
      <c r="V21" s="85">
        <f>HUAWEI製ＰＣＳ接続枚数計算ツール!$J$116*枚数!V21/(VLOOKUP(HUAWEI製ＰＣＳ接続枚数計算ツール!$C$9, HUAWEI製ＰＣＳ接続枚数計算ツール!$B$119:$P$149,2,FALSE)*1000*HUAWEI製ＰＣＳ接続枚数計算ツール!$Y$113)</f>
        <v>0</v>
      </c>
      <c r="W21" s="85">
        <f>HUAWEI製ＰＣＳ接続枚数計算ツール!$J$116*枚数!W21/(VLOOKUP(HUAWEI製ＰＣＳ接続枚数計算ツール!$C$9, HUAWEI製ＰＣＳ接続枚数計算ツール!$B$119:$P$149,2,FALSE)*1000*HUAWEI製ＰＣＳ接続枚数計算ツール!$Y$113)</f>
        <v>0</v>
      </c>
      <c r="X21" s="85">
        <f>HUAWEI製ＰＣＳ接続枚数計算ツール!$J$116*枚数!X21/(VLOOKUP(HUAWEI製ＰＣＳ接続枚数計算ツール!$C$9, HUAWEI製ＰＣＳ接続枚数計算ツール!$B$119:$P$149,2,FALSE)*1000*HUAWEI製ＰＣＳ接続枚数計算ツール!$Y$113)</f>
        <v>0</v>
      </c>
      <c r="Y21" s="85">
        <f>HUAWEI製ＰＣＳ接続枚数計算ツール!$J$116*枚数!Y21/(VLOOKUP(HUAWEI製ＰＣＳ接続枚数計算ツール!$C$9, HUAWEI製ＰＣＳ接続枚数計算ツール!$B$119:$P$149,2,FALSE)*1000*HUAWEI製ＰＣＳ接続枚数計算ツール!$Y$113)</f>
        <v>0</v>
      </c>
      <c r="Z21" s="85">
        <f>HUAWEI製ＰＣＳ接続枚数計算ツール!$J$116*枚数!Z21/(VLOOKUP(HUAWEI製ＰＣＳ接続枚数計算ツール!$C$9, HUAWEI製ＰＣＳ接続枚数計算ツール!$B$119:$P$149,2,FALSE)*1000*HUAWEI製ＰＣＳ接続枚数計算ツール!$Y$113)</f>
        <v>0</v>
      </c>
      <c r="AA21" s="85">
        <f>HUAWEI製ＰＣＳ接続枚数計算ツール!$J$116*枚数!AA21/(VLOOKUP(HUAWEI製ＰＣＳ接続枚数計算ツール!$C$9, HUAWEI製ＰＣＳ接続枚数計算ツール!$B$119:$P$149,2,FALSE)*1000*HUAWEI製ＰＣＳ接続枚数計算ツール!$Y$113)</f>
        <v>0</v>
      </c>
      <c r="AB21" s="85">
        <f>HUAWEI製ＰＣＳ接続枚数計算ツール!$J$116*枚数!AB21/(VLOOKUP(HUAWEI製ＰＣＳ接続枚数計算ツール!$C$9, HUAWEI製ＰＣＳ接続枚数計算ツール!$B$119:$P$149,2,FALSE)*1000*HUAWEI製ＰＣＳ接続枚数計算ツール!$Y$113)</f>
        <v>0</v>
      </c>
      <c r="AC21" s="85">
        <f>HUAWEI製ＰＣＳ接続枚数計算ツール!$J$116*枚数!AC21/(VLOOKUP(HUAWEI製ＰＣＳ接続枚数計算ツール!$C$9, HUAWEI製ＰＣＳ接続枚数計算ツール!$B$119:$P$149,2,FALSE)*1000*HUAWEI製ＰＣＳ接続枚数計算ツール!$Y$113)</f>
        <v>0</v>
      </c>
      <c r="AD21" s="85">
        <f>HUAWEI製ＰＣＳ接続枚数計算ツール!$J$116*枚数!AD21/(VLOOKUP(HUAWEI製ＰＣＳ接続枚数計算ツール!$C$9, HUAWEI製ＰＣＳ接続枚数計算ツール!$B$119:$P$149,2,FALSE)*1000*HUAWEI製ＰＣＳ接続枚数計算ツール!$Y$113)</f>
        <v>0</v>
      </c>
      <c r="AE21" s="85">
        <f>HUAWEI製ＰＣＳ接続枚数計算ツール!$J$116*枚数!AE21/(VLOOKUP(HUAWEI製ＰＣＳ接続枚数計算ツール!$C$9, HUAWEI製ＰＣＳ接続枚数計算ツール!$B$119:$P$149,2,FALSE)*1000*HUAWEI製ＰＣＳ接続枚数計算ツール!$Y$113)</f>
        <v>0</v>
      </c>
      <c r="AF21" s="85">
        <f>HUAWEI製ＰＣＳ接続枚数計算ツール!$J$116*枚数!AF21/(VLOOKUP(HUAWEI製ＰＣＳ接続枚数計算ツール!$C$9, HUAWEI製ＰＣＳ接続枚数計算ツール!$B$119:$P$149,2,FALSE)*1000*HUAWEI製ＰＣＳ接続枚数計算ツール!$Y$113)</f>
        <v>0</v>
      </c>
      <c r="AG21" s="85">
        <f>HUAWEI製ＰＣＳ接続枚数計算ツール!$J$116*枚数!AG21/(VLOOKUP(HUAWEI製ＰＣＳ接続枚数計算ツール!$C$9, HUAWEI製ＰＣＳ接続枚数計算ツール!$B$119:$P$149,2,FALSE)*1000*HUAWEI製ＰＣＳ接続枚数計算ツール!$Y$113)</f>
        <v>0</v>
      </c>
      <c r="AH21" s="85">
        <f>HUAWEI製ＰＣＳ接続枚数計算ツール!$J$116*枚数!AH21/(VLOOKUP(HUAWEI製ＰＣＳ接続枚数計算ツール!$C$9, HUAWEI製ＰＣＳ接続枚数計算ツール!$B$119:$P$149,2,FALSE)*1000*HUAWEI製ＰＣＳ接続枚数計算ツール!$Y$113)</f>
        <v>0</v>
      </c>
      <c r="AI21" s="85">
        <f>HUAWEI製ＰＣＳ接続枚数計算ツール!$J$116*枚数!AI21/(VLOOKUP(HUAWEI製ＰＣＳ接続枚数計算ツール!$C$9, HUAWEI製ＰＣＳ接続枚数計算ツール!$B$119:$P$149,2,FALSE)*1000*HUAWEI製ＰＣＳ接続枚数計算ツール!$Y$113)</f>
        <v>0</v>
      </c>
      <c r="AJ21" s="85">
        <f>HUAWEI製ＰＣＳ接続枚数計算ツール!$J$116*枚数!AJ21/(VLOOKUP(HUAWEI製ＰＣＳ接続枚数計算ツール!$C$9, HUAWEI製ＰＣＳ接続枚数計算ツール!$B$119:$P$149,2,FALSE)*1000*HUAWEI製ＰＣＳ接続枚数計算ツール!$Y$113)</f>
        <v>0</v>
      </c>
      <c r="AK21" s="85">
        <f>HUAWEI製ＰＣＳ接続枚数計算ツール!$J$116*枚数!AK21/(VLOOKUP(HUAWEI製ＰＣＳ接続枚数計算ツール!$C$9, HUAWEI製ＰＣＳ接続枚数計算ツール!$B$119:$P$149,2,FALSE)*1000*HUAWEI製ＰＣＳ接続枚数計算ツール!$Y$113)</f>
        <v>0</v>
      </c>
      <c r="AL21" s="85">
        <f>HUAWEI製ＰＣＳ接続枚数計算ツール!$J$116*枚数!AL21/(VLOOKUP(HUAWEI製ＰＣＳ接続枚数計算ツール!$C$9, HUAWEI製ＰＣＳ接続枚数計算ツール!$B$119:$P$149,2,FALSE)*1000*HUAWEI製ＰＣＳ接続枚数計算ツール!$Y$113)</f>
        <v>0</v>
      </c>
      <c r="AM21" s="85">
        <f>HUAWEI製ＰＣＳ接続枚数計算ツール!$J$116*枚数!AM21/(VLOOKUP(HUAWEI製ＰＣＳ接続枚数計算ツール!$C$9, HUAWEI製ＰＣＳ接続枚数計算ツール!$B$119:$P$149,2,FALSE)*1000*HUAWEI製ＰＣＳ接続枚数計算ツール!$Y$113)</f>
        <v>0</v>
      </c>
      <c r="AN21" s="85">
        <f>HUAWEI製ＰＣＳ接続枚数計算ツール!$J$116*枚数!AN21/(VLOOKUP(HUAWEI製ＰＣＳ接続枚数計算ツール!$C$9, HUAWEI製ＰＣＳ接続枚数計算ツール!$B$119:$P$149,2,FALSE)*1000*HUAWEI製ＰＣＳ接続枚数計算ツール!$Y$113)</f>
        <v>0</v>
      </c>
      <c r="AO21" s="85">
        <f>HUAWEI製ＰＣＳ接続枚数計算ツール!$J$116*枚数!AO21/(VLOOKUP(HUAWEI製ＰＣＳ接続枚数計算ツール!$C$9, HUAWEI製ＰＣＳ接続枚数計算ツール!$B$119:$P$149,2,FALSE)*1000*HUAWEI製ＰＣＳ接続枚数計算ツール!$Y$113)</f>
        <v>0</v>
      </c>
    </row>
    <row r="22" spans="1:41">
      <c r="A22">
        <v>20</v>
      </c>
      <c r="B22" s="85">
        <f>HUAWEI製ＰＣＳ接続枚数計算ツール!$J$116*枚数!B22/(VLOOKUP(HUAWEI製ＰＣＳ接続枚数計算ツール!$C$9, HUAWEI製ＰＣＳ接続枚数計算ツール!$B$119:$P$149,2,FALSE)*1000*HUAWEI製ＰＣＳ接続枚数計算ツール!$Y$113)</f>
        <v>0</v>
      </c>
      <c r="C22" s="85">
        <f>HUAWEI製ＰＣＳ接続枚数計算ツール!$J$116*枚数!C22/(VLOOKUP(HUAWEI製ＰＣＳ接続枚数計算ツール!$C$9, HUAWEI製ＰＣＳ接続枚数計算ツール!$B$119:$P$149,2,FALSE)*1000*HUAWEI製ＰＣＳ接続枚数計算ツール!$Y$113)</f>
        <v>0</v>
      </c>
      <c r="D22" s="85">
        <f>HUAWEI製ＰＣＳ接続枚数計算ツール!$J$116*枚数!D22/(VLOOKUP(HUAWEI製ＰＣＳ接続枚数計算ツール!$C$9, HUAWEI製ＰＣＳ接続枚数計算ツール!$B$119:$P$149,2,FALSE)*1000*HUAWEI製ＰＣＳ接続枚数計算ツール!$Y$113)</f>
        <v>0</v>
      </c>
      <c r="E22" s="85">
        <f>HUAWEI製ＰＣＳ接続枚数計算ツール!$J$116*枚数!E22/(VLOOKUP(HUAWEI製ＰＣＳ接続枚数計算ツール!$C$9, HUAWEI製ＰＣＳ接続枚数計算ツール!$B$119:$P$149,2,FALSE)*1000*HUAWEI製ＰＣＳ接続枚数計算ツール!$Y$113)</f>
        <v>0</v>
      </c>
      <c r="F22" s="85">
        <f>HUAWEI製ＰＣＳ接続枚数計算ツール!$J$116*枚数!F22/(VLOOKUP(HUAWEI製ＰＣＳ接続枚数計算ツール!$C$9, HUAWEI製ＰＣＳ接続枚数計算ツール!$B$119:$P$149,2,FALSE)*1000*HUAWEI製ＰＣＳ接続枚数計算ツール!$Y$113)</f>
        <v>0</v>
      </c>
      <c r="G22" s="85">
        <f>HUAWEI製ＰＣＳ接続枚数計算ツール!$J$116*枚数!G22/(VLOOKUP(HUAWEI製ＰＣＳ接続枚数計算ツール!$C$9, HUAWEI製ＰＣＳ接続枚数計算ツール!$B$119:$P$149,2,FALSE)*1000*HUAWEI製ＰＣＳ接続枚数計算ツール!$Y$113)</f>
        <v>0</v>
      </c>
      <c r="H22" s="85">
        <f>HUAWEI製ＰＣＳ接続枚数計算ツール!$J$116*枚数!H22/(VLOOKUP(HUAWEI製ＰＣＳ接続枚数計算ツール!$C$9, HUAWEI製ＰＣＳ接続枚数計算ツール!$B$119:$P$149,2,FALSE)*1000*HUAWEI製ＰＣＳ接続枚数計算ツール!$Y$113)</f>
        <v>0</v>
      </c>
      <c r="I22" s="85">
        <f>HUAWEI製ＰＣＳ接続枚数計算ツール!$J$116*枚数!I22/(VLOOKUP(HUAWEI製ＰＣＳ接続枚数計算ツール!$C$9, HUAWEI製ＰＣＳ接続枚数計算ツール!$B$119:$P$149,2,FALSE)*1000*HUAWEI製ＰＣＳ接続枚数計算ツール!$Y$113)</f>
        <v>0</v>
      </c>
      <c r="J22" s="85">
        <f>HUAWEI製ＰＣＳ接続枚数計算ツール!$J$116*枚数!J22/(VLOOKUP(HUAWEI製ＰＣＳ接続枚数計算ツール!$C$9, HUAWEI製ＰＣＳ接続枚数計算ツール!$B$119:$P$149,2,FALSE)*1000*HUAWEI製ＰＣＳ接続枚数計算ツール!$Y$113)</f>
        <v>0</v>
      </c>
      <c r="K22" s="85">
        <f>HUAWEI製ＰＣＳ接続枚数計算ツール!$J$116*枚数!K22/(VLOOKUP(HUAWEI製ＰＣＳ接続枚数計算ツール!$C$9, HUAWEI製ＰＣＳ接続枚数計算ツール!$B$119:$P$149,2,FALSE)*1000*HUAWEI製ＰＣＳ接続枚数計算ツール!$Y$113)</f>
        <v>0</v>
      </c>
      <c r="L22" s="85">
        <f>HUAWEI製ＰＣＳ接続枚数計算ツール!$J$116*枚数!L22/(VLOOKUP(HUAWEI製ＰＣＳ接続枚数計算ツール!$C$9, HUAWEI製ＰＣＳ接続枚数計算ツール!$B$119:$P$149,2,FALSE)*1000*HUAWEI製ＰＣＳ接続枚数計算ツール!$Y$113)</f>
        <v>0</v>
      </c>
      <c r="M22" s="85">
        <f>HUAWEI製ＰＣＳ接続枚数計算ツール!$J$116*枚数!M22/(VLOOKUP(HUAWEI製ＰＣＳ接続枚数計算ツール!$C$9, HUAWEI製ＰＣＳ接続枚数計算ツール!$B$119:$P$149,2,FALSE)*1000*HUAWEI製ＰＣＳ接続枚数計算ツール!$Y$113)</f>
        <v>0</v>
      </c>
      <c r="N22" s="85">
        <f>HUAWEI製ＰＣＳ接続枚数計算ツール!$J$116*枚数!N22/(VLOOKUP(HUAWEI製ＰＣＳ接続枚数計算ツール!$C$9, HUAWEI製ＰＣＳ接続枚数計算ツール!$B$119:$P$149,2,FALSE)*1000*HUAWEI製ＰＣＳ接続枚数計算ツール!$Y$113)</f>
        <v>0</v>
      </c>
      <c r="O22" s="85">
        <f>HUAWEI製ＰＣＳ接続枚数計算ツール!$J$116*枚数!O22/(VLOOKUP(HUAWEI製ＰＣＳ接続枚数計算ツール!$C$9, HUAWEI製ＰＣＳ接続枚数計算ツール!$B$119:$P$149,2,FALSE)*1000*HUAWEI製ＰＣＳ接続枚数計算ツール!$Y$113)</f>
        <v>0</v>
      </c>
      <c r="P22" s="85">
        <f>HUAWEI製ＰＣＳ接続枚数計算ツール!$J$116*枚数!P22/(VLOOKUP(HUAWEI製ＰＣＳ接続枚数計算ツール!$C$9, HUAWEI製ＰＣＳ接続枚数計算ツール!$B$119:$P$149,2,FALSE)*1000*HUAWEI製ＰＣＳ接続枚数計算ツール!$Y$113)</f>
        <v>0</v>
      </c>
      <c r="Q22" s="85">
        <f>HUAWEI製ＰＣＳ接続枚数計算ツール!$J$116*枚数!Q22/(VLOOKUP(HUAWEI製ＰＣＳ接続枚数計算ツール!$C$9, HUAWEI製ＰＣＳ接続枚数計算ツール!$B$119:$P$149,2,FALSE)*1000*HUAWEI製ＰＣＳ接続枚数計算ツール!$Y$113)</f>
        <v>0</v>
      </c>
      <c r="R22" s="85">
        <f>HUAWEI製ＰＣＳ接続枚数計算ツール!$J$116*枚数!R22/(VLOOKUP(HUAWEI製ＰＣＳ接続枚数計算ツール!$C$9, HUAWEI製ＰＣＳ接続枚数計算ツール!$B$119:$P$149,2,FALSE)*1000*HUAWEI製ＰＣＳ接続枚数計算ツール!$Y$113)</f>
        <v>0</v>
      </c>
      <c r="S22" s="85">
        <f>HUAWEI製ＰＣＳ接続枚数計算ツール!$J$116*枚数!S22/(VLOOKUP(HUAWEI製ＰＣＳ接続枚数計算ツール!$C$9, HUAWEI製ＰＣＳ接続枚数計算ツール!$B$119:$P$149,2,FALSE)*1000*HUAWEI製ＰＣＳ接続枚数計算ツール!$Y$113)</f>
        <v>0</v>
      </c>
      <c r="T22" s="85">
        <f>HUAWEI製ＰＣＳ接続枚数計算ツール!$J$116*枚数!T22/(VLOOKUP(HUAWEI製ＰＣＳ接続枚数計算ツール!$C$9, HUAWEI製ＰＣＳ接続枚数計算ツール!$B$119:$P$149,2,FALSE)*1000*HUAWEI製ＰＣＳ接続枚数計算ツール!$Y$113)</f>
        <v>0</v>
      </c>
      <c r="U22" s="85">
        <f>HUAWEI製ＰＣＳ接続枚数計算ツール!$J$116*枚数!U22/(VLOOKUP(HUAWEI製ＰＣＳ接続枚数計算ツール!$C$9, HUAWEI製ＰＣＳ接続枚数計算ツール!$B$119:$P$149,2,FALSE)*1000*HUAWEI製ＰＣＳ接続枚数計算ツール!$Y$113)</f>
        <v>0</v>
      </c>
      <c r="V22" s="85">
        <f>HUAWEI製ＰＣＳ接続枚数計算ツール!$J$116*枚数!V22/(VLOOKUP(HUAWEI製ＰＣＳ接続枚数計算ツール!$C$9, HUAWEI製ＰＣＳ接続枚数計算ツール!$B$119:$P$149,2,FALSE)*1000*HUAWEI製ＰＣＳ接続枚数計算ツール!$Y$113)</f>
        <v>0</v>
      </c>
      <c r="W22" s="85">
        <f>HUAWEI製ＰＣＳ接続枚数計算ツール!$J$116*枚数!W22/(VLOOKUP(HUAWEI製ＰＣＳ接続枚数計算ツール!$C$9, HUAWEI製ＰＣＳ接続枚数計算ツール!$B$119:$P$149,2,FALSE)*1000*HUAWEI製ＰＣＳ接続枚数計算ツール!$Y$113)</f>
        <v>0</v>
      </c>
      <c r="X22" s="85">
        <f>HUAWEI製ＰＣＳ接続枚数計算ツール!$J$116*枚数!X22/(VLOOKUP(HUAWEI製ＰＣＳ接続枚数計算ツール!$C$9, HUAWEI製ＰＣＳ接続枚数計算ツール!$B$119:$P$149,2,FALSE)*1000*HUAWEI製ＰＣＳ接続枚数計算ツール!$Y$113)</f>
        <v>0</v>
      </c>
      <c r="Y22" s="85">
        <f>HUAWEI製ＰＣＳ接続枚数計算ツール!$J$116*枚数!Y22/(VLOOKUP(HUAWEI製ＰＣＳ接続枚数計算ツール!$C$9, HUAWEI製ＰＣＳ接続枚数計算ツール!$B$119:$P$149,2,FALSE)*1000*HUAWEI製ＰＣＳ接続枚数計算ツール!$Y$113)</f>
        <v>0</v>
      </c>
      <c r="Z22" s="85">
        <f>HUAWEI製ＰＣＳ接続枚数計算ツール!$J$116*枚数!Z22/(VLOOKUP(HUAWEI製ＰＣＳ接続枚数計算ツール!$C$9, HUAWEI製ＰＣＳ接続枚数計算ツール!$B$119:$P$149,2,FALSE)*1000*HUAWEI製ＰＣＳ接続枚数計算ツール!$Y$113)</f>
        <v>0</v>
      </c>
      <c r="AA22" s="85">
        <f>HUAWEI製ＰＣＳ接続枚数計算ツール!$J$116*枚数!AA22/(VLOOKUP(HUAWEI製ＰＣＳ接続枚数計算ツール!$C$9, HUAWEI製ＰＣＳ接続枚数計算ツール!$B$119:$P$149,2,FALSE)*1000*HUAWEI製ＰＣＳ接続枚数計算ツール!$Y$113)</f>
        <v>0</v>
      </c>
      <c r="AB22" s="85">
        <f>HUAWEI製ＰＣＳ接続枚数計算ツール!$J$116*枚数!AB22/(VLOOKUP(HUAWEI製ＰＣＳ接続枚数計算ツール!$C$9, HUAWEI製ＰＣＳ接続枚数計算ツール!$B$119:$P$149,2,FALSE)*1000*HUAWEI製ＰＣＳ接続枚数計算ツール!$Y$113)</f>
        <v>0</v>
      </c>
      <c r="AC22" s="85">
        <f>HUAWEI製ＰＣＳ接続枚数計算ツール!$J$116*枚数!AC22/(VLOOKUP(HUAWEI製ＰＣＳ接続枚数計算ツール!$C$9, HUAWEI製ＰＣＳ接続枚数計算ツール!$B$119:$P$149,2,FALSE)*1000*HUAWEI製ＰＣＳ接続枚数計算ツール!$Y$113)</f>
        <v>0</v>
      </c>
      <c r="AD22" s="85">
        <f>HUAWEI製ＰＣＳ接続枚数計算ツール!$J$116*枚数!AD22/(VLOOKUP(HUAWEI製ＰＣＳ接続枚数計算ツール!$C$9, HUAWEI製ＰＣＳ接続枚数計算ツール!$B$119:$P$149,2,FALSE)*1000*HUAWEI製ＰＣＳ接続枚数計算ツール!$Y$113)</f>
        <v>0</v>
      </c>
      <c r="AE22" s="85">
        <f>HUAWEI製ＰＣＳ接続枚数計算ツール!$J$116*枚数!AE22/(VLOOKUP(HUAWEI製ＰＣＳ接続枚数計算ツール!$C$9, HUAWEI製ＰＣＳ接続枚数計算ツール!$B$119:$P$149,2,FALSE)*1000*HUAWEI製ＰＣＳ接続枚数計算ツール!$Y$113)</f>
        <v>0</v>
      </c>
      <c r="AF22" s="85">
        <f>HUAWEI製ＰＣＳ接続枚数計算ツール!$J$116*枚数!AF22/(VLOOKUP(HUAWEI製ＰＣＳ接続枚数計算ツール!$C$9, HUAWEI製ＰＣＳ接続枚数計算ツール!$B$119:$P$149,2,FALSE)*1000*HUAWEI製ＰＣＳ接続枚数計算ツール!$Y$113)</f>
        <v>0</v>
      </c>
      <c r="AG22" s="85">
        <f>HUAWEI製ＰＣＳ接続枚数計算ツール!$J$116*枚数!AG22/(VLOOKUP(HUAWEI製ＰＣＳ接続枚数計算ツール!$C$9, HUAWEI製ＰＣＳ接続枚数計算ツール!$B$119:$P$149,2,FALSE)*1000*HUAWEI製ＰＣＳ接続枚数計算ツール!$Y$113)</f>
        <v>0</v>
      </c>
      <c r="AH22" s="85">
        <f>HUAWEI製ＰＣＳ接続枚数計算ツール!$J$116*枚数!AH22/(VLOOKUP(HUAWEI製ＰＣＳ接続枚数計算ツール!$C$9, HUAWEI製ＰＣＳ接続枚数計算ツール!$B$119:$P$149,2,FALSE)*1000*HUAWEI製ＰＣＳ接続枚数計算ツール!$Y$113)</f>
        <v>0</v>
      </c>
      <c r="AI22" s="85">
        <f>HUAWEI製ＰＣＳ接続枚数計算ツール!$J$116*枚数!AI22/(VLOOKUP(HUAWEI製ＰＣＳ接続枚数計算ツール!$C$9, HUAWEI製ＰＣＳ接続枚数計算ツール!$B$119:$P$149,2,FALSE)*1000*HUAWEI製ＰＣＳ接続枚数計算ツール!$Y$113)</f>
        <v>0</v>
      </c>
      <c r="AJ22" s="85">
        <f>HUAWEI製ＰＣＳ接続枚数計算ツール!$J$116*枚数!AJ22/(VLOOKUP(HUAWEI製ＰＣＳ接続枚数計算ツール!$C$9, HUAWEI製ＰＣＳ接続枚数計算ツール!$B$119:$P$149,2,FALSE)*1000*HUAWEI製ＰＣＳ接続枚数計算ツール!$Y$113)</f>
        <v>0</v>
      </c>
      <c r="AK22" s="85">
        <f>HUAWEI製ＰＣＳ接続枚数計算ツール!$J$116*枚数!AK22/(VLOOKUP(HUAWEI製ＰＣＳ接続枚数計算ツール!$C$9, HUAWEI製ＰＣＳ接続枚数計算ツール!$B$119:$P$149,2,FALSE)*1000*HUAWEI製ＰＣＳ接続枚数計算ツール!$Y$113)</f>
        <v>0</v>
      </c>
      <c r="AL22" s="85">
        <f>HUAWEI製ＰＣＳ接続枚数計算ツール!$J$116*枚数!AL22/(VLOOKUP(HUAWEI製ＰＣＳ接続枚数計算ツール!$C$9, HUAWEI製ＰＣＳ接続枚数計算ツール!$B$119:$P$149,2,FALSE)*1000*HUAWEI製ＰＣＳ接続枚数計算ツール!$Y$113)</f>
        <v>0</v>
      </c>
      <c r="AM22" s="85">
        <f>HUAWEI製ＰＣＳ接続枚数計算ツール!$J$116*枚数!AM22/(VLOOKUP(HUAWEI製ＰＣＳ接続枚数計算ツール!$C$9, HUAWEI製ＰＣＳ接続枚数計算ツール!$B$119:$P$149,2,FALSE)*1000*HUAWEI製ＰＣＳ接続枚数計算ツール!$Y$113)</f>
        <v>0</v>
      </c>
      <c r="AN22" s="85">
        <f>HUAWEI製ＰＣＳ接続枚数計算ツール!$J$116*枚数!AN22/(VLOOKUP(HUAWEI製ＰＣＳ接続枚数計算ツール!$C$9, HUAWEI製ＰＣＳ接続枚数計算ツール!$B$119:$P$149,2,FALSE)*1000*HUAWEI製ＰＣＳ接続枚数計算ツール!$Y$113)</f>
        <v>0</v>
      </c>
      <c r="AO22" s="85">
        <f>HUAWEI製ＰＣＳ接続枚数計算ツール!$J$116*枚数!AO22/(VLOOKUP(HUAWEI製ＰＣＳ接続枚数計算ツール!$C$9, HUAWEI製ＰＣＳ接続枚数計算ツール!$B$119:$P$149,2,FALSE)*1000*HUAWEI製ＰＣＳ接続枚数計算ツール!$Y$113)</f>
        <v>0</v>
      </c>
    </row>
    <row r="23" spans="1:41">
      <c r="A23">
        <v>21</v>
      </c>
      <c r="B23" s="85">
        <f>HUAWEI製ＰＣＳ接続枚数計算ツール!$J$116*枚数!B23/(VLOOKUP(HUAWEI製ＰＣＳ接続枚数計算ツール!$C$9, HUAWEI製ＰＣＳ接続枚数計算ツール!$B$119:$P$149,2,FALSE)*1000*HUAWEI製ＰＣＳ接続枚数計算ツール!$Y$113)</f>
        <v>0</v>
      </c>
      <c r="C23" s="85">
        <f>HUAWEI製ＰＣＳ接続枚数計算ツール!$J$116*枚数!C23/(VLOOKUP(HUAWEI製ＰＣＳ接続枚数計算ツール!$C$9, HUAWEI製ＰＣＳ接続枚数計算ツール!$B$119:$P$149,2,FALSE)*1000*HUAWEI製ＰＣＳ接続枚数計算ツール!$Y$113)</f>
        <v>0</v>
      </c>
      <c r="D23" s="85">
        <f>HUAWEI製ＰＣＳ接続枚数計算ツール!$J$116*枚数!D23/(VLOOKUP(HUAWEI製ＰＣＳ接続枚数計算ツール!$C$9, HUAWEI製ＰＣＳ接続枚数計算ツール!$B$119:$P$149,2,FALSE)*1000*HUAWEI製ＰＣＳ接続枚数計算ツール!$Y$113)</f>
        <v>0</v>
      </c>
      <c r="E23" s="85">
        <f>HUAWEI製ＰＣＳ接続枚数計算ツール!$J$116*枚数!E23/(VLOOKUP(HUAWEI製ＰＣＳ接続枚数計算ツール!$C$9, HUAWEI製ＰＣＳ接続枚数計算ツール!$B$119:$P$149,2,FALSE)*1000*HUAWEI製ＰＣＳ接続枚数計算ツール!$Y$113)</f>
        <v>0</v>
      </c>
      <c r="F23" s="85">
        <f>HUAWEI製ＰＣＳ接続枚数計算ツール!$J$116*枚数!F23/(VLOOKUP(HUAWEI製ＰＣＳ接続枚数計算ツール!$C$9, HUAWEI製ＰＣＳ接続枚数計算ツール!$B$119:$P$149,2,FALSE)*1000*HUAWEI製ＰＣＳ接続枚数計算ツール!$Y$113)</f>
        <v>0</v>
      </c>
      <c r="G23" s="85">
        <f>HUAWEI製ＰＣＳ接続枚数計算ツール!$J$116*枚数!G23/(VLOOKUP(HUAWEI製ＰＣＳ接続枚数計算ツール!$C$9, HUAWEI製ＰＣＳ接続枚数計算ツール!$B$119:$P$149,2,FALSE)*1000*HUAWEI製ＰＣＳ接続枚数計算ツール!$Y$113)</f>
        <v>0</v>
      </c>
      <c r="H23" s="85">
        <f>HUAWEI製ＰＣＳ接続枚数計算ツール!$J$116*枚数!H23/(VLOOKUP(HUAWEI製ＰＣＳ接続枚数計算ツール!$C$9, HUAWEI製ＰＣＳ接続枚数計算ツール!$B$119:$P$149,2,FALSE)*1000*HUAWEI製ＰＣＳ接続枚数計算ツール!$Y$113)</f>
        <v>0</v>
      </c>
      <c r="I23" s="85">
        <f>HUAWEI製ＰＣＳ接続枚数計算ツール!$J$116*枚数!I23/(VLOOKUP(HUAWEI製ＰＣＳ接続枚数計算ツール!$C$9, HUAWEI製ＰＣＳ接続枚数計算ツール!$B$119:$P$149,2,FALSE)*1000*HUAWEI製ＰＣＳ接続枚数計算ツール!$Y$113)</f>
        <v>0</v>
      </c>
      <c r="J23" s="85">
        <f>HUAWEI製ＰＣＳ接続枚数計算ツール!$J$116*枚数!J23/(VLOOKUP(HUAWEI製ＰＣＳ接続枚数計算ツール!$C$9, HUAWEI製ＰＣＳ接続枚数計算ツール!$B$119:$P$149,2,FALSE)*1000*HUAWEI製ＰＣＳ接続枚数計算ツール!$Y$113)</f>
        <v>0</v>
      </c>
      <c r="K23" s="85">
        <f>HUAWEI製ＰＣＳ接続枚数計算ツール!$J$116*枚数!K23/(VLOOKUP(HUAWEI製ＰＣＳ接続枚数計算ツール!$C$9, HUAWEI製ＰＣＳ接続枚数計算ツール!$B$119:$P$149,2,FALSE)*1000*HUAWEI製ＰＣＳ接続枚数計算ツール!$Y$113)</f>
        <v>0</v>
      </c>
      <c r="L23" s="85">
        <f>HUAWEI製ＰＣＳ接続枚数計算ツール!$J$116*枚数!L23/(VLOOKUP(HUAWEI製ＰＣＳ接続枚数計算ツール!$C$9, HUAWEI製ＰＣＳ接続枚数計算ツール!$B$119:$P$149,2,FALSE)*1000*HUAWEI製ＰＣＳ接続枚数計算ツール!$Y$113)</f>
        <v>0</v>
      </c>
      <c r="M23" s="85">
        <f>HUAWEI製ＰＣＳ接続枚数計算ツール!$J$116*枚数!M23/(VLOOKUP(HUAWEI製ＰＣＳ接続枚数計算ツール!$C$9, HUAWEI製ＰＣＳ接続枚数計算ツール!$B$119:$P$149,2,FALSE)*1000*HUAWEI製ＰＣＳ接続枚数計算ツール!$Y$113)</f>
        <v>0</v>
      </c>
      <c r="N23" s="85">
        <f>HUAWEI製ＰＣＳ接続枚数計算ツール!$J$116*枚数!N23/(VLOOKUP(HUAWEI製ＰＣＳ接続枚数計算ツール!$C$9, HUAWEI製ＰＣＳ接続枚数計算ツール!$B$119:$P$149,2,FALSE)*1000*HUAWEI製ＰＣＳ接続枚数計算ツール!$Y$113)</f>
        <v>0</v>
      </c>
      <c r="O23" s="85">
        <f>HUAWEI製ＰＣＳ接続枚数計算ツール!$J$116*枚数!O23/(VLOOKUP(HUAWEI製ＰＣＳ接続枚数計算ツール!$C$9, HUAWEI製ＰＣＳ接続枚数計算ツール!$B$119:$P$149,2,FALSE)*1000*HUAWEI製ＰＣＳ接続枚数計算ツール!$Y$113)</f>
        <v>0</v>
      </c>
      <c r="P23" s="85">
        <f>HUAWEI製ＰＣＳ接続枚数計算ツール!$J$116*枚数!P23/(VLOOKUP(HUAWEI製ＰＣＳ接続枚数計算ツール!$C$9, HUAWEI製ＰＣＳ接続枚数計算ツール!$B$119:$P$149,2,FALSE)*1000*HUAWEI製ＰＣＳ接続枚数計算ツール!$Y$113)</f>
        <v>0</v>
      </c>
      <c r="Q23" s="85">
        <f>HUAWEI製ＰＣＳ接続枚数計算ツール!$J$116*枚数!Q23/(VLOOKUP(HUAWEI製ＰＣＳ接続枚数計算ツール!$C$9, HUAWEI製ＰＣＳ接続枚数計算ツール!$B$119:$P$149,2,FALSE)*1000*HUAWEI製ＰＣＳ接続枚数計算ツール!$Y$113)</f>
        <v>0</v>
      </c>
      <c r="R23" s="85">
        <f>HUAWEI製ＰＣＳ接続枚数計算ツール!$J$116*枚数!R23/(VLOOKUP(HUAWEI製ＰＣＳ接続枚数計算ツール!$C$9, HUAWEI製ＰＣＳ接続枚数計算ツール!$B$119:$P$149,2,FALSE)*1000*HUAWEI製ＰＣＳ接続枚数計算ツール!$Y$113)</f>
        <v>0</v>
      </c>
      <c r="S23" s="85">
        <f>HUAWEI製ＰＣＳ接続枚数計算ツール!$J$116*枚数!S23/(VLOOKUP(HUAWEI製ＰＣＳ接続枚数計算ツール!$C$9, HUAWEI製ＰＣＳ接続枚数計算ツール!$B$119:$P$149,2,FALSE)*1000*HUAWEI製ＰＣＳ接続枚数計算ツール!$Y$113)</f>
        <v>0</v>
      </c>
      <c r="T23" s="85">
        <f>HUAWEI製ＰＣＳ接続枚数計算ツール!$J$116*枚数!T23/(VLOOKUP(HUAWEI製ＰＣＳ接続枚数計算ツール!$C$9, HUAWEI製ＰＣＳ接続枚数計算ツール!$B$119:$P$149,2,FALSE)*1000*HUAWEI製ＰＣＳ接続枚数計算ツール!$Y$113)</f>
        <v>0</v>
      </c>
      <c r="U23" s="85">
        <f>HUAWEI製ＰＣＳ接続枚数計算ツール!$J$116*枚数!U23/(VLOOKUP(HUAWEI製ＰＣＳ接続枚数計算ツール!$C$9, HUAWEI製ＰＣＳ接続枚数計算ツール!$B$119:$P$149,2,FALSE)*1000*HUAWEI製ＰＣＳ接続枚数計算ツール!$Y$113)</f>
        <v>0</v>
      </c>
      <c r="V23" s="85">
        <f>HUAWEI製ＰＣＳ接続枚数計算ツール!$J$116*枚数!V23/(VLOOKUP(HUAWEI製ＰＣＳ接続枚数計算ツール!$C$9, HUAWEI製ＰＣＳ接続枚数計算ツール!$B$119:$P$149,2,FALSE)*1000*HUAWEI製ＰＣＳ接続枚数計算ツール!$Y$113)</f>
        <v>0</v>
      </c>
      <c r="W23" s="85">
        <f>HUAWEI製ＰＣＳ接続枚数計算ツール!$J$116*枚数!W23/(VLOOKUP(HUAWEI製ＰＣＳ接続枚数計算ツール!$C$9, HUAWEI製ＰＣＳ接続枚数計算ツール!$B$119:$P$149,2,FALSE)*1000*HUAWEI製ＰＣＳ接続枚数計算ツール!$Y$113)</f>
        <v>0</v>
      </c>
      <c r="X23" s="85">
        <f>HUAWEI製ＰＣＳ接続枚数計算ツール!$J$116*枚数!X23/(VLOOKUP(HUAWEI製ＰＣＳ接続枚数計算ツール!$C$9, HUAWEI製ＰＣＳ接続枚数計算ツール!$B$119:$P$149,2,FALSE)*1000*HUAWEI製ＰＣＳ接続枚数計算ツール!$Y$113)</f>
        <v>0</v>
      </c>
      <c r="Y23" s="85">
        <f>HUAWEI製ＰＣＳ接続枚数計算ツール!$J$116*枚数!Y23/(VLOOKUP(HUAWEI製ＰＣＳ接続枚数計算ツール!$C$9, HUAWEI製ＰＣＳ接続枚数計算ツール!$B$119:$P$149,2,FALSE)*1000*HUAWEI製ＰＣＳ接続枚数計算ツール!$Y$113)</f>
        <v>0</v>
      </c>
      <c r="Z23" s="85">
        <f>HUAWEI製ＰＣＳ接続枚数計算ツール!$J$116*枚数!Z23/(VLOOKUP(HUAWEI製ＰＣＳ接続枚数計算ツール!$C$9, HUAWEI製ＰＣＳ接続枚数計算ツール!$B$119:$P$149,2,FALSE)*1000*HUAWEI製ＰＣＳ接続枚数計算ツール!$Y$113)</f>
        <v>0</v>
      </c>
      <c r="AA23" s="85">
        <f>HUAWEI製ＰＣＳ接続枚数計算ツール!$J$116*枚数!AA23/(VLOOKUP(HUAWEI製ＰＣＳ接続枚数計算ツール!$C$9, HUAWEI製ＰＣＳ接続枚数計算ツール!$B$119:$P$149,2,FALSE)*1000*HUAWEI製ＰＣＳ接続枚数計算ツール!$Y$113)</f>
        <v>0</v>
      </c>
      <c r="AB23" s="85">
        <f>HUAWEI製ＰＣＳ接続枚数計算ツール!$J$116*枚数!AB23/(VLOOKUP(HUAWEI製ＰＣＳ接続枚数計算ツール!$C$9, HUAWEI製ＰＣＳ接続枚数計算ツール!$B$119:$P$149,2,FALSE)*1000*HUAWEI製ＰＣＳ接続枚数計算ツール!$Y$113)</f>
        <v>0</v>
      </c>
      <c r="AC23" s="85">
        <f>HUAWEI製ＰＣＳ接続枚数計算ツール!$J$116*枚数!AC23/(VLOOKUP(HUAWEI製ＰＣＳ接続枚数計算ツール!$C$9, HUAWEI製ＰＣＳ接続枚数計算ツール!$B$119:$P$149,2,FALSE)*1000*HUAWEI製ＰＣＳ接続枚数計算ツール!$Y$113)</f>
        <v>0</v>
      </c>
      <c r="AD23" s="85">
        <f>HUAWEI製ＰＣＳ接続枚数計算ツール!$J$116*枚数!AD23/(VLOOKUP(HUAWEI製ＰＣＳ接続枚数計算ツール!$C$9, HUAWEI製ＰＣＳ接続枚数計算ツール!$B$119:$P$149,2,FALSE)*1000*HUAWEI製ＰＣＳ接続枚数計算ツール!$Y$113)</f>
        <v>0</v>
      </c>
      <c r="AE23" s="85">
        <f>HUAWEI製ＰＣＳ接続枚数計算ツール!$J$116*枚数!AE23/(VLOOKUP(HUAWEI製ＰＣＳ接続枚数計算ツール!$C$9, HUAWEI製ＰＣＳ接続枚数計算ツール!$B$119:$P$149,2,FALSE)*1000*HUAWEI製ＰＣＳ接続枚数計算ツール!$Y$113)</f>
        <v>0</v>
      </c>
      <c r="AF23" s="85">
        <f>HUAWEI製ＰＣＳ接続枚数計算ツール!$J$116*枚数!AF23/(VLOOKUP(HUAWEI製ＰＣＳ接続枚数計算ツール!$C$9, HUAWEI製ＰＣＳ接続枚数計算ツール!$B$119:$P$149,2,FALSE)*1000*HUAWEI製ＰＣＳ接続枚数計算ツール!$Y$113)</f>
        <v>0</v>
      </c>
      <c r="AG23" s="85">
        <f>HUAWEI製ＰＣＳ接続枚数計算ツール!$J$116*枚数!AG23/(VLOOKUP(HUAWEI製ＰＣＳ接続枚数計算ツール!$C$9, HUAWEI製ＰＣＳ接続枚数計算ツール!$B$119:$P$149,2,FALSE)*1000*HUAWEI製ＰＣＳ接続枚数計算ツール!$Y$113)</f>
        <v>0</v>
      </c>
      <c r="AH23" s="85">
        <f>HUAWEI製ＰＣＳ接続枚数計算ツール!$J$116*枚数!AH23/(VLOOKUP(HUAWEI製ＰＣＳ接続枚数計算ツール!$C$9, HUAWEI製ＰＣＳ接続枚数計算ツール!$B$119:$P$149,2,FALSE)*1000*HUAWEI製ＰＣＳ接続枚数計算ツール!$Y$113)</f>
        <v>0</v>
      </c>
      <c r="AI23" s="85">
        <f>HUAWEI製ＰＣＳ接続枚数計算ツール!$J$116*枚数!AI23/(VLOOKUP(HUAWEI製ＰＣＳ接続枚数計算ツール!$C$9, HUAWEI製ＰＣＳ接続枚数計算ツール!$B$119:$P$149,2,FALSE)*1000*HUAWEI製ＰＣＳ接続枚数計算ツール!$Y$113)</f>
        <v>0</v>
      </c>
      <c r="AJ23" s="85">
        <f>HUAWEI製ＰＣＳ接続枚数計算ツール!$J$116*枚数!AJ23/(VLOOKUP(HUAWEI製ＰＣＳ接続枚数計算ツール!$C$9, HUAWEI製ＰＣＳ接続枚数計算ツール!$B$119:$P$149,2,FALSE)*1000*HUAWEI製ＰＣＳ接続枚数計算ツール!$Y$113)</f>
        <v>0</v>
      </c>
      <c r="AK23" s="85">
        <f>HUAWEI製ＰＣＳ接続枚数計算ツール!$J$116*枚数!AK23/(VLOOKUP(HUAWEI製ＰＣＳ接続枚数計算ツール!$C$9, HUAWEI製ＰＣＳ接続枚数計算ツール!$B$119:$P$149,2,FALSE)*1000*HUAWEI製ＰＣＳ接続枚数計算ツール!$Y$113)</f>
        <v>0</v>
      </c>
      <c r="AL23" s="85">
        <f>HUAWEI製ＰＣＳ接続枚数計算ツール!$J$116*枚数!AL23/(VLOOKUP(HUAWEI製ＰＣＳ接続枚数計算ツール!$C$9, HUAWEI製ＰＣＳ接続枚数計算ツール!$B$119:$P$149,2,FALSE)*1000*HUAWEI製ＰＣＳ接続枚数計算ツール!$Y$113)</f>
        <v>0</v>
      </c>
      <c r="AM23" s="85">
        <f>HUAWEI製ＰＣＳ接続枚数計算ツール!$J$116*枚数!AM23/(VLOOKUP(HUAWEI製ＰＣＳ接続枚数計算ツール!$C$9, HUAWEI製ＰＣＳ接続枚数計算ツール!$B$119:$P$149,2,FALSE)*1000*HUAWEI製ＰＣＳ接続枚数計算ツール!$Y$113)</f>
        <v>0</v>
      </c>
      <c r="AN23" s="85">
        <f>HUAWEI製ＰＣＳ接続枚数計算ツール!$J$116*枚数!AN23/(VLOOKUP(HUAWEI製ＰＣＳ接続枚数計算ツール!$C$9, HUAWEI製ＰＣＳ接続枚数計算ツール!$B$119:$P$149,2,FALSE)*1000*HUAWEI製ＰＣＳ接続枚数計算ツール!$Y$113)</f>
        <v>0</v>
      </c>
      <c r="AO23" s="85">
        <f>HUAWEI製ＰＣＳ接続枚数計算ツール!$J$116*枚数!AO23/(VLOOKUP(HUAWEI製ＰＣＳ接続枚数計算ツール!$C$9, HUAWEI製ＰＣＳ接続枚数計算ツール!$B$119:$P$149,2,FALSE)*1000*HUAWEI製ＰＣＳ接続枚数計算ツール!$Y$113)</f>
        <v>0</v>
      </c>
    </row>
    <row r="24" spans="1:41">
      <c r="A24">
        <v>22</v>
      </c>
      <c r="B24" s="85">
        <f>HUAWEI製ＰＣＳ接続枚数計算ツール!$J$116*枚数!B24/(VLOOKUP(HUAWEI製ＰＣＳ接続枚数計算ツール!$C$9, HUAWEI製ＰＣＳ接続枚数計算ツール!$B$119:$P$149,2,FALSE)*1000*HUAWEI製ＰＣＳ接続枚数計算ツール!$Y$113)</f>
        <v>0</v>
      </c>
      <c r="C24" s="85">
        <f>HUAWEI製ＰＣＳ接続枚数計算ツール!$J$116*枚数!C24/(VLOOKUP(HUAWEI製ＰＣＳ接続枚数計算ツール!$C$9, HUAWEI製ＰＣＳ接続枚数計算ツール!$B$119:$P$149,2,FALSE)*1000*HUAWEI製ＰＣＳ接続枚数計算ツール!$Y$113)</f>
        <v>0</v>
      </c>
      <c r="D24" s="85">
        <f>HUAWEI製ＰＣＳ接続枚数計算ツール!$J$116*枚数!D24/(VLOOKUP(HUAWEI製ＰＣＳ接続枚数計算ツール!$C$9, HUAWEI製ＰＣＳ接続枚数計算ツール!$B$119:$P$149,2,FALSE)*1000*HUAWEI製ＰＣＳ接続枚数計算ツール!$Y$113)</f>
        <v>0</v>
      </c>
      <c r="E24" s="85">
        <f>HUAWEI製ＰＣＳ接続枚数計算ツール!$J$116*枚数!E24/(VLOOKUP(HUAWEI製ＰＣＳ接続枚数計算ツール!$C$9, HUAWEI製ＰＣＳ接続枚数計算ツール!$B$119:$P$149,2,FALSE)*1000*HUAWEI製ＰＣＳ接続枚数計算ツール!$Y$113)</f>
        <v>0</v>
      </c>
      <c r="F24" s="85">
        <f>HUAWEI製ＰＣＳ接続枚数計算ツール!$J$116*枚数!F24/(VLOOKUP(HUAWEI製ＰＣＳ接続枚数計算ツール!$C$9, HUAWEI製ＰＣＳ接続枚数計算ツール!$B$119:$P$149,2,FALSE)*1000*HUAWEI製ＰＣＳ接続枚数計算ツール!$Y$113)</f>
        <v>0</v>
      </c>
      <c r="G24" s="85">
        <f>HUAWEI製ＰＣＳ接続枚数計算ツール!$J$116*枚数!G24/(VLOOKUP(HUAWEI製ＰＣＳ接続枚数計算ツール!$C$9, HUAWEI製ＰＣＳ接続枚数計算ツール!$B$119:$P$149,2,FALSE)*1000*HUAWEI製ＰＣＳ接続枚数計算ツール!$Y$113)</f>
        <v>0</v>
      </c>
      <c r="H24" s="85">
        <f>HUAWEI製ＰＣＳ接続枚数計算ツール!$J$116*枚数!H24/(VLOOKUP(HUAWEI製ＰＣＳ接続枚数計算ツール!$C$9, HUAWEI製ＰＣＳ接続枚数計算ツール!$B$119:$P$149,2,FALSE)*1000*HUAWEI製ＰＣＳ接続枚数計算ツール!$Y$113)</f>
        <v>0</v>
      </c>
      <c r="I24" s="85">
        <f>HUAWEI製ＰＣＳ接続枚数計算ツール!$J$116*枚数!I24/(VLOOKUP(HUAWEI製ＰＣＳ接続枚数計算ツール!$C$9, HUAWEI製ＰＣＳ接続枚数計算ツール!$B$119:$P$149,2,FALSE)*1000*HUAWEI製ＰＣＳ接続枚数計算ツール!$Y$113)</f>
        <v>0</v>
      </c>
      <c r="J24" s="85">
        <f>HUAWEI製ＰＣＳ接続枚数計算ツール!$J$116*枚数!J24/(VLOOKUP(HUAWEI製ＰＣＳ接続枚数計算ツール!$C$9, HUAWEI製ＰＣＳ接続枚数計算ツール!$B$119:$P$149,2,FALSE)*1000*HUAWEI製ＰＣＳ接続枚数計算ツール!$Y$113)</f>
        <v>0</v>
      </c>
      <c r="K24" s="85">
        <f>HUAWEI製ＰＣＳ接続枚数計算ツール!$J$116*枚数!K24/(VLOOKUP(HUAWEI製ＰＣＳ接続枚数計算ツール!$C$9, HUAWEI製ＰＣＳ接続枚数計算ツール!$B$119:$P$149,2,FALSE)*1000*HUAWEI製ＰＣＳ接続枚数計算ツール!$Y$113)</f>
        <v>0</v>
      </c>
      <c r="L24" s="85">
        <f>HUAWEI製ＰＣＳ接続枚数計算ツール!$J$116*枚数!L24/(VLOOKUP(HUAWEI製ＰＣＳ接続枚数計算ツール!$C$9, HUAWEI製ＰＣＳ接続枚数計算ツール!$B$119:$P$149,2,FALSE)*1000*HUAWEI製ＰＣＳ接続枚数計算ツール!$Y$113)</f>
        <v>0</v>
      </c>
      <c r="M24" s="85">
        <f>HUAWEI製ＰＣＳ接続枚数計算ツール!$J$116*枚数!M24/(VLOOKUP(HUAWEI製ＰＣＳ接続枚数計算ツール!$C$9, HUAWEI製ＰＣＳ接続枚数計算ツール!$B$119:$P$149,2,FALSE)*1000*HUAWEI製ＰＣＳ接続枚数計算ツール!$Y$113)</f>
        <v>0</v>
      </c>
      <c r="N24" s="85">
        <f>HUAWEI製ＰＣＳ接続枚数計算ツール!$J$116*枚数!N24/(VLOOKUP(HUAWEI製ＰＣＳ接続枚数計算ツール!$C$9, HUAWEI製ＰＣＳ接続枚数計算ツール!$B$119:$P$149,2,FALSE)*1000*HUAWEI製ＰＣＳ接続枚数計算ツール!$Y$113)</f>
        <v>0</v>
      </c>
      <c r="O24" s="85">
        <f>HUAWEI製ＰＣＳ接続枚数計算ツール!$J$116*枚数!O24/(VLOOKUP(HUAWEI製ＰＣＳ接続枚数計算ツール!$C$9, HUAWEI製ＰＣＳ接続枚数計算ツール!$B$119:$P$149,2,FALSE)*1000*HUAWEI製ＰＣＳ接続枚数計算ツール!$Y$113)</f>
        <v>0</v>
      </c>
      <c r="P24" s="85">
        <f>HUAWEI製ＰＣＳ接続枚数計算ツール!$J$116*枚数!P24/(VLOOKUP(HUAWEI製ＰＣＳ接続枚数計算ツール!$C$9, HUAWEI製ＰＣＳ接続枚数計算ツール!$B$119:$P$149,2,FALSE)*1000*HUAWEI製ＰＣＳ接続枚数計算ツール!$Y$113)</f>
        <v>0</v>
      </c>
      <c r="Q24" s="85">
        <f>HUAWEI製ＰＣＳ接続枚数計算ツール!$J$116*枚数!Q24/(VLOOKUP(HUAWEI製ＰＣＳ接続枚数計算ツール!$C$9, HUAWEI製ＰＣＳ接続枚数計算ツール!$B$119:$P$149,2,FALSE)*1000*HUAWEI製ＰＣＳ接続枚数計算ツール!$Y$113)</f>
        <v>0</v>
      </c>
      <c r="R24" s="85">
        <f>HUAWEI製ＰＣＳ接続枚数計算ツール!$J$116*枚数!R24/(VLOOKUP(HUAWEI製ＰＣＳ接続枚数計算ツール!$C$9, HUAWEI製ＰＣＳ接続枚数計算ツール!$B$119:$P$149,2,FALSE)*1000*HUAWEI製ＰＣＳ接続枚数計算ツール!$Y$113)</f>
        <v>0</v>
      </c>
      <c r="S24" s="85">
        <f>HUAWEI製ＰＣＳ接続枚数計算ツール!$J$116*枚数!S24/(VLOOKUP(HUAWEI製ＰＣＳ接続枚数計算ツール!$C$9, HUAWEI製ＰＣＳ接続枚数計算ツール!$B$119:$P$149,2,FALSE)*1000*HUAWEI製ＰＣＳ接続枚数計算ツール!$Y$113)</f>
        <v>0</v>
      </c>
      <c r="T24" s="85">
        <f>HUAWEI製ＰＣＳ接続枚数計算ツール!$J$116*枚数!T24/(VLOOKUP(HUAWEI製ＰＣＳ接続枚数計算ツール!$C$9, HUAWEI製ＰＣＳ接続枚数計算ツール!$B$119:$P$149,2,FALSE)*1000*HUAWEI製ＰＣＳ接続枚数計算ツール!$Y$113)</f>
        <v>0</v>
      </c>
      <c r="U24" s="85">
        <f>HUAWEI製ＰＣＳ接続枚数計算ツール!$J$116*枚数!U24/(VLOOKUP(HUAWEI製ＰＣＳ接続枚数計算ツール!$C$9, HUAWEI製ＰＣＳ接続枚数計算ツール!$B$119:$P$149,2,FALSE)*1000*HUAWEI製ＰＣＳ接続枚数計算ツール!$Y$113)</f>
        <v>0</v>
      </c>
      <c r="V24" s="85">
        <f>HUAWEI製ＰＣＳ接続枚数計算ツール!$J$116*枚数!V24/(VLOOKUP(HUAWEI製ＰＣＳ接続枚数計算ツール!$C$9, HUAWEI製ＰＣＳ接続枚数計算ツール!$B$119:$P$149,2,FALSE)*1000*HUAWEI製ＰＣＳ接続枚数計算ツール!$Y$113)</f>
        <v>0</v>
      </c>
      <c r="W24" s="85">
        <f>HUAWEI製ＰＣＳ接続枚数計算ツール!$J$116*枚数!W24/(VLOOKUP(HUAWEI製ＰＣＳ接続枚数計算ツール!$C$9, HUAWEI製ＰＣＳ接続枚数計算ツール!$B$119:$P$149,2,FALSE)*1000*HUAWEI製ＰＣＳ接続枚数計算ツール!$Y$113)</f>
        <v>0</v>
      </c>
      <c r="X24" s="85">
        <f>HUAWEI製ＰＣＳ接続枚数計算ツール!$J$116*枚数!X24/(VLOOKUP(HUAWEI製ＰＣＳ接続枚数計算ツール!$C$9, HUAWEI製ＰＣＳ接続枚数計算ツール!$B$119:$P$149,2,FALSE)*1000*HUAWEI製ＰＣＳ接続枚数計算ツール!$Y$113)</f>
        <v>0</v>
      </c>
      <c r="Y24" s="85">
        <f>HUAWEI製ＰＣＳ接続枚数計算ツール!$J$116*枚数!Y24/(VLOOKUP(HUAWEI製ＰＣＳ接続枚数計算ツール!$C$9, HUAWEI製ＰＣＳ接続枚数計算ツール!$B$119:$P$149,2,FALSE)*1000*HUAWEI製ＰＣＳ接続枚数計算ツール!$Y$113)</f>
        <v>0</v>
      </c>
      <c r="Z24" s="85">
        <f>HUAWEI製ＰＣＳ接続枚数計算ツール!$J$116*枚数!Z24/(VLOOKUP(HUAWEI製ＰＣＳ接続枚数計算ツール!$C$9, HUAWEI製ＰＣＳ接続枚数計算ツール!$B$119:$P$149,2,FALSE)*1000*HUAWEI製ＰＣＳ接続枚数計算ツール!$Y$113)</f>
        <v>0</v>
      </c>
      <c r="AA24" s="85">
        <f>HUAWEI製ＰＣＳ接続枚数計算ツール!$J$116*枚数!AA24/(VLOOKUP(HUAWEI製ＰＣＳ接続枚数計算ツール!$C$9, HUAWEI製ＰＣＳ接続枚数計算ツール!$B$119:$P$149,2,FALSE)*1000*HUAWEI製ＰＣＳ接続枚数計算ツール!$Y$113)</f>
        <v>0</v>
      </c>
      <c r="AB24" s="85">
        <f>HUAWEI製ＰＣＳ接続枚数計算ツール!$J$116*枚数!AB24/(VLOOKUP(HUAWEI製ＰＣＳ接続枚数計算ツール!$C$9, HUAWEI製ＰＣＳ接続枚数計算ツール!$B$119:$P$149,2,FALSE)*1000*HUAWEI製ＰＣＳ接続枚数計算ツール!$Y$113)</f>
        <v>0</v>
      </c>
      <c r="AC24" s="85">
        <f>HUAWEI製ＰＣＳ接続枚数計算ツール!$J$116*枚数!AC24/(VLOOKUP(HUAWEI製ＰＣＳ接続枚数計算ツール!$C$9, HUAWEI製ＰＣＳ接続枚数計算ツール!$B$119:$P$149,2,FALSE)*1000*HUAWEI製ＰＣＳ接続枚数計算ツール!$Y$113)</f>
        <v>0</v>
      </c>
      <c r="AD24" s="85">
        <f>HUAWEI製ＰＣＳ接続枚数計算ツール!$J$116*枚数!AD24/(VLOOKUP(HUAWEI製ＰＣＳ接続枚数計算ツール!$C$9, HUAWEI製ＰＣＳ接続枚数計算ツール!$B$119:$P$149,2,FALSE)*1000*HUAWEI製ＰＣＳ接続枚数計算ツール!$Y$113)</f>
        <v>0</v>
      </c>
      <c r="AE24" s="85">
        <f>HUAWEI製ＰＣＳ接続枚数計算ツール!$J$116*枚数!AE24/(VLOOKUP(HUAWEI製ＰＣＳ接続枚数計算ツール!$C$9, HUAWEI製ＰＣＳ接続枚数計算ツール!$B$119:$P$149,2,FALSE)*1000*HUAWEI製ＰＣＳ接続枚数計算ツール!$Y$113)</f>
        <v>0</v>
      </c>
      <c r="AF24" s="85">
        <f>HUAWEI製ＰＣＳ接続枚数計算ツール!$J$116*枚数!AF24/(VLOOKUP(HUAWEI製ＰＣＳ接続枚数計算ツール!$C$9, HUAWEI製ＰＣＳ接続枚数計算ツール!$B$119:$P$149,2,FALSE)*1000*HUAWEI製ＰＣＳ接続枚数計算ツール!$Y$113)</f>
        <v>0</v>
      </c>
      <c r="AG24" s="85">
        <f>HUAWEI製ＰＣＳ接続枚数計算ツール!$J$116*枚数!AG24/(VLOOKUP(HUAWEI製ＰＣＳ接続枚数計算ツール!$C$9, HUAWEI製ＰＣＳ接続枚数計算ツール!$B$119:$P$149,2,FALSE)*1000*HUAWEI製ＰＣＳ接続枚数計算ツール!$Y$113)</f>
        <v>0</v>
      </c>
      <c r="AH24" s="85">
        <f>HUAWEI製ＰＣＳ接続枚数計算ツール!$J$116*枚数!AH24/(VLOOKUP(HUAWEI製ＰＣＳ接続枚数計算ツール!$C$9, HUAWEI製ＰＣＳ接続枚数計算ツール!$B$119:$P$149,2,FALSE)*1000*HUAWEI製ＰＣＳ接続枚数計算ツール!$Y$113)</f>
        <v>0</v>
      </c>
      <c r="AI24" s="85">
        <f>HUAWEI製ＰＣＳ接続枚数計算ツール!$J$116*枚数!AI24/(VLOOKUP(HUAWEI製ＰＣＳ接続枚数計算ツール!$C$9, HUAWEI製ＰＣＳ接続枚数計算ツール!$B$119:$P$149,2,FALSE)*1000*HUAWEI製ＰＣＳ接続枚数計算ツール!$Y$113)</f>
        <v>0</v>
      </c>
      <c r="AJ24" s="85">
        <f>HUAWEI製ＰＣＳ接続枚数計算ツール!$J$116*枚数!AJ24/(VLOOKUP(HUAWEI製ＰＣＳ接続枚数計算ツール!$C$9, HUAWEI製ＰＣＳ接続枚数計算ツール!$B$119:$P$149,2,FALSE)*1000*HUAWEI製ＰＣＳ接続枚数計算ツール!$Y$113)</f>
        <v>0</v>
      </c>
      <c r="AK24" s="85">
        <f>HUAWEI製ＰＣＳ接続枚数計算ツール!$J$116*枚数!AK24/(VLOOKUP(HUAWEI製ＰＣＳ接続枚数計算ツール!$C$9, HUAWEI製ＰＣＳ接続枚数計算ツール!$B$119:$P$149,2,FALSE)*1000*HUAWEI製ＰＣＳ接続枚数計算ツール!$Y$113)</f>
        <v>0</v>
      </c>
      <c r="AL24" s="85">
        <f>HUAWEI製ＰＣＳ接続枚数計算ツール!$J$116*枚数!AL24/(VLOOKUP(HUAWEI製ＰＣＳ接続枚数計算ツール!$C$9, HUAWEI製ＰＣＳ接続枚数計算ツール!$B$119:$P$149,2,FALSE)*1000*HUAWEI製ＰＣＳ接続枚数計算ツール!$Y$113)</f>
        <v>0</v>
      </c>
      <c r="AM24" s="85">
        <f>HUAWEI製ＰＣＳ接続枚数計算ツール!$J$116*枚数!AM24/(VLOOKUP(HUAWEI製ＰＣＳ接続枚数計算ツール!$C$9, HUAWEI製ＰＣＳ接続枚数計算ツール!$B$119:$P$149,2,FALSE)*1000*HUAWEI製ＰＣＳ接続枚数計算ツール!$Y$113)</f>
        <v>0</v>
      </c>
      <c r="AN24" s="85">
        <f>HUAWEI製ＰＣＳ接続枚数計算ツール!$J$116*枚数!AN24/(VLOOKUP(HUAWEI製ＰＣＳ接続枚数計算ツール!$C$9, HUAWEI製ＰＣＳ接続枚数計算ツール!$B$119:$P$149,2,FALSE)*1000*HUAWEI製ＰＣＳ接続枚数計算ツール!$Y$113)</f>
        <v>0</v>
      </c>
      <c r="AO24" s="85">
        <f>HUAWEI製ＰＣＳ接続枚数計算ツール!$J$116*枚数!AO24/(VLOOKUP(HUAWEI製ＰＣＳ接続枚数計算ツール!$C$9, HUAWEI製ＰＣＳ接続枚数計算ツール!$B$119:$P$149,2,FALSE)*1000*HUAWEI製ＰＣＳ接続枚数計算ツール!$Y$113)</f>
        <v>0</v>
      </c>
    </row>
    <row r="25" spans="1:41">
      <c r="A25">
        <v>23</v>
      </c>
      <c r="B25" s="85">
        <f>HUAWEI製ＰＣＳ接続枚数計算ツール!$J$116*枚数!B25/(VLOOKUP(HUAWEI製ＰＣＳ接続枚数計算ツール!$C$9, HUAWEI製ＰＣＳ接続枚数計算ツール!$B$119:$P$149,2,FALSE)*1000*HUAWEI製ＰＣＳ接続枚数計算ツール!$Y$113)</f>
        <v>0</v>
      </c>
      <c r="C25" s="85">
        <f>HUAWEI製ＰＣＳ接続枚数計算ツール!$J$116*枚数!C25/(VLOOKUP(HUAWEI製ＰＣＳ接続枚数計算ツール!$C$9, HUAWEI製ＰＣＳ接続枚数計算ツール!$B$119:$P$149,2,FALSE)*1000*HUAWEI製ＰＣＳ接続枚数計算ツール!$Y$113)</f>
        <v>0</v>
      </c>
      <c r="D25" s="85">
        <f>HUAWEI製ＰＣＳ接続枚数計算ツール!$J$116*枚数!D25/(VLOOKUP(HUAWEI製ＰＣＳ接続枚数計算ツール!$C$9, HUAWEI製ＰＣＳ接続枚数計算ツール!$B$119:$P$149,2,FALSE)*1000*HUAWEI製ＰＣＳ接続枚数計算ツール!$Y$113)</f>
        <v>0</v>
      </c>
      <c r="E25" s="85">
        <f>HUAWEI製ＰＣＳ接続枚数計算ツール!$J$116*枚数!E25/(VLOOKUP(HUAWEI製ＰＣＳ接続枚数計算ツール!$C$9, HUAWEI製ＰＣＳ接続枚数計算ツール!$B$119:$P$149,2,FALSE)*1000*HUAWEI製ＰＣＳ接続枚数計算ツール!$Y$113)</f>
        <v>0</v>
      </c>
      <c r="F25" s="85">
        <f>HUAWEI製ＰＣＳ接続枚数計算ツール!$J$116*枚数!F25/(VLOOKUP(HUAWEI製ＰＣＳ接続枚数計算ツール!$C$9, HUAWEI製ＰＣＳ接続枚数計算ツール!$B$119:$P$149,2,FALSE)*1000*HUAWEI製ＰＣＳ接続枚数計算ツール!$Y$113)</f>
        <v>0</v>
      </c>
      <c r="G25" s="85">
        <f>HUAWEI製ＰＣＳ接続枚数計算ツール!$J$116*枚数!G25/(VLOOKUP(HUAWEI製ＰＣＳ接続枚数計算ツール!$C$9, HUAWEI製ＰＣＳ接続枚数計算ツール!$B$119:$P$149,2,FALSE)*1000*HUAWEI製ＰＣＳ接続枚数計算ツール!$Y$113)</f>
        <v>0</v>
      </c>
      <c r="H25" s="85">
        <f>HUAWEI製ＰＣＳ接続枚数計算ツール!$J$116*枚数!H25/(VLOOKUP(HUAWEI製ＰＣＳ接続枚数計算ツール!$C$9, HUAWEI製ＰＣＳ接続枚数計算ツール!$B$119:$P$149,2,FALSE)*1000*HUAWEI製ＰＣＳ接続枚数計算ツール!$Y$113)</f>
        <v>0</v>
      </c>
      <c r="I25" s="85">
        <f>HUAWEI製ＰＣＳ接続枚数計算ツール!$J$116*枚数!I25/(VLOOKUP(HUAWEI製ＰＣＳ接続枚数計算ツール!$C$9, HUAWEI製ＰＣＳ接続枚数計算ツール!$B$119:$P$149,2,FALSE)*1000*HUAWEI製ＰＣＳ接続枚数計算ツール!$Y$113)</f>
        <v>0</v>
      </c>
      <c r="J25" s="85">
        <f>HUAWEI製ＰＣＳ接続枚数計算ツール!$J$116*枚数!J25/(VLOOKUP(HUAWEI製ＰＣＳ接続枚数計算ツール!$C$9, HUAWEI製ＰＣＳ接続枚数計算ツール!$B$119:$P$149,2,FALSE)*1000*HUAWEI製ＰＣＳ接続枚数計算ツール!$Y$113)</f>
        <v>0</v>
      </c>
      <c r="K25" s="85">
        <f>HUAWEI製ＰＣＳ接続枚数計算ツール!$J$116*枚数!K25/(VLOOKUP(HUAWEI製ＰＣＳ接続枚数計算ツール!$C$9, HUAWEI製ＰＣＳ接続枚数計算ツール!$B$119:$P$149,2,FALSE)*1000*HUAWEI製ＰＣＳ接続枚数計算ツール!$Y$113)</f>
        <v>0</v>
      </c>
      <c r="L25" s="85">
        <f>HUAWEI製ＰＣＳ接続枚数計算ツール!$J$116*枚数!L25/(VLOOKUP(HUAWEI製ＰＣＳ接続枚数計算ツール!$C$9, HUAWEI製ＰＣＳ接続枚数計算ツール!$B$119:$P$149,2,FALSE)*1000*HUAWEI製ＰＣＳ接続枚数計算ツール!$Y$113)</f>
        <v>0</v>
      </c>
      <c r="M25" s="85">
        <f>HUAWEI製ＰＣＳ接続枚数計算ツール!$J$116*枚数!M25/(VLOOKUP(HUAWEI製ＰＣＳ接続枚数計算ツール!$C$9, HUAWEI製ＰＣＳ接続枚数計算ツール!$B$119:$P$149,2,FALSE)*1000*HUAWEI製ＰＣＳ接続枚数計算ツール!$Y$113)</f>
        <v>0</v>
      </c>
      <c r="N25" s="85">
        <f>HUAWEI製ＰＣＳ接続枚数計算ツール!$J$116*枚数!N25/(VLOOKUP(HUAWEI製ＰＣＳ接続枚数計算ツール!$C$9, HUAWEI製ＰＣＳ接続枚数計算ツール!$B$119:$P$149,2,FALSE)*1000*HUAWEI製ＰＣＳ接続枚数計算ツール!$Y$113)</f>
        <v>0</v>
      </c>
      <c r="O25" s="85">
        <f>HUAWEI製ＰＣＳ接続枚数計算ツール!$J$116*枚数!O25/(VLOOKUP(HUAWEI製ＰＣＳ接続枚数計算ツール!$C$9, HUAWEI製ＰＣＳ接続枚数計算ツール!$B$119:$P$149,2,FALSE)*1000*HUAWEI製ＰＣＳ接続枚数計算ツール!$Y$113)</f>
        <v>0</v>
      </c>
      <c r="P25" s="85">
        <f>HUAWEI製ＰＣＳ接続枚数計算ツール!$J$116*枚数!P25/(VLOOKUP(HUAWEI製ＰＣＳ接続枚数計算ツール!$C$9, HUAWEI製ＰＣＳ接続枚数計算ツール!$B$119:$P$149,2,FALSE)*1000*HUAWEI製ＰＣＳ接続枚数計算ツール!$Y$113)</f>
        <v>0</v>
      </c>
      <c r="Q25" s="85">
        <f>HUAWEI製ＰＣＳ接続枚数計算ツール!$J$116*枚数!Q25/(VLOOKUP(HUAWEI製ＰＣＳ接続枚数計算ツール!$C$9, HUAWEI製ＰＣＳ接続枚数計算ツール!$B$119:$P$149,2,FALSE)*1000*HUAWEI製ＰＣＳ接続枚数計算ツール!$Y$113)</f>
        <v>0</v>
      </c>
      <c r="R25" s="85">
        <f>HUAWEI製ＰＣＳ接続枚数計算ツール!$J$116*枚数!R25/(VLOOKUP(HUAWEI製ＰＣＳ接続枚数計算ツール!$C$9, HUAWEI製ＰＣＳ接続枚数計算ツール!$B$119:$P$149,2,FALSE)*1000*HUAWEI製ＰＣＳ接続枚数計算ツール!$Y$113)</f>
        <v>0</v>
      </c>
      <c r="S25" s="85">
        <f>HUAWEI製ＰＣＳ接続枚数計算ツール!$J$116*枚数!S25/(VLOOKUP(HUAWEI製ＰＣＳ接続枚数計算ツール!$C$9, HUAWEI製ＰＣＳ接続枚数計算ツール!$B$119:$P$149,2,FALSE)*1000*HUAWEI製ＰＣＳ接続枚数計算ツール!$Y$113)</f>
        <v>0</v>
      </c>
      <c r="T25" s="85">
        <f>HUAWEI製ＰＣＳ接続枚数計算ツール!$J$116*枚数!T25/(VLOOKUP(HUAWEI製ＰＣＳ接続枚数計算ツール!$C$9, HUAWEI製ＰＣＳ接続枚数計算ツール!$B$119:$P$149,2,FALSE)*1000*HUAWEI製ＰＣＳ接続枚数計算ツール!$Y$113)</f>
        <v>0</v>
      </c>
      <c r="U25" s="85">
        <f>HUAWEI製ＰＣＳ接続枚数計算ツール!$J$116*枚数!U25/(VLOOKUP(HUAWEI製ＰＣＳ接続枚数計算ツール!$C$9, HUAWEI製ＰＣＳ接続枚数計算ツール!$B$119:$P$149,2,FALSE)*1000*HUAWEI製ＰＣＳ接続枚数計算ツール!$Y$113)</f>
        <v>0</v>
      </c>
      <c r="V25" s="85">
        <f>HUAWEI製ＰＣＳ接続枚数計算ツール!$J$116*枚数!V25/(VLOOKUP(HUAWEI製ＰＣＳ接続枚数計算ツール!$C$9, HUAWEI製ＰＣＳ接続枚数計算ツール!$B$119:$P$149,2,FALSE)*1000*HUAWEI製ＰＣＳ接続枚数計算ツール!$Y$113)</f>
        <v>0</v>
      </c>
      <c r="W25" s="85">
        <f>HUAWEI製ＰＣＳ接続枚数計算ツール!$J$116*枚数!W25/(VLOOKUP(HUAWEI製ＰＣＳ接続枚数計算ツール!$C$9, HUAWEI製ＰＣＳ接続枚数計算ツール!$B$119:$P$149,2,FALSE)*1000*HUAWEI製ＰＣＳ接続枚数計算ツール!$Y$113)</f>
        <v>0</v>
      </c>
      <c r="X25" s="85">
        <f>HUAWEI製ＰＣＳ接続枚数計算ツール!$J$116*枚数!X25/(VLOOKUP(HUAWEI製ＰＣＳ接続枚数計算ツール!$C$9, HUAWEI製ＰＣＳ接続枚数計算ツール!$B$119:$P$149,2,FALSE)*1000*HUAWEI製ＰＣＳ接続枚数計算ツール!$Y$113)</f>
        <v>0</v>
      </c>
      <c r="Y25" s="85">
        <f>HUAWEI製ＰＣＳ接続枚数計算ツール!$J$116*枚数!Y25/(VLOOKUP(HUAWEI製ＰＣＳ接続枚数計算ツール!$C$9, HUAWEI製ＰＣＳ接続枚数計算ツール!$B$119:$P$149,2,FALSE)*1000*HUAWEI製ＰＣＳ接続枚数計算ツール!$Y$113)</f>
        <v>0</v>
      </c>
      <c r="Z25" s="85">
        <f>HUAWEI製ＰＣＳ接続枚数計算ツール!$J$116*枚数!Z25/(VLOOKUP(HUAWEI製ＰＣＳ接続枚数計算ツール!$C$9, HUAWEI製ＰＣＳ接続枚数計算ツール!$B$119:$P$149,2,FALSE)*1000*HUAWEI製ＰＣＳ接続枚数計算ツール!$Y$113)</f>
        <v>0</v>
      </c>
      <c r="AA25" s="85">
        <f>HUAWEI製ＰＣＳ接続枚数計算ツール!$J$116*枚数!AA25/(VLOOKUP(HUAWEI製ＰＣＳ接続枚数計算ツール!$C$9, HUAWEI製ＰＣＳ接続枚数計算ツール!$B$119:$P$149,2,FALSE)*1000*HUAWEI製ＰＣＳ接続枚数計算ツール!$Y$113)</f>
        <v>0</v>
      </c>
      <c r="AB25" s="85">
        <f>HUAWEI製ＰＣＳ接続枚数計算ツール!$J$116*枚数!AB25/(VLOOKUP(HUAWEI製ＰＣＳ接続枚数計算ツール!$C$9, HUAWEI製ＰＣＳ接続枚数計算ツール!$B$119:$P$149,2,FALSE)*1000*HUAWEI製ＰＣＳ接続枚数計算ツール!$Y$113)</f>
        <v>0</v>
      </c>
      <c r="AC25" s="85">
        <f>HUAWEI製ＰＣＳ接続枚数計算ツール!$J$116*枚数!AC25/(VLOOKUP(HUAWEI製ＰＣＳ接続枚数計算ツール!$C$9, HUAWEI製ＰＣＳ接続枚数計算ツール!$B$119:$P$149,2,FALSE)*1000*HUAWEI製ＰＣＳ接続枚数計算ツール!$Y$113)</f>
        <v>0</v>
      </c>
      <c r="AD25" s="85">
        <f>HUAWEI製ＰＣＳ接続枚数計算ツール!$J$116*枚数!AD25/(VLOOKUP(HUAWEI製ＰＣＳ接続枚数計算ツール!$C$9, HUAWEI製ＰＣＳ接続枚数計算ツール!$B$119:$P$149,2,FALSE)*1000*HUAWEI製ＰＣＳ接続枚数計算ツール!$Y$113)</f>
        <v>0</v>
      </c>
      <c r="AE25" s="85">
        <f>HUAWEI製ＰＣＳ接続枚数計算ツール!$J$116*枚数!AE25/(VLOOKUP(HUAWEI製ＰＣＳ接続枚数計算ツール!$C$9, HUAWEI製ＰＣＳ接続枚数計算ツール!$B$119:$P$149,2,FALSE)*1000*HUAWEI製ＰＣＳ接続枚数計算ツール!$Y$113)</f>
        <v>0</v>
      </c>
      <c r="AF25" s="85">
        <f>HUAWEI製ＰＣＳ接続枚数計算ツール!$J$116*枚数!AF25/(VLOOKUP(HUAWEI製ＰＣＳ接続枚数計算ツール!$C$9, HUAWEI製ＰＣＳ接続枚数計算ツール!$B$119:$P$149,2,FALSE)*1000*HUAWEI製ＰＣＳ接続枚数計算ツール!$Y$113)</f>
        <v>0</v>
      </c>
      <c r="AG25" s="85">
        <f>HUAWEI製ＰＣＳ接続枚数計算ツール!$J$116*枚数!AG25/(VLOOKUP(HUAWEI製ＰＣＳ接続枚数計算ツール!$C$9, HUAWEI製ＰＣＳ接続枚数計算ツール!$B$119:$P$149,2,FALSE)*1000*HUAWEI製ＰＣＳ接続枚数計算ツール!$Y$113)</f>
        <v>0</v>
      </c>
      <c r="AH25" s="85">
        <f>HUAWEI製ＰＣＳ接続枚数計算ツール!$J$116*枚数!AH25/(VLOOKUP(HUAWEI製ＰＣＳ接続枚数計算ツール!$C$9, HUAWEI製ＰＣＳ接続枚数計算ツール!$B$119:$P$149,2,FALSE)*1000*HUAWEI製ＰＣＳ接続枚数計算ツール!$Y$113)</f>
        <v>0</v>
      </c>
      <c r="AI25" s="85">
        <f>HUAWEI製ＰＣＳ接続枚数計算ツール!$J$116*枚数!AI25/(VLOOKUP(HUAWEI製ＰＣＳ接続枚数計算ツール!$C$9, HUAWEI製ＰＣＳ接続枚数計算ツール!$B$119:$P$149,2,FALSE)*1000*HUAWEI製ＰＣＳ接続枚数計算ツール!$Y$113)</f>
        <v>0</v>
      </c>
      <c r="AJ25" s="85">
        <f>HUAWEI製ＰＣＳ接続枚数計算ツール!$J$116*枚数!AJ25/(VLOOKUP(HUAWEI製ＰＣＳ接続枚数計算ツール!$C$9, HUAWEI製ＰＣＳ接続枚数計算ツール!$B$119:$P$149,2,FALSE)*1000*HUAWEI製ＰＣＳ接続枚数計算ツール!$Y$113)</f>
        <v>0</v>
      </c>
      <c r="AK25" s="85">
        <f>HUAWEI製ＰＣＳ接続枚数計算ツール!$J$116*枚数!AK25/(VLOOKUP(HUAWEI製ＰＣＳ接続枚数計算ツール!$C$9, HUAWEI製ＰＣＳ接続枚数計算ツール!$B$119:$P$149,2,FALSE)*1000*HUAWEI製ＰＣＳ接続枚数計算ツール!$Y$113)</f>
        <v>0</v>
      </c>
      <c r="AL25" s="85">
        <f>HUAWEI製ＰＣＳ接続枚数計算ツール!$J$116*枚数!AL25/(VLOOKUP(HUAWEI製ＰＣＳ接続枚数計算ツール!$C$9, HUAWEI製ＰＣＳ接続枚数計算ツール!$B$119:$P$149,2,FALSE)*1000*HUAWEI製ＰＣＳ接続枚数計算ツール!$Y$113)</f>
        <v>0</v>
      </c>
      <c r="AM25" s="85">
        <f>HUAWEI製ＰＣＳ接続枚数計算ツール!$J$116*枚数!AM25/(VLOOKUP(HUAWEI製ＰＣＳ接続枚数計算ツール!$C$9, HUAWEI製ＰＣＳ接続枚数計算ツール!$B$119:$P$149,2,FALSE)*1000*HUAWEI製ＰＣＳ接続枚数計算ツール!$Y$113)</f>
        <v>0</v>
      </c>
      <c r="AN25" s="85">
        <f>HUAWEI製ＰＣＳ接続枚数計算ツール!$J$116*枚数!AN25/(VLOOKUP(HUAWEI製ＰＣＳ接続枚数計算ツール!$C$9, HUAWEI製ＰＣＳ接続枚数計算ツール!$B$119:$P$149,2,FALSE)*1000*HUAWEI製ＰＣＳ接続枚数計算ツール!$Y$113)</f>
        <v>0</v>
      </c>
      <c r="AO25" s="85">
        <f>HUAWEI製ＰＣＳ接続枚数計算ツール!$J$116*枚数!AO25/(VLOOKUP(HUAWEI製ＰＣＳ接続枚数計算ツール!$C$9, HUAWEI製ＰＣＳ接続枚数計算ツール!$B$119:$P$149,2,FALSE)*1000*HUAWEI製ＰＣＳ接続枚数計算ツール!$Y$113)</f>
        <v>0</v>
      </c>
    </row>
    <row r="26" spans="1:41">
      <c r="A26">
        <v>24</v>
      </c>
      <c r="B26" s="85">
        <f>HUAWEI製ＰＣＳ接続枚数計算ツール!$J$116*枚数!B26/(VLOOKUP(HUAWEI製ＰＣＳ接続枚数計算ツール!$C$9, HUAWEI製ＰＣＳ接続枚数計算ツール!$B$119:$P$149,2,FALSE)*1000*HUAWEI製ＰＣＳ接続枚数計算ツール!$Y$113)</f>
        <v>0</v>
      </c>
      <c r="C26" s="85">
        <f>HUAWEI製ＰＣＳ接続枚数計算ツール!$J$116*枚数!C26/(VLOOKUP(HUAWEI製ＰＣＳ接続枚数計算ツール!$C$9, HUAWEI製ＰＣＳ接続枚数計算ツール!$B$119:$P$149,2,FALSE)*1000*HUAWEI製ＰＣＳ接続枚数計算ツール!$Y$113)</f>
        <v>0</v>
      </c>
      <c r="D26" s="85">
        <f>HUAWEI製ＰＣＳ接続枚数計算ツール!$J$116*枚数!D26/(VLOOKUP(HUAWEI製ＰＣＳ接続枚数計算ツール!$C$9, HUAWEI製ＰＣＳ接続枚数計算ツール!$B$119:$P$149,2,FALSE)*1000*HUAWEI製ＰＣＳ接続枚数計算ツール!$Y$113)</f>
        <v>0</v>
      </c>
      <c r="E26" s="85">
        <f>HUAWEI製ＰＣＳ接続枚数計算ツール!$J$116*枚数!E26/(VLOOKUP(HUAWEI製ＰＣＳ接続枚数計算ツール!$C$9, HUAWEI製ＰＣＳ接続枚数計算ツール!$B$119:$P$149,2,FALSE)*1000*HUAWEI製ＰＣＳ接続枚数計算ツール!$Y$113)</f>
        <v>0</v>
      </c>
      <c r="F26" s="85">
        <f>HUAWEI製ＰＣＳ接続枚数計算ツール!$J$116*枚数!F26/(VLOOKUP(HUAWEI製ＰＣＳ接続枚数計算ツール!$C$9, HUAWEI製ＰＣＳ接続枚数計算ツール!$B$119:$P$149,2,FALSE)*1000*HUAWEI製ＰＣＳ接続枚数計算ツール!$Y$113)</f>
        <v>0</v>
      </c>
      <c r="G26" s="85">
        <f>HUAWEI製ＰＣＳ接続枚数計算ツール!$J$116*枚数!G26/(VLOOKUP(HUAWEI製ＰＣＳ接続枚数計算ツール!$C$9, HUAWEI製ＰＣＳ接続枚数計算ツール!$B$119:$P$149,2,FALSE)*1000*HUAWEI製ＰＣＳ接続枚数計算ツール!$Y$113)</f>
        <v>0</v>
      </c>
      <c r="H26" s="85">
        <f>HUAWEI製ＰＣＳ接続枚数計算ツール!$J$116*枚数!H26/(VLOOKUP(HUAWEI製ＰＣＳ接続枚数計算ツール!$C$9, HUAWEI製ＰＣＳ接続枚数計算ツール!$B$119:$P$149,2,FALSE)*1000*HUAWEI製ＰＣＳ接続枚数計算ツール!$Y$113)</f>
        <v>0</v>
      </c>
      <c r="I26" s="85">
        <f>HUAWEI製ＰＣＳ接続枚数計算ツール!$J$116*枚数!I26/(VLOOKUP(HUAWEI製ＰＣＳ接続枚数計算ツール!$C$9, HUAWEI製ＰＣＳ接続枚数計算ツール!$B$119:$P$149,2,FALSE)*1000*HUAWEI製ＰＣＳ接続枚数計算ツール!$Y$113)</f>
        <v>0</v>
      </c>
      <c r="J26" s="85">
        <f>HUAWEI製ＰＣＳ接続枚数計算ツール!$J$116*枚数!J26/(VLOOKUP(HUAWEI製ＰＣＳ接続枚数計算ツール!$C$9, HUAWEI製ＰＣＳ接続枚数計算ツール!$B$119:$P$149,2,FALSE)*1000*HUAWEI製ＰＣＳ接続枚数計算ツール!$Y$113)</f>
        <v>0</v>
      </c>
      <c r="K26" s="85">
        <f>HUAWEI製ＰＣＳ接続枚数計算ツール!$J$116*枚数!K26/(VLOOKUP(HUAWEI製ＰＣＳ接続枚数計算ツール!$C$9, HUAWEI製ＰＣＳ接続枚数計算ツール!$B$119:$P$149,2,FALSE)*1000*HUAWEI製ＰＣＳ接続枚数計算ツール!$Y$113)</f>
        <v>0</v>
      </c>
      <c r="L26" s="85">
        <f>HUAWEI製ＰＣＳ接続枚数計算ツール!$J$116*枚数!L26/(VLOOKUP(HUAWEI製ＰＣＳ接続枚数計算ツール!$C$9, HUAWEI製ＰＣＳ接続枚数計算ツール!$B$119:$P$149,2,FALSE)*1000*HUAWEI製ＰＣＳ接続枚数計算ツール!$Y$113)</f>
        <v>0</v>
      </c>
      <c r="M26" s="85">
        <f>HUAWEI製ＰＣＳ接続枚数計算ツール!$J$116*枚数!M26/(VLOOKUP(HUAWEI製ＰＣＳ接続枚数計算ツール!$C$9, HUAWEI製ＰＣＳ接続枚数計算ツール!$B$119:$P$149,2,FALSE)*1000*HUAWEI製ＰＣＳ接続枚数計算ツール!$Y$113)</f>
        <v>0</v>
      </c>
      <c r="N26" s="85">
        <f>HUAWEI製ＰＣＳ接続枚数計算ツール!$J$116*枚数!N26/(VLOOKUP(HUAWEI製ＰＣＳ接続枚数計算ツール!$C$9, HUAWEI製ＰＣＳ接続枚数計算ツール!$B$119:$P$149,2,FALSE)*1000*HUAWEI製ＰＣＳ接続枚数計算ツール!$Y$113)</f>
        <v>0</v>
      </c>
      <c r="O26" s="85">
        <f>HUAWEI製ＰＣＳ接続枚数計算ツール!$J$116*枚数!O26/(VLOOKUP(HUAWEI製ＰＣＳ接続枚数計算ツール!$C$9, HUAWEI製ＰＣＳ接続枚数計算ツール!$B$119:$P$149,2,FALSE)*1000*HUAWEI製ＰＣＳ接続枚数計算ツール!$Y$113)</f>
        <v>0</v>
      </c>
      <c r="P26" s="85">
        <f>HUAWEI製ＰＣＳ接続枚数計算ツール!$J$116*枚数!P26/(VLOOKUP(HUAWEI製ＰＣＳ接続枚数計算ツール!$C$9, HUAWEI製ＰＣＳ接続枚数計算ツール!$B$119:$P$149,2,FALSE)*1000*HUAWEI製ＰＣＳ接続枚数計算ツール!$Y$113)</f>
        <v>0</v>
      </c>
      <c r="Q26" s="85">
        <f>HUAWEI製ＰＣＳ接続枚数計算ツール!$J$116*枚数!Q26/(VLOOKUP(HUAWEI製ＰＣＳ接続枚数計算ツール!$C$9, HUAWEI製ＰＣＳ接続枚数計算ツール!$B$119:$P$149,2,FALSE)*1000*HUAWEI製ＰＣＳ接続枚数計算ツール!$Y$113)</f>
        <v>0</v>
      </c>
      <c r="R26" s="85">
        <f>HUAWEI製ＰＣＳ接続枚数計算ツール!$J$116*枚数!R26/(VLOOKUP(HUAWEI製ＰＣＳ接続枚数計算ツール!$C$9, HUAWEI製ＰＣＳ接続枚数計算ツール!$B$119:$P$149,2,FALSE)*1000*HUAWEI製ＰＣＳ接続枚数計算ツール!$Y$113)</f>
        <v>0</v>
      </c>
      <c r="S26" s="85">
        <f>HUAWEI製ＰＣＳ接続枚数計算ツール!$J$116*枚数!S26/(VLOOKUP(HUAWEI製ＰＣＳ接続枚数計算ツール!$C$9, HUAWEI製ＰＣＳ接続枚数計算ツール!$B$119:$P$149,2,FALSE)*1000*HUAWEI製ＰＣＳ接続枚数計算ツール!$Y$113)</f>
        <v>0</v>
      </c>
      <c r="T26" s="85">
        <f>HUAWEI製ＰＣＳ接続枚数計算ツール!$J$116*枚数!T26/(VLOOKUP(HUAWEI製ＰＣＳ接続枚数計算ツール!$C$9, HUAWEI製ＰＣＳ接続枚数計算ツール!$B$119:$P$149,2,FALSE)*1000*HUAWEI製ＰＣＳ接続枚数計算ツール!$Y$113)</f>
        <v>0</v>
      </c>
      <c r="U26" s="85">
        <f>HUAWEI製ＰＣＳ接続枚数計算ツール!$J$116*枚数!U26/(VLOOKUP(HUAWEI製ＰＣＳ接続枚数計算ツール!$C$9, HUAWEI製ＰＣＳ接続枚数計算ツール!$B$119:$P$149,2,FALSE)*1000*HUAWEI製ＰＣＳ接続枚数計算ツール!$Y$113)</f>
        <v>0</v>
      </c>
      <c r="V26" s="85">
        <f>HUAWEI製ＰＣＳ接続枚数計算ツール!$J$116*枚数!V26/(VLOOKUP(HUAWEI製ＰＣＳ接続枚数計算ツール!$C$9, HUAWEI製ＰＣＳ接続枚数計算ツール!$B$119:$P$149,2,FALSE)*1000*HUAWEI製ＰＣＳ接続枚数計算ツール!$Y$113)</f>
        <v>0</v>
      </c>
      <c r="W26" s="85">
        <f>HUAWEI製ＰＣＳ接続枚数計算ツール!$J$116*枚数!W26/(VLOOKUP(HUAWEI製ＰＣＳ接続枚数計算ツール!$C$9, HUAWEI製ＰＣＳ接続枚数計算ツール!$B$119:$P$149,2,FALSE)*1000*HUAWEI製ＰＣＳ接続枚数計算ツール!$Y$113)</f>
        <v>0</v>
      </c>
      <c r="X26" s="85">
        <f>HUAWEI製ＰＣＳ接続枚数計算ツール!$J$116*枚数!X26/(VLOOKUP(HUAWEI製ＰＣＳ接続枚数計算ツール!$C$9, HUAWEI製ＰＣＳ接続枚数計算ツール!$B$119:$P$149,2,FALSE)*1000*HUAWEI製ＰＣＳ接続枚数計算ツール!$Y$113)</f>
        <v>0</v>
      </c>
      <c r="Y26" s="85">
        <f>HUAWEI製ＰＣＳ接続枚数計算ツール!$J$116*枚数!Y26/(VLOOKUP(HUAWEI製ＰＣＳ接続枚数計算ツール!$C$9, HUAWEI製ＰＣＳ接続枚数計算ツール!$B$119:$P$149,2,FALSE)*1000*HUAWEI製ＰＣＳ接続枚数計算ツール!$Y$113)</f>
        <v>0</v>
      </c>
      <c r="Z26" s="85">
        <f>HUAWEI製ＰＣＳ接続枚数計算ツール!$J$116*枚数!Z26/(VLOOKUP(HUAWEI製ＰＣＳ接続枚数計算ツール!$C$9, HUAWEI製ＰＣＳ接続枚数計算ツール!$B$119:$P$149,2,FALSE)*1000*HUAWEI製ＰＣＳ接続枚数計算ツール!$Y$113)</f>
        <v>0</v>
      </c>
      <c r="AA26" s="85">
        <f>HUAWEI製ＰＣＳ接続枚数計算ツール!$J$116*枚数!AA26/(VLOOKUP(HUAWEI製ＰＣＳ接続枚数計算ツール!$C$9, HUAWEI製ＰＣＳ接続枚数計算ツール!$B$119:$P$149,2,FALSE)*1000*HUAWEI製ＰＣＳ接続枚数計算ツール!$Y$113)</f>
        <v>0</v>
      </c>
      <c r="AB26" s="85">
        <f>HUAWEI製ＰＣＳ接続枚数計算ツール!$J$116*枚数!AB26/(VLOOKUP(HUAWEI製ＰＣＳ接続枚数計算ツール!$C$9, HUAWEI製ＰＣＳ接続枚数計算ツール!$B$119:$P$149,2,FALSE)*1000*HUAWEI製ＰＣＳ接続枚数計算ツール!$Y$113)</f>
        <v>0</v>
      </c>
      <c r="AC26" s="85">
        <f>HUAWEI製ＰＣＳ接続枚数計算ツール!$J$116*枚数!AC26/(VLOOKUP(HUAWEI製ＰＣＳ接続枚数計算ツール!$C$9, HUAWEI製ＰＣＳ接続枚数計算ツール!$B$119:$P$149,2,FALSE)*1000*HUAWEI製ＰＣＳ接続枚数計算ツール!$Y$113)</f>
        <v>0</v>
      </c>
      <c r="AD26" s="85">
        <f>HUAWEI製ＰＣＳ接続枚数計算ツール!$J$116*枚数!AD26/(VLOOKUP(HUAWEI製ＰＣＳ接続枚数計算ツール!$C$9, HUAWEI製ＰＣＳ接続枚数計算ツール!$B$119:$P$149,2,FALSE)*1000*HUAWEI製ＰＣＳ接続枚数計算ツール!$Y$113)</f>
        <v>0</v>
      </c>
      <c r="AE26" s="85">
        <f>HUAWEI製ＰＣＳ接続枚数計算ツール!$J$116*枚数!AE26/(VLOOKUP(HUAWEI製ＰＣＳ接続枚数計算ツール!$C$9, HUAWEI製ＰＣＳ接続枚数計算ツール!$B$119:$P$149,2,FALSE)*1000*HUAWEI製ＰＣＳ接続枚数計算ツール!$Y$113)</f>
        <v>0</v>
      </c>
      <c r="AF26" s="85">
        <f>HUAWEI製ＰＣＳ接続枚数計算ツール!$J$116*枚数!AF26/(VLOOKUP(HUAWEI製ＰＣＳ接続枚数計算ツール!$C$9, HUAWEI製ＰＣＳ接続枚数計算ツール!$B$119:$P$149,2,FALSE)*1000*HUAWEI製ＰＣＳ接続枚数計算ツール!$Y$113)</f>
        <v>0</v>
      </c>
      <c r="AG26" s="85">
        <f>HUAWEI製ＰＣＳ接続枚数計算ツール!$J$116*枚数!AG26/(VLOOKUP(HUAWEI製ＰＣＳ接続枚数計算ツール!$C$9, HUAWEI製ＰＣＳ接続枚数計算ツール!$B$119:$P$149,2,FALSE)*1000*HUAWEI製ＰＣＳ接続枚数計算ツール!$Y$113)</f>
        <v>0</v>
      </c>
      <c r="AH26" s="85">
        <f>HUAWEI製ＰＣＳ接続枚数計算ツール!$J$116*枚数!AH26/(VLOOKUP(HUAWEI製ＰＣＳ接続枚数計算ツール!$C$9, HUAWEI製ＰＣＳ接続枚数計算ツール!$B$119:$P$149,2,FALSE)*1000*HUAWEI製ＰＣＳ接続枚数計算ツール!$Y$113)</f>
        <v>0</v>
      </c>
      <c r="AI26" s="85">
        <f>HUAWEI製ＰＣＳ接続枚数計算ツール!$J$116*枚数!AI26/(VLOOKUP(HUAWEI製ＰＣＳ接続枚数計算ツール!$C$9, HUAWEI製ＰＣＳ接続枚数計算ツール!$B$119:$P$149,2,FALSE)*1000*HUAWEI製ＰＣＳ接続枚数計算ツール!$Y$113)</f>
        <v>0</v>
      </c>
      <c r="AJ26" s="85">
        <f>HUAWEI製ＰＣＳ接続枚数計算ツール!$J$116*枚数!AJ26/(VLOOKUP(HUAWEI製ＰＣＳ接続枚数計算ツール!$C$9, HUAWEI製ＰＣＳ接続枚数計算ツール!$B$119:$P$149,2,FALSE)*1000*HUAWEI製ＰＣＳ接続枚数計算ツール!$Y$113)</f>
        <v>0</v>
      </c>
      <c r="AK26" s="85">
        <f>HUAWEI製ＰＣＳ接続枚数計算ツール!$J$116*枚数!AK26/(VLOOKUP(HUAWEI製ＰＣＳ接続枚数計算ツール!$C$9, HUAWEI製ＰＣＳ接続枚数計算ツール!$B$119:$P$149,2,FALSE)*1000*HUAWEI製ＰＣＳ接続枚数計算ツール!$Y$113)</f>
        <v>0</v>
      </c>
      <c r="AL26" s="85">
        <f>HUAWEI製ＰＣＳ接続枚数計算ツール!$J$116*枚数!AL26/(VLOOKUP(HUAWEI製ＰＣＳ接続枚数計算ツール!$C$9, HUAWEI製ＰＣＳ接続枚数計算ツール!$B$119:$P$149,2,FALSE)*1000*HUAWEI製ＰＣＳ接続枚数計算ツール!$Y$113)</f>
        <v>0</v>
      </c>
      <c r="AM26" s="85">
        <f>HUAWEI製ＰＣＳ接続枚数計算ツール!$J$116*枚数!AM26/(VLOOKUP(HUAWEI製ＰＣＳ接続枚数計算ツール!$C$9, HUAWEI製ＰＣＳ接続枚数計算ツール!$B$119:$P$149,2,FALSE)*1000*HUAWEI製ＰＣＳ接続枚数計算ツール!$Y$113)</f>
        <v>0</v>
      </c>
      <c r="AN26" s="85">
        <f>HUAWEI製ＰＣＳ接続枚数計算ツール!$J$116*枚数!AN26/(VLOOKUP(HUAWEI製ＰＣＳ接続枚数計算ツール!$C$9, HUAWEI製ＰＣＳ接続枚数計算ツール!$B$119:$P$149,2,FALSE)*1000*HUAWEI製ＰＣＳ接続枚数計算ツール!$Y$113)</f>
        <v>0</v>
      </c>
      <c r="AO26" s="85">
        <f>HUAWEI製ＰＣＳ接続枚数計算ツール!$J$116*枚数!AO26/(VLOOKUP(HUAWEI製ＰＣＳ接続枚数計算ツール!$C$9, HUAWEI製ＰＣＳ接続枚数計算ツール!$B$119:$P$149,2,FALSE)*1000*HUAWEI製ＰＣＳ接続枚数計算ツール!$Y$113)</f>
        <v>0</v>
      </c>
    </row>
    <row r="27" spans="1:41">
      <c r="A27">
        <v>25</v>
      </c>
      <c r="B27" s="85">
        <f>HUAWEI製ＰＣＳ接続枚数計算ツール!$J$116*枚数!B27/(VLOOKUP(HUAWEI製ＰＣＳ接続枚数計算ツール!$C$9, HUAWEI製ＰＣＳ接続枚数計算ツール!$B$119:$P$149,2,FALSE)*1000*HUAWEI製ＰＣＳ接続枚数計算ツール!$Y$113)</f>
        <v>0</v>
      </c>
      <c r="C27" s="85">
        <f>HUAWEI製ＰＣＳ接続枚数計算ツール!$J$116*枚数!C27/(VLOOKUP(HUAWEI製ＰＣＳ接続枚数計算ツール!$C$9, HUAWEI製ＰＣＳ接続枚数計算ツール!$B$119:$P$149,2,FALSE)*1000*HUAWEI製ＰＣＳ接続枚数計算ツール!$Y$113)</f>
        <v>0</v>
      </c>
      <c r="D27" s="85">
        <f>HUAWEI製ＰＣＳ接続枚数計算ツール!$J$116*枚数!D27/(VLOOKUP(HUAWEI製ＰＣＳ接続枚数計算ツール!$C$9, HUAWEI製ＰＣＳ接続枚数計算ツール!$B$119:$P$149,2,FALSE)*1000*HUAWEI製ＰＣＳ接続枚数計算ツール!$Y$113)</f>
        <v>0</v>
      </c>
      <c r="E27" s="85">
        <f>HUAWEI製ＰＣＳ接続枚数計算ツール!$J$116*枚数!E27/(VLOOKUP(HUAWEI製ＰＣＳ接続枚数計算ツール!$C$9, HUAWEI製ＰＣＳ接続枚数計算ツール!$B$119:$P$149,2,FALSE)*1000*HUAWEI製ＰＣＳ接続枚数計算ツール!$Y$113)</f>
        <v>0</v>
      </c>
      <c r="F27" s="85">
        <f>HUAWEI製ＰＣＳ接続枚数計算ツール!$J$116*枚数!F27/(VLOOKUP(HUAWEI製ＰＣＳ接続枚数計算ツール!$C$9, HUAWEI製ＰＣＳ接続枚数計算ツール!$B$119:$P$149,2,FALSE)*1000*HUAWEI製ＰＣＳ接続枚数計算ツール!$Y$113)</f>
        <v>0</v>
      </c>
      <c r="G27" s="85">
        <f>HUAWEI製ＰＣＳ接続枚数計算ツール!$J$116*枚数!G27/(VLOOKUP(HUAWEI製ＰＣＳ接続枚数計算ツール!$C$9, HUAWEI製ＰＣＳ接続枚数計算ツール!$B$119:$P$149,2,FALSE)*1000*HUAWEI製ＰＣＳ接続枚数計算ツール!$Y$113)</f>
        <v>0</v>
      </c>
      <c r="H27" s="85">
        <f>HUAWEI製ＰＣＳ接続枚数計算ツール!$J$116*枚数!H27/(VLOOKUP(HUAWEI製ＰＣＳ接続枚数計算ツール!$C$9, HUAWEI製ＰＣＳ接続枚数計算ツール!$B$119:$P$149,2,FALSE)*1000*HUAWEI製ＰＣＳ接続枚数計算ツール!$Y$113)</f>
        <v>0</v>
      </c>
      <c r="I27" s="85">
        <f>HUAWEI製ＰＣＳ接続枚数計算ツール!$J$116*枚数!I27/(VLOOKUP(HUAWEI製ＰＣＳ接続枚数計算ツール!$C$9, HUAWEI製ＰＣＳ接続枚数計算ツール!$B$119:$P$149,2,FALSE)*1000*HUAWEI製ＰＣＳ接続枚数計算ツール!$Y$113)</f>
        <v>0</v>
      </c>
      <c r="J27" s="85">
        <f>HUAWEI製ＰＣＳ接続枚数計算ツール!$J$116*枚数!J27/(VLOOKUP(HUAWEI製ＰＣＳ接続枚数計算ツール!$C$9, HUAWEI製ＰＣＳ接続枚数計算ツール!$B$119:$P$149,2,FALSE)*1000*HUAWEI製ＰＣＳ接続枚数計算ツール!$Y$113)</f>
        <v>0</v>
      </c>
      <c r="K27" s="85">
        <f>HUAWEI製ＰＣＳ接続枚数計算ツール!$J$116*枚数!K27/(VLOOKUP(HUAWEI製ＰＣＳ接続枚数計算ツール!$C$9, HUAWEI製ＰＣＳ接続枚数計算ツール!$B$119:$P$149,2,FALSE)*1000*HUAWEI製ＰＣＳ接続枚数計算ツール!$Y$113)</f>
        <v>0</v>
      </c>
      <c r="L27" s="85">
        <f>HUAWEI製ＰＣＳ接続枚数計算ツール!$J$116*枚数!L27/(VLOOKUP(HUAWEI製ＰＣＳ接続枚数計算ツール!$C$9, HUAWEI製ＰＣＳ接続枚数計算ツール!$B$119:$P$149,2,FALSE)*1000*HUAWEI製ＰＣＳ接続枚数計算ツール!$Y$113)</f>
        <v>0</v>
      </c>
      <c r="M27" s="85">
        <f>HUAWEI製ＰＣＳ接続枚数計算ツール!$J$116*枚数!M27/(VLOOKUP(HUAWEI製ＰＣＳ接続枚数計算ツール!$C$9, HUAWEI製ＰＣＳ接続枚数計算ツール!$B$119:$P$149,2,FALSE)*1000*HUAWEI製ＰＣＳ接続枚数計算ツール!$Y$113)</f>
        <v>0</v>
      </c>
      <c r="N27" s="85">
        <f>HUAWEI製ＰＣＳ接続枚数計算ツール!$J$116*枚数!N27/(VLOOKUP(HUAWEI製ＰＣＳ接続枚数計算ツール!$C$9, HUAWEI製ＰＣＳ接続枚数計算ツール!$B$119:$P$149,2,FALSE)*1000*HUAWEI製ＰＣＳ接続枚数計算ツール!$Y$113)</f>
        <v>0</v>
      </c>
      <c r="O27" s="85">
        <f>HUAWEI製ＰＣＳ接続枚数計算ツール!$J$116*枚数!O27/(VLOOKUP(HUAWEI製ＰＣＳ接続枚数計算ツール!$C$9, HUAWEI製ＰＣＳ接続枚数計算ツール!$B$119:$P$149,2,FALSE)*1000*HUAWEI製ＰＣＳ接続枚数計算ツール!$Y$113)</f>
        <v>0</v>
      </c>
      <c r="P27" s="85">
        <f>HUAWEI製ＰＣＳ接続枚数計算ツール!$J$116*枚数!P27/(VLOOKUP(HUAWEI製ＰＣＳ接続枚数計算ツール!$C$9, HUAWEI製ＰＣＳ接続枚数計算ツール!$B$119:$P$149,2,FALSE)*1000*HUAWEI製ＰＣＳ接続枚数計算ツール!$Y$113)</f>
        <v>0</v>
      </c>
      <c r="Q27" s="85">
        <f>HUAWEI製ＰＣＳ接続枚数計算ツール!$J$116*枚数!Q27/(VLOOKUP(HUAWEI製ＰＣＳ接続枚数計算ツール!$C$9, HUAWEI製ＰＣＳ接続枚数計算ツール!$B$119:$P$149,2,FALSE)*1000*HUAWEI製ＰＣＳ接続枚数計算ツール!$Y$113)</f>
        <v>0</v>
      </c>
      <c r="R27" s="85">
        <f>HUAWEI製ＰＣＳ接続枚数計算ツール!$J$116*枚数!R27/(VLOOKUP(HUAWEI製ＰＣＳ接続枚数計算ツール!$C$9, HUAWEI製ＰＣＳ接続枚数計算ツール!$B$119:$P$149,2,FALSE)*1000*HUAWEI製ＰＣＳ接続枚数計算ツール!$Y$113)</f>
        <v>0</v>
      </c>
      <c r="S27" s="85">
        <f>HUAWEI製ＰＣＳ接続枚数計算ツール!$J$116*枚数!S27/(VLOOKUP(HUAWEI製ＰＣＳ接続枚数計算ツール!$C$9, HUAWEI製ＰＣＳ接続枚数計算ツール!$B$119:$P$149,2,FALSE)*1000*HUAWEI製ＰＣＳ接続枚数計算ツール!$Y$113)</f>
        <v>0</v>
      </c>
      <c r="T27" s="85">
        <f>HUAWEI製ＰＣＳ接続枚数計算ツール!$J$116*枚数!T27/(VLOOKUP(HUAWEI製ＰＣＳ接続枚数計算ツール!$C$9, HUAWEI製ＰＣＳ接続枚数計算ツール!$B$119:$P$149,2,FALSE)*1000*HUAWEI製ＰＣＳ接続枚数計算ツール!$Y$113)</f>
        <v>0</v>
      </c>
      <c r="U27" s="85">
        <f>HUAWEI製ＰＣＳ接続枚数計算ツール!$J$116*枚数!U27/(VLOOKUP(HUAWEI製ＰＣＳ接続枚数計算ツール!$C$9, HUAWEI製ＰＣＳ接続枚数計算ツール!$B$119:$P$149,2,FALSE)*1000*HUAWEI製ＰＣＳ接続枚数計算ツール!$Y$113)</f>
        <v>0</v>
      </c>
      <c r="V27" s="85">
        <f>HUAWEI製ＰＣＳ接続枚数計算ツール!$J$116*枚数!V27/(VLOOKUP(HUAWEI製ＰＣＳ接続枚数計算ツール!$C$9, HUAWEI製ＰＣＳ接続枚数計算ツール!$B$119:$P$149,2,FALSE)*1000*HUAWEI製ＰＣＳ接続枚数計算ツール!$Y$113)</f>
        <v>0</v>
      </c>
      <c r="W27" s="85">
        <f>HUAWEI製ＰＣＳ接続枚数計算ツール!$J$116*枚数!W27/(VLOOKUP(HUAWEI製ＰＣＳ接続枚数計算ツール!$C$9, HUAWEI製ＰＣＳ接続枚数計算ツール!$B$119:$P$149,2,FALSE)*1000*HUAWEI製ＰＣＳ接続枚数計算ツール!$Y$113)</f>
        <v>0</v>
      </c>
      <c r="X27" s="85">
        <f>HUAWEI製ＰＣＳ接続枚数計算ツール!$J$116*枚数!X27/(VLOOKUP(HUAWEI製ＰＣＳ接続枚数計算ツール!$C$9, HUAWEI製ＰＣＳ接続枚数計算ツール!$B$119:$P$149,2,FALSE)*1000*HUAWEI製ＰＣＳ接続枚数計算ツール!$Y$113)</f>
        <v>0</v>
      </c>
      <c r="Y27" s="85">
        <f>HUAWEI製ＰＣＳ接続枚数計算ツール!$J$116*枚数!Y27/(VLOOKUP(HUAWEI製ＰＣＳ接続枚数計算ツール!$C$9, HUAWEI製ＰＣＳ接続枚数計算ツール!$B$119:$P$149,2,FALSE)*1000*HUAWEI製ＰＣＳ接続枚数計算ツール!$Y$113)</f>
        <v>0</v>
      </c>
      <c r="Z27" s="85">
        <f>HUAWEI製ＰＣＳ接続枚数計算ツール!$J$116*枚数!Z27/(VLOOKUP(HUAWEI製ＰＣＳ接続枚数計算ツール!$C$9, HUAWEI製ＰＣＳ接続枚数計算ツール!$B$119:$P$149,2,FALSE)*1000*HUAWEI製ＰＣＳ接続枚数計算ツール!$Y$113)</f>
        <v>0</v>
      </c>
      <c r="AA27" s="85">
        <f>HUAWEI製ＰＣＳ接続枚数計算ツール!$J$116*枚数!AA27/(VLOOKUP(HUAWEI製ＰＣＳ接続枚数計算ツール!$C$9, HUAWEI製ＰＣＳ接続枚数計算ツール!$B$119:$P$149,2,FALSE)*1000*HUAWEI製ＰＣＳ接続枚数計算ツール!$Y$113)</f>
        <v>0</v>
      </c>
      <c r="AB27" s="85">
        <f>HUAWEI製ＰＣＳ接続枚数計算ツール!$J$116*枚数!AB27/(VLOOKUP(HUAWEI製ＰＣＳ接続枚数計算ツール!$C$9, HUAWEI製ＰＣＳ接続枚数計算ツール!$B$119:$P$149,2,FALSE)*1000*HUAWEI製ＰＣＳ接続枚数計算ツール!$Y$113)</f>
        <v>0</v>
      </c>
      <c r="AC27" s="85">
        <f>HUAWEI製ＰＣＳ接続枚数計算ツール!$J$116*枚数!AC27/(VLOOKUP(HUAWEI製ＰＣＳ接続枚数計算ツール!$C$9, HUAWEI製ＰＣＳ接続枚数計算ツール!$B$119:$P$149,2,FALSE)*1000*HUAWEI製ＰＣＳ接続枚数計算ツール!$Y$113)</f>
        <v>0</v>
      </c>
      <c r="AD27" s="85">
        <f>HUAWEI製ＰＣＳ接続枚数計算ツール!$J$116*枚数!AD27/(VLOOKUP(HUAWEI製ＰＣＳ接続枚数計算ツール!$C$9, HUAWEI製ＰＣＳ接続枚数計算ツール!$B$119:$P$149,2,FALSE)*1000*HUAWEI製ＰＣＳ接続枚数計算ツール!$Y$113)</f>
        <v>0</v>
      </c>
      <c r="AE27" s="85">
        <f>HUAWEI製ＰＣＳ接続枚数計算ツール!$J$116*枚数!AE27/(VLOOKUP(HUAWEI製ＰＣＳ接続枚数計算ツール!$C$9, HUAWEI製ＰＣＳ接続枚数計算ツール!$B$119:$P$149,2,FALSE)*1000*HUAWEI製ＰＣＳ接続枚数計算ツール!$Y$113)</f>
        <v>0</v>
      </c>
      <c r="AF27" s="85">
        <f>HUAWEI製ＰＣＳ接続枚数計算ツール!$J$116*枚数!AF27/(VLOOKUP(HUAWEI製ＰＣＳ接続枚数計算ツール!$C$9, HUAWEI製ＰＣＳ接続枚数計算ツール!$B$119:$P$149,2,FALSE)*1000*HUAWEI製ＰＣＳ接続枚数計算ツール!$Y$113)</f>
        <v>0</v>
      </c>
      <c r="AG27" s="85">
        <f>HUAWEI製ＰＣＳ接続枚数計算ツール!$J$116*枚数!AG27/(VLOOKUP(HUAWEI製ＰＣＳ接続枚数計算ツール!$C$9, HUAWEI製ＰＣＳ接続枚数計算ツール!$B$119:$P$149,2,FALSE)*1000*HUAWEI製ＰＣＳ接続枚数計算ツール!$Y$113)</f>
        <v>0</v>
      </c>
      <c r="AH27" s="85">
        <f>HUAWEI製ＰＣＳ接続枚数計算ツール!$J$116*枚数!AH27/(VLOOKUP(HUAWEI製ＰＣＳ接続枚数計算ツール!$C$9, HUAWEI製ＰＣＳ接続枚数計算ツール!$B$119:$P$149,2,FALSE)*1000*HUAWEI製ＰＣＳ接続枚数計算ツール!$Y$113)</f>
        <v>0</v>
      </c>
      <c r="AI27" s="85">
        <f>HUAWEI製ＰＣＳ接続枚数計算ツール!$J$116*枚数!AI27/(VLOOKUP(HUAWEI製ＰＣＳ接続枚数計算ツール!$C$9, HUAWEI製ＰＣＳ接続枚数計算ツール!$B$119:$P$149,2,FALSE)*1000*HUAWEI製ＰＣＳ接続枚数計算ツール!$Y$113)</f>
        <v>0</v>
      </c>
      <c r="AJ27" s="85">
        <f>HUAWEI製ＰＣＳ接続枚数計算ツール!$J$116*枚数!AJ27/(VLOOKUP(HUAWEI製ＰＣＳ接続枚数計算ツール!$C$9, HUAWEI製ＰＣＳ接続枚数計算ツール!$B$119:$P$149,2,FALSE)*1000*HUAWEI製ＰＣＳ接続枚数計算ツール!$Y$113)</f>
        <v>0</v>
      </c>
      <c r="AK27" s="85">
        <f>HUAWEI製ＰＣＳ接続枚数計算ツール!$J$116*枚数!AK27/(VLOOKUP(HUAWEI製ＰＣＳ接続枚数計算ツール!$C$9, HUAWEI製ＰＣＳ接続枚数計算ツール!$B$119:$P$149,2,FALSE)*1000*HUAWEI製ＰＣＳ接続枚数計算ツール!$Y$113)</f>
        <v>0</v>
      </c>
      <c r="AL27" s="85">
        <f>HUAWEI製ＰＣＳ接続枚数計算ツール!$J$116*枚数!AL27/(VLOOKUP(HUAWEI製ＰＣＳ接続枚数計算ツール!$C$9, HUAWEI製ＰＣＳ接続枚数計算ツール!$B$119:$P$149,2,FALSE)*1000*HUAWEI製ＰＣＳ接続枚数計算ツール!$Y$113)</f>
        <v>0</v>
      </c>
      <c r="AM27" s="85">
        <f>HUAWEI製ＰＣＳ接続枚数計算ツール!$J$116*枚数!AM27/(VLOOKUP(HUAWEI製ＰＣＳ接続枚数計算ツール!$C$9, HUAWEI製ＰＣＳ接続枚数計算ツール!$B$119:$P$149,2,FALSE)*1000*HUAWEI製ＰＣＳ接続枚数計算ツール!$Y$113)</f>
        <v>0</v>
      </c>
      <c r="AN27" s="85">
        <f>HUAWEI製ＰＣＳ接続枚数計算ツール!$J$116*枚数!AN27/(VLOOKUP(HUAWEI製ＰＣＳ接続枚数計算ツール!$C$9, HUAWEI製ＰＣＳ接続枚数計算ツール!$B$119:$P$149,2,FALSE)*1000*HUAWEI製ＰＣＳ接続枚数計算ツール!$Y$113)</f>
        <v>0</v>
      </c>
      <c r="AO27" s="85">
        <f>HUAWEI製ＰＣＳ接続枚数計算ツール!$J$116*枚数!AO27/(VLOOKUP(HUAWEI製ＰＣＳ接続枚数計算ツール!$C$9, HUAWEI製ＰＣＳ接続枚数計算ツール!$B$119:$P$149,2,FALSE)*1000*HUAWEI製ＰＣＳ接続枚数計算ツール!$Y$113)</f>
        <v>0</v>
      </c>
    </row>
    <row r="28" spans="1:41">
      <c r="A28">
        <v>26</v>
      </c>
      <c r="B28" s="85">
        <f>HUAWEI製ＰＣＳ接続枚数計算ツール!$J$116*枚数!B28/(VLOOKUP(HUAWEI製ＰＣＳ接続枚数計算ツール!$C$9, HUAWEI製ＰＣＳ接続枚数計算ツール!$B$119:$P$149,2,FALSE)*1000*HUAWEI製ＰＣＳ接続枚数計算ツール!$Y$113)</f>
        <v>0</v>
      </c>
      <c r="C28" s="85">
        <f>HUAWEI製ＰＣＳ接続枚数計算ツール!$J$116*枚数!C28/(VLOOKUP(HUAWEI製ＰＣＳ接続枚数計算ツール!$C$9, HUAWEI製ＰＣＳ接続枚数計算ツール!$B$119:$P$149,2,FALSE)*1000*HUAWEI製ＰＣＳ接続枚数計算ツール!$Y$113)</f>
        <v>0</v>
      </c>
      <c r="D28" s="85">
        <f>HUAWEI製ＰＣＳ接続枚数計算ツール!$J$116*枚数!D28/(VLOOKUP(HUAWEI製ＰＣＳ接続枚数計算ツール!$C$9, HUAWEI製ＰＣＳ接続枚数計算ツール!$B$119:$P$149,2,FALSE)*1000*HUAWEI製ＰＣＳ接続枚数計算ツール!$Y$113)</f>
        <v>0</v>
      </c>
      <c r="E28" s="85">
        <f>HUAWEI製ＰＣＳ接続枚数計算ツール!$J$116*枚数!E28/(VLOOKUP(HUAWEI製ＰＣＳ接続枚数計算ツール!$C$9, HUAWEI製ＰＣＳ接続枚数計算ツール!$B$119:$P$149,2,FALSE)*1000*HUAWEI製ＰＣＳ接続枚数計算ツール!$Y$113)</f>
        <v>0</v>
      </c>
      <c r="F28" s="85">
        <f>HUAWEI製ＰＣＳ接続枚数計算ツール!$J$116*枚数!F28/(VLOOKUP(HUAWEI製ＰＣＳ接続枚数計算ツール!$C$9, HUAWEI製ＰＣＳ接続枚数計算ツール!$B$119:$P$149,2,FALSE)*1000*HUAWEI製ＰＣＳ接続枚数計算ツール!$Y$113)</f>
        <v>0</v>
      </c>
      <c r="G28" s="85">
        <f>HUAWEI製ＰＣＳ接続枚数計算ツール!$J$116*枚数!G28/(VLOOKUP(HUAWEI製ＰＣＳ接続枚数計算ツール!$C$9, HUAWEI製ＰＣＳ接続枚数計算ツール!$B$119:$P$149,2,FALSE)*1000*HUAWEI製ＰＣＳ接続枚数計算ツール!$Y$113)</f>
        <v>0</v>
      </c>
      <c r="H28" s="85">
        <f>HUAWEI製ＰＣＳ接続枚数計算ツール!$J$116*枚数!H28/(VLOOKUP(HUAWEI製ＰＣＳ接続枚数計算ツール!$C$9, HUAWEI製ＰＣＳ接続枚数計算ツール!$B$119:$P$149,2,FALSE)*1000*HUAWEI製ＰＣＳ接続枚数計算ツール!$Y$113)</f>
        <v>0</v>
      </c>
      <c r="I28" s="85">
        <f>HUAWEI製ＰＣＳ接続枚数計算ツール!$J$116*枚数!I28/(VLOOKUP(HUAWEI製ＰＣＳ接続枚数計算ツール!$C$9, HUAWEI製ＰＣＳ接続枚数計算ツール!$B$119:$P$149,2,FALSE)*1000*HUAWEI製ＰＣＳ接続枚数計算ツール!$Y$113)</f>
        <v>0</v>
      </c>
      <c r="J28" s="85">
        <f>HUAWEI製ＰＣＳ接続枚数計算ツール!$J$116*枚数!J28/(VLOOKUP(HUAWEI製ＰＣＳ接続枚数計算ツール!$C$9, HUAWEI製ＰＣＳ接続枚数計算ツール!$B$119:$P$149,2,FALSE)*1000*HUAWEI製ＰＣＳ接続枚数計算ツール!$Y$113)</f>
        <v>0</v>
      </c>
      <c r="K28" s="85">
        <f>HUAWEI製ＰＣＳ接続枚数計算ツール!$J$116*枚数!K28/(VLOOKUP(HUAWEI製ＰＣＳ接続枚数計算ツール!$C$9, HUAWEI製ＰＣＳ接続枚数計算ツール!$B$119:$P$149,2,FALSE)*1000*HUAWEI製ＰＣＳ接続枚数計算ツール!$Y$113)</f>
        <v>0</v>
      </c>
      <c r="L28" s="85">
        <f>HUAWEI製ＰＣＳ接続枚数計算ツール!$J$116*枚数!L28/(VLOOKUP(HUAWEI製ＰＣＳ接続枚数計算ツール!$C$9, HUAWEI製ＰＣＳ接続枚数計算ツール!$B$119:$P$149,2,FALSE)*1000*HUAWEI製ＰＣＳ接続枚数計算ツール!$Y$113)</f>
        <v>0</v>
      </c>
      <c r="M28" s="85">
        <f>HUAWEI製ＰＣＳ接続枚数計算ツール!$J$116*枚数!M28/(VLOOKUP(HUAWEI製ＰＣＳ接続枚数計算ツール!$C$9, HUAWEI製ＰＣＳ接続枚数計算ツール!$B$119:$P$149,2,FALSE)*1000*HUAWEI製ＰＣＳ接続枚数計算ツール!$Y$113)</f>
        <v>0</v>
      </c>
      <c r="N28" s="85">
        <f>HUAWEI製ＰＣＳ接続枚数計算ツール!$J$116*枚数!N28/(VLOOKUP(HUAWEI製ＰＣＳ接続枚数計算ツール!$C$9, HUAWEI製ＰＣＳ接続枚数計算ツール!$B$119:$P$149,2,FALSE)*1000*HUAWEI製ＰＣＳ接続枚数計算ツール!$Y$113)</f>
        <v>0</v>
      </c>
      <c r="O28" s="85">
        <f>HUAWEI製ＰＣＳ接続枚数計算ツール!$J$116*枚数!O28/(VLOOKUP(HUAWEI製ＰＣＳ接続枚数計算ツール!$C$9, HUAWEI製ＰＣＳ接続枚数計算ツール!$B$119:$P$149,2,FALSE)*1000*HUAWEI製ＰＣＳ接続枚数計算ツール!$Y$113)</f>
        <v>0</v>
      </c>
      <c r="P28" s="85">
        <f>HUAWEI製ＰＣＳ接続枚数計算ツール!$J$116*枚数!P28/(VLOOKUP(HUAWEI製ＰＣＳ接続枚数計算ツール!$C$9, HUAWEI製ＰＣＳ接続枚数計算ツール!$B$119:$P$149,2,FALSE)*1000*HUAWEI製ＰＣＳ接続枚数計算ツール!$Y$113)</f>
        <v>0</v>
      </c>
      <c r="Q28" s="85">
        <f>HUAWEI製ＰＣＳ接続枚数計算ツール!$J$116*枚数!Q28/(VLOOKUP(HUAWEI製ＰＣＳ接続枚数計算ツール!$C$9, HUAWEI製ＰＣＳ接続枚数計算ツール!$B$119:$P$149,2,FALSE)*1000*HUAWEI製ＰＣＳ接続枚数計算ツール!$Y$113)</f>
        <v>0</v>
      </c>
      <c r="R28" s="85">
        <f>HUAWEI製ＰＣＳ接続枚数計算ツール!$J$116*枚数!R28/(VLOOKUP(HUAWEI製ＰＣＳ接続枚数計算ツール!$C$9, HUAWEI製ＰＣＳ接続枚数計算ツール!$B$119:$P$149,2,FALSE)*1000*HUAWEI製ＰＣＳ接続枚数計算ツール!$Y$113)</f>
        <v>0</v>
      </c>
      <c r="S28" s="85">
        <f>HUAWEI製ＰＣＳ接続枚数計算ツール!$J$116*枚数!S28/(VLOOKUP(HUAWEI製ＰＣＳ接続枚数計算ツール!$C$9, HUAWEI製ＰＣＳ接続枚数計算ツール!$B$119:$P$149,2,FALSE)*1000*HUAWEI製ＰＣＳ接続枚数計算ツール!$Y$113)</f>
        <v>0</v>
      </c>
      <c r="T28" s="85">
        <f>HUAWEI製ＰＣＳ接続枚数計算ツール!$J$116*枚数!T28/(VLOOKUP(HUAWEI製ＰＣＳ接続枚数計算ツール!$C$9, HUAWEI製ＰＣＳ接続枚数計算ツール!$B$119:$P$149,2,FALSE)*1000*HUAWEI製ＰＣＳ接続枚数計算ツール!$Y$113)</f>
        <v>0</v>
      </c>
      <c r="U28" s="85">
        <f>HUAWEI製ＰＣＳ接続枚数計算ツール!$J$116*枚数!U28/(VLOOKUP(HUAWEI製ＰＣＳ接続枚数計算ツール!$C$9, HUAWEI製ＰＣＳ接続枚数計算ツール!$B$119:$P$149,2,FALSE)*1000*HUAWEI製ＰＣＳ接続枚数計算ツール!$Y$113)</f>
        <v>0</v>
      </c>
      <c r="V28" s="85">
        <f>HUAWEI製ＰＣＳ接続枚数計算ツール!$J$116*枚数!V28/(VLOOKUP(HUAWEI製ＰＣＳ接続枚数計算ツール!$C$9, HUAWEI製ＰＣＳ接続枚数計算ツール!$B$119:$P$149,2,FALSE)*1000*HUAWEI製ＰＣＳ接続枚数計算ツール!$Y$113)</f>
        <v>0</v>
      </c>
      <c r="W28" s="85">
        <f>HUAWEI製ＰＣＳ接続枚数計算ツール!$J$116*枚数!W28/(VLOOKUP(HUAWEI製ＰＣＳ接続枚数計算ツール!$C$9, HUAWEI製ＰＣＳ接続枚数計算ツール!$B$119:$P$149,2,FALSE)*1000*HUAWEI製ＰＣＳ接続枚数計算ツール!$Y$113)</f>
        <v>0</v>
      </c>
      <c r="X28" s="85">
        <f>HUAWEI製ＰＣＳ接続枚数計算ツール!$J$116*枚数!X28/(VLOOKUP(HUAWEI製ＰＣＳ接続枚数計算ツール!$C$9, HUAWEI製ＰＣＳ接続枚数計算ツール!$B$119:$P$149,2,FALSE)*1000*HUAWEI製ＰＣＳ接続枚数計算ツール!$Y$113)</f>
        <v>0</v>
      </c>
      <c r="Y28" s="85">
        <f>HUAWEI製ＰＣＳ接続枚数計算ツール!$J$116*枚数!Y28/(VLOOKUP(HUAWEI製ＰＣＳ接続枚数計算ツール!$C$9, HUAWEI製ＰＣＳ接続枚数計算ツール!$B$119:$P$149,2,FALSE)*1000*HUAWEI製ＰＣＳ接続枚数計算ツール!$Y$113)</f>
        <v>0</v>
      </c>
      <c r="Z28" s="85">
        <f>HUAWEI製ＰＣＳ接続枚数計算ツール!$J$116*枚数!Z28/(VLOOKUP(HUAWEI製ＰＣＳ接続枚数計算ツール!$C$9, HUAWEI製ＰＣＳ接続枚数計算ツール!$B$119:$P$149,2,FALSE)*1000*HUAWEI製ＰＣＳ接続枚数計算ツール!$Y$113)</f>
        <v>0</v>
      </c>
      <c r="AA28" s="85">
        <f>HUAWEI製ＰＣＳ接続枚数計算ツール!$J$116*枚数!AA28/(VLOOKUP(HUAWEI製ＰＣＳ接続枚数計算ツール!$C$9, HUAWEI製ＰＣＳ接続枚数計算ツール!$B$119:$P$149,2,FALSE)*1000*HUAWEI製ＰＣＳ接続枚数計算ツール!$Y$113)</f>
        <v>0</v>
      </c>
      <c r="AB28" s="85">
        <f>HUAWEI製ＰＣＳ接続枚数計算ツール!$J$116*枚数!AB28/(VLOOKUP(HUAWEI製ＰＣＳ接続枚数計算ツール!$C$9, HUAWEI製ＰＣＳ接続枚数計算ツール!$B$119:$P$149,2,FALSE)*1000*HUAWEI製ＰＣＳ接続枚数計算ツール!$Y$113)</f>
        <v>0</v>
      </c>
      <c r="AC28" s="85">
        <f>HUAWEI製ＰＣＳ接続枚数計算ツール!$J$116*枚数!AC28/(VLOOKUP(HUAWEI製ＰＣＳ接続枚数計算ツール!$C$9, HUAWEI製ＰＣＳ接続枚数計算ツール!$B$119:$P$149,2,FALSE)*1000*HUAWEI製ＰＣＳ接続枚数計算ツール!$Y$113)</f>
        <v>0</v>
      </c>
      <c r="AD28" s="85">
        <f>HUAWEI製ＰＣＳ接続枚数計算ツール!$J$116*枚数!AD28/(VLOOKUP(HUAWEI製ＰＣＳ接続枚数計算ツール!$C$9, HUAWEI製ＰＣＳ接続枚数計算ツール!$B$119:$P$149,2,FALSE)*1000*HUAWEI製ＰＣＳ接続枚数計算ツール!$Y$113)</f>
        <v>0</v>
      </c>
      <c r="AE28" s="85">
        <f>HUAWEI製ＰＣＳ接続枚数計算ツール!$J$116*枚数!AE28/(VLOOKUP(HUAWEI製ＰＣＳ接続枚数計算ツール!$C$9, HUAWEI製ＰＣＳ接続枚数計算ツール!$B$119:$P$149,2,FALSE)*1000*HUAWEI製ＰＣＳ接続枚数計算ツール!$Y$113)</f>
        <v>0</v>
      </c>
      <c r="AF28" s="85">
        <f>HUAWEI製ＰＣＳ接続枚数計算ツール!$J$116*枚数!AF28/(VLOOKUP(HUAWEI製ＰＣＳ接続枚数計算ツール!$C$9, HUAWEI製ＰＣＳ接続枚数計算ツール!$B$119:$P$149,2,FALSE)*1000*HUAWEI製ＰＣＳ接続枚数計算ツール!$Y$113)</f>
        <v>0</v>
      </c>
      <c r="AG28" s="85">
        <f>HUAWEI製ＰＣＳ接続枚数計算ツール!$J$116*枚数!AG28/(VLOOKUP(HUAWEI製ＰＣＳ接続枚数計算ツール!$C$9, HUAWEI製ＰＣＳ接続枚数計算ツール!$B$119:$P$149,2,FALSE)*1000*HUAWEI製ＰＣＳ接続枚数計算ツール!$Y$113)</f>
        <v>0</v>
      </c>
      <c r="AH28" s="85">
        <f>HUAWEI製ＰＣＳ接続枚数計算ツール!$J$116*枚数!AH28/(VLOOKUP(HUAWEI製ＰＣＳ接続枚数計算ツール!$C$9, HUAWEI製ＰＣＳ接続枚数計算ツール!$B$119:$P$149,2,FALSE)*1000*HUAWEI製ＰＣＳ接続枚数計算ツール!$Y$113)</f>
        <v>0</v>
      </c>
      <c r="AI28" s="85">
        <f>HUAWEI製ＰＣＳ接続枚数計算ツール!$J$116*枚数!AI28/(VLOOKUP(HUAWEI製ＰＣＳ接続枚数計算ツール!$C$9, HUAWEI製ＰＣＳ接続枚数計算ツール!$B$119:$P$149,2,FALSE)*1000*HUAWEI製ＰＣＳ接続枚数計算ツール!$Y$113)</f>
        <v>0</v>
      </c>
      <c r="AJ28" s="85">
        <f>HUAWEI製ＰＣＳ接続枚数計算ツール!$J$116*枚数!AJ28/(VLOOKUP(HUAWEI製ＰＣＳ接続枚数計算ツール!$C$9, HUAWEI製ＰＣＳ接続枚数計算ツール!$B$119:$P$149,2,FALSE)*1000*HUAWEI製ＰＣＳ接続枚数計算ツール!$Y$113)</f>
        <v>0</v>
      </c>
      <c r="AK28" s="85">
        <f>HUAWEI製ＰＣＳ接続枚数計算ツール!$J$116*枚数!AK28/(VLOOKUP(HUAWEI製ＰＣＳ接続枚数計算ツール!$C$9, HUAWEI製ＰＣＳ接続枚数計算ツール!$B$119:$P$149,2,FALSE)*1000*HUAWEI製ＰＣＳ接続枚数計算ツール!$Y$113)</f>
        <v>0</v>
      </c>
      <c r="AL28" s="85">
        <f>HUAWEI製ＰＣＳ接続枚数計算ツール!$J$116*枚数!AL28/(VLOOKUP(HUAWEI製ＰＣＳ接続枚数計算ツール!$C$9, HUAWEI製ＰＣＳ接続枚数計算ツール!$B$119:$P$149,2,FALSE)*1000*HUAWEI製ＰＣＳ接続枚数計算ツール!$Y$113)</f>
        <v>0</v>
      </c>
      <c r="AM28" s="85">
        <f>HUAWEI製ＰＣＳ接続枚数計算ツール!$J$116*枚数!AM28/(VLOOKUP(HUAWEI製ＰＣＳ接続枚数計算ツール!$C$9, HUAWEI製ＰＣＳ接続枚数計算ツール!$B$119:$P$149,2,FALSE)*1000*HUAWEI製ＰＣＳ接続枚数計算ツール!$Y$113)</f>
        <v>0</v>
      </c>
      <c r="AN28" s="85">
        <f>HUAWEI製ＰＣＳ接続枚数計算ツール!$J$116*枚数!AN28/(VLOOKUP(HUAWEI製ＰＣＳ接続枚数計算ツール!$C$9, HUAWEI製ＰＣＳ接続枚数計算ツール!$B$119:$P$149,2,FALSE)*1000*HUAWEI製ＰＣＳ接続枚数計算ツール!$Y$113)</f>
        <v>0</v>
      </c>
      <c r="AO28" s="85">
        <f>HUAWEI製ＰＣＳ接続枚数計算ツール!$J$116*枚数!AO28/(VLOOKUP(HUAWEI製ＰＣＳ接続枚数計算ツール!$C$9, HUAWEI製ＰＣＳ接続枚数計算ツール!$B$119:$P$149,2,FALSE)*1000*HUAWEI製ＰＣＳ接続枚数計算ツール!$Y$113)</f>
        <v>0</v>
      </c>
    </row>
    <row r="29" spans="1:41">
      <c r="A29">
        <v>27</v>
      </c>
      <c r="B29" s="85">
        <f>HUAWEI製ＰＣＳ接続枚数計算ツール!$J$116*枚数!B29/(VLOOKUP(HUAWEI製ＰＣＳ接続枚数計算ツール!$C$9, HUAWEI製ＰＣＳ接続枚数計算ツール!$B$119:$P$149,2,FALSE)*1000*HUAWEI製ＰＣＳ接続枚数計算ツール!$Y$113)</f>
        <v>0</v>
      </c>
      <c r="C29" s="85">
        <f>HUAWEI製ＰＣＳ接続枚数計算ツール!$J$116*枚数!C29/(VLOOKUP(HUAWEI製ＰＣＳ接続枚数計算ツール!$C$9, HUAWEI製ＰＣＳ接続枚数計算ツール!$B$119:$P$149,2,FALSE)*1000*HUAWEI製ＰＣＳ接続枚数計算ツール!$Y$113)</f>
        <v>0</v>
      </c>
      <c r="D29" s="85">
        <f>HUAWEI製ＰＣＳ接続枚数計算ツール!$J$116*枚数!D29/(VLOOKUP(HUAWEI製ＰＣＳ接続枚数計算ツール!$C$9, HUAWEI製ＰＣＳ接続枚数計算ツール!$B$119:$P$149,2,FALSE)*1000*HUAWEI製ＰＣＳ接続枚数計算ツール!$Y$113)</f>
        <v>0</v>
      </c>
      <c r="E29" s="85">
        <f>HUAWEI製ＰＣＳ接続枚数計算ツール!$J$116*枚数!E29/(VLOOKUP(HUAWEI製ＰＣＳ接続枚数計算ツール!$C$9, HUAWEI製ＰＣＳ接続枚数計算ツール!$B$119:$P$149,2,FALSE)*1000*HUAWEI製ＰＣＳ接続枚数計算ツール!$Y$113)</f>
        <v>0</v>
      </c>
      <c r="F29" s="85">
        <f>HUAWEI製ＰＣＳ接続枚数計算ツール!$J$116*枚数!F29/(VLOOKUP(HUAWEI製ＰＣＳ接続枚数計算ツール!$C$9, HUAWEI製ＰＣＳ接続枚数計算ツール!$B$119:$P$149,2,FALSE)*1000*HUAWEI製ＰＣＳ接続枚数計算ツール!$Y$113)</f>
        <v>0</v>
      </c>
      <c r="G29" s="85">
        <f>HUAWEI製ＰＣＳ接続枚数計算ツール!$J$116*枚数!G29/(VLOOKUP(HUAWEI製ＰＣＳ接続枚数計算ツール!$C$9, HUAWEI製ＰＣＳ接続枚数計算ツール!$B$119:$P$149,2,FALSE)*1000*HUAWEI製ＰＣＳ接続枚数計算ツール!$Y$113)</f>
        <v>0</v>
      </c>
      <c r="H29" s="85">
        <f>HUAWEI製ＰＣＳ接続枚数計算ツール!$J$116*枚数!H29/(VLOOKUP(HUAWEI製ＰＣＳ接続枚数計算ツール!$C$9, HUAWEI製ＰＣＳ接続枚数計算ツール!$B$119:$P$149,2,FALSE)*1000*HUAWEI製ＰＣＳ接続枚数計算ツール!$Y$113)</f>
        <v>0</v>
      </c>
      <c r="I29" s="85">
        <f>HUAWEI製ＰＣＳ接続枚数計算ツール!$J$116*枚数!I29/(VLOOKUP(HUAWEI製ＰＣＳ接続枚数計算ツール!$C$9, HUAWEI製ＰＣＳ接続枚数計算ツール!$B$119:$P$149,2,FALSE)*1000*HUAWEI製ＰＣＳ接続枚数計算ツール!$Y$113)</f>
        <v>0</v>
      </c>
      <c r="J29" s="85">
        <f>HUAWEI製ＰＣＳ接続枚数計算ツール!$J$116*枚数!J29/(VLOOKUP(HUAWEI製ＰＣＳ接続枚数計算ツール!$C$9, HUAWEI製ＰＣＳ接続枚数計算ツール!$B$119:$P$149,2,FALSE)*1000*HUAWEI製ＰＣＳ接続枚数計算ツール!$Y$113)</f>
        <v>0</v>
      </c>
      <c r="K29" s="85">
        <f>HUAWEI製ＰＣＳ接続枚数計算ツール!$J$116*枚数!K29/(VLOOKUP(HUAWEI製ＰＣＳ接続枚数計算ツール!$C$9, HUAWEI製ＰＣＳ接続枚数計算ツール!$B$119:$P$149,2,FALSE)*1000*HUAWEI製ＰＣＳ接続枚数計算ツール!$Y$113)</f>
        <v>0</v>
      </c>
      <c r="L29" s="85">
        <f>HUAWEI製ＰＣＳ接続枚数計算ツール!$J$116*枚数!L29/(VLOOKUP(HUAWEI製ＰＣＳ接続枚数計算ツール!$C$9, HUAWEI製ＰＣＳ接続枚数計算ツール!$B$119:$P$149,2,FALSE)*1000*HUAWEI製ＰＣＳ接続枚数計算ツール!$Y$113)</f>
        <v>0</v>
      </c>
      <c r="M29" s="85">
        <f>HUAWEI製ＰＣＳ接続枚数計算ツール!$J$116*枚数!M29/(VLOOKUP(HUAWEI製ＰＣＳ接続枚数計算ツール!$C$9, HUAWEI製ＰＣＳ接続枚数計算ツール!$B$119:$P$149,2,FALSE)*1000*HUAWEI製ＰＣＳ接続枚数計算ツール!$Y$113)</f>
        <v>0</v>
      </c>
      <c r="N29" s="85">
        <f>HUAWEI製ＰＣＳ接続枚数計算ツール!$J$116*枚数!N29/(VLOOKUP(HUAWEI製ＰＣＳ接続枚数計算ツール!$C$9, HUAWEI製ＰＣＳ接続枚数計算ツール!$B$119:$P$149,2,FALSE)*1000*HUAWEI製ＰＣＳ接続枚数計算ツール!$Y$113)</f>
        <v>0</v>
      </c>
      <c r="O29" s="85">
        <f>HUAWEI製ＰＣＳ接続枚数計算ツール!$J$116*枚数!O29/(VLOOKUP(HUAWEI製ＰＣＳ接続枚数計算ツール!$C$9, HUAWEI製ＰＣＳ接続枚数計算ツール!$B$119:$P$149,2,FALSE)*1000*HUAWEI製ＰＣＳ接続枚数計算ツール!$Y$113)</f>
        <v>0</v>
      </c>
      <c r="P29" s="85">
        <f>HUAWEI製ＰＣＳ接続枚数計算ツール!$J$116*枚数!P29/(VLOOKUP(HUAWEI製ＰＣＳ接続枚数計算ツール!$C$9, HUAWEI製ＰＣＳ接続枚数計算ツール!$B$119:$P$149,2,FALSE)*1000*HUAWEI製ＰＣＳ接続枚数計算ツール!$Y$113)</f>
        <v>0</v>
      </c>
      <c r="Q29" s="85">
        <f>HUAWEI製ＰＣＳ接続枚数計算ツール!$J$116*枚数!Q29/(VLOOKUP(HUAWEI製ＰＣＳ接続枚数計算ツール!$C$9, HUAWEI製ＰＣＳ接続枚数計算ツール!$B$119:$P$149,2,FALSE)*1000*HUAWEI製ＰＣＳ接続枚数計算ツール!$Y$113)</f>
        <v>0</v>
      </c>
      <c r="R29" s="85">
        <f>HUAWEI製ＰＣＳ接続枚数計算ツール!$J$116*枚数!R29/(VLOOKUP(HUAWEI製ＰＣＳ接続枚数計算ツール!$C$9, HUAWEI製ＰＣＳ接続枚数計算ツール!$B$119:$P$149,2,FALSE)*1000*HUAWEI製ＰＣＳ接続枚数計算ツール!$Y$113)</f>
        <v>0</v>
      </c>
      <c r="S29" s="85">
        <f>HUAWEI製ＰＣＳ接続枚数計算ツール!$J$116*枚数!S29/(VLOOKUP(HUAWEI製ＰＣＳ接続枚数計算ツール!$C$9, HUAWEI製ＰＣＳ接続枚数計算ツール!$B$119:$P$149,2,FALSE)*1000*HUAWEI製ＰＣＳ接続枚数計算ツール!$Y$113)</f>
        <v>0</v>
      </c>
      <c r="T29" s="85">
        <f>HUAWEI製ＰＣＳ接続枚数計算ツール!$J$116*枚数!T29/(VLOOKUP(HUAWEI製ＰＣＳ接続枚数計算ツール!$C$9, HUAWEI製ＰＣＳ接続枚数計算ツール!$B$119:$P$149,2,FALSE)*1000*HUAWEI製ＰＣＳ接続枚数計算ツール!$Y$113)</f>
        <v>0</v>
      </c>
      <c r="U29" s="85">
        <f>HUAWEI製ＰＣＳ接続枚数計算ツール!$J$116*枚数!U29/(VLOOKUP(HUAWEI製ＰＣＳ接続枚数計算ツール!$C$9, HUAWEI製ＰＣＳ接続枚数計算ツール!$B$119:$P$149,2,FALSE)*1000*HUAWEI製ＰＣＳ接続枚数計算ツール!$Y$113)</f>
        <v>0</v>
      </c>
      <c r="V29" s="85">
        <f>HUAWEI製ＰＣＳ接続枚数計算ツール!$J$116*枚数!V29/(VLOOKUP(HUAWEI製ＰＣＳ接続枚数計算ツール!$C$9, HUAWEI製ＰＣＳ接続枚数計算ツール!$B$119:$P$149,2,FALSE)*1000*HUAWEI製ＰＣＳ接続枚数計算ツール!$Y$113)</f>
        <v>0</v>
      </c>
      <c r="W29" s="85">
        <f>HUAWEI製ＰＣＳ接続枚数計算ツール!$J$116*枚数!W29/(VLOOKUP(HUAWEI製ＰＣＳ接続枚数計算ツール!$C$9, HUAWEI製ＰＣＳ接続枚数計算ツール!$B$119:$P$149,2,FALSE)*1000*HUAWEI製ＰＣＳ接続枚数計算ツール!$Y$113)</f>
        <v>0</v>
      </c>
      <c r="X29" s="85">
        <f>HUAWEI製ＰＣＳ接続枚数計算ツール!$J$116*枚数!X29/(VLOOKUP(HUAWEI製ＰＣＳ接続枚数計算ツール!$C$9, HUAWEI製ＰＣＳ接続枚数計算ツール!$B$119:$P$149,2,FALSE)*1000*HUAWEI製ＰＣＳ接続枚数計算ツール!$Y$113)</f>
        <v>0</v>
      </c>
      <c r="Y29" s="85">
        <f>HUAWEI製ＰＣＳ接続枚数計算ツール!$J$116*枚数!Y29/(VLOOKUP(HUAWEI製ＰＣＳ接続枚数計算ツール!$C$9, HUAWEI製ＰＣＳ接続枚数計算ツール!$B$119:$P$149,2,FALSE)*1000*HUAWEI製ＰＣＳ接続枚数計算ツール!$Y$113)</f>
        <v>0</v>
      </c>
      <c r="Z29" s="85">
        <f>HUAWEI製ＰＣＳ接続枚数計算ツール!$J$116*枚数!Z29/(VLOOKUP(HUAWEI製ＰＣＳ接続枚数計算ツール!$C$9, HUAWEI製ＰＣＳ接続枚数計算ツール!$B$119:$P$149,2,FALSE)*1000*HUAWEI製ＰＣＳ接続枚数計算ツール!$Y$113)</f>
        <v>0</v>
      </c>
      <c r="AA29" s="85">
        <f>HUAWEI製ＰＣＳ接続枚数計算ツール!$J$116*枚数!AA29/(VLOOKUP(HUAWEI製ＰＣＳ接続枚数計算ツール!$C$9, HUAWEI製ＰＣＳ接続枚数計算ツール!$B$119:$P$149,2,FALSE)*1000*HUAWEI製ＰＣＳ接続枚数計算ツール!$Y$113)</f>
        <v>0</v>
      </c>
      <c r="AB29" s="85">
        <f>HUAWEI製ＰＣＳ接続枚数計算ツール!$J$116*枚数!AB29/(VLOOKUP(HUAWEI製ＰＣＳ接続枚数計算ツール!$C$9, HUAWEI製ＰＣＳ接続枚数計算ツール!$B$119:$P$149,2,FALSE)*1000*HUAWEI製ＰＣＳ接続枚数計算ツール!$Y$113)</f>
        <v>0</v>
      </c>
      <c r="AC29" s="85">
        <f>HUAWEI製ＰＣＳ接続枚数計算ツール!$J$116*枚数!AC29/(VLOOKUP(HUAWEI製ＰＣＳ接続枚数計算ツール!$C$9, HUAWEI製ＰＣＳ接続枚数計算ツール!$B$119:$P$149,2,FALSE)*1000*HUAWEI製ＰＣＳ接続枚数計算ツール!$Y$113)</f>
        <v>0</v>
      </c>
      <c r="AD29" s="85">
        <f>HUAWEI製ＰＣＳ接続枚数計算ツール!$J$116*枚数!AD29/(VLOOKUP(HUAWEI製ＰＣＳ接続枚数計算ツール!$C$9, HUAWEI製ＰＣＳ接続枚数計算ツール!$B$119:$P$149,2,FALSE)*1000*HUAWEI製ＰＣＳ接続枚数計算ツール!$Y$113)</f>
        <v>0</v>
      </c>
      <c r="AE29" s="85">
        <f>HUAWEI製ＰＣＳ接続枚数計算ツール!$J$116*枚数!AE29/(VLOOKUP(HUAWEI製ＰＣＳ接続枚数計算ツール!$C$9, HUAWEI製ＰＣＳ接続枚数計算ツール!$B$119:$P$149,2,FALSE)*1000*HUAWEI製ＰＣＳ接続枚数計算ツール!$Y$113)</f>
        <v>0</v>
      </c>
      <c r="AF29" s="85">
        <f>HUAWEI製ＰＣＳ接続枚数計算ツール!$J$116*枚数!AF29/(VLOOKUP(HUAWEI製ＰＣＳ接続枚数計算ツール!$C$9, HUAWEI製ＰＣＳ接続枚数計算ツール!$B$119:$P$149,2,FALSE)*1000*HUAWEI製ＰＣＳ接続枚数計算ツール!$Y$113)</f>
        <v>0</v>
      </c>
      <c r="AG29" s="85">
        <f>HUAWEI製ＰＣＳ接続枚数計算ツール!$J$116*枚数!AG29/(VLOOKUP(HUAWEI製ＰＣＳ接続枚数計算ツール!$C$9, HUAWEI製ＰＣＳ接続枚数計算ツール!$B$119:$P$149,2,FALSE)*1000*HUAWEI製ＰＣＳ接続枚数計算ツール!$Y$113)</f>
        <v>0</v>
      </c>
      <c r="AH29" s="85">
        <f>HUAWEI製ＰＣＳ接続枚数計算ツール!$J$116*枚数!AH29/(VLOOKUP(HUAWEI製ＰＣＳ接続枚数計算ツール!$C$9, HUAWEI製ＰＣＳ接続枚数計算ツール!$B$119:$P$149,2,FALSE)*1000*HUAWEI製ＰＣＳ接続枚数計算ツール!$Y$113)</f>
        <v>0</v>
      </c>
      <c r="AI29" s="85">
        <f>HUAWEI製ＰＣＳ接続枚数計算ツール!$J$116*枚数!AI29/(VLOOKUP(HUAWEI製ＰＣＳ接続枚数計算ツール!$C$9, HUAWEI製ＰＣＳ接続枚数計算ツール!$B$119:$P$149,2,FALSE)*1000*HUAWEI製ＰＣＳ接続枚数計算ツール!$Y$113)</f>
        <v>0</v>
      </c>
      <c r="AJ29" s="85">
        <f>HUAWEI製ＰＣＳ接続枚数計算ツール!$J$116*枚数!AJ29/(VLOOKUP(HUAWEI製ＰＣＳ接続枚数計算ツール!$C$9, HUAWEI製ＰＣＳ接続枚数計算ツール!$B$119:$P$149,2,FALSE)*1000*HUAWEI製ＰＣＳ接続枚数計算ツール!$Y$113)</f>
        <v>0</v>
      </c>
      <c r="AK29" s="85">
        <f>HUAWEI製ＰＣＳ接続枚数計算ツール!$J$116*枚数!AK29/(VLOOKUP(HUAWEI製ＰＣＳ接続枚数計算ツール!$C$9, HUAWEI製ＰＣＳ接続枚数計算ツール!$B$119:$P$149,2,FALSE)*1000*HUAWEI製ＰＣＳ接続枚数計算ツール!$Y$113)</f>
        <v>0</v>
      </c>
      <c r="AL29" s="85">
        <f>HUAWEI製ＰＣＳ接続枚数計算ツール!$J$116*枚数!AL29/(VLOOKUP(HUAWEI製ＰＣＳ接続枚数計算ツール!$C$9, HUAWEI製ＰＣＳ接続枚数計算ツール!$B$119:$P$149,2,FALSE)*1000*HUAWEI製ＰＣＳ接続枚数計算ツール!$Y$113)</f>
        <v>0</v>
      </c>
      <c r="AM29" s="85">
        <f>HUAWEI製ＰＣＳ接続枚数計算ツール!$J$116*枚数!AM29/(VLOOKUP(HUAWEI製ＰＣＳ接続枚数計算ツール!$C$9, HUAWEI製ＰＣＳ接続枚数計算ツール!$B$119:$P$149,2,FALSE)*1000*HUAWEI製ＰＣＳ接続枚数計算ツール!$Y$113)</f>
        <v>0</v>
      </c>
      <c r="AN29" s="85">
        <f>HUAWEI製ＰＣＳ接続枚数計算ツール!$J$116*枚数!AN29/(VLOOKUP(HUAWEI製ＰＣＳ接続枚数計算ツール!$C$9, HUAWEI製ＰＣＳ接続枚数計算ツール!$B$119:$P$149,2,FALSE)*1000*HUAWEI製ＰＣＳ接続枚数計算ツール!$Y$113)</f>
        <v>0</v>
      </c>
      <c r="AO29" s="85">
        <f>HUAWEI製ＰＣＳ接続枚数計算ツール!$J$116*枚数!AO29/(VLOOKUP(HUAWEI製ＰＣＳ接続枚数計算ツール!$C$9, HUAWEI製ＰＣＳ接続枚数計算ツール!$B$119:$P$149,2,FALSE)*1000*HUAWEI製ＰＣＳ接続枚数計算ツール!$Y$113)</f>
        <v>0</v>
      </c>
    </row>
    <row r="30" spans="1:41">
      <c r="A30">
        <v>28</v>
      </c>
      <c r="B30" s="85">
        <f>HUAWEI製ＰＣＳ接続枚数計算ツール!$J$116*枚数!B30/(VLOOKUP(HUAWEI製ＰＣＳ接続枚数計算ツール!$C$9, HUAWEI製ＰＣＳ接続枚数計算ツール!$B$119:$P$149,2,FALSE)*1000*HUAWEI製ＰＣＳ接続枚数計算ツール!$Y$113)</f>
        <v>0</v>
      </c>
      <c r="C30" s="85">
        <f>HUAWEI製ＰＣＳ接続枚数計算ツール!$J$116*枚数!C30/(VLOOKUP(HUAWEI製ＰＣＳ接続枚数計算ツール!$C$9, HUAWEI製ＰＣＳ接続枚数計算ツール!$B$119:$P$149,2,FALSE)*1000*HUAWEI製ＰＣＳ接続枚数計算ツール!$Y$113)</f>
        <v>0</v>
      </c>
      <c r="D30" s="85">
        <f>HUAWEI製ＰＣＳ接続枚数計算ツール!$J$116*枚数!D30/(VLOOKUP(HUAWEI製ＰＣＳ接続枚数計算ツール!$C$9, HUAWEI製ＰＣＳ接続枚数計算ツール!$B$119:$P$149,2,FALSE)*1000*HUAWEI製ＰＣＳ接続枚数計算ツール!$Y$113)</f>
        <v>0</v>
      </c>
      <c r="E30" s="85">
        <f>HUAWEI製ＰＣＳ接続枚数計算ツール!$J$116*枚数!E30/(VLOOKUP(HUAWEI製ＰＣＳ接続枚数計算ツール!$C$9, HUAWEI製ＰＣＳ接続枚数計算ツール!$B$119:$P$149,2,FALSE)*1000*HUAWEI製ＰＣＳ接続枚数計算ツール!$Y$113)</f>
        <v>0</v>
      </c>
      <c r="F30" s="85">
        <f>HUAWEI製ＰＣＳ接続枚数計算ツール!$J$116*枚数!F30/(VLOOKUP(HUAWEI製ＰＣＳ接続枚数計算ツール!$C$9, HUAWEI製ＰＣＳ接続枚数計算ツール!$B$119:$P$149,2,FALSE)*1000*HUAWEI製ＰＣＳ接続枚数計算ツール!$Y$113)</f>
        <v>0</v>
      </c>
      <c r="G30" s="85">
        <f>HUAWEI製ＰＣＳ接続枚数計算ツール!$J$116*枚数!G30/(VLOOKUP(HUAWEI製ＰＣＳ接続枚数計算ツール!$C$9, HUAWEI製ＰＣＳ接続枚数計算ツール!$B$119:$P$149,2,FALSE)*1000*HUAWEI製ＰＣＳ接続枚数計算ツール!$Y$113)</f>
        <v>0</v>
      </c>
      <c r="H30" s="85">
        <f>HUAWEI製ＰＣＳ接続枚数計算ツール!$J$116*枚数!H30/(VLOOKUP(HUAWEI製ＰＣＳ接続枚数計算ツール!$C$9, HUAWEI製ＰＣＳ接続枚数計算ツール!$B$119:$P$149,2,FALSE)*1000*HUAWEI製ＰＣＳ接続枚数計算ツール!$Y$113)</f>
        <v>0</v>
      </c>
      <c r="I30" s="85">
        <f>HUAWEI製ＰＣＳ接続枚数計算ツール!$J$116*枚数!I30/(VLOOKUP(HUAWEI製ＰＣＳ接続枚数計算ツール!$C$9, HUAWEI製ＰＣＳ接続枚数計算ツール!$B$119:$P$149,2,FALSE)*1000*HUAWEI製ＰＣＳ接続枚数計算ツール!$Y$113)</f>
        <v>0</v>
      </c>
      <c r="J30" s="85">
        <f>HUAWEI製ＰＣＳ接続枚数計算ツール!$J$116*枚数!J30/(VLOOKUP(HUAWEI製ＰＣＳ接続枚数計算ツール!$C$9, HUAWEI製ＰＣＳ接続枚数計算ツール!$B$119:$P$149,2,FALSE)*1000*HUAWEI製ＰＣＳ接続枚数計算ツール!$Y$113)</f>
        <v>0</v>
      </c>
      <c r="K30" s="85">
        <f>HUAWEI製ＰＣＳ接続枚数計算ツール!$J$116*枚数!K30/(VLOOKUP(HUAWEI製ＰＣＳ接続枚数計算ツール!$C$9, HUAWEI製ＰＣＳ接続枚数計算ツール!$B$119:$P$149,2,FALSE)*1000*HUAWEI製ＰＣＳ接続枚数計算ツール!$Y$113)</f>
        <v>0</v>
      </c>
      <c r="L30" s="85">
        <f>HUAWEI製ＰＣＳ接続枚数計算ツール!$J$116*枚数!L30/(VLOOKUP(HUAWEI製ＰＣＳ接続枚数計算ツール!$C$9, HUAWEI製ＰＣＳ接続枚数計算ツール!$B$119:$P$149,2,FALSE)*1000*HUAWEI製ＰＣＳ接続枚数計算ツール!$Y$113)</f>
        <v>0</v>
      </c>
      <c r="M30" s="85">
        <f>HUAWEI製ＰＣＳ接続枚数計算ツール!$J$116*枚数!M30/(VLOOKUP(HUAWEI製ＰＣＳ接続枚数計算ツール!$C$9, HUAWEI製ＰＣＳ接続枚数計算ツール!$B$119:$P$149,2,FALSE)*1000*HUAWEI製ＰＣＳ接続枚数計算ツール!$Y$113)</f>
        <v>0</v>
      </c>
      <c r="N30" s="85">
        <f>HUAWEI製ＰＣＳ接続枚数計算ツール!$J$116*枚数!N30/(VLOOKUP(HUAWEI製ＰＣＳ接続枚数計算ツール!$C$9, HUAWEI製ＰＣＳ接続枚数計算ツール!$B$119:$P$149,2,FALSE)*1000*HUAWEI製ＰＣＳ接続枚数計算ツール!$Y$113)</f>
        <v>0</v>
      </c>
      <c r="O30" s="85">
        <f>HUAWEI製ＰＣＳ接続枚数計算ツール!$J$116*枚数!O30/(VLOOKUP(HUAWEI製ＰＣＳ接続枚数計算ツール!$C$9, HUAWEI製ＰＣＳ接続枚数計算ツール!$B$119:$P$149,2,FALSE)*1000*HUAWEI製ＰＣＳ接続枚数計算ツール!$Y$113)</f>
        <v>0</v>
      </c>
      <c r="P30" s="85">
        <f>HUAWEI製ＰＣＳ接続枚数計算ツール!$J$116*枚数!P30/(VLOOKUP(HUAWEI製ＰＣＳ接続枚数計算ツール!$C$9, HUAWEI製ＰＣＳ接続枚数計算ツール!$B$119:$P$149,2,FALSE)*1000*HUAWEI製ＰＣＳ接続枚数計算ツール!$Y$113)</f>
        <v>0</v>
      </c>
      <c r="Q30" s="85">
        <f>HUAWEI製ＰＣＳ接続枚数計算ツール!$J$116*枚数!Q30/(VLOOKUP(HUAWEI製ＰＣＳ接続枚数計算ツール!$C$9, HUAWEI製ＰＣＳ接続枚数計算ツール!$B$119:$P$149,2,FALSE)*1000*HUAWEI製ＰＣＳ接続枚数計算ツール!$Y$113)</f>
        <v>0</v>
      </c>
      <c r="R30" s="85">
        <f>HUAWEI製ＰＣＳ接続枚数計算ツール!$J$116*枚数!R30/(VLOOKUP(HUAWEI製ＰＣＳ接続枚数計算ツール!$C$9, HUAWEI製ＰＣＳ接続枚数計算ツール!$B$119:$P$149,2,FALSE)*1000*HUAWEI製ＰＣＳ接続枚数計算ツール!$Y$113)</f>
        <v>0</v>
      </c>
      <c r="S30" s="85">
        <f>HUAWEI製ＰＣＳ接続枚数計算ツール!$J$116*枚数!S30/(VLOOKUP(HUAWEI製ＰＣＳ接続枚数計算ツール!$C$9, HUAWEI製ＰＣＳ接続枚数計算ツール!$B$119:$P$149,2,FALSE)*1000*HUAWEI製ＰＣＳ接続枚数計算ツール!$Y$113)</f>
        <v>0</v>
      </c>
      <c r="T30" s="85">
        <f>HUAWEI製ＰＣＳ接続枚数計算ツール!$J$116*枚数!T30/(VLOOKUP(HUAWEI製ＰＣＳ接続枚数計算ツール!$C$9, HUAWEI製ＰＣＳ接続枚数計算ツール!$B$119:$P$149,2,FALSE)*1000*HUAWEI製ＰＣＳ接続枚数計算ツール!$Y$113)</f>
        <v>0</v>
      </c>
      <c r="U30" s="85">
        <f>HUAWEI製ＰＣＳ接続枚数計算ツール!$J$116*枚数!U30/(VLOOKUP(HUAWEI製ＰＣＳ接続枚数計算ツール!$C$9, HUAWEI製ＰＣＳ接続枚数計算ツール!$B$119:$P$149,2,FALSE)*1000*HUAWEI製ＰＣＳ接続枚数計算ツール!$Y$113)</f>
        <v>0</v>
      </c>
      <c r="V30" s="85">
        <f>HUAWEI製ＰＣＳ接続枚数計算ツール!$J$116*枚数!V30/(VLOOKUP(HUAWEI製ＰＣＳ接続枚数計算ツール!$C$9, HUAWEI製ＰＣＳ接続枚数計算ツール!$B$119:$P$149,2,FALSE)*1000*HUAWEI製ＰＣＳ接続枚数計算ツール!$Y$113)</f>
        <v>0</v>
      </c>
      <c r="W30" s="85">
        <f>HUAWEI製ＰＣＳ接続枚数計算ツール!$J$116*枚数!W30/(VLOOKUP(HUAWEI製ＰＣＳ接続枚数計算ツール!$C$9, HUAWEI製ＰＣＳ接続枚数計算ツール!$B$119:$P$149,2,FALSE)*1000*HUAWEI製ＰＣＳ接続枚数計算ツール!$Y$113)</f>
        <v>0</v>
      </c>
      <c r="X30" s="85">
        <f>HUAWEI製ＰＣＳ接続枚数計算ツール!$J$116*枚数!X30/(VLOOKUP(HUAWEI製ＰＣＳ接続枚数計算ツール!$C$9, HUAWEI製ＰＣＳ接続枚数計算ツール!$B$119:$P$149,2,FALSE)*1000*HUAWEI製ＰＣＳ接続枚数計算ツール!$Y$113)</f>
        <v>0</v>
      </c>
      <c r="Y30" s="85">
        <f>HUAWEI製ＰＣＳ接続枚数計算ツール!$J$116*枚数!Y30/(VLOOKUP(HUAWEI製ＰＣＳ接続枚数計算ツール!$C$9, HUAWEI製ＰＣＳ接続枚数計算ツール!$B$119:$P$149,2,FALSE)*1000*HUAWEI製ＰＣＳ接続枚数計算ツール!$Y$113)</f>
        <v>0</v>
      </c>
      <c r="Z30" s="85">
        <f>HUAWEI製ＰＣＳ接続枚数計算ツール!$J$116*枚数!Z30/(VLOOKUP(HUAWEI製ＰＣＳ接続枚数計算ツール!$C$9, HUAWEI製ＰＣＳ接続枚数計算ツール!$B$119:$P$149,2,FALSE)*1000*HUAWEI製ＰＣＳ接続枚数計算ツール!$Y$113)</f>
        <v>0</v>
      </c>
      <c r="AA30" s="85">
        <f>HUAWEI製ＰＣＳ接続枚数計算ツール!$J$116*枚数!AA30/(VLOOKUP(HUAWEI製ＰＣＳ接続枚数計算ツール!$C$9, HUAWEI製ＰＣＳ接続枚数計算ツール!$B$119:$P$149,2,FALSE)*1000*HUAWEI製ＰＣＳ接続枚数計算ツール!$Y$113)</f>
        <v>0</v>
      </c>
      <c r="AB30" s="85">
        <f>HUAWEI製ＰＣＳ接続枚数計算ツール!$J$116*枚数!AB30/(VLOOKUP(HUAWEI製ＰＣＳ接続枚数計算ツール!$C$9, HUAWEI製ＰＣＳ接続枚数計算ツール!$B$119:$P$149,2,FALSE)*1000*HUAWEI製ＰＣＳ接続枚数計算ツール!$Y$113)</f>
        <v>0</v>
      </c>
      <c r="AC30" s="85">
        <f>HUAWEI製ＰＣＳ接続枚数計算ツール!$J$116*枚数!AC30/(VLOOKUP(HUAWEI製ＰＣＳ接続枚数計算ツール!$C$9, HUAWEI製ＰＣＳ接続枚数計算ツール!$B$119:$P$149,2,FALSE)*1000*HUAWEI製ＰＣＳ接続枚数計算ツール!$Y$113)</f>
        <v>0</v>
      </c>
      <c r="AD30" s="85">
        <f>HUAWEI製ＰＣＳ接続枚数計算ツール!$J$116*枚数!AD30/(VLOOKUP(HUAWEI製ＰＣＳ接続枚数計算ツール!$C$9, HUAWEI製ＰＣＳ接続枚数計算ツール!$B$119:$P$149,2,FALSE)*1000*HUAWEI製ＰＣＳ接続枚数計算ツール!$Y$113)</f>
        <v>0</v>
      </c>
      <c r="AE30" s="85">
        <f>HUAWEI製ＰＣＳ接続枚数計算ツール!$J$116*枚数!AE30/(VLOOKUP(HUAWEI製ＰＣＳ接続枚数計算ツール!$C$9, HUAWEI製ＰＣＳ接続枚数計算ツール!$B$119:$P$149,2,FALSE)*1000*HUAWEI製ＰＣＳ接続枚数計算ツール!$Y$113)</f>
        <v>0</v>
      </c>
      <c r="AF30" s="85">
        <f>HUAWEI製ＰＣＳ接続枚数計算ツール!$J$116*枚数!AF30/(VLOOKUP(HUAWEI製ＰＣＳ接続枚数計算ツール!$C$9, HUAWEI製ＰＣＳ接続枚数計算ツール!$B$119:$P$149,2,FALSE)*1000*HUAWEI製ＰＣＳ接続枚数計算ツール!$Y$113)</f>
        <v>0</v>
      </c>
      <c r="AG30" s="85">
        <f>HUAWEI製ＰＣＳ接続枚数計算ツール!$J$116*枚数!AG30/(VLOOKUP(HUAWEI製ＰＣＳ接続枚数計算ツール!$C$9, HUAWEI製ＰＣＳ接続枚数計算ツール!$B$119:$P$149,2,FALSE)*1000*HUAWEI製ＰＣＳ接続枚数計算ツール!$Y$113)</f>
        <v>0</v>
      </c>
      <c r="AH30" s="85">
        <f>HUAWEI製ＰＣＳ接続枚数計算ツール!$J$116*枚数!AH30/(VLOOKUP(HUAWEI製ＰＣＳ接続枚数計算ツール!$C$9, HUAWEI製ＰＣＳ接続枚数計算ツール!$B$119:$P$149,2,FALSE)*1000*HUAWEI製ＰＣＳ接続枚数計算ツール!$Y$113)</f>
        <v>0</v>
      </c>
      <c r="AI30" s="85">
        <f>HUAWEI製ＰＣＳ接続枚数計算ツール!$J$116*枚数!AI30/(VLOOKUP(HUAWEI製ＰＣＳ接続枚数計算ツール!$C$9, HUAWEI製ＰＣＳ接続枚数計算ツール!$B$119:$P$149,2,FALSE)*1000*HUAWEI製ＰＣＳ接続枚数計算ツール!$Y$113)</f>
        <v>0</v>
      </c>
      <c r="AJ30" s="85">
        <f>HUAWEI製ＰＣＳ接続枚数計算ツール!$J$116*枚数!AJ30/(VLOOKUP(HUAWEI製ＰＣＳ接続枚数計算ツール!$C$9, HUAWEI製ＰＣＳ接続枚数計算ツール!$B$119:$P$149,2,FALSE)*1000*HUAWEI製ＰＣＳ接続枚数計算ツール!$Y$113)</f>
        <v>0</v>
      </c>
      <c r="AK30" s="85">
        <f>HUAWEI製ＰＣＳ接続枚数計算ツール!$J$116*枚数!AK30/(VLOOKUP(HUAWEI製ＰＣＳ接続枚数計算ツール!$C$9, HUAWEI製ＰＣＳ接続枚数計算ツール!$B$119:$P$149,2,FALSE)*1000*HUAWEI製ＰＣＳ接続枚数計算ツール!$Y$113)</f>
        <v>0</v>
      </c>
      <c r="AL30" s="85">
        <f>HUAWEI製ＰＣＳ接続枚数計算ツール!$J$116*枚数!AL30/(VLOOKUP(HUAWEI製ＰＣＳ接続枚数計算ツール!$C$9, HUAWEI製ＰＣＳ接続枚数計算ツール!$B$119:$P$149,2,FALSE)*1000*HUAWEI製ＰＣＳ接続枚数計算ツール!$Y$113)</f>
        <v>0</v>
      </c>
      <c r="AM30" s="85">
        <f>HUAWEI製ＰＣＳ接続枚数計算ツール!$J$116*枚数!AM30/(VLOOKUP(HUAWEI製ＰＣＳ接続枚数計算ツール!$C$9, HUAWEI製ＰＣＳ接続枚数計算ツール!$B$119:$P$149,2,FALSE)*1000*HUAWEI製ＰＣＳ接続枚数計算ツール!$Y$113)</f>
        <v>0</v>
      </c>
      <c r="AN30" s="85">
        <f>HUAWEI製ＰＣＳ接続枚数計算ツール!$J$116*枚数!AN30/(VLOOKUP(HUAWEI製ＰＣＳ接続枚数計算ツール!$C$9, HUAWEI製ＰＣＳ接続枚数計算ツール!$B$119:$P$149,2,FALSE)*1000*HUAWEI製ＰＣＳ接続枚数計算ツール!$Y$113)</f>
        <v>0</v>
      </c>
      <c r="AO30" s="85">
        <f>HUAWEI製ＰＣＳ接続枚数計算ツール!$J$116*枚数!AO30/(VLOOKUP(HUAWEI製ＰＣＳ接続枚数計算ツール!$C$9, HUAWEI製ＰＣＳ接続枚数計算ツール!$B$119:$P$149,2,FALSE)*1000*HUAWEI製ＰＣＳ接続枚数計算ツール!$Y$113)</f>
        <v>0</v>
      </c>
    </row>
    <row r="31" spans="1:41">
      <c r="A31">
        <v>29</v>
      </c>
      <c r="B31" s="85">
        <f>HUAWEI製ＰＣＳ接続枚数計算ツール!$J$116*枚数!B31/(VLOOKUP(HUAWEI製ＰＣＳ接続枚数計算ツール!$C$9, HUAWEI製ＰＣＳ接続枚数計算ツール!$B$119:$P$149,2,FALSE)*1000*HUAWEI製ＰＣＳ接続枚数計算ツール!$Y$113)</f>
        <v>0</v>
      </c>
      <c r="C31" s="85">
        <f>HUAWEI製ＰＣＳ接続枚数計算ツール!$J$116*枚数!C31/(VLOOKUP(HUAWEI製ＰＣＳ接続枚数計算ツール!$C$9, HUAWEI製ＰＣＳ接続枚数計算ツール!$B$119:$P$149,2,FALSE)*1000*HUAWEI製ＰＣＳ接続枚数計算ツール!$Y$113)</f>
        <v>0</v>
      </c>
      <c r="D31" s="85">
        <f>HUAWEI製ＰＣＳ接続枚数計算ツール!$J$116*枚数!D31/(VLOOKUP(HUAWEI製ＰＣＳ接続枚数計算ツール!$C$9, HUAWEI製ＰＣＳ接続枚数計算ツール!$B$119:$P$149,2,FALSE)*1000*HUAWEI製ＰＣＳ接続枚数計算ツール!$Y$113)</f>
        <v>0</v>
      </c>
      <c r="E31" s="85">
        <f>HUAWEI製ＰＣＳ接続枚数計算ツール!$J$116*枚数!E31/(VLOOKUP(HUAWEI製ＰＣＳ接続枚数計算ツール!$C$9, HUAWEI製ＰＣＳ接続枚数計算ツール!$B$119:$P$149,2,FALSE)*1000*HUAWEI製ＰＣＳ接続枚数計算ツール!$Y$113)</f>
        <v>0</v>
      </c>
      <c r="F31" s="85">
        <f>HUAWEI製ＰＣＳ接続枚数計算ツール!$J$116*枚数!F31/(VLOOKUP(HUAWEI製ＰＣＳ接続枚数計算ツール!$C$9, HUAWEI製ＰＣＳ接続枚数計算ツール!$B$119:$P$149,2,FALSE)*1000*HUAWEI製ＰＣＳ接続枚数計算ツール!$Y$113)</f>
        <v>0</v>
      </c>
      <c r="G31" s="85">
        <f>HUAWEI製ＰＣＳ接続枚数計算ツール!$J$116*枚数!G31/(VLOOKUP(HUAWEI製ＰＣＳ接続枚数計算ツール!$C$9, HUAWEI製ＰＣＳ接続枚数計算ツール!$B$119:$P$149,2,FALSE)*1000*HUAWEI製ＰＣＳ接続枚数計算ツール!$Y$113)</f>
        <v>0</v>
      </c>
      <c r="H31" s="85">
        <f>HUAWEI製ＰＣＳ接続枚数計算ツール!$J$116*枚数!H31/(VLOOKUP(HUAWEI製ＰＣＳ接続枚数計算ツール!$C$9, HUAWEI製ＰＣＳ接続枚数計算ツール!$B$119:$P$149,2,FALSE)*1000*HUAWEI製ＰＣＳ接続枚数計算ツール!$Y$113)</f>
        <v>0</v>
      </c>
      <c r="I31" s="85">
        <f>HUAWEI製ＰＣＳ接続枚数計算ツール!$J$116*枚数!I31/(VLOOKUP(HUAWEI製ＰＣＳ接続枚数計算ツール!$C$9, HUAWEI製ＰＣＳ接続枚数計算ツール!$B$119:$P$149,2,FALSE)*1000*HUAWEI製ＰＣＳ接続枚数計算ツール!$Y$113)</f>
        <v>0</v>
      </c>
      <c r="J31" s="85">
        <f>HUAWEI製ＰＣＳ接続枚数計算ツール!$J$116*枚数!J31/(VLOOKUP(HUAWEI製ＰＣＳ接続枚数計算ツール!$C$9, HUAWEI製ＰＣＳ接続枚数計算ツール!$B$119:$P$149,2,FALSE)*1000*HUAWEI製ＰＣＳ接続枚数計算ツール!$Y$113)</f>
        <v>0</v>
      </c>
      <c r="K31" s="85">
        <f>HUAWEI製ＰＣＳ接続枚数計算ツール!$J$116*枚数!K31/(VLOOKUP(HUAWEI製ＰＣＳ接続枚数計算ツール!$C$9, HUAWEI製ＰＣＳ接続枚数計算ツール!$B$119:$P$149,2,FALSE)*1000*HUAWEI製ＰＣＳ接続枚数計算ツール!$Y$113)</f>
        <v>0</v>
      </c>
      <c r="L31" s="85">
        <f>HUAWEI製ＰＣＳ接続枚数計算ツール!$J$116*枚数!L31/(VLOOKUP(HUAWEI製ＰＣＳ接続枚数計算ツール!$C$9, HUAWEI製ＰＣＳ接続枚数計算ツール!$B$119:$P$149,2,FALSE)*1000*HUAWEI製ＰＣＳ接続枚数計算ツール!$Y$113)</f>
        <v>0</v>
      </c>
      <c r="M31" s="85">
        <f>HUAWEI製ＰＣＳ接続枚数計算ツール!$J$116*枚数!M31/(VLOOKUP(HUAWEI製ＰＣＳ接続枚数計算ツール!$C$9, HUAWEI製ＰＣＳ接続枚数計算ツール!$B$119:$P$149,2,FALSE)*1000*HUAWEI製ＰＣＳ接続枚数計算ツール!$Y$113)</f>
        <v>0</v>
      </c>
      <c r="N31" s="85">
        <f>HUAWEI製ＰＣＳ接続枚数計算ツール!$J$116*枚数!N31/(VLOOKUP(HUAWEI製ＰＣＳ接続枚数計算ツール!$C$9, HUAWEI製ＰＣＳ接続枚数計算ツール!$B$119:$P$149,2,FALSE)*1000*HUAWEI製ＰＣＳ接続枚数計算ツール!$Y$113)</f>
        <v>0</v>
      </c>
      <c r="O31" s="85">
        <f>HUAWEI製ＰＣＳ接続枚数計算ツール!$J$116*枚数!O31/(VLOOKUP(HUAWEI製ＰＣＳ接続枚数計算ツール!$C$9, HUAWEI製ＰＣＳ接続枚数計算ツール!$B$119:$P$149,2,FALSE)*1000*HUAWEI製ＰＣＳ接続枚数計算ツール!$Y$113)</f>
        <v>0</v>
      </c>
      <c r="P31" s="85">
        <f>HUAWEI製ＰＣＳ接続枚数計算ツール!$J$116*枚数!P31/(VLOOKUP(HUAWEI製ＰＣＳ接続枚数計算ツール!$C$9, HUAWEI製ＰＣＳ接続枚数計算ツール!$B$119:$P$149,2,FALSE)*1000*HUAWEI製ＰＣＳ接続枚数計算ツール!$Y$113)</f>
        <v>0</v>
      </c>
      <c r="Q31" s="85">
        <f>HUAWEI製ＰＣＳ接続枚数計算ツール!$J$116*枚数!Q31/(VLOOKUP(HUAWEI製ＰＣＳ接続枚数計算ツール!$C$9, HUAWEI製ＰＣＳ接続枚数計算ツール!$B$119:$P$149,2,FALSE)*1000*HUAWEI製ＰＣＳ接続枚数計算ツール!$Y$113)</f>
        <v>0</v>
      </c>
      <c r="R31" s="85">
        <f>HUAWEI製ＰＣＳ接続枚数計算ツール!$J$116*枚数!R31/(VLOOKUP(HUAWEI製ＰＣＳ接続枚数計算ツール!$C$9, HUAWEI製ＰＣＳ接続枚数計算ツール!$B$119:$P$149,2,FALSE)*1000*HUAWEI製ＰＣＳ接続枚数計算ツール!$Y$113)</f>
        <v>0</v>
      </c>
      <c r="S31" s="85">
        <f>HUAWEI製ＰＣＳ接続枚数計算ツール!$J$116*枚数!S31/(VLOOKUP(HUAWEI製ＰＣＳ接続枚数計算ツール!$C$9, HUAWEI製ＰＣＳ接続枚数計算ツール!$B$119:$P$149,2,FALSE)*1000*HUAWEI製ＰＣＳ接続枚数計算ツール!$Y$113)</f>
        <v>0</v>
      </c>
      <c r="T31" s="85">
        <f>HUAWEI製ＰＣＳ接続枚数計算ツール!$J$116*枚数!T31/(VLOOKUP(HUAWEI製ＰＣＳ接続枚数計算ツール!$C$9, HUAWEI製ＰＣＳ接続枚数計算ツール!$B$119:$P$149,2,FALSE)*1000*HUAWEI製ＰＣＳ接続枚数計算ツール!$Y$113)</f>
        <v>0</v>
      </c>
      <c r="U31" s="85">
        <f>HUAWEI製ＰＣＳ接続枚数計算ツール!$J$116*枚数!U31/(VLOOKUP(HUAWEI製ＰＣＳ接続枚数計算ツール!$C$9, HUAWEI製ＰＣＳ接続枚数計算ツール!$B$119:$P$149,2,FALSE)*1000*HUAWEI製ＰＣＳ接続枚数計算ツール!$Y$113)</f>
        <v>0</v>
      </c>
      <c r="V31" s="85">
        <f>HUAWEI製ＰＣＳ接続枚数計算ツール!$J$116*枚数!V31/(VLOOKUP(HUAWEI製ＰＣＳ接続枚数計算ツール!$C$9, HUAWEI製ＰＣＳ接続枚数計算ツール!$B$119:$P$149,2,FALSE)*1000*HUAWEI製ＰＣＳ接続枚数計算ツール!$Y$113)</f>
        <v>0</v>
      </c>
      <c r="W31" s="85">
        <f>HUAWEI製ＰＣＳ接続枚数計算ツール!$J$116*枚数!W31/(VLOOKUP(HUAWEI製ＰＣＳ接続枚数計算ツール!$C$9, HUAWEI製ＰＣＳ接続枚数計算ツール!$B$119:$P$149,2,FALSE)*1000*HUAWEI製ＰＣＳ接続枚数計算ツール!$Y$113)</f>
        <v>0</v>
      </c>
      <c r="X31" s="85">
        <f>HUAWEI製ＰＣＳ接続枚数計算ツール!$J$116*枚数!X31/(VLOOKUP(HUAWEI製ＰＣＳ接続枚数計算ツール!$C$9, HUAWEI製ＰＣＳ接続枚数計算ツール!$B$119:$P$149,2,FALSE)*1000*HUAWEI製ＰＣＳ接続枚数計算ツール!$Y$113)</f>
        <v>0</v>
      </c>
      <c r="Y31" s="85">
        <f>HUAWEI製ＰＣＳ接続枚数計算ツール!$J$116*枚数!Y31/(VLOOKUP(HUAWEI製ＰＣＳ接続枚数計算ツール!$C$9, HUAWEI製ＰＣＳ接続枚数計算ツール!$B$119:$P$149,2,FALSE)*1000*HUAWEI製ＰＣＳ接続枚数計算ツール!$Y$113)</f>
        <v>0</v>
      </c>
      <c r="Z31" s="85">
        <f>HUAWEI製ＰＣＳ接続枚数計算ツール!$J$116*枚数!Z31/(VLOOKUP(HUAWEI製ＰＣＳ接続枚数計算ツール!$C$9, HUAWEI製ＰＣＳ接続枚数計算ツール!$B$119:$P$149,2,FALSE)*1000*HUAWEI製ＰＣＳ接続枚数計算ツール!$Y$113)</f>
        <v>0</v>
      </c>
      <c r="AA31" s="85">
        <f>HUAWEI製ＰＣＳ接続枚数計算ツール!$J$116*枚数!AA31/(VLOOKUP(HUAWEI製ＰＣＳ接続枚数計算ツール!$C$9, HUAWEI製ＰＣＳ接続枚数計算ツール!$B$119:$P$149,2,FALSE)*1000*HUAWEI製ＰＣＳ接続枚数計算ツール!$Y$113)</f>
        <v>0</v>
      </c>
      <c r="AB31" s="85">
        <f>HUAWEI製ＰＣＳ接続枚数計算ツール!$J$116*枚数!AB31/(VLOOKUP(HUAWEI製ＰＣＳ接続枚数計算ツール!$C$9, HUAWEI製ＰＣＳ接続枚数計算ツール!$B$119:$P$149,2,FALSE)*1000*HUAWEI製ＰＣＳ接続枚数計算ツール!$Y$113)</f>
        <v>0</v>
      </c>
      <c r="AC31" s="85">
        <f>HUAWEI製ＰＣＳ接続枚数計算ツール!$J$116*枚数!AC31/(VLOOKUP(HUAWEI製ＰＣＳ接続枚数計算ツール!$C$9, HUAWEI製ＰＣＳ接続枚数計算ツール!$B$119:$P$149,2,FALSE)*1000*HUAWEI製ＰＣＳ接続枚数計算ツール!$Y$113)</f>
        <v>0</v>
      </c>
      <c r="AD31" s="85">
        <f>HUAWEI製ＰＣＳ接続枚数計算ツール!$J$116*枚数!AD31/(VLOOKUP(HUAWEI製ＰＣＳ接続枚数計算ツール!$C$9, HUAWEI製ＰＣＳ接続枚数計算ツール!$B$119:$P$149,2,FALSE)*1000*HUAWEI製ＰＣＳ接続枚数計算ツール!$Y$113)</f>
        <v>0</v>
      </c>
      <c r="AE31" s="85">
        <f>HUAWEI製ＰＣＳ接続枚数計算ツール!$J$116*枚数!AE31/(VLOOKUP(HUAWEI製ＰＣＳ接続枚数計算ツール!$C$9, HUAWEI製ＰＣＳ接続枚数計算ツール!$B$119:$P$149,2,FALSE)*1000*HUAWEI製ＰＣＳ接続枚数計算ツール!$Y$113)</f>
        <v>0</v>
      </c>
      <c r="AF31" s="85">
        <f>HUAWEI製ＰＣＳ接続枚数計算ツール!$J$116*枚数!AF31/(VLOOKUP(HUAWEI製ＰＣＳ接続枚数計算ツール!$C$9, HUAWEI製ＰＣＳ接続枚数計算ツール!$B$119:$P$149,2,FALSE)*1000*HUAWEI製ＰＣＳ接続枚数計算ツール!$Y$113)</f>
        <v>0</v>
      </c>
      <c r="AG31" s="85">
        <f>HUAWEI製ＰＣＳ接続枚数計算ツール!$J$116*枚数!AG31/(VLOOKUP(HUAWEI製ＰＣＳ接続枚数計算ツール!$C$9, HUAWEI製ＰＣＳ接続枚数計算ツール!$B$119:$P$149,2,FALSE)*1000*HUAWEI製ＰＣＳ接続枚数計算ツール!$Y$113)</f>
        <v>0</v>
      </c>
      <c r="AH31" s="85">
        <f>HUAWEI製ＰＣＳ接続枚数計算ツール!$J$116*枚数!AH31/(VLOOKUP(HUAWEI製ＰＣＳ接続枚数計算ツール!$C$9, HUAWEI製ＰＣＳ接続枚数計算ツール!$B$119:$P$149,2,FALSE)*1000*HUAWEI製ＰＣＳ接続枚数計算ツール!$Y$113)</f>
        <v>0</v>
      </c>
      <c r="AI31" s="85">
        <f>HUAWEI製ＰＣＳ接続枚数計算ツール!$J$116*枚数!AI31/(VLOOKUP(HUAWEI製ＰＣＳ接続枚数計算ツール!$C$9, HUAWEI製ＰＣＳ接続枚数計算ツール!$B$119:$P$149,2,FALSE)*1000*HUAWEI製ＰＣＳ接続枚数計算ツール!$Y$113)</f>
        <v>0</v>
      </c>
      <c r="AJ31" s="85">
        <f>HUAWEI製ＰＣＳ接続枚数計算ツール!$J$116*枚数!AJ31/(VLOOKUP(HUAWEI製ＰＣＳ接続枚数計算ツール!$C$9, HUAWEI製ＰＣＳ接続枚数計算ツール!$B$119:$P$149,2,FALSE)*1000*HUAWEI製ＰＣＳ接続枚数計算ツール!$Y$113)</f>
        <v>0</v>
      </c>
      <c r="AK31" s="85">
        <f>HUAWEI製ＰＣＳ接続枚数計算ツール!$J$116*枚数!AK31/(VLOOKUP(HUAWEI製ＰＣＳ接続枚数計算ツール!$C$9, HUAWEI製ＰＣＳ接続枚数計算ツール!$B$119:$P$149,2,FALSE)*1000*HUAWEI製ＰＣＳ接続枚数計算ツール!$Y$113)</f>
        <v>0</v>
      </c>
      <c r="AL31" s="85">
        <f>HUAWEI製ＰＣＳ接続枚数計算ツール!$J$116*枚数!AL31/(VLOOKUP(HUAWEI製ＰＣＳ接続枚数計算ツール!$C$9, HUAWEI製ＰＣＳ接続枚数計算ツール!$B$119:$P$149,2,FALSE)*1000*HUAWEI製ＰＣＳ接続枚数計算ツール!$Y$113)</f>
        <v>0</v>
      </c>
      <c r="AM31" s="85">
        <f>HUAWEI製ＰＣＳ接続枚数計算ツール!$J$116*枚数!AM31/(VLOOKUP(HUAWEI製ＰＣＳ接続枚数計算ツール!$C$9, HUAWEI製ＰＣＳ接続枚数計算ツール!$B$119:$P$149,2,FALSE)*1000*HUAWEI製ＰＣＳ接続枚数計算ツール!$Y$113)</f>
        <v>0</v>
      </c>
      <c r="AN31" s="85">
        <f>HUAWEI製ＰＣＳ接続枚数計算ツール!$J$116*枚数!AN31/(VLOOKUP(HUAWEI製ＰＣＳ接続枚数計算ツール!$C$9, HUAWEI製ＰＣＳ接続枚数計算ツール!$B$119:$P$149,2,FALSE)*1000*HUAWEI製ＰＣＳ接続枚数計算ツール!$Y$113)</f>
        <v>0</v>
      </c>
      <c r="AO31" s="85">
        <f>HUAWEI製ＰＣＳ接続枚数計算ツール!$J$116*枚数!AO31/(VLOOKUP(HUAWEI製ＰＣＳ接続枚数計算ツール!$C$9, HUAWEI製ＰＣＳ接続枚数計算ツール!$B$119:$P$149,2,FALSE)*1000*HUAWEI製ＰＣＳ接続枚数計算ツール!$Y$113)</f>
        <v>0</v>
      </c>
    </row>
    <row r="32" spans="1:41">
      <c r="A32">
        <v>30</v>
      </c>
      <c r="B32" s="85">
        <f>HUAWEI製ＰＣＳ接続枚数計算ツール!$J$116*枚数!B32/(VLOOKUP(HUAWEI製ＰＣＳ接続枚数計算ツール!$C$9, HUAWEI製ＰＣＳ接続枚数計算ツール!$B$119:$P$149,2,FALSE)*1000*HUAWEI製ＰＣＳ接続枚数計算ツール!$Y$113)</f>
        <v>0</v>
      </c>
      <c r="C32" s="85">
        <f>HUAWEI製ＰＣＳ接続枚数計算ツール!$J$116*枚数!C32/(VLOOKUP(HUAWEI製ＰＣＳ接続枚数計算ツール!$C$9, HUAWEI製ＰＣＳ接続枚数計算ツール!$B$119:$P$149,2,FALSE)*1000*HUAWEI製ＰＣＳ接続枚数計算ツール!$Y$113)</f>
        <v>0</v>
      </c>
      <c r="D32" s="85">
        <f>HUAWEI製ＰＣＳ接続枚数計算ツール!$J$116*枚数!D32/(VLOOKUP(HUAWEI製ＰＣＳ接続枚数計算ツール!$C$9, HUAWEI製ＰＣＳ接続枚数計算ツール!$B$119:$P$149,2,FALSE)*1000*HUAWEI製ＰＣＳ接続枚数計算ツール!$Y$113)</f>
        <v>0</v>
      </c>
      <c r="E32" s="85">
        <f>HUAWEI製ＰＣＳ接続枚数計算ツール!$J$116*枚数!E32/(VLOOKUP(HUAWEI製ＰＣＳ接続枚数計算ツール!$C$9, HUAWEI製ＰＣＳ接続枚数計算ツール!$B$119:$P$149,2,FALSE)*1000*HUAWEI製ＰＣＳ接続枚数計算ツール!$Y$113)</f>
        <v>0</v>
      </c>
      <c r="F32" s="85">
        <f>HUAWEI製ＰＣＳ接続枚数計算ツール!$J$116*枚数!F32/(VLOOKUP(HUAWEI製ＰＣＳ接続枚数計算ツール!$C$9, HUAWEI製ＰＣＳ接続枚数計算ツール!$B$119:$P$149,2,FALSE)*1000*HUAWEI製ＰＣＳ接続枚数計算ツール!$Y$113)</f>
        <v>0</v>
      </c>
      <c r="G32" s="85">
        <f>HUAWEI製ＰＣＳ接続枚数計算ツール!$J$116*枚数!G32/(VLOOKUP(HUAWEI製ＰＣＳ接続枚数計算ツール!$C$9, HUAWEI製ＰＣＳ接続枚数計算ツール!$B$119:$P$149,2,FALSE)*1000*HUAWEI製ＰＣＳ接続枚数計算ツール!$Y$113)</f>
        <v>0</v>
      </c>
      <c r="H32" s="85">
        <f>HUAWEI製ＰＣＳ接続枚数計算ツール!$J$116*枚数!H32/(VLOOKUP(HUAWEI製ＰＣＳ接続枚数計算ツール!$C$9, HUAWEI製ＰＣＳ接続枚数計算ツール!$B$119:$P$149,2,FALSE)*1000*HUAWEI製ＰＣＳ接続枚数計算ツール!$Y$113)</f>
        <v>0</v>
      </c>
      <c r="I32" s="85">
        <f>HUAWEI製ＰＣＳ接続枚数計算ツール!$J$116*枚数!I32/(VLOOKUP(HUAWEI製ＰＣＳ接続枚数計算ツール!$C$9, HUAWEI製ＰＣＳ接続枚数計算ツール!$B$119:$P$149,2,FALSE)*1000*HUAWEI製ＰＣＳ接続枚数計算ツール!$Y$113)</f>
        <v>0</v>
      </c>
      <c r="J32" s="85">
        <f>HUAWEI製ＰＣＳ接続枚数計算ツール!$J$116*枚数!J32/(VLOOKUP(HUAWEI製ＰＣＳ接続枚数計算ツール!$C$9, HUAWEI製ＰＣＳ接続枚数計算ツール!$B$119:$P$149,2,FALSE)*1000*HUAWEI製ＰＣＳ接続枚数計算ツール!$Y$113)</f>
        <v>0</v>
      </c>
      <c r="K32" s="85">
        <f>HUAWEI製ＰＣＳ接続枚数計算ツール!$J$116*枚数!K32/(VLOOKUP(HUAWEI製ＰＣＳ接続枚数計算ツール!$C$9, HUAWEI製ＰＣＳ接続枚数計算ツール!$B$119:$P$149,2,FALSE)*1000*HUAWEI製ＰＣＳ接続枚数計算ツール!$Y$113)</f>
        <v>0</v>
      </c>
      <c r="L32" s="85">
        <f>HUAWEI製ＰＣＳ接続枚数計算ツール!$J$116*枚数!L32/(VLOOKUP(HUAWEI製ＰＣＳ接続枚数計算ツール!$C$9, HUAWEI製ＰＣＳ接続枚数計算ツール!$B$119:$P$149,2,FALSE)*1000*HUAWEI製ＰＣＳ接続枚数計算ツール!$Y$113)</f>
        <v>0</v>
      </c>
      <c r="M32" s="85">
        <f>HUAWEI製ＰＣＳ接続枚数計算ツール!$J$116*枚数!M32/(VLOOKUP(HUAWEI製ＰＣＳ接続枚数計算ツール!$C$9, HUAWEI製ＰＣＳ接続枚数計算ツール!$B$119:$P$149,2,FALSE)*1000*HUAWEI製ＰＣＳ接続枚数計算ツール!$Y$113)</f>
        <v>0</v>
      </c>
      <c r="N32" s="85">
        <f>HUAWEI製ＰＣＳ接続枚数計算ツール!$J$116*枚数!N32/(VLOOKUP(HUAWEI製ＰＣＳ接続枚数計算ツール!$C$9, HUAWEI製ＰＣＳ接続枚数計算ツール!$B$119:$P$149,2,FALSE)*1000*HUAWEI製ＰＣＳ接続枚数計算ツール!$Y$113)</f>
        <v>0</v>
      </c>
      <c r="O32" s="85">
        <f>HUAWEI製ＰＣＳ接続枚数計算ツール!$J$116*枚数!O32/(VLOOKUP(HUAWEI製ＰＣＳ接続枚数計算ツール!$C$9, HUAWEI製ＰＣＳ接続枚数計算ツール!$B$119:$P$149,2,FALSE)*1000*HUAWEI製ＰＣＳ接続枚数計算ツール!$Y$113)</f>
        <v>0</v>
      </c>
      <c r="P32" s="85">
        <f>HUAWEI製ＰＣＳ接続枚数計算ツール!$J$116*枚数!P32/(VLOOKUP(HUAWEI製ＰＣＳ接続枚数計算ツール!$C$9, HUAWEI製ＰＣＳ接続枚数計算ツール!$B$119:$P$149,2,FALSE)*1000*HUAWEI製ＰＣＳ接続枚数計算ツール!$Y$113)</f>
        <v>0</v>
      </c>
      <c r="Q32" s="85">
        <f>HUAWEI製ＰＣＳ接続枚数計算ツール!$J$116*枚数!Q32/(VLOOKUP(HUAWEI製ＰＣＳ接続枚数計算ツール!$C$9, HUAWEI製ＰＣＳ接続枚数計算ツール!$B$119:$P$149,2,FALSE)*1000*HUAWEI製ＰＣＳ接続枚数計算ツール!$Y$113)</f>
        <v>0</v>
      </c>
      <c r="R32" s="85">
        <f>HUAWEI製ＰＣＳ接続枚数計算ツール!$J$116*枚数!R32/(VLOOKUP(HUAWEI製ＰＣＳ接続枚数計算ツール!$C$9, HUAWEI製ＰＣＳ接続枚数計算ツール!$B$119:$P$149,2,FALSE)*1000*HUAWEI製ＰＣＳ接続枚数計算ツール!$Y$113)</f>
        <v>0</v>
      </c>
      <c r="S32" s="85">
        <f>HUAWEI製ＰＣＳ接続枚数計算ツール!$J$116*枚数!S32/(VLOOKUP(HUAWEI製ＰＣＳ接続枚数計算ツール!$C$9, HUAWEI製ＰＣＳ接続枚数計算ツール!$B$119:$P$149,2,FALSE)*1000*HUAWEI製ＰＣＳ接続枚数計算ツール!$Y$113)</f>
        <v>0</v>
      </c>
      <c r="T32" s="85">
        <f>HUAWEI製ＰＣＳ接続枚数計算ツール!$J$116*枚数!T32/(VLOOKUP(HUAWEI製ＰＣＳ接続枚数計算ツール!$C$9, HUAWEI製ＰＣＳ接続枚数計算ツール!$B$119:$P$149,2,FALSE)*1000*HUAWEI製ＰＣＳ接続枚数計算ツール!$Y$113)</f>
        <v>0</v>
      </c>
      <c r="U32" s="85">
        <f>HUAWEI製ＰＣＳ接続枚数計算ツール!$J$116*枚数!U32/(VLOOKUP(HUAWEI製ＰＣＳ接続枚数計算ツール!$C$9, HUAWEI製ＰＣＳ接続枚数計算ツール!$B$119:$P$149,2,FALSE)*1000*HUAWEI製ＰＣＳ接続枚数計算ツール!$Y$113)</f>
        <v>0</v>
      </c>
      <c r="V32" s="85">
        <f>HUAWEI製ＰＣＳ接続枚数計算ツール!$J$116*枚数!V32/(VLOOKUP(HUAWEI製ＰＣＳ接続枚数計算ツール!$C$9, HUAWEI製ＰＣＳ接続枚数計算ツール!$B$119:$P$149,2,FALSE)*1000*HUAWEI製ＰＣＳ接続枚数計算ツール!$Y$113)</f>
        <v>0</v>
      </c>
      <c r="W32" s="85">
        <f>HUAWEI製ＰＣＳ接続枚数計算ツール!$J$116*枚数!W32/(VLOOKUP(HUAWEI製ＰＣＳ接続枚数計算ツール!$C$9, HUAWEI製ＰＣＳ接続枚数計算ツール!$B$119:$P$149,2,FALSE)*1000*HUAWEI製ＰＣＳ接続枚数計算ツール!$Y$113)</f>
        <v>0</v>
      </c>
      <c r="X32" s="85">
        <f>HUAWEI製ＰＣＳ接続枚数計算ツール!$J$116*枚数!X32/(VLOOKUP(HUAWEI製ＰＣＳ接続枚数計算ツール!$C$9, HUAWEI製ＰＣＳ接続枚数計算ツール!$B$119:$P$149,2,FALSE)*1000*HUAWEI製ＰＣＳ接続枚数計算ツール!$Y$113)</f>
        <v>0</v>
      </c>
      <c r="Y32" s="85">
        <f>HUAWEI製ＰＣＳ接続枚数計算ツール!$J$116*枚数!Y32/(VLOOKUP(HUAWEI製ＰＣＳ接続枚数計算ツール!$C$9, HUAWEI製ＰＣＳ接続枚数計算ツール!$B$119:$P$149,2,FALSE)*1000*HUAWEI製ＰＣＳ接続枚数計算ツール!$Y$113)</f>
        <v>0</v>
      </c>
      <c r="Z32" s="85">
        <f>HUAWEI製ＰＣＳ接続枚数計算ツール!$J$116*枚数!Z32/(VLOOKUP(HUAWEI製ＰＣＳ接続枚数計算ツール!$C$9, HUAWEI製ＰＣＳ接続枚数計算ツール!$B$119:$P$149,2,FALSE)*1000*HUAWEI製ＰＣＳ接続枚数計算ツール!$Y$113)</f>
        <v>0</v>
      </c>
      <c r="AA32" s="85">
        <f>HUAWEI製ＰＣＳ接続枚数計算ツール!$J$116*枚数!AA32/(VLOOKUP(HUAWEI製ＰＣＳ接続枚数計算ツール!$C$9, HUAWEI製ＰＣＳ接続枚数計算ツール!$B$119:$P$149,2,FALSE)*1000*HUAWEI製ＰＣＳ接続枚数計算ツール!$Y$113)</f>
        <v>0</v>
      </c>
      <c r="AB32" s="85">
        <f>HUAWEI製ＰＣＳ接続枚数計算ツール!$J$116*枚数!AB32/(VLOOKUP(HUAWEI製ＰＣＳ接続枚数計算ツール!$C$9, HUAWEI製ＰＣＳ接続枚数計算ツール!$B$119:$P$149,2,FALSE)*1000*HUAWEI製ＰＣＳ接続枚数計算ツール!$Y$113)</f>
        <v>0</v>
      </c>
      <c r="AC32" s="85">
        <f>HUAWEI製ＰＣＳ接続枚数計算ツール!$J$116*枚数!AC32/(VLOOKUP(HUAWEI製ＰＣＳ接続枚数計算ツール!$C$9, HUAWEI製ＰＣＳ接続枚数計算ツール!$B$119:$P$149,2,FALSE)*1000*HUAWEI製ＰＣＳ接続枚数計算ツール!$Y$113)</f>
        <v>0</v>
      </c>
      <c r="AD32" s="85">
        <f>HUAWEI製ＰＣＳ接続枚数計算ツール!$J$116*枚数!AD32/(VLOOKUP(HUAWEI製ＰＣＳ接続枚数計算ツール!$C$9, HUAWEI製ＰＣＳ接続枚数計算ツール!$B$119:$P$149,2,FALSE)*1000*HUAWEI製ＰＣＳ接続枚数計算ツール!$Y$113)</f>
        <v>0</v>
      </c>
      <c r="AE32" s="85">
        <f>HUAWEI製ＰＣＳ接続枚数計算ツール!$J$116*枚数!AE32/(VLOOKUP(HUAWEI製ＰＣＳ接続枚数計算ツール!$C$9, HUAWEI製ＰＣＳ接続枚数計算ツール!$B$119:$P$149,2,FALSE)*1000*HUAWEI製ＰＣＳ接続枚数計算ツール!$Y$113)</f>
        <v>0</v>
      </c>
      <c r="AF32" s="85">
        <f>HUAWEI製ＰＣＳ接続枚数計算ツール!$J$116*枚数!AF32/(VLOOKUP(HUAWEI製ＰＣＳ接続枚数計算ツール!$C$9, HUAWEI製ＰＣＳ接続枚数計算ツール!$B$119:$P$149,2,FALSE)*1000*HUAWEI製ＰＣＳ接続枚数計算ツール!$Y$113)</f>
        <v>0</v>
      </c>
      <c r="AG32" s="85">
        <f>HUAWEI製ＰＣＳ接続枚数計算ツール!$J$116*枚数!AG32/(VLOOKUP(HUAWEI製ＰＣＳ接続枚数計算ツール!$C$9, HUAWEI製ＰＣＳ接続枚数計算ツール!$B$119:$P$149,2,FALSE)*1000*HUAWEI製ＰＣＳ接続枚数計算ツール!$Y$113)</f>
        <v>0</v>
      </c>
      <c r="AH32" s="85">
        <f>HUAWEI製ＰＣＳ接続枚数計算ツール!$J$116*枚数!AH32/(VLOOKUP(HUAWEI製ＰＣＳ接続枚数計算ツール!$C$9, HUAWEI製ＰＣＳ接続枚数計算ツール!$B$119:$P$149,2,FALSE)*1000*HUAWEI製ＰＣＳ接続枚数計算ツール!$Y$113)</f>
        <v>0</v>
      </c>
      <c r="AI32" s="85">
        <f>HUAWEI製ＰＣＳ接続枚数計算ツール!$J$116*枚数!AI32/(VLOOKUP(HUAWEI製ＰＣＳ接続枚数計算ツール!$C$9, HUAWEI製ＰＣＳ接続枚数計算ツール!$B$119:$P$149,2,FALSE)*1000*HUAWEI製ＰＣＳ接続枚数計算ツール!$Y$113)</f>
        <v>0</v>
      </c>
      <c r="AJ32" s="85">
        <f>HUAWEI製ＰＣＳ接続枚数計算ツール!$J$116*枚数!AJ32/(VLOOKUP(HUAWEI製ＰＣＳ接続枚数計算ツール!$C$9, HUAWEI製ＰＣＳ接続枚数計算ツール!$B$119:$P$149,2,FALSE)*1000*HUAWEI製ＰＣＳ接続枚数計算ツール!$Y$113)</f>
        <v>0</v>
      </c>
      <c r="AK32" s="85">
        <f>HUAWEI製ＰＣＳ接続枚数計算ツール!$J$116*枚数!AK32/(VLOOKUP(HUAWEI製ＰＣＳ接続枚数計算ツール!$C$9, HUAWEI製ＰＣＳ接続枚数計算ツール!$B$119:$P$149,2,FALSE)*1000*HUAWEI製ＰＣＳ接続枚数計算ツール!$Y$113)</f>
        <v>0</v>
      </c>
      <c r="AL32" s="85">
        <f>HUAWEI製ＰＣＳ接続枚数計算ツール!$J$116*枚数!AL32/(VLOOKUP(HUAWEI製ＰＣＳ接続枚数計算ツール!$C$9, HUAWEI製ＰＣＳ接続枚数計算ツール!$B$119:$P$149,2,FALSE)*1000*HUAWEI製ＰＣＳ接続枚数計算ツール!$Y$113)</f>
        <v>0</v>
      </c>
      <c r="AM32" s="85">
        <f>HUAWEI製ＰＣＳ接続枚数計算ツール!$J$116*枚数!AM32/(VLOOKUP(HUAWEI製ＰＣＳ接続枚数計算ツール!$C$9, HUAWEI製ＰＣＳ接続枚数計算ツール!$B$119:$P$149,2,FALSE)*1000*HUAWEI製ＰＣＳ接続枚数計算ツール!$Y$113)</f>
        <v>0</v>
      </c>
      <c r="AN32" s="85">
        <f>HUAWEI製ＰＣＳ接続枚数計算ツール!$J$116*枚数!AN32/(VLOOKUP(HUAWEI製ＰＣＳ接続枚数計算ツール!$C$9, HUAWEI製ＰＣＳ接続枚数計算ツール!$B$119:$P$149,2,FALSE)*1000*HUAWEI製ＰＣＳ接続枚数計算ツール!$Y$113)</f>
        <v>0</v>
      </c>
      <c r="AO32" s="85">
        <f>HUAWEI製ＰＣＳ接続枚数計算ツール!$J$116*枚数!AO32/(VLOOKUP(HUAWEI製ＰＣＳ接続枚数計算ツール!$C$9, HUAWEI製ＰＣＳ接続枚数計算ツール!$B$119:$P$149,2,FALSE)*1000*HUAWEI製ＰＣＳ接続枚数計算ツール!$Y$113)</f>
        <v>0</v>
      </c>
    </row>
  </sheetData>
  <phoneticPr fontId="2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dimension ref="A1:AT31"/>
  <sheetViews>
    <sheetView zoomScale="70" zoomScaleNormal="70" workbookViewId="0">
      <selection activeCell="M11" sqref="M11"/>
    </sheetView>
  </sheetViews>
  <sheetFormatPr defaultRowHeight="14.1"/>
  <sheetData>
    <row r="1" spans="1:46">
      <c r="A1" t="s">
        <v>2037</v>
      </c>
    </row>
    <row r="2" spans="1:46">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c r="AP2">
        <v>41</v>
      </c>
      <c r="AQ2">
        <v>42</v>
      </c>
      <c r="AR2">
        <v>43</v>
      </c>
      <c r="AS2">
        <v>44</v>
      </c>
      <c r="AT2">
        <v>45</v>
      </c>
    </row>
    <row r="3" spans="1:46">
      <c r="A3">
        <v>1</v>
      </c>
      <c r="B3" s="86">
        <f>ROUNDUP(((((1-1/MAX(100%,過積載率!B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3" s="86">
        <f>ROUNDUP(((((1-1/MAX(100%,過積載率!C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3" s="86">
        <f>ROUNDUP(((((1-1/MAX(100%,過積載率!D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3" s="86">
        <f>ROUNDUP(((((1-1/MAX(100%,過積載率!E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3" s="86">
        <f>ROUNDUP(((((1-1/MAX(100%,過積載率!F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3" s="86">
        <f>ROUNDUP(((((1-1/MAX(100%,過積載率!G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3" s="86">
        <f>ROUNDUP(((((1-1/MAX(100%,過積載率!H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3" s="86">
        <f>ROUNDUP(((((1-1/MAX(100%,過積載率!I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3" s="86">
        <f>ROUNDUP(((((1-1/MAX(100%,過積載率!J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3" s="86">
        <f>ROUNDUP(((((1-1/MAX(100%,過積載率!K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3" s="86">
        <f>ROUNDUP(((((1-1/MAX(100%,過積載率!L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3" s="86">
        <f>ROUNDUP(((((1-1/MAX(100%,過積載率!M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3" s="86">
        <f>ROUNDUP(((((1-1/MAX(100%,過積載率!N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3" s="86">
        <f>ROUNDUP(((((1-1/MAX(100%,過積載率!O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3" s="86">
        <f>ROUNDUP(((((1-1/MAX(100%,過積載率!P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3" s="86">
        <f>ROUNDUP(((((1-1/MAX(100%,過積載率!Q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3" s="86">
        <f>ROUNDUP(((((1-1/MAX(100%,過積載率!R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3" s="86">
        <f>ROUNDUP(((((1-1/MAX(100%,過積載率!S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3" s="86">
        <f>ROUNDUP(((((1-1/MAX(100%,過積載率!T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3" s="86">
        <f>ROUNDUP(((((1-1/MAX(100%,過積載率!U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3" s="86">
        <f>ROUNDUP(((((1-1/MAX(100%,過積載率!V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3" s="86">
        <f>ROUNDUP(((((1-1/MAX(100%,過積載率!W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3" s="86">
        <f>ROUNDUP(((((1-1/MAX(100%,過積載率!X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3" s="86">
        <f>ROUNDUP(((((1-1/MAX(100%,過積載率!Y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3" s="86">
        <f>ROUNDUP(((((1-1/MAX(100%,過積載率!Z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3" s="86">
        <f>ROUNDUP(((((1-1/MAX(100%,過積載率!AA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3" s="86">
        <f>ROUNDUP(((((1-1/MAX(100%,過積載率!AB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3" s="86">
        <f>ROUNDUP(((((1-1/MAX(100%,過積載率!AC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3" s="86">
        <f>ROUNDUP(((((1-1/MAX(100%,過積載率!AD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3" s="86">
        <f>ROUNDUP(((((1-1/MAX(100%,過積載率!AE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3" s="86">
        <f>ROUNDUP(((((1-1/MAX(100%,過積載率!AF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3" s="86">
        <f>ROUNDUP(((((1-1/MAX(100%,過積載率!AG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3" s="86">
        <f>ROUNDUP(((((1-1/MAX(100%,過積載率!AH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3" s="86">
        <f>ROUNDUP(((((1-1/MAX(100%,過積載率!AI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3" s="86">
        <f>ROUNDUP(((((1-1/MAX(100%,過積載率!AJ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3" s="86">
        <f>ROUNDUP(((((1-1/MAX(100%,過積載率!AK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3" s="86">
        <f>ROUNDUP(((((1-1/MAX(100%,過積載率!AL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3" s="86">
        <f>ROUNDUP(((((1-1/MAX(100%,過積載率!AM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3" s="86">
        <f>ROUNDUP(((((1-1/MAX(100%,過積載率!AN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3" s="86">
        <f>ROUNDUP(((((1-1/MAX(100%,過積載率!AO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3" s="86">
        <f>ROUNDUP(((((1-1/MAX(100%,過積載率!AP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3" s="86">
        <f>ROUNDUP(((((1-1/MAX(100%,過積載率!AQ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3" s="86">
        <f>ROUNDUP(((((1-1/MAX(100%,過積載率!AR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3" s="86">
        <f>ROUNDUP(((((1-1/MAX(100%,過積載率!AS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3" s="86">
        <f>ROUNDUP(((((1-1/MAX(100%,過積載率!AT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4" spans="1:46">
      <c r="A4">
        <v>2</v>
      </c>
      <c r="B4" s="86">
        <f>ROUNDUP(((((1-1/MAX(100%,過積載率!B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4" s="86">
        <f>ROUNDUP(((((1-1/MAX(100%,過積載率!C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4" s="86">
        <f>ROUNDUP(((((1-1/MAX(100%,過積載率!D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4" s="86">
        <f>ROUNDUP(((((1-1/MAX(100%,過積載率!E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4" s="86">
        <f>ROUNDUP(((((1-1/MAX(100%,過積載率!F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4" s="86">
        <f>ROUNDUP(((((1-1/MAX(100%,過積載率!G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4" s="86">
        <f>ROUNDUP(((((1-1/MAX(100%,過積載率!H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4" s="86">
        <f>ROUNDUP(((((1-1/MAX(100%,過積載率!I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4" s="86">
        <f>ROUNDUP(((((1-1/MAX(100%,過積載率!J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4" s="86">
        <f>ROUNDUP(((((1-1/MAX(100%,過積載率!K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4" s="86">
        <f>ROUNDUP(((((1-1/MAX(100%,過積載率!L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4" s="86">
        <f>ROUNDUP(((((1-1/MAX(100%,過積載率!M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4" s="86">
        <f>ROUNDUP(((((1-1/MAX(100%,過積載率!N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4" s="86">
        <f>ROUNDUP(((((1-1/MAX(100%,過積載率!O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4" s="86">
        <f>ROUNDUP(((((1-1/MAX(100%,過積載率!P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4" s="86">
        <f>ROUNDUP(((((1-1/MAX(100%,過積載率!Q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4" s="86">
        <f>ROUNDUP(((((1-1/MAX(100%,過積載率!R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4" s="86">
        <f>ROUNDUP(((((1-1/MAX(100%,過積載率!S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4" s="86">
        <f>ROUNDUP(((((1-1/MAX(100%,過積載率!T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4" s="86">
        <f>ROUNDUP(((((1-1/MAX(100%,過積載率!U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4" s="86">
        <f>ROUNDUP(((((1-1/MAX(100%,過積載率!V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4" s="86">
        <f>ROUNDUP(((((1-1/MAX(100%,過積載率!W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4" s="86">
        <f>ROUNDUP(((((1-1/MAX(100%,過積載率!X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4" s="86">
        <f>ROUNDUP(((((1-1/MAX(100%,過積載率!Y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4" s="86">
        <f>ROUNDUP(((((1-1/MAX(100%,過積載率!Z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4" s="86">
        <f>ROUNDUP(((((1-1/MAX(100%,過積載率!AA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4" s="86">
        <f>ROUNDUP(((((1-1/MAX(100%,過積載率!AB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4" s="86">
        <f>ROUNDUP(((((1-1/MAX(100%,過積載率!AC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4" s="86">
        <f>ROUNDUP(((((1-1/MAX(100%,過積載率!AD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4" s="86">
        <f>ROUNDUP(((((1-1/MAX(100%,過積載率!AE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4" s="86">
        <f>ROUNDUP(((((1-1/MAX(100%,過積載率!AF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4" s="86">
        <f>ROUNDUP(((((1-1/MAX(100%,過積載率!AG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4" s="86">
        <f>ROUNDUP(((((1-1/MAX(100%,過積載率!AH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4" s="86">
        <f>ROUNDUP(((((1-1/MAX(100%,過積載率!AI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4" s="86">
        <f>ROUNDUP(((((1-1/MAX(100%,過積載率!AJ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4" s="86">
        <f>ROUNDUP(((((1-1/MAX(100%,過積載率!AK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4" s="86">
        <f>ROUNDUP(((((1-1/MAX(100%,過積載率!AL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4" s="86">
        <f>ROUNDUP(((((1-1/MAX(100%,過積載率!AM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4" s="86">
        <f>ROUNDUP(((((1-1/MAX(100%,過積載率!AN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4" s="86">
        <f>ROUNDUP(((((1-1/MAX(100%,過積載率!AO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4" s="86">
        <f>ROUNDUP(((((1-1/MAX(100%,過積載率!AP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4" s="86">
        <f>ROUNDUP(((((1-1/MAX(100%,過積載率!AQ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4" s="86">
        <f>ROUNDUP(((((1-1/MAX(100%,過積載率!AR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4" s="86">
        <f>ROUNDUP(((((1-1/MAX(100%,過積載率!AS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4" s="86">
        <f>ROUNDUP(((((1-1/MAX(100%,過積載率!AT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5" spans="1:46">
      <c r="A5">
        <v>3</v>
      </c>
      <c r="B5" s="86">
        <f>ROUNDUP(((((1-1/MAX(100%,過積載率!B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5" s="86">
        <f>ROUNDUP(((((1-1/MAX(100%,過積載率!C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5" s="86">
        <f>ROUNDUP(((((1-1/MAX(100%,過積載率!D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5" s="86">
        <f>ROUNDUP(((((1-1/MAX(100%,過積載率!E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5" s="86">
        <f>ROUNDUP(((((1-1/MAX(100%,過積載率!F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5" s="86">
        <f>ROUNDUP(((((1-1/MAX(100%,過積載率!G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5" s="86">
        <f>ROUNDUP(((((1-1/MAX(100%,過積載率!H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5" s="86">
        <f>ROUNDUP(((((1-1/MAX(100%,過積載率!I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5" s="86">
        <f>ROUNDUP(((((1-1/MAX(100%,過積載率!J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5" s="86">
        <f>ROUNDUP(((((1-1/MAX(100%,過積載率!K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5" s="86">
        <f>ROUNDUP(((((1-1/MAX(100%,過積載率!L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5" s="86">
        <f>ROUNDUP(((((1-1/MAX(100%,過積載率!M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5" s="86">
        <f>ROUNDUP(((((1-1/MAX(100%,過積載率!N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5" s="86">
        <f>ROUNDUP(((((1-1/MAX(100%,過積載率!O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5" s="86">
        <f>ROUNDUP(((((1-1/MAX(100%,過積載率!P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5" s="86">
        <f>ROUNDUP(((((1-1/MAX(100%,過積載率!Q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5" s="86">
        <f>ROUNDUP(((((1-1/MAX(100%,過積載率!R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5" s="86">
        <f>ROUNDUP(((((1-1/MAX(100%,過積載率!S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5" s="86">
        <f>ROUNDUP(((((1-1/MAX(100%,過積載率!T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5" s="86">
        <f>ROUNDUP(((((1-1/MAX(100%,過積載率!U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5" s="86">
        <f>ROUNDUP(((((1-1/MAX(100%,過積載率!V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5" s="86">
        <f>ROUNDUP(((((1-1/MAX(100%,過積載率!W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5" s="86">
        <f>ROUNDUP(((((1-1/MAX(100%,過積載率!X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5" s="86">
        <f>ROUNDUP(((((1-1/MAX(100%,過積載率!Y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5" s="86">
        <f>ROUNDUP(((((1-1/MAX(100%,過積載率!Z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5" s="86">
        <f>ROUNDUP(((((1-1/MAX(100%,過積載率!AA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5" s="86">
        <f>ROUNDUP(((((1-1/MAX(100%,過積載率!AB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5" s="86">
        <f>ROUNDUP(((((1-1/MAX(100%,過積載率!AC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5" s="86">
        <f>ROUNDUP(((((1-1/MAX(100%,過積載率!AD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5" s="86">
        <f>ROUNDUP(((((1-1/MAX(100%,過積載率!AE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5" s="86">
        <f>ROUNDUP(((((1-1/MAX(100%,過積載率!AF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5" s="86">
        <f>ROUNDUP(((((1-1/MAX(100%,過積載率!AG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5" s="86">
        <f>ROUNDUP(((((1-1/MAX(100%,過積載率!AH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5" s="86">
        <f>ROUNDUP(((((1-1/MAX(100%,過積載率!AI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5" s="86">
        <f>ROUNDUP(((((1-1/MAX(100%,過積載率!AJ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5" s="86">
        <f>ROUNDUP(((((1-1/MAX(100%,過積載率!AK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5" s="86">
        <f>ROUNDUP(((((1-1/MAX(100%,過積載率!AL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5" s="86">
        <f>ROUNDUP(((((1-1/MAX(100%,過積載率!AM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5" s="86">
        <f>ROUNDUP(((((1-1/MAX(100%,過積載率!AN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5" s="86">
        <f>ROUNDUP(((((1-1/MAX(100%,過積載率!AO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5" s="86">
        <f>ROUNDUP(((((1-1/MAX(100%,過積載率!AP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5" s="86">
        <f>ROUNDUP(((((1-1/MAX(100%,過積載率!AQ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5" s="86">
        <f>ROUNDUP(((((1-1/MAX(100%,過積載率!AR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5" s="86">
        <f>ROUNDUP(((((1-1/MAX(100%,過積載率!AS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5" s="86">
        <f>ROUNDUP(((((1-1/MAX(100%,過積載率!AT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6" spans="1:46">
      <c r="A6">
        <v>4</v>
      </c>
      <c r="B6" s="86">
        <f>ROUNDUP(((((1-1/MAX(100%,過積載率!B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6" s="86">
        <f>ROUNDUP(((((1-1/MAX(100%,過積載率!C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6" s="86">
        <f>ROUNDUP(((((1-1/MAX(100%,過積載率!D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6" s="86">
        <f>ROUNDUP(((((1-1/MAX(100%,過積載率!E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6" s="86">
        <f>ROUNDUP(((((1-1/MAX(100%,過積載率!F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6" s="86">
        <f>ROUNDUP(((((1-1/MAX(100%,過積載率!G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6" s="86">
        <f>ROUNDUP(((((1-1/MAX(100%,過積載率!H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6" s="86">
        <f>ROUNDUP(((((1-1/MAX(100%,過積載率!I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6" s="86">
        <f>ROUNDUP(((((1-1/MAX(100%,過積載率!J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6" s="86">
        <f>ROUNDUP(((((1-1/MAX(100%,過積載率!K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6" s="86">
        <f>ROUNDUP(((((1-1/MAX(100%,過積載率!L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6" s="86">
        <f>ROUNDUP(((((1-1/MAX(100%,過積載率!M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6" s="86">
        <f>ROUNDUP(((((1-1/MAX(100%,過積載率!N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6" s="86">
        <f>ROUNDUP(((((1-1/MAX(100%,過積載率!O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6" s="86">
        <f>ROUNDUP(((((1-1/MAX(100%,過積載率!P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6" s="86">
        <f>ROUNDUP(((((1-1/MAX(100%,過積載率!Q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6" s="86">
        <f>ROUNDUP(((((1-1/MAX(100%,過積載率!R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6" s="86">
        <f>ROUNDUP(((((1-1/MAX(100%,過積載率!S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6" s="86">
        <f>ROUNDUP(((((1-1/MAX(100%,過積載率!T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6" s="86">
        <f>ROUNDUP(((((1-1/MAX(100%,過積載率!U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6" s="86">
        <f>ROUNDUP(((((1-1/MAX(100%,過積載率!V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6" s="86">
        <f>ROUNDUP(((((1-1/MAX(100%,過積載率!W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6" s="86">
        <f>ROUNDUP(((((1-1/MAX(100%,過積載率!X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6" s="86">
        <f>ROUNDUP(((((1-1/MAX(100%,過積載率!Y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6" s="86">
        <f>ROUNDUP(((((1-1/MAX(100%,過積載率!Z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6" s="86">
        <f>ROUNDUP(((((1-1/MAX(100%,過積載率!AA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6" s="86">
        <f>ROUNDUP(((((1-1/MAX(100%,過積載率!AB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6" s="86">
        <f>ROUNDUP(((((1-1/MAX(100%,過積載率!AC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6" s="86">
        <f>ROUNDUP(((((1-1/MAX(100%,過積載率!AD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6" s="86">
        <f>ROUNDUP(((((1-1/MAX(100%,過積載率!AE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6" s="86">
        <f>ROUNDUP(((((1-1/MAX(100%,過積載率!AF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6" s="86">
        <f>ROUNDUP(((((1-1/MAX(100%,過積載率!AG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6" s="86">
        <f>ROUNDUP(((((1-1/MAX(100%,過積載率!AH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6" s="86">
        <f>ROUNDUP(((((1-1/MAX(100%,過積載率!AI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6" s="86">
        <f>ROUNDUP(((((1-1/MAX(100%,過積載率!AJ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6" s="86">
        <f>ROUNDUP(((((1-1/MAX(100%,過積載率!AK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6" s="86">
        <f>ROUNDUP(((((1-1/MAX(100%,過積載率!AL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6" s="86">
        <f>ROUNDUP(((((1-1/MAX(100%,過積載率!AM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6" s="86">
        <f>ROUNDUP(((((1-1/MAX(100%,過積載率!AN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6" s="86">
        <f>ROUNDUP(((((1-1/MAX(100%,過積載率!AO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6" s="86">
        <f>ROUNDUP(((((1-1/MAX(100%,過積載率!AP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6" s="86">
        <f>ROUNDUP(((((1-1/MAX(100%,過積載率!AQ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6" s="86">
        <f>ROUNDUP(((((1-1/MAX(100%,過積載率!AR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6" s="86">
        <f>ROUNDUP(((((1-1/MAX(100%,過積載率!AS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6" s="86">
        <f>ROUNDUP(((((1-1/MAX(100%,過積載率!AT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7" spans="1:46">
      <c r="A7">
        <v>5</v>
      </c>
      <c r="B7" s="86">
        <f>ROUNDUP(((((1-1/MAX(100%,過積載率!B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7" s="86">
        <f>ROUNDUP(((((1-1/MAX(100%,過積載率!C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7" s="86">
        <f>ROUNDUP(((((1-1/MAX(100%,過積載率!D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7" s="86">
        <f>ROUNDUP(((((1-1/MAX(100%,過積載率!E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7" s="86">
        <f>ROUNDUP(((((1-1/MAX(100%,過積載率!F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7" s="86">
        <f>ROUNDUP(((((1-1/MAX(100%,過積載率!G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7" s="86">
        <f>ROUNDUP(((((1-1/MAX(100%,過積載率!H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7" s="86">
        <f>ROUNDUP(((((1-1/MAX(100%,過積載率!I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7" s="86">
        <f>ROUNDUP(((((1-1/MAX(100%,過積載率!J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7" s="86">
        <f>ROUNDUP(((((1-1/MAX(100%,過積載率!K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7" s="86">
        <f>ROUNDUP(((((1-1/MAX(100%,過積載率!L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7" s="86">
        <f>ROUNDUP(((((1-1/MAX(100%,過積載率!M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7" s="86">
        <f>ROUNDUP(((((1-1/MAX(100%,過積載率!N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7" s="86">
        <f>ROUNDUP(((((1-1/MAX(100%,過積載率!O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7" s="86">
        <f>ROUNDUP(((((1-1/MAX(100%,過積載率!P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7" s="86">
        <f>ROUNDUP(((((1-1/MAX(100%,過積載率!Q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7" s="86">
        <f>ROUNDUP(((((1-1/MAX(100%,過積載率!R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7" s="86">
        <f>ROUNDUP(((((1-1/MAX(100%,過積載率!S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7" s="86">
        <f>ROUNDUP(((((1-1/MAX(100%,過積載率!T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7" s="86">
        <f>ROUNDUP(((((1-1/MAX(100%,過積載率!U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7" s="86">
        <f>ROUNDUP(((((1-1/MAX(100%,過積載率!V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7" s="86">
        <f>ROUNDUP(((((1-1/MAX(100%,過積載率!W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7" s="86">
        <f>ROUNDUP(((((1-1/MAX(100%,過積載率!X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7" s="86">
        <f>ROUNDUP(((((1-1/MAX(100%,過積載率!Y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7" s="86">
        <f>ROUNDUP(((((1-1/MAX(100%,過積載率!Z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7" s="86">
        <f>ROUNDUP(((((1-1/MAX(100%,過積載率!AA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7" s="86">
        <f>ROUNDUP(((((1-1/MAX(100%,過積載率!AB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7" s="86">
        <f>ROUNDUP(((((1-1/MAX(100%,過積載率!AC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7" s="86">
        <f>ROUNDUP(((((1-1/MAX(100%,過積載率!AD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7" s="86">
        <f>ROUNDUP(((((1-1/MAX(100%,過積載率!AE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7" s="86">
        <f>ROUNDUP(((((1-1/MAX(100%,過積載率!AF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7" s="86">
        <f>ROUNDUP(((((1-1/MAX(100%,過積載率!AG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7" s="86">
        <f>ROUNDUP(((((1-1/MAX(100%,過積載率!AH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7" s="86">
        <f>ROUNDUP(((((1-1/MAX(100%,過積載率!AI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7" s="86">
        <f>ROUNDUP(((((1-1/MAX(100%,過積載率!AJ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7" s="86">
        <f>ROUNDUP(((((1-1/MAX(100%,過積載率!AK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7" s="86">
        <f>ROUNDUP(((((1-1/MAX(100%,過積載率!AL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7" s="86">
        <f>ROUNDUP(((((1-1/MAX(100%,過積載率!AM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7" s="86">
        <f>ROUNDUP(((((1-1/MAX(100%,過積載率!AN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7" s="86">
        <f>ROUNDUP(((((1-1/MAX(100%,過積載率!AO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7" s="86">
        <f>ROUNDUP(((((1-1/MAX(100%,過積載率!AP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7" s="86">
        <f>ROUNDUP(((((1-1/MAX(100%,過積載率!AQ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7" s="86">
        <f>ROUNDUP(((((1-1/MAX(100%,過積載率!AR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7" s="86">
        <f>ROUNDUP(((((1-1/MAX(100%,過積載率!AS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7" s="86">
        <f>ROUNDUP(((((1-1/MAX(100%,過積載率!AT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8" spans="1:46">
      <c r="A8">
        <v>6</v>
      </c>
      <c r="B8" s="86">
        <f>ROUNDUP(((((1-1/MAX(100%,過積載率!B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8" s="86">
        <f>ROUNDUP(((((1-1/MAX(100%,過積載率!C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8" s="86">
        <f>ROUNDUP(((((1-1/MAX(100%,過積載率!D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8" s="86">
        <f>ROUNDUP(((((1-1/MAX(100%,過積載率!E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8" s="86">
        <f>ROUNDUP(((((1-1/MAX(100%,過積載率!F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8" s="86">
        <f>ROUNDUP(((((1-1/MAX(100%,過積載率!G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8" s="86">
        <f>ROUNDUP(((((1-1/MAX(100%,過積載率!H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8" s="86">
        <f>ROUNDUP(((((1-1/MAX(100%,過積載率!I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8" s="86">
        <f>ROUNDUP(((((1-1/MAX(100%,過積載率!J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8" s="86">
        <f>ROUNDUP(((((1-1/MAX(100%,過積載率!K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8" s="86">
        <f>ROUNDUP(((((1-1/MAX(100%,過積載率!L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8" s="86">
        <f>ROUNDUP(((((1-1/MAX(100%,過積載率!M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8" s="86">
        <f>ROUNDUP(((((1-1/MAX(100%,過積載率!N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8" s="86">
        <f>ROUNDUP(((((1-1/MAX(100%,過積載率!O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8" s="86">
        <f>ROUNDUP(((((1-1/MAX(100%,過積載率!P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8" s="86">
        <f>ROUNDUP(((((1-1/MAX(100%,過積載率!Q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8" s="86">
        <f>ROUNDUP(((((1-1/MAX(100%,過積載率!R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8" s="86">
        <f>ROUNDUP(((((1-1/MAX(100%,過積載率!S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8" s="86">
        <f>ROUNDUP(((((1-1/MAX(100%,過積載率!T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8" s="86">
        <f>ROUNDUP(((((1-1/MAX(100%,過積載率!U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8" s="86">
        <f>ROUNDUP(((((1-1/MAX(100%,過積載率!V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8" s="86">
        <f>ROUNDUP(((((1-1/MAX(100%,過積載率!W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8" s="86">
        <f>ROUNDUP(((((1-1/MAX(100%,過積載率!X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8" s="86">
        <f>ROUNDUP(((((1-1/MAX(100%,過積載率!Y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8" s="86">
        <f>ROUNDUP(((((1-1/MAX(100%,過積載率!Z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8" s="86">
        <f>ROUNDUP(((((1-1/MAX(100%,過積載率!AA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8" s="86">
        <f>ROUNDUP(((((1-1/MAX(100%,過積載率!AB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8" s="86">
        <f>ROUNDUP(((((1-1/MAX(100%,過積載率!AC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8" s="86">
        <f>ROUNDUP(((((1-1/MAX(100%,過積載率!AD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8" s="86">
        <f>ROUNDUP(((((1-1/MAX(100%,過積載率!AE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8" s="86">
        <f>ROUNDUP(((((1-1/MAX(100%,過積載率!AF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8" s="86">
        <f>ROUNDUP(((((1-1/MAX(100%,過積載率!AG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8" s="86">
        <f>ROUNDUP(((((1-1/MAX(100%,過積載率!AH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8" s="86">
        <f>ROUNDUP(((((1-1/MAX(100%,過積載率!AI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8" s="86">
        <f>ROUNDUP(((((1-1/MAX(100%,過積載率!AJ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45.65</v>
      </c>
      <c r="AK8" s="86">
        <f>ROUNDUP(((((1-1/MAX(100%,過積載率!AK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46.54</v>
      </c>
      <c r="AL8" s="86">
        <f>ROUNDUP(((((1-1/MAX(100%,過積載率!AL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47.08</v>
      </c>
      <c r="AM8" s="86">
        <f>ROUNDUP(((((1-1/MAX(100%,過積載率!AM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47.489999999999995</v>
      </c>
      <c r="AN8" s="86">
        <f>ROUNDUP(((((1-1/MAX(100%,過積載率!AN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47.83</v>
      </c>
      <c r="AO8" s="86">
        <f>ROUNDUP(((((1-1/MAX(100%,過積載率!AO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48.12</v>
      </c>
      <c r="AP8" s="86">
        <f>ROUNDUP(((((1-1/MAX(100%,過積載率!AP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8" s="86">
        <f>ROUNDUP(((((1-1/MAX(100%,過積載率!AQ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8" s="86">
        <f>ROUNDUP(((((1-1/MAX(100%,過積載率!AR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8" s="86">
        <f>ROUNDUP(((((1-1/MAX(100%,過積載率!AS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8" s="86">
        <f>ROUNDUP(((((1-1/MAX(100%,過積載率!AT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9" spans="1:46">
      <c r="A9">
        <v>7</v>
      </c>
      <c r="B9" s="86">
        <f>ROUNDUP(((((1-1/MAX(100%,過積載率!B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9" s="86">
        <f>ROUNDUP(((((1-1/MAX(100%,過積載率!C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9" s="86">
        <f>ROUNDUP(((((1-1/MAX(100%,過積載率!D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9" s="86">
        <f>ROUNDUP(((((1-1/MAX(100%,過積載率!E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9" s="86">
        <f>ROUNDUP(((((1-1/MAX(100%,過積載率!F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9" s="86">
        <f>ROUNDUP(((((1-1/MAX(100%,過積載率!G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9" s="86">
        <f>ROUNDUP(((((1-1/MAX(100%,過積載率!H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9" s="86">
        <f>ROUNDUP(((((1-1/MAX(100%,過積載率!I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9" s="86">
        <f>ROUNDUP(((((1-1/MAX(100%,過積載率!J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9" s="86">
        <f>ROUNDUP(((((1-1/MAX(100%,過積載率!K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9" s="86">
        <f>ROUNDUP(((((1-1/MAX(100%,過積載率!L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9" s="86">
        <f>ROUNDUP(((((1-1/MAX(100%,過積載率!M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9" s="86">
        <f>ROUNDUP(((((1-1/MAX(100%,過積載率!N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9" s="86">
        <f>ROUNDUP(((((1-1/MAX(100%,過積載率!O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9" s="86">
        <f>ROUNDUP(((((1-1/MAX(100%,過積載率!P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9" s="86">
        <f>ROUNDUP(((((1-1/MAX(100%,過積載率!Q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9" s="86">
        <f>ROUNDUP(((((1-1/MAX(100%,過積載率!R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9" s="86">
        <f>ROUNDUP(((((1-1/MAX(100%,過積載率!S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9" s="86">
        <f>ROUNDUP(((((1-1/MAX(100%,過積載率!T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9" s="86">
        <f>ROUNDUP(((((1-1/MAX(100%,過積載率!U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9" s="86">
        <f>ROUNDUP(((((1-1/MAX(100%,過積載率!V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9" s="86">
        <f>ROUNDUP(((((1-1/MAX(100%,過積載率!W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9" s="86">
        <f>ROUNDUP(((((1-1/MAX(100%,過積載率!X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9" s="86">
        <f>ROUNDUP(((((1-1/MAX(100%,過積載率!Y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9" s="86">
        <f>ROUNDUP(((((1-1/MAX(100%,過積載率!Z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9" s="86">
        <f>ROUNDUP(((((1-1/MAX(100%,過積載率!AA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9" s="86">
        <f>ROUNDUP(((((1-1/MAX(100%,過積載率!AB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9" s="86">
        <f>ROUNDUP(((((1-1/MAX(100%,過積載率!AC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9" s="86">
        <f>ROUNDUP(((((1-1/MAX(100%,過積載率!AD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9" s="86">
        <f>ROUNDUP(((((1-1/MAX(100%,過積載率!AE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45.65</v>
      </c>
      <c r="AF9" s="86">
        <f>ROUNDUP(((((1-1/MAX(100%,過積載率!AF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46.65</v>
      </c>
      <c r="AG9" s="86">
        <f>ROUNDUP(((((1-1/MAX(100%,過積載率!AG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47.23</v>
      </c>
      <c r="AH9" s="86">
        <f>ROUNDUP(((((1-1/MAX(100%,過積載率!AH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47.669999999999995</v>
      </c>
      <c r="AI9" s="86">
        <f>ROUNDUP(((((1-1/MAX(100%,過積載率!AI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48.03</v>
      </c>
      <c r="AJ9" s="86">
        <f>ROUNDUP(((((1-1/MAX(100%,過積載率!AJ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48.33</v>
      </c>
      <c r="AK9" s="86">
        <f>ROUNDUP(((((1-1/MAX(100%,過積載率!AK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48.589999999999996</v>
      </c>
      <c r="AL9" s="86">
        <f>ROUNDUP(((((1-1/MAX(100%,過積載率!AL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48.83</v>
      </c>
      <c r="AM9" s="86">
        <f>ROUNDUP(((((1-1/MAX(100%,過積載率!AM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49.04</v>
      </c>
      <c r="AN9" s="86">
        <f>ROUNDUP(((((1-1/MAX(100%,過積載率!AN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49.23</v>
      </c>
      <c r="AO9" s="86">
        <f>ROUNDUP(((((1-1/MAX(100%,過積載率!AO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49.4</v>
      </c>
      <c r="AP9" s="86">
        <f>ROUNDUP(((((1-1/MAX(100%,過積載率!AP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9" s="86">
        <f>ROUNDUP(((((1-1/MAX(100%,過積載率!AQ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9" s="86">
        <f>ROUNDUP(((((1-1/MAX(100%,過積載率!AR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9" s="86">
        <f>ROUNDUP(((((1-1/MAX(100%,過積載率!AS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9" s="86">
        <f>ROUNDUP(((((1-1/MAX(100%,過積載率!AT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0" spans="1:46">
      <c r="A10">
        <v>8</v>
      </c>
      <c r="B10" s="86">
        <f>ROUNDUP(((((1-1/MAX(100%,過積載率!B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0" s="86">
        <f>ROUNDUP(((((1-1/MAX(100%,過積載率!C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0" s="86">
        <f>ROUNDUP(((((1-1/MAX(100%,過積載率!D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0" s="86">
        <f>ROUNDUP(((((1-1/MAX(100%,過積載率!E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0" s="86">
        <f>ROUNDUP(((((1-1/MAX(100%,過積載率!F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0" s="86">
        <f>ROUNDUP(((((1-1/MAX(100%,過積載率!G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0" s="86">
        <f>ROUNDUP(((((1-1/MAX(100%,過積載率!H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0" s="86">
        <f>ROUNDUP(((((1-1/MAX(100%,過積載率!I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0" s="86">
        <f>ROUNDUP(((((1-1/MAX(100%,過積載率!J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0" s="86">
        <f>ROUNDUP(((((1-1/MAX(100%,過積載率!K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0" s="86">
        <f>ROUNDUP(((((1-1/MAX(100%,過積載率!L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0" s="86">
        <f>ROUNDUP(((((1-1/MAX(100%,過積載率!M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0" s="86">
        <f>ROUNDUP(((((1-1/MAX(100%,過積載率!N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10" s="86">
        <f>ROUNDUP(((((1-1/MAX(100%,過積載率!O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10" s="86">
        <f>ROUNDUP(((((1-1/MAX(100%,過積載率!P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10" s="86">
        <f>ROUNDUP(((((1-1/MAX(100%,過積載率!Q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10" s="86">
        <f>ROUNDUP(((((1-1/MAX(100%,過積載率!R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10" s="86">
        <f>ROUNDUP(((((1-1/MAX(100%,過積載率!S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10" s="86">
        <f>ROUNDUP(((((1-1/MAX(100%,過積載率!T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10" s="86">
        <f>ROUNDUP(((((1-1/MAX(100%,過積載率!U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10" s="86">
        <f>ROUNDUP(((((1-1/MAX(100%,過積載率!V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10" s="86">
        <f>ROUNDUP(((((1-1/MAX(100%,過積載率!W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10" s="86">
        <f>ROUNDUP(((((1-1/MAX(100%,過積載率!X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10" s="86">
        <f>ROUNDUP(((((1-1/MAX(100%,過積載率!Y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10" s="86">
        <f>ROUNDUP(((((1-1/MAX(100%,過積載率!Z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10" s="86">
        <f>ROUNDUP(((((1-1/MAX(100%,過積載率!AA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10" s="86">
        <f>ROUNDUP(((((1-1/MAX(100%,過積載率!AB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46.54</v>
      </c>
      <c r="AC10" s="86">
        <f>ROUNDUP(((((1-1/MAX(100%,過積載率!AC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47.23</v>
      </c>
      <c r="AD10" s="86">
        <f>ROUNDUP(((((1-1/MAX(100%,過積載率!AD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47.72</v>
      </c>
      <c r="AE10" s="86">
        <f>ROUNDUP(((((1-1/MAX(100%,過積載率!AE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48.12</v>
      </c>
      <c r="AF10" s="86">
        <f>ROUNDUP(((((1-1/MAX(100%,過積載率!AF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48.449999999999996</v>
      </c>
      <c r="AG10" s="86">
        <f>ROUNDUP(((((1-1/MAX(100%,過積載率!AG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48.73</v>
      </c>
      <c r="AH10" s="86">
        <f>ROUNDUP(((((1-1/MAX(100%,過積載率!AH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48.98</v>
      </c>
      <c r="AI10" s="86">
        <f>ROUNDUP(((((1-1/MAX(100%,過積載率!AI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49.199999999999996</v>
      </c>
      <c r="AJ10" s="86">
        <f>ROUNDUP(((((1-1/MAX(100%,過積載率!AJ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49.4</v>
      </c>
      <c r="AK10" s="86">
        <f>ROUNDUP(((((1-1/MAX(100%,過積載率!AK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49.58</v>
      </c>
      <c r="AL10" s="86">
        <f>ROUNDUP(((((1-1/MAX(100%,過積載率!AL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49.75</v>
      </c>
      <c r="AM10" s="86">
        <f>ROUNDUP(((((1-1/MAX(100%,過積載率!AM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49.9</v>
      </c>
      <c r="AN10" s="86">
        <f>ROUNDUP(((((1-1/MAX(100%,過積載率!AN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50.03</v>
      </c>
      <c r="AO10" s="86">
        <f>ROUNDUP(((((1-1/MAX(100%,過積載率!AO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50.16</v>
      </c>
      <c r="AP10" s="86">
        <f>ROUNDUP(((((1-1/MAX(100%,過積載率!AP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0" s="86">
        <f>ROUNDUP(((((1-1/MAX(100%,過積載率!AQ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0" s="86">
        <f>ROUNDUP(((((1-1/MAX(100%,過積載率!AR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0" s="86">
        <f>ROUNDUP(((((1-1/MAX(100%,過積載率!AS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0" s="86">
        <f>ROUNDUP(((((1-1/MAX(100%,過積載率!AT10)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1" spans="1:46">
      <c r="A11">
        <v>9</v>
      </c>
      <c r="B11" s="86">
        <f>ROUNDUP(((((1-1/MAX(100%,過積載率!B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1" s="86">
        <f>ROUNDUP(((((1-1/MAX(100%,過積載率!C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1" s="86">
        <f>ROUNDUP(((((1-1/MAX(100%,過積載率!D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1" s="86">
        <f>ROUNDUP(((((1-1/MAX(100%,過積載率!E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1" s="86">
        <f>ROUNDUP(((((1-1/MAX(100%,過積載率!F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1" s="86">
        <f>ROUNDUP(((((1-1/MAX(100%,過積載率!G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1" s="86">
        <f>ROUNDUP(((((1-1/MAX(100%,過積載率!H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1" s="86">
        <f>ROUNDUP(((((1-1/MAX(100%,過積載率!I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1" s="86">
        <f>ROUNDUP(((((1-1/MAX(100%,過積載率!J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1" s="86">
        <f>ROUNDUP(((((1-1/MAX(100%,過積載率!K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1" s="86">
        <f>ROUNDUP(((((1-1/MAX(100%,過積載率!L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1" s="86">
        <f>ROUNDUP(((((1-1/MAX(100%,過積載率!M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1" s="86">
        <f>ROUNDUP(((((1-1/MAX(100%,過積載率!N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11" s="86">
        <f>ROUNDUP(((((1-1/MAX(100%,過積載率!O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11" s="86">
        <f>ROUNDUP(((((1-1/MAX(100%,過積載率!P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11" s="86">
        <f>ROUNDUP(((((1-1/MAX(100%,過積載率!Q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11" s="86">
        <f>ROUNDUP(((((1-1/MAX(100%,過積載率!R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11" s="86">
        <f>ROUNDUP(((((1-1/MAX(100%,過積載率!S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11" s="86">
        <f>ROUNDUP(((((1-1/MAX(100%,過積載率!T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11" s="86">
        <f>ROUNDUP(((((1-1/MAX(100%,過積載率!U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11" s="86">
        <f>ROUNDUP(((((1-1/MAX(100%,過積載率!V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11" s="86">
        <f>ROUNDUP(((((1-1/MAX(100%,過積載率!W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11" s="86">
        <f>ROUNDUP(((((1-1/MAX(100%,過積載率!X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11" s="86">
        <f>ROUNDUP(((((1-1/MAX(100%,過積載率!Y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46.54</v>
      </c>
      <c r="Z11" s="86">
        <f>ROUNDUP(((((1-1/MAX(100%,過積載率!Z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47.3</v>
      </c>
      <c r="AA11" s="86">
        <f>ROUNDUP(((((1-1/MAX(100%,過積載率!AA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47.83</v>
      </c>
      <c r="AB11" s="86">
        <f>ROUNDUP(((((1-1/MAX(100%,過積載率!AB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48.25</v>
      </c>
      <c r="AC11" s="86">
        <f>ROUNDUP(((((1-1/MAX(100%,過積載率!AC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48.589999999999996</v>
      </c>
      <c r="AD11" s="86">
        <f>ROUNDUP(((((1-1/MAX(100%,過積載率!AD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48.89</v>
      </c>
      <c r="AE11" s="86">
        <f>ROUNDUP(((((1-1/MAX(100%,過積載率!AE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49.15</v>
      </c>
      <c r="AF11" s="86">
        <f>ROUNDUP(((((1-1/MAX(100%,過積載率!AF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49.379999999999995</v>
      </c>
      <c r="AG11" s="86">
        <f>ROUNDUP(((((1-1/MAX(100%,過積載率!AG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49.58</v>
      </c>
      <c r="AH11" s="86">
        <f>ROUNDUP(((((1-1/MAX(100%,過積載率!AH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49.76</v>
      </c>
      <c r="AI11" s="86">
        <f>ROUNDUP(((((1-1/MAX(100%,過積載率!AI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49.93</v>
      </c>
      <c r="AJ11" s="86">
        <f>ROUNDUP(((((1-1/MAX(100%,過積載率!AJ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50.08</v>
      </c>
      <c r="AK11" s="86">
        <f>ROUNDUP(((((1-1/MAX(100%,過積載率!AK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50.22</v>
      </c>
      <c r="AL11" s="86">
        <f>ROUNDUP(((((1-1/MAX(100%,過積載率!AL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50.35</v>
      </c>
      <c r="AM11" s="86">
        <f>ROUNDUP(((((1-1/MAX(100%,過積載率!AM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50.47</v>
      </c>
      <c r="AN11" s="86">
        <f>ROUNDUP(((((1-1/MAX(100%,過積載率!AN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50.58</v>
      </c>
      <c r="AO11" s="86">
        <f>ROUNDUP(((((1-1/MAX(100%,過積載率!AO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50.69</v>
      </c>
      <c r="AP11" s="86">
        <f>ROUNDUP(((((1-1/MAX(100%,過積載率!AP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1" s="86">
        <f>ROUNDUP(((((1-1/MAX(100%,過積載率!AQ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1" s="86">
        <f>ROUNDUP(((((1-1/MAX(100%,過積載率!AR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1" s="86">
        <f>ROUNDUP(((((1-1/MAX(100%,過積載率!AS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1" s="86">
        <f>ROUNDUP(((((1-1/MAX(100%,過積載率!AT11)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2" spans="1:46">
      <c r="A12">
        <v>10</v>
      </c>
      <c r="B12" s="86">
        <f>ROUNDUP(((((1-1/MAX(100%,過積載率!B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2" s="86">
        <f>ROUNDUP(((((1-1/MAX(100%,過積載率!C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2" s="86">
        <f>ROUNDUP(((((1-1/MAX(100%,過積載率!D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2" s="86">
        <f>ROUNDUP(((((1-1/MAX(100%,過積載率!E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2" s="86">
        <f>ROUNDUP(((((1-1/MAX(100%,過積載率!F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2" s="86">
        <f>ROUNDUP(((((1-1/MAX(100%,過積載率!G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2" s="86">
        <f>ROUNDUP(((((1-1/MAX(100%,過積載率!H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2" s="86">
        <f>ROUNDUP(((((1-1/MAX(100%,過積載率!I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2" s="86">
        <f>ROUNDUP(((((1-1/MAX(100%,過積載率!J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2" s="86">
        <f>ROUNDUP(((((1-1/MAX(100%,過積載率!K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2" s="86">
        <f>ROUNDUP(((((1-1/MAX(100%,過積載率!L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2" s="86">
        <f>ROUNDUP(((((1-1/MAX(100%,過積載率!M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2" s="86">
        <f>ROUNDUP(((((1-1/MAX(100%,過積載率!N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12" s="86">
        <f>ROUNDUP(((((1-1/MAX(100%,過積載率!O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12" s="86">
        <f>ROUNDUP(((((1-1/MAX(100%,過積載率!P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12" s="86">
        <f>ROUNDUP(((((1-1/MAX(100%,過積載率!Q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12" s="86">
        <f>ROUNDUP(((((1-1/MAX(100%,過積載率!R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12" s="86">
        <f>ROUNDUP(((((1-1/MAX(100%,過積載率!S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12" s="86">
        <f>ROUNDUP(((((1-1/MAX(100%,過積載率!T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12" s="86">
        <f>ROUNDUP(((((1-1/MAX(100%,過積載率!U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12" s="86">
        <f>ROUNDUP(((((1-1/MAX(100%,過積載率!V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45.65</v>
      </c>
      <c r="W12" s="86">
        <f>ROUNDUP(((((1-1/MAX(100%,過積載率!W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46.919999999999995</v>
      </c>
      <c r="X12" s="86">
        <f>ROUNDUP(((((1-1/MAX(100%,過積載率!X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47.61</v>
      </c>
      <c r="Y12" s="86">
        <f>ROUNDUP(((((1-1/MAX(100%,過積載率!Y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48.12</v>
      </c>
      <c r="Z12" s="86">
        <f>ROUNDUP(((((1-1/MAX(100%,過積載率!Z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48.519999999999996</v>
      </c>
      <c r="AA12" s="86">
        <f>ROUNDUP(((((1-1/MAX(100%,過積載率!AA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48.86</v>
      </c>
      <c r="AB12" s="86">
        <f>ROUNDUP(((((1-1/MAX(100%,過積載率!AB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49.15</v>
      </c>
      <c r="AC12" s="86">
        <f>ROUNDUP(((((1-1/MAX(100%,過積載率!AC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49.4</v>
      </c>
      <c r="AD12" s="86">
        <f>ROUNDUP(((((1-1/MAX(100%,過積載率!AD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49.62</v>
      </c>
      <c r="AE12" s="86">
        <f>ROUNDUP(((((1-1/MAX(100%,過積載率!AE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49.82</v>
      </c>
      <c r="AF12" s="86">
        <f>ROUNDUP(((((1-1/MAX(100%,過積載率!AF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v>
      </c>
      <c r="AG12" s="86">
        <f>ROUNDUP(((((1-1/MAX(100%,過積載率!AG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50.16</v>
      </c>
      <c r="AH12" s="86">
        <f>ROUNDUP(((((1-1/MAX(100%,過積載率!AH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50.309999999999995</v>
      </c>
      <c r="AI12" s="86">
        <f>ROUNDUP(((((1-1/MAX(100%,過積載率!AI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50.449999999999996</v>
      </c>
      <c r="AJ12" s="86">
        <f>ROUNDUP(((((1-1/MAX(100%,過積載率!AJ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50.57</v>
      </c>
      <c r="AK12" s="86">
        <f>ROUNDUP(((((1-1/MAX(100%,過積載率!AK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50.69</v>
      </c>
      <c r="AL12" s="86">
        <f>ROUNDUP(((((1-1/MAX(100%,過積載率!AL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50.8</v>
      </c>
      <c r="AM12" s="86">
        <f>ROUNDUP(((((1-1/MAX(100%,過積載率!AM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50.9</v>
      </c>
      <c r="AN12" s="86">
        <f>ROUNDUP(((((1-1/MAX(100%,過積載率!AN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50.989999999999995</v>
      </c>
      <c r="AO12" s="86">
        <f>ROUNDUP(((((1-1/MAX(100%,過積載率!AO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51.08</v>
      </c>
      <c r="AP12" s="86">
        <f>ROUNDUP(((((1-1/MAX(100%,過積載率!AP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2" s="86">
        <f>ROUNDUP(((((1-1/MAX(100%,過積載率!AQ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2" s="86">
        <f>ROUNDUP(((((1-1/MAX(100%,過積載率!AR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2" s="86">
        <f>ROUNDUP(((((1-1/MAX(100%,過積載率!AS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2" s="86">
        <f>ROUNDUP(((((1-1/MAX(100%,過積載率!AT12)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3" spans="1:46">
      <c r="A13">
        <v>11</v>
      </c>
      <c r="B13" s="86">
        <f>ROUNDUP(((((1-1/MAX(100%,過積載率!B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3" s="86">
        <f>ROUNDUP(((((1-1/MAX(100%,過積載率!C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3" s="86">
        <f>ROUNDUP(((((1-1/MAX(100%,過積載率!D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3" s="86">
        <f>ROUNDUP(((((1-1/MAX(100%,過積載率!E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3" s="86">
        <f>ROUNDUP(((((1-1/MAX(100%,過積載率!F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3" s="86">
        <f>ROUNDUP(((((1-1/MAX(100%,過積載率!G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3" s="86">
        <f>ROUNDUP(((((1-1/MAX(100%,過積載率!H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3" s="86">
        <f>ROUNDUP(((((1-1/MAX(100%,過積載率!I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3" s="86">
        <f>ROUNDUP(((((1-1/MAX(100%,過積載率!J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3" s="86">
        <f>ROUNDUP(((((1-1/MAX(100%,過積載率!K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3" s="86">
        <f>ROUNDUP(((((1-1/MAX(100%,過積載率!L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3" s="86">
        <f>ROUNDUP(((((1-1/MAX(100%,過積載率!M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3" s="86">
        <f>ROUNDUP(((((1-1/MAX(100%,過積載率!N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13" s="86">
        <f>ROUNDUP(((((1-1/MAX(100%,過積載率!O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13" s="86">
        <f>ROUNDUP(((((1-1/MAX(100%,過積載率!P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13" s="86">
        <f>ROUNDUP(((((1-1/MAX(100%,過積載率!Q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13" s="86">
        <f>ROUNDUP(((((1-1/MAX(100%,過積載率!R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13" s="86">
        <f>ROUNDUP(((((1-1/MAX(100%,過積載率!S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13" s="86">
        <f>ROUNDUP(((((1-1/MAX(100%,過積載率!T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45.36</v>
      </c>
      <c r="U13" s="86">
        <f>ROUNDUP(((((1-1/MAX(100%,過積載率!U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46.919999999999995</v>
      </c>
      <c r="V13" s="86">
        <f>ROUNDUP(((((1-1/MAX(100%,過積載率!V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47.669999999999995</v>
      </c>
      <c r="W13" s="86">
        <f>ROUNDUP(((((1-1/MAX(100%,過積載率!W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48.199999999999996</v>
      </c>
      <c r="X13" s="86">
        <f>ROUNDUP(((((1-1/MAX(100%,過積載率!X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48.629999999999995</v>
      </c>
      <c r="Y13" s="86">
        <f>ROUNDUP(((((1-1/MAX(100%,過積載率!Y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48.98</v>
      </c>
      <c r="Z13" s="86">
        <f>ROUNDUP(((((1-1/MAX(100%,過積載率!Z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49.28</v>
      </c>
      <c r="AA13" s="86">
        <f>ROUNDUP(((((1-1/MAX(100%,過積載率!AA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49.54</v>
      </c>
      <c r="AB13" s="86">
        <f>ROUNDUP(((((1-1/MAX(100%,過積載率!AB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49.76</v>
      </c>
      <c r="AC13" s="86">
        <f>ROUNDUP(((((1-1/MAX(100%,過積載率!AC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49.97</v>
      </c>
      <c r="AD13" s="86">
        <f>ROUNDUP(((((1-1/MAX(100%,過積載率!AD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50.15</v>
      </c>
      <c r="AE13" s="86">
        <f>ROUNDUP(((((1-1/MAX(100%,過積載率!AE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50.309999999999995</v>
      </c>
      <c r="AF13" s="86">
        <f>ROUNDUP(((((1-1/MAX(100%,過積載率!AF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50.46</v>
      </c>
      <c r="AG13" s="86">
        <f>ROUNDUP(((((1-1/MAX(100%,過積載率!AG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50.6</v>
      </c>
      <c r="AH13" s="86">
        <f>ROUNDUP(((((1-1/MAX(100%,過積載率!AH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50.72</v>
      </c>
      <c r="AI13" s="86">
        <f>ROUNDUP(((((1-1/MAX(100%,過積載率!AI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50.839999999999996</v>
      </c>
      <c r="AJ13" s="86">
        <f>ROUNDUP(((((1-1/MAX(100%,過積載率!AJ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50.94</v>
      </c>
      <c r="AK13" s="86">
        <f>ROUNDUP(((((1-1/MAX(100%,過積載率!AK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51.04</v>
      </c>
      <c r="AL13" s="86">
        <f>ROUNDUP(((((1-1/MAX(100%,過積載率!AL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51.129999999999995</v>
      </c>
      <c r="AM13" s="86">
        <f>ROUNDUP(((((1-1/MAX(100%,過積載率!AM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51.22</v>
      </c>
      <c r="AN13" s="86">
        <f>ROUNDUP(((((1-1/MAX(100%,過積載率!AN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v>
      </c>
      <c r="AO13" s="86">
        <f>ROUNDUP(((((1-1/MAX(100%,過積載率!AO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51.379999999999995</v>
      </c>
      <c r="AP13" s="86">
        <f>ROUNDUP(((((1-1/MAX(100%,過積載率!AP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3" s="86">
        <f>ROUNDUP(((((1-1/MAX(100%,過積載率!AQ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3" s="86">
        <f>ROUNDUP(((((1-1/MAX(100%,過積載率!AR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3" s="86">
        <f>ROUNDUP(((((1-1/MAX(100%,過積載率!AS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3" s="86">
        <f>ROUNDUP(((((1-1/MAX(100%,過積載率!AT13)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4" spans="1:46">
      <c r="A14">
        <v>12</v>
      </c>
      <c r="B14" s="86">
        <f>ROUNDUP(((((1-1/MAX(100%,過積載率!B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4" s="86">
        <f>ROUNDUP(((((1-1/MAX(100%,過積載率!C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4" s="86">
        <f>ROUNDUP(((((1-1/MAX(100%,過積載率!D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4" s="86">
        <f>ROUNDUP(((((1-1/MAX(100%,過積載率!E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4" s="86">
        <f>ROUNDUP(((((1-1/MAX(100%,過積載率!F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4" s="86">
        <f>ROUNDUP(((((1-1/MAX(100%,過積載率!G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4" s="86">
        <f>ROUNDUP(((((1-1/MAX(100%,過積載率!H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4" s="86">
        <f>ROUNDUP(((((1-1/MAX(100%,過積載率!I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4" s="86">
        <f>ROUNDUP(((((1-1/MAX(100%,過積載率!J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4" s="86">
        <f>ROUNDUP(((((1-1/MAX(100%,過積載率!K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4" s="86">
        <f>ROUNDUP(((((1-1/MAX(100%,過積載率!L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4" s="86">
        <f>ROUNDUP(((((1-1/MAX(100%,過積載率!M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4" s="86">
        <f>ROUNDUP(((((1-1/MAX(100%,過積載率!N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14" s="86">
        <f>ROUNDUP(((((1-1/MAX(100%,過積載率!O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14" s="86">
        <f>ROUNDUP(((((1-1/MAX(100%,過積載率!P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14" s="86">
        <f>ROUNDUP(((((1-1/MAX(100%,過積載率!Q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14" s="86">
        <f>ROUNDUP(((((1-1/MAX(100%,過積載率!R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14" s="86">
        <f>ROUNDUP(((((1-1/MAX(100%,過積載率!S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46.54</v>
      </c>
      <c r="T14" s="86">
        <f>ROUNDUP(((((1-1/MAX(100%,過積載率!T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47.489999999999995</v>
      </c>
      <c r="U14" s="86">
        <f>ROUNDUP(((((1-1/MAX(100%,過積載率!U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48.12</v>
      </c>
      <c r="V14" s="86">
        <f>ROUNDUP(((((1-1/MAX(100%,過積載率!V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48.589999999999996</v>
      </c>
      <c r="W14" s="86">
        <f>ROUNDUP(((((1-1/MAX(100%,過積載率!W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48.98</v>
      </c>
      <c r="X14" s="86">
        <f>ROUNDUP(((((1-1/MAX(100%,過積載率!X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49.3</v>
      </c>
      <c r="Y14" s="86">
        <f>ROUNDUP(((((1-1/MAX(100%,過積載率!Y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49.58</v>
      </c>
      <c r="Z14" s="86">
        <f>ROUNDUP(((((1-1/MAX(100%,過積載率!Z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49.82</v>
      </c>
      <c r="AA14" s="86">
        <f>ROUNDUP(((((1-1/MAX(100%,過積載率!AA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50.03</v>
      </c>
      <c r="AB14" s="86">
        <f>ROUNDUP(((((1-1/MAX(100%,過積載率!AB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50.22</v>
      </c>
      <c r="AC14" s="86">
        <f>ROUNDUP(((((1-1/MAX(100%,過積載率!AC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50.39</v>
      </c>
      <c r="AD14" s="86">
        <f>ROUNDUP(((((1-1/MAX(100%,過積載率!AD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50.55</v>
      </c>
      <c r="AE14" s="86">
        <f>ROUNDUP(((((1-1/MAX(100%,過積載率!AE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50.69</v>
      </c>
      <c r="AF14" s="86">
        <f>ROUNDUP(((((1-1/MAX(100%,過積載率!AF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50.82</v>
      </c>
      <c r="AG14" s="86">
        <f>ROUNDUP(((((1-1/MAX(100%,過積載率!AG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50.93</v>
      </c>
      <c r="AH14" s="86">
        <f>ROUNDUP(((((1-1/MAX(100%,過積載率!AH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51.04</v>
      </c>
      <c r="AI14" s="86">
        <f>ROUNDUP(((((1-1/MAX(100%,過積載率!AI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51.14</v>
      </c>
      <c r="AJ14" s="86">
        <f>ROUNDUP(((((1-1/MAX(100%,過積載率!AJ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51.239999999999995</v>
      </c>
      <c r="AK14" s="86">
        <f>ROUNDUP(((((1-1/MAX(100%,過積載率!AK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51.32</v>
      </c>
      <c r="AL14" s="86">
        <f>ROUNDUP(((((1-1/MAX(100%,過積載率!AL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51.4</v>
      </c>
      <c r="AM14" s="86">
        <f>ROUNDUP(((((1-1/MAX(100%,過積載率!AM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51.48</v>
      </c>
      <c r="AN14" s="86">
        <f>ROUNDUP(((((1-1/MAX(100%,過積載率!AN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51.55</v>
      </c>
      <c r="AO14" s="86">
        <f>ROUNDUP(((((1-1/MAX(100%,過積載率!AO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51.62</v>
      </c>
      <c r="AP14" s="86">
        <f>ROUNDUP(((((1-1/MAX(100%,過積載率!AP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4" s="86">
        <f>ROUNDUP(((((1-1/MAX(100%,過積載率!AQ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4" s="86">
        <f>ROUNDUP(((((1-1/MAX(100%,過積載率!AR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4" s="86">
        <f>ROUNDUP(((((1-1/MAX(100%,過積載率!AS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4" s="86">
        <f>ROUNDUP(((((1-1/MAX(100%,過積載率!AT14)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5" spans="1:46">
      <c r="A15">
        <v>13</v>
      </c>
      <c r="B15" s="86">
        <f>ROUNDUP(((((1-1/MAX(100%,過積載率!B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5" s="86">
        <f>ROUNDUP(((((1-1/MAX(100%,過積載率!C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5" s="86">
        <f>ROUNDUP(((((1-1/MAX(100%,過積載率!D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5" s="86">
        <f>ROUNDUP(((((1-1/MAX(100%,過積載率!E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5" s="86">
        <f>ROUNDUP(((((1-1/MAX(100%,過積載率!F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5" s="86">
        <f>ROUNDUP(((((1-1/MAX(100%,過積載率!G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5" s="86">
        <f>ROUNDUP(((((1-1/MAX(100%,過積載率!H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5" s="86">
        <f>ROUNDUP(((((1-1/MAX(100%,過積載率!I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5" s="86">
        <f>ROUNDUP(((((1-1/MAX(100%,過積載率!J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5" s="86">
        <f>ROUNDUP(((((1-1/MAX(100%,過積載率!K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5" s="86">
        <f>ROUNDUP(((((1-1/MAX(100%,過積載率!L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5" s="86">
        <f>ROUNDUP(((((1-1/MAX(100%,過積載率!M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5" s="86">
        <f>ROUNDUP(((((1-1/MAX(100%,過積載率!N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15" s="86">
        <f>ROUNDUP(((((1-1/MAX(100%,過積載率!O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15" s="86">
        <f>ROUNDUP(((((1-1/MAX(100%,過積載率!P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15" s="86">
        <f>ROUNDUP(((((1-1/MAX(100%,過積載率!Q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15" s="86">
        <f>ROUNDUP(((((1-1/MAX(100%,過積載率!R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v>
      </c>
      <c r="S15" s="86">
        <f>ROUNDUP(((((1-1/MAX(100%,過積載率!S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47.83</v>
      </c>
      <c r="T15" s="86">
        <f>ROUNDUP(((((1-1/MAX(100%,過積載率!T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48.41</v>
      </c>
      <c r="U15" s="86">
        <f>ROUNDUP(((((1-1/MAX(100%,過積載率!U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48.86</v>
      </c>
      <c r="V15" s="86">
        <f>ROUNDUP(((((1-1/MAX(100%,過積載率!V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49.23</v>
      </c>
      <c r="W15" s="86">
        <f>ROUNDUP(((((1-1/MAX(100%,過積載率!W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49.54</v>
      </c>
      <c r="X15" s="86">
        <f>ROUNDUP(((((1-1/MAX(100%,過積載率!X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49.8</v>
      </c>
      <c r="Y15" s="86">
        <f>ROUNDUP(((((1-1/MAX(100%,過積載率!Y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50.03</v>
      </c>
      <c r="Z15" s="86">
        <f>ROUNDUP(((((1-1/MAX(100%,過積載率!Z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50.239999999999995</v>
      </c>
      <c r="AA15" s="86">
        <f>ROUNDUP(((((1-1/MAX(100%,過積載率!AA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50.419999999999995</v>
      </c>
      <c r="AB15" s="86">
        <f>ROUNDUP(((((1-1/MAX(100%,過積載率!AB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50.58</v>
      </c>
      <c r="AC15" s="86">
        <f>ROUNDUP(((((1-1/MAX(100%,過積載率!AC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50.73</v>
      </c>
      <c r="AD15" s="86">
        <f>ROUNDUP(((((1-1/MAX(100%,過積載率!AD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50.87</v>
      </c>
      <c r="AE15" s="86">
        <f>ROUNDUP(((((1-1/MAX(100%,過積載率!AE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50.989999999999995</v>
      </c>
      <c r="AF15" s="86">
        <f>ROUNDUP(((((1-1/MAX(100%,過積載率!AF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51.1</v>
      </c>
      <c r="AG15" s="86">
        <f>ROUNDUP(((((1-1/MAX(100%,過積載率!AG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51.21</v>
      </c>
      <c r="AH15" s="86">
        <f>ROUNDUP(((((1-1/MAX(100%,過積載率!AH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v>
      </c>
      <c r="AI15" s="86">
        <f>ROUNDUP(((((1-1/MAX(100%,過積載率!AI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51.39</v>
      </c>
      <c r="AJ15" s="86">
        <f>ROUNDUP(((((1-1/MAX(100%,過積載率!AJ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51.47</v>
      </c>
      <c r="AK15" s="86">
        <f>ROUNDUP(((((1-1/MAX(100%,過積載率!AK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51.55</v>
      </c>
      <c r="AL15" s="86">
        <f>ROUNDUP(((((1-1/MAX(100%,過積載率!AL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51.62</v>
      </c>
      <c r="AM15" s="86">
        <f>ROUNDUP(((((1-1/MAX(100%,過積載率!AM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51.69</v>
      </c>
      <c r="AN15" s="86">
        <f>ROUNDUP(((((1-1/MAX(100%,過積載率!AN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51.75</v>
      </c>
      <c r="AO15" s="86">
        <f>ROUNDUP(((((1-1/MAX(100%,過積載率!AO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51.809999999999995</v>
      </c>
      <c r="AP15" s="86">
        <f>ROUNDUP(((((1-1/MAX(100%,過積載率!AP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5" s="86">
        <f>ROUNDUP(((((1-1/MAX(100%,過積載率!AQ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5" s="86">
        <f>ROUNDUP(((((1-1/MAX(100%,過積載率!AR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5" s="86">
        <f>ROUNDUP(((((1-1/MAX(100%,過積載率!AS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5" s="86">
        <f>ROUNDUP(((((1-1/MAX(100%,過積載率!AT15)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6" spans="1:46">
      <c r="A16">
        <v>14</v>
      </c>
      <c r="B16" s="86">
        <f>ROUNDUP(((((1-1/MAX(100%,過積載率!B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6" s="86">
        <f>ROUNDUP(((((1-1/MAX(100%,過積載率!C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6" s="86">
        <f>ROUNDUP(((((1-1/MAX(100%,過積載率!D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6" s="86">
        <f>ROUNDUP(((((1-1/MAX(100%,過積載率!E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6" s="86">
        <f>ROUNDUP(((((1-1/MAX(100%,過積載率!F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6" s="86">
        <f>ROUNDUP(((((1-1/MAX(100%,過積載率!G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6" s="86">
        <f>ROUNDUP(((((1-1/MAX(100%,過積載率!H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6" s="86">
        <f>ROUNDUP(((((1-1/MAX(100%,過積載率!I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6" s="86">
        <f>ROUNDUP(((((1-1/MAX(100%,過積載率!J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6" s="86">
        <f>ROUNDUP(((((1-1/MAX(100%,過積載率!K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6" s="86">
        <f>ROUNDUP(((((1-1/MAX(100%,過積載率!L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6" s="86">
        <f>ROUNDUP(((((1-1/MAX(100%,過積載率!M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6" s="86">
        <f>ROUNDUP(((((1-1/MAX(100%,過積載率!N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16" s="86">
        <f>ROUNDUP(((((1-1/MAX(100%,過積載率!O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16" s="86">
        <f>ROUNDUP(((((1-1/MAX(100%,過積載率!P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45.65</v>
      </c>
      <c r="Q16" s="86">
        <f>ROUNDUP(((((1-1/MAX(100%,過積載率!Q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47.23</v>
      </c>
      <c r="R16" s="86">
        <f>ROUNDUP(((((1-1/MAX(100%,過積載率!R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48.03</v>
      </c>
      <c r="S16" s="86">
        <f>ROUNDUP(((((1-1/MAX(100%,過積載率!S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48.589999999999996</v>
      </c>
      <c r="T16" s="86">
        <f>ROUNDUP(((((1-1/MAX(100%,過積載率!T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49.04</v>
      </c>
      <c r="U16" s="86">
        <f>ROUNDUP(((((1-1/MAX(100%,過積載率!U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49.4</v>
      </c>
      <c r="V16" s="86">
        <f>ROUNDUP(((((1-1/MAX(100%,過積載率!V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49.71</v>
      </c>
      <c r="W16" s="86">
        <f>ROUNDUP(((((1-1/MAX(100%,過積載率!W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49.97</v>
      </c>
      <c r="X16" s="86">
        <f>ROUNDUP(((((1-1/MAX(100%,過積載率!X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50.19</v>
      </c>
      <c r="Y16" s="86">
        <f>ROUNDUP(((((1-1/MAX(100%,過積載率!Y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50.39</v>
      </c>
      <c r="Z16" s="86">
        <f>ROUNDUP(((((1-1/MAX(100%,過積載率!Z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50.57</v>
      </c>
      <c r="AA16" s="86">
        <f>ROUNDUP(((((1-1/MAX(100%,過積載率!AA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50.73</v>
      </c>
      <c r="AB16" s="86">
        <f>ROUNDUP(((((1-1/MAX(100%,過積載率!AB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50.879999999999995</v>
      </c>
      <c r="AC16" s="86">
        <f>ROUNDUP(((((1-1/MAX(100%,過積載率!AC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51.01</v>
      </c>
      <c r="AD16" s="86">
        <f>ROUNDUP(((((1-1/MAX(100%,過積載率!AD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51.129999999999995</v>
      </c>
      <c r="AE16" s="86">
        <f>ROUNDUP(((((1-1/MAX(100%,過積載率!AE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51.239999999999995</v>
      </c>
      <c r="AF16" s="86">
        <f>ROUNDUP(((((1-1/MAX(100%,過積載率!AF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51.339999999999996</v>
      </c>
      <c r="AG16" s="86">
        <f>ROUNDUP(((((1-1/MAX(100%,過積載率!AG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51.43</v>
      </c>
      <c r="AH16" s="86">
        <f>ROUNDUP(((((1-1/MAX(100%,過積載率!AH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51.519999999999996</v>
      </c>
      <c r="AI16" s="86">
        <f>ROUNDUP(((((1-1/MAX(100%,過積載率!AI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v>
      </c>
      <c r="AJ16" s="86">
        <f>ROUNDUP(((((1-1/MAX(100%,過積載率!AJ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51.669999999999995</v>
      </c>
      <c r="AK16" s="86">
        <f>ROUNDUP(((((1-1/MAX(100%,過積載率!AK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51.739999999999995</v>
      </c>
      <c r="AL16" s="86">
        <f>ROUNDUP(((((1-1/MAX(100%,過積載率!AL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51.809999999999995</v>
      </c>
      <c r="AM16" s="86">
        <f>ROUNDUP(((((1-1/MAX(100%,過積載率!AM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51.87</v>
      </c>
      <c r="AN16" s="86">
        <f>ROUNDUP(((((1-1/MAX(100%,過積載率!AN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51.919999999999995</v>
      </c>
      <c r="AO16" s="86">
        <f>ROUNDUP(((((1-1/MAX(100%,過積載率!AO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51.98</v>
      </c>
      <c r="AP16" s="86">
        <f>ROUNDUP(((((1-1/MAX(100%,過積載率!AP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6" s="86">
        <f>ROUNDUP(((((1-1/MAX(100%,過積載率!AQ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6" s="86">
        <f>ROUNDUP(((((1-1/MAX(100%,過積載率!AR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6" s="86">
        <f>ROUNDUP(((((1-1/MAX(100%,過積載率!AS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6" s="86">
        <f>ROUNDUP(((((1-1/MAX(100%,過積載率!AT16)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7" spans="1:46">
      <c r="A17">
        <v>15</v>
      </c>
      <c r="B17" s="86">
        <f>ROUNDUP(((((1-1/MAX(100%,過積載率!B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7" s="86">
        <f>ROUNDUP(((((1-1/MAX(100%,過積載率!C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7" s="86">
        <f>ROUNDUP(((((1-1/MAX(100%,過積載率!D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7" s="86">
        <f>ROUNDUP(((((1-1/MAX(100%,過積載率!E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7" s="86">
        <f>ROUNDUP(((((1-1/MAX(100%,過積載率!F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7" s="86">
        <f>ROUNDUP(((((1-1/MAX(100%,過積載率!G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7" s="86">
        <f>ROUNDUP(((((1-1/MAX(100%,過積載率!H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7" s="86">
        <f>ROUNDUP(((((1-1/MAX(100%,過積載率!I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7" s="86">
        <f>ROUNDUP(((((1-1/MAX(100%,過積載率!J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7" s="86">
        <f>ROUNDUP(((((1-1/MAX(100%,過積載率!K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7" s="86">
        <f>ROUNDUP(((((1-1/MAX(100%,過積載率!L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7" s="86">
        <f>ROUNDUP(((((1-1/MAX(100%,過積載率!M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7" s="86">
        <f>ROUNDUP(((((1-1/MAX(100%,過積載率!N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17" s="86">
        <f>ROUNDUP(((((1-1/MAX(100%,過積載率!O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45.65</v>
      </c>
      <c r="P17" s="86">
        <f>ROUNDUP(((((1-1/MAX(100%,過積載率!P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47.3</v>
      </c>
      <c r="Q17" s="86">
        <f>ROUNDUP(((((1-1/MAX(100%,過積載率!Q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48.12</v>
      </c>
      <c r="R17" s="86">
        <f>ROUNDUP(((((1-1/MAX(100%,過積載率!R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48.699999999999996</v>
      </c>
      <c r="S17" s="86">
        <f>ROUNDUP(((((1-1/MAX(100%,過積載率!S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49.15</v>
      </c>
      <c r="T17" s="86">
        <f>ROUNDUP(((((1-1/MAX(100%,過積載率!T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49.519999999999996</v>
      </c>
      <c r="U17" s="86">
        <f>ROUNDUP(((((1-1/MAX(100%,過積載率!U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49.82</v>
      </c>
      <c r="V17" s="86">
        <f>ROUNDUP(((((1-1/MAX(100%,過積載率!V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50.08</v>
      </c>
      <c r="W17" s="86">
        <f>ROUNDUP(((((1-1/MAX(100%,過積載率!W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50.309999999999995</v>
      </c>
      <c r="X17" s="86">
        <f>ROUNDUP(((((1-1/MAX(100%,過積載率!X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50.51</v>
      </c>
      <c r="Y17" s="86">
        <f>ROUNDUP(((((1-1/MAX(100%,過積載率!Y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50.69</v>
      </c>
      <c r="Z17" s="86">
        <f>ROUNDUP(((((1-1/MAX(100%,過積載率!Z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50.85</v>
      </c>
      <c r="AA17" s="86">
        <f>ROUNDUP(((((1-1/MAX(100%,過積載率!AA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50.989999999999995</v>
      </c>
      <c r="AB17" s="86">
        <f>ROUNDUP(((((1-1/MAX(100%,過積載率!AB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51.12</v>
      </c>
      <c r="AC17" s="86">
        <f>ROUNDUP(((((1-1/MAX(100%,過積載率!AC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51.239999999999995</v>
      </c>
      <c r="AD17" s="86">
        <f>ROUNDUP(((((1-1/MAX(100%,過積載率!AD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51.339999999999996</v>
      </c>
      <c r="AE17" s="86">
        <f>ROUNDUP(((((1-1/MAX(100%,過積載率!AE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51.44</v>
      </c>
      <c r="AF17" s="86">
        <f>ROUNDUP(((((1-1/MAX(100%,過積載率!AF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51.53</v>
      </c>
      <c r="AG17" s="86">
        <f>ROUNDUP(((((1-1/MAX(100%,過積載率!AG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51.62</v>
      </c>
      <c r="AH17" s="86">
        <f>ROUNDUP(((((1-1/MAX(100%,過積載率!AH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51.699999999999996</v>
      </c>
      <c r="AI17" s="86">
        <f>ROUNDUP(((((1-1/MAX(100%,過積載率!AI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51.769999999999996</v>
      </c>
      <c r="AJ17" s="86">
        <f>ROUNDUP(((((1-1/MAX(100%,過積載率!AJ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51.839999999999996</v>
      </c>
      <c r="AK17" s="86">
        <f>ROUNDUP(((((1-1/MAX(100%,過積載率!AK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v>
      </c>
      <c r="AL17" s="86">
        <f>ROUNDUP(((((1-1/MAX(100%,過積載率!AL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51.96</v>
      </c>
      <c r="AM17" s="86">
        <f>ROUNDUP(((((1-1/MAX(100%,過積載率!AM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52.019999999999996</v>
      </c>
      <c r="AN17" s="86">
        <f>ROUNDUP(((((1-1/MAX(100%,過積載率!AN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52.07</v>
      </c>
      <c r="AO17" s="86">
        <f>ROUNDUP(((((1-1/MAX(100%,過積載率!AO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52.12</v>
      </c>
      <c r="AP17" s="86">
        <f>ROUNDUP(((((1-1/MAX(100%,過積載率!AP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7" s="86">
        <f>ROUNDUP(((((1-1/MAX(100%,過積載率!AQ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7" s="86">
        <f>ROUNDUP(((((1-1/MAX(100%,過積載率!AR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7" s="86">
        <f>ROUNDUP(((((1-1/MAX(100%,過積載率!AS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7" s="86">
        <f>ROUNDUP(((((1-1/MAX(100%,過積載率!AT17)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8" spans="1:46">
      <c r="A18">
        <v>16</v>
      </c>
      <c r="B18" s="86">
        <f>ROUNDUP(((((1-1/MAX(100%,過積載率!B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8" s="86">
        <f>ROUNDUP(((((1-1/MAX(100%,過積載率!C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8" s="86">
        <f>ROUNDUP(((((1-1/MAX(100%,過積載率!D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8" s="86">
        <f>ROUNDUP(((((1-1/MAX(100%,過積載率!E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8" s="86">
        <f>ROUNDUP(((((1-1/MAX(100%,過積載率!F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8" s="86">
        <f>ROUNDUP(((((1-1/MAX(100%,過積載率!G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8" s="86">
        <f>ROUNDUP(((((1-1/MAX(100%,過積載率!H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8" s="86">
        <f>ROUNDUP(((((1-1/MAX(100%,過積載率!I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8" s="86">
        <f>ROUNDUP(((((1-1/MAX(100%,過積載率!J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8" s="86">
        <f>ROUNDUP(((((1-1/MAX(100%,過積載率!K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8" s="86">
        <f>ROUNDUP(((((1-1/MAX(100%,過積載率!L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8" s="86">
        <f>ROUNDUP(((((1-1/MAX(100%,過積載率!M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8" s="86">
        <f>ROUNDUP(((((1-1/MAX(100%,過積載率!N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18" s="86">
        <f>ROUNDUP(((((1-1/MAX(100%,過積載率!O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47.23</v>
      </c>
      <c r="P18" s="86">
        <f>ROUNDUP(((((1-1/MAX(100%,過積載率!P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48.12</v>
      </c>
      <c r="Q18" s="86">
        <f>ROUNDUP(((((1-1/MAX(100%,過積載率!Q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48.73</v>
      </c>
      <c r="R18" s="86">
        <f>ROUNDUP(((((1-1/MAX(100%,過積載率!R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49.199999999999996</v>
      </c>
      <c r="S18" s="86">
        <f>ROUNDUP(((((1-1/MAX(100%,過積載率!S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49.58</v>
      </c>
      <c r="T18" s="86">
        <f>ROUNDUP(((((1-1/MAX(100%,過積載率!T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49.9</v>
      </c>
      <c r="U18" s="86">
        <f>ROUNDUP(((((1-1/MAX(100%,過積載率!U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50.16</v>
      </c>
      <c r="V18" s="86">
        <f>ROUNDUP(((((1-1/MAX(100%,過積載率!V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50.39</v>
      </c>
      <c r="W18" s="86">
        <f>ROUNDUP(((((1-1/MAX(100%,過積載率!W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50.6</v>
      </c>
      <c r="X18" s="86">
        <f>ROUNDUP(((((1-1/MAX(100%,過積載率!X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50.78</v>
      </c>
      <c r="Y18" s="86">
        <f>ROUNDUP(((((1-1/MAX(100%,過積載率!Y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50.93</v>
      </c>
      <c r="Z18" s="86">
        <f>ROUNDUP(((((1-1/MAX(100%,過積載率!Z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51.08</v>
      </c>
      <c r="AA18" s="86">
        <f>ROUNDUP(((((1-1/MAX(100%,過積載率!AA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51.21</v>
      </c>
      <c r="AB18" s="86">
        <f>ROUNDUP(((((1-1/MAX(100%,過積載率!AB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51.32</v>
      </c>
      <c r="AC18" s="86">
        <f>ROUNDUP(((((1-1/MAX(100%,過積載率!AC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51.43</v>
      </c>
      <c r="AD18" s="86">
        <f>ROUNDUP(((((1-1/MAX(100%,過積載率!AD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51.53</v>
      </c>
      <c r="AE18" s="86">
        <f>ROUNDUP(((((1-1/MAX(100%,過積載率!AE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51.62</v>
      </c>
      <c r="AF18" s="86">
        <f>ROUNDUP(((((1-1/MAX(100%,過積載率!AF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51.699999999999996</v>
      </c>
      <c r="AG18" s="86">
        <f>ROUNDUP(((((1-1/MAX(100%,過積載率!AG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51.78</v>
      </c>
      <c r="AH18" s="86">
        <f>ROUNDUP(((((1-1/MAX(100%,過積載率!AH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51.85</v>
      </c>
      <c r="AI18" s="86">
        <f>ROUNDUP(((((1-1/MAX(100%,過積載率!AI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51.919999999999995</v>
      </c>
      <c r="AJ18" s="86">
        <f>ROUNDUP(((((1-1/MAX(100%,過積載率!AJ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51.98</v>
      </c>
      <c r="AK18" s="86">
        <f>ROUNDUP(((((1-1/MAX(100%,過積載率!AK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52.04</v>
      </c>
      <c r="AL18" s="86">
        <f>ROUNDUP(((((1-1/MAX(100%,過積載率!AL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52.089999999999996</v>
      </c>
      <c r="AM18" s="86">
        <f>ROUNDUP(((((1-1/MAX(100%,過積載率!AM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52.14</v>
      </c>
      <c r="AN18" s="86">
        <f>ROUNDUP(((((1-1/MAX(100%,過積載率!AN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52.19</v>
      </c>
      <c r="AO18" s="86">
        <f>ROUNDUP(((((1-1/MAX(100%,過積載率!AO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52.239999999999995</v>
      </c>
      <c r="AP18" s="86">
        <f>ROUNDUP(((((1-1/MAX(100%,過積載率!AP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8" s="86">
        <f>ROUNDUP(((((1-1/MAX(100%,過積載率!AQ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8" s="86">
        <f>ROUNDUP(((((1-1/MAX(100%,過積載率!AR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8" s="86">
        <f>ROUNDUP(((((1-1/MAX(100%,過積載率!AS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8" s="86">
        <f>ROUNDUP(((((1-1/MAX(100%,過積載率!AT18)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19" spans="1:46">
      <c r="A19">
        <v>17</v>
      </c>
      <c r="B19" s="86">
        <f>ROUNDUP(((((1-1/MAX(100%,過積載率!B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19" s="86">
        <f>ROUNDUP(((((1-1/MAX(100%,過積載率!C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19" s="86">
        <f>ROUNDUP(((((1-1/MAX(100%,過積載率!D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19" s="86">
        <f>ROUNDUP(((((1-1/MAX(100%,過積載率!E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19" s="86">
        <f>ROUNDUP(((((1-1/MAX(100%,過積載率!F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19" s="86">
        <f>ROUNDUP(((((1-1/MAX(100%,過積載率!G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19" s="86">
        <f>ROUNDUP(((((1-1/MAX(100%,過積載率!H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19" s="86">
        <f>ROUNDUP(((((1-1/MAX(100%,過積載率!I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19" s="86">
        <f>ROUNDUP(((((1-1/MAX(100%,過積載率!J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19" s="86">
        <f>ROUNDUP(((((1-1/MAX(100%,過積載率!K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19" s="86">
        <f>ROUNDUP(((((1-1/MAX(100%,過積載率!L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19" s="86">
        <f>ROUNDUP(((((1-1/MAX(100%,過積載率!M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19" s="86">
        <f>ROUNDUP(((((1-1/MAX(100%,過積載率!N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v>
      </c>
      <c r="O19" s="86">
        <f>ROUNDUP(((((1-1/MAX(100%,過積載率!O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48.03</v>
      </c>
      <c r="P19" s="86">
        <f>ROUNDUP(((((1-1/MAX(100%,過積載率!P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48.699999999999996</v>
      </c>
      <c r="Q19" s="86">
        <f>ROUNDUP(((((1-1/MAX(100%,過積載率!Q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49.199999999999996</v>
      </c>
      <c r="R19" s="86">
        <f>ROUNDUP(((((1-1/MAX(100%,過積載率!R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49.6</v>
      </c>
      <c r="S19" s="86">
        <f>ROUNDUP(((((1-1/MAX(100%,過積載率!S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49.93</v>
      </c>
      <c r="T19" s="86">
        <f>ROUNDUP(((((1-1/MAX(100%,過積載率!T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50.21</v>
      </c>
      <c r="U19" s="86">
        <f>ROUNDUP(((((1-1/MAX(100%,過積載率!U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50.449999999999996</v>
      </c>
      <c r="V19" s="86">
        <f>ROUNDUP(((((1-1/MAX(100%,過積載率!V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50.65</v>
      </c>
      <c r="W19" s="86">
        <f>ROUNDUP(((((1-1/MAX(100%,過積載率!W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50.839999999999996</v>
      </c>
      <c r="X19" s="86">
        <f>ROUNDUP(((((1-1/MAX(100%,過積載率!X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v>
      </c>
      <c r="Y19" s="86">
        <f>ROUNDUP(((((1-1/MAX(100%,過積載率!Y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51.14</v>
      </c>
      <c r="Z19" s="86">
        <f>ROUNDUP(((((1-1/MAX(100%,過積載率!Z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51.269999999999996</v>
      </c>
      <c r="AA19" s="86">
        <f>ROUNDUP(((((1-1/MAX(100%,過積載率!AA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51.39</v>
      </c>
      <c r="AB19" s="86">
        <f>ROUNDUP(((((1-1/MAX(100%,過積載率!AB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51.5</v>
      </c>
      <c r="AC19" s="86">
        <f>ROUNDUP(((((1-1/MAX(100%,過積載率!AC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v>
      </c>
      <c r="AD19" s="86">
        <f>ROUNDUP(((((1-1/MAX(100%,過積載率!AD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51.69</v>
      </c>
      <c r="AE19" s="86">
        <f>ROUNDUP(((((1-1/MAX(100%,過積載率!AE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51.769999999999996</v>
      </c>
      <c r="AF19" s="86">
        <f>ROUNDUP(((((1-1/MAX(100%,過積載率!AF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51.85</v>
      </c>
      <c r="AG19" s="86">
        <f>ROUNDUP(((((1-1/MAX(100%,過積載率!AG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51.919999999999995</v>
      </c>
      <c r="AH19" s="86">
        <f>ROUNDUP(((((1-1/MAX(100%,過積載率!AH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51.98</v>
      </c>
      <c r="AI19" s="86">
        <f>ROUNDUP(((((1-1/MAX(100%,過積載率!AI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52.04</v>
      </c>
      <c r="AJ19" s="86">
        <f>ROUNDUP(((((1-1/MAX(100%,過積載率!AJ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52.1</v>
      </c>
      <c r="AK19" s="86">
        <f>ROUNDUP(((((1-1/MAX(100%,過積載率!AK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52.16</v>
      </c>
      <c r="AL19" s="86">
        <f>ROUNDUP(((((1-1/MAX(100%,過積載率!AL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52.21</v>
      </c>
      <c r="AM19" s="86">
        <f>ROUNDUP(((((1-1/MAX(100%,過積載率!AM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52.25</v>
      </c>
      <c r="AN19" s="86">
        <f>ROUNDUP(((((1-1/MAX(100%,過積載率!AN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52.3</v>
      </c>
      <c r="AO19" s="86">
        <f>ROUNDUP(((((1-1/MAX(100%,過積載率!AO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52.339999999999996</v>
      </c>
      <c r="AP19" s="86">
        <f>ROUNDUP(((((1-1/MAX(100%,過積載率!AP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19" s="86">
        <f>ROUNDUP(((((1-1/MAX(100%,過積載率!AQ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19" s="86">
        <f>ROUNDUP(((((1-1/MAX(100%,過積載率!AR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19" s="86">
        <f>ROUNDUP(((((1-1/MAX(100%,過積載率!AS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19" s="86">
        <f>ROUNDUP(((((1-1/MAX(100%,過積載率!AT19)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0" spans="1:46">
      <c r="A20">
        <v>18</v>
      </c>
      <c r="B20" s="86">
        <f>ROUNDUP(((((1-1/MAX(100%,過積載率!B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0" s="86">
        <f>ROUNDUP(((((1-1/MAX(100%,過積載率!C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0" s="86">
        <f>ROUNDUP(((((1-1/MAX(100%,過積載率!D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0" s="86">
        <f>ROUNDUP(((((1-1/MAX(100%,過積載率!E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0" s="86">
        <f>ROUNDUP(((((1-1/MAX(100%,過積載率!F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0" s="86">
        <f>ROUNDUP(((((1-1/MAX(100%,過積載率!G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0" s="86">
        <f>ROUNDUP(((((1-1/MAX(100%,過積載率!H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0" s="86">
        <f>ROUNDUP(((((1-1/MAX(100%,過積載率!I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0" s="86">
        <f>ROUNDUP(((((1-1/MAX(100%,過積載率!J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0" s="86">
        <f>ROUNDUP(((((1-1/MAX(100%,過積載率!K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0" s="86">
        <f>ROUNDUP(((((1-1/MAX(100%,過積載率!L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0" s="86">
        <f>ROUNDUP(((((1-1/MAX(100%,過積載率!M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46.54</v>
      </c>
      <c r="N20" s="86">
        <f>ROUNDUP(((((1-1/MAX(100%,過積載率!N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47.83</v>
      </c>
      <c r="O20" s="86">
        <f>ROUNDUP(((((1-1/MAX(100%,過積載率!O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48.589999999999996</v>
      </c>
      <c r="P20" s="86">
        <f>ROUNDUP(((((1-1/MAX(100%,過積載率!P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49.15</v>
      </c>
      <c r="Q20" s="86">
        <f>ROUNDUP(((((1-1/MAX(100%,過積載率!Q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49.58</v>
      </c>
      <c r="R20" s="86">
        <f>ROUNDUP(((((1-1/MAX(100%,過積載率!R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49.93</v>
      </c>
      <c r="S20" s="86">
        <f>ROUNDUP(((((1-1/MAX(100%,過積載率!S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50.22</v>
      </c>
      <c r="T20" s="86">
        <f>ROUNDUP(((((1-1/MAX(100%,過積載率!T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50.47</v>
      </c>
      <c r="U20" s="86">
        <f>ROUNDUP(((((1-1/MAX(100%,過積載率!U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50.69</v>
      </c>
      <c r="V20" s="86">
        <f>ROUNDUP(((((1-1/MAX(100%,過積載率!V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50.879999999999995</v>
      </c>
      <c r="W20" s="86">
        <f>ROUNDUP(((((1-1/MAX(100%,過積載率!W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51.04</v>
      </c>
      <c r="X20" s="86">
        <f>ROUNDUP(((((1-1/MAX(100%,過積載率!X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51.19</v>
      </c>
      <c r="Y20" s="86">
        <f>ROUNDUP(((((1-1/MAX(100%,過積載率!Y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51.32</v>
      </c>
      <c r="Z20" s="86">
        <f>ROUNDUP(((((1-1/MAX(100%,過積載率!Z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51.44</v>
      </c>
      <c r="AA20" s="86">
        <f>ROUNDUP(((((1-1/MAX(100%,過積載率!AA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51.55</v>
      </c>
      <c r="AB20" s="86">
        <f>ROUNDUP(((((1-1/MAX(100%,過積載率!AB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51.65</v>
      </c>
      <c r="AC20" s="86">
        <f>ROUNDUP(((((1-1/MAX(100%,過積載率!AC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51.739999999999995</v>
      </c>
      <c r="AD20" s="86">
        <f>ROUNDUP(((((1-1/MAX(100%,過積載率!AD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51.82</v>
      </c>
      <c r="AE20" s="86">
        <f>ROUNDUP(((((1-1/MAX(100%,過積載率!AE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v>
      </c>
      <c r="AF20" s="86">
        <f>ROUNDUP(((((1-1/MAX(100%,過積載率!AF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51.97</v>
      </c>
      <c r="AG20" s="86">
        <f>ROUNDUP(((((1-1/MAX(100%,過積載率!AG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52.04</v>
      </c>
      <c r="AH20" s="86">
        <f>ROUNDUP(((((1-1/MAX(100%,過積載率!AH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52.1</v>
      </c>
      <c r="AI20" s="86">
        <f>ROUNDUP(((((1-1/MAX(100%,過積載率!AI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52.16</v>
      </c>
      <c r="AJ20" s="86">
        <f>ROUNDUP(((((1-1/MAX(100%,過積載率!AJ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52.21</v>
      </c>
      <c r="AK20" s="86">
        <f>ROUNDUP(((((1-1/MAX(100%,過積載率!AK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52.26</v>
      </c>
      <c r="AL20" s="86">
        <f>ROUNDUP(((((1-1/MAX(100%,過積載率!AL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52.309999999999995</v>
      </c>
      <c r="AM20" s="86">
        <f>ROUNDUP(((((1-1/MAX(100%,過積載率!AM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52.35</v>
      </c>
      <c r="AN20" s="86">
        <f>ROUNDUP(((((1-1/MAX(100%,過積載率!AN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52.39</v>
      </c>
      <c r="AO20" s="86">
        <f>ROUNDUP(((((1-1/MAX(100%,過積載率!AO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52.43</v>
      </c>
      <c r="AP20" s="86">
        <f>ROUNDUP(((((1-1/MAX(100%,過積載率!AP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0" s="86">
        <f>ROUNDUP(((((1-1/MAX(100%,過積載率!AQ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0" s="86">
        <f>ROUNDUP(((((1-1/MAX(100%,過積載率!AR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0" s="86">
        <f>ROUNDUP(((((1-1/MAX(100%,過積載率!AS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0" s="86">
        <f>ROUNDUP(((((1-1/MAX(100%,過積載率!AT20)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1" spans="1:46">
      <c r="A21">
        <v>19</v>
      </c>
      <c r="B21" s="86">
        <f>ROUNDUP(((((1-1/MAX(100%,過積載率!B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1" s="86">
        <f>ROUNDUP(((((1-1/MAX(100%,過積載率!C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1" s="86">
        <f>ROUNDUP(((((1-1/MAX(100%,過積載率!D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1" s="86">
        <f>ROUNDUP(((((1-1/MAX(100%,過積載率!E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1" s="86">
        <f>ROUNDUP(((((1-1/MAX(100%,過積載率!F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1" s="86">
        <f>ROUNDUP(((((1-1/MAX(100%,過積載率!G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1" s="86">
        <f>ROUNDUP(((((1-1/MAX(100%,過積載率!H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1" s="86">
        <f>ROUNDUP(((((1-1/MAX(100%,過積載率!I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1" s="86">
        <f>ROUNDUP(((((1-1/MAX(100%,過積載率!J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1" s="86">
        <f>ROUNDUP(((((1-1/MAX(100%,過積載率!K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1" s="86">
        <f>ROUNDUP(((((1-1/MAX(100%,過積載率!L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1" s="86">
        <f>ROUNDUP(((((1-1/MAX(100%,過積載率!M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21" s="86">
        <f>ROUNDUP(((((1-1/MAX(100%,過積載率!N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21" s="86">
        <f>ROUNDUP(((((1-1/MAX(100%,過積載率!O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21" s="86">
        <f>ROUNDUP(((((1-1/MAX(100%,過積載率!P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21" s="86">
        <f>ROUNDUP(((((1-1/MAX(100%,過積載率!Q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21" s="86">
        <f>ROUNDUP(((((1-1/MAX(100%,過積載率!R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21" s="86">
        <f>ROUNDUP(((((1-1/MAX(100%,過積載率!S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21" s="86">
        <f>ROUNDUP(((((1-1/MAX(100%,過積載率!T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21" s="86">
        <f>ROUNDUP(((((1-1/MAX(100%,過積載率!U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21" s="86">
        <f>ROUNDUP(((((1-1/MAX(100%,過積載率!V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21" s="86">
        <f>ROUNDUP(((((1-1/MAX(100%,過積載率!W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21" s="86">
        <f>ROUNDUP(((((1-1/MAX(100%,過積載率!X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21" s="86">
        <f>ROUNDUP(((((1-1/MAX(100%,過積載率!Y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21" s="86">
        <f>ROUNDUP(((((1-1/MAX(100%,過積載率!Z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21" s="86">
        <f>ROUNDUP(((((1-1/MAX(100%,過積載率!AA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21" s="86">
        <f>ROUNDUP(((((1-1/MAX(100%,過積載率!AB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21" s="86">
        <f>ROUNDUP(((((1-1/MAX(100%,過積載率!AC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21" s="86">
        <f>ROUNDUP(((((1-1/MAX(100%,過積載率!AD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21" s="86">
        <f>ROUNDUP(((((1-1/MAX(100%,過積載率!AE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21" s="86">
        <f>ROUNDUP(((((1-1/MAX(100%,過積載率!AF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21" s="86">
        <f>ROUNDUP(((((1-1/MAX(100%,過積載率!AG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21" s="86">
        <f>ROUNDUP(((((1-1/MAX(100%,過積載率!AH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21" s="86">
        <f>ROUNDUP(((((1-1/MAX(100%,過積載率!AI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21" s="86">
        <f>ROUNDUP(((((1-1/MAX(100%,過積載率!AJ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21" s="86">
        <f>ROUNDUP(((((1-1/MAX(100%,過積載率!AK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21" s="86">
        <f>ROUNDUP(((((1-1/MAX(100%,過積載率!AL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21" s="86">
        <f>ROUNDUP(((((1-1/MAX(100%,過積載率!AM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21" s="86">
        <f>ROUNDUP(((((1-1/MAX(100%,過積載率!AN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21" s="86">
        <f>ROUNDUP(((((1-1/MAX(100%,過積載率!AO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21" s="86">
        <f>ROUNDUP(((((1-1/MAX(100%,過積載率!AP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1" s="86">
        <f>ROUNDUP(((((1-1/MAX(100%,過積載率!AQ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1" s="86">
        <f>ROUNDUP(((((1-1/MAX(100%,過積載率!AR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1" s="86">
        <f>ROUNDUP(((((1-1/MAX(100%,過積載率!AS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1" s="86">
        <f>ROUNDUP(((((1-1/MAX(100%,過積載率!AT21)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2" spans="1:46">
      <c r="A22">
        <v>20</v>
      </c>
      <c r="B22" s="86">
        <f>ROUNDUP(((((1-1/MAX(100%,過積載率!B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2" s="86">
        <f>ROUNDUP(((((1-1/MAX(100%,過積載率!C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2" s="86">
        <f>ROUNDUP(((((1-1/MAX(100%,過積載率!D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2" s="86">
        <f>ROUNDUP(((((1-1/MAX(100%,過積載率!E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2" s="86">
        <f>ROUNDUP(((((1-1/MAX(100%,過積載率!F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2" s="86">
        <f>ROUNDUP(((((1-1/MAX(100%,過積載率!G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2" s="86">
        <f>ROUNDUP(((((1-1/MAX(100%,過積載率!H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2" s="86">
        <f>ROUNDUP(((((1-1/MAX(100%,過積載率!I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2" s="86">
        <f>ROUNDUP(((((1-1/MAX(100%,過積載率!J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2" s="86">
        <f>ROUNDUP(((((1-1/MAX(100%,過積載率!K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2" s="86">
        <f>ROUNDUP(((((1-1/MAX(100%,過積載率!L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2" s="86">
        <f>ROUNDUP(((((1-1/MAX(100%,過積載率!M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22" s="86">
        <f>ROUNDUP(((((1-1/MAX(100%,過積載率!N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22" s="86">
        <f>ROUNDUP(((((1-1/MAX(100%,過積載率!O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22" s="86">
        <f>ROUNDUP(((((1-1/MAX(100%,過積載率!P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22" s="86">
        <f>ROUNDUP(((((1-1/MAX(100%,過積載率!Q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22" s="86">
        <f>ROUNDUP(((((1-1/MAX(100%,過積載率!R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22" s="86">
        <f>ROUNDUP(((((1-1/MAX(100%,過積載率!S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22" s="86">
        <f>ROUNDUP(((((1-1/MAX(100%,過積載率!T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22" s="86">
        <f>ROUNDUP(((((1-1/MAX(100%,過積載率!U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22" s="86">
        <f>ROUNDUP(((((1-1/MAX(100%,過積載率!V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22" s="86">
        <f>ROUNDUP(((((1-1/MAX(100%,過積載率!W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22" s="86">
        <f>ROUNDUP(((((1-1/MAX(100%,過積載率!X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22" s="86">
        <f>ROUNDUP(((((1-1/MAX(100%,過積載率!Y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22" s="86">
        <f>ROUNDUP(((((1-1/MAX(100%,過積載率!Z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22" s="86">
        <f>ROUNDUP(((((1-1/MAX(100%,過積載率!AA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22" s="86">
        <f>ROUNDUP(((((1-1/MAX(100%,過積載率!AB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22" s="86">
        <f>ROUNDUP(((((1-1/MAX(100%,過積載率!AC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22" s="86">
        <f>ROUNDUP(((((1-1/MAX(100%,過積載率!AD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22" s="86">
        <f>ROUNDUP(((((1-1/MAX(100%,過積載率!AE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22" s="86">
        <f>ROUNDUP(((((1-1/MAX(100%,過積載率!AF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22" s="86">
        <f>ROUNDUP(((((1-1/MAX(100%,過積載率!AG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22" s="86">
        <f>ROUNDUP(((((1-1/MAX(100%,過積載率!AH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22" s="86">
        <f>ROUNDUP(((((1-1/MAX(100%,過積載率!AI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22" s="86">
        <f>ROUNDUP(((((1-1/MAX(100%,過積載率!AJ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22" s="86">
        <f>ROUNDUP(((((1-1/MAX(100%,過積載率!AK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22" s="86">
        <f>ROUNDUP(((((1-1/MAX(100%,過積載率!AL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22" s="86">
        <f>ROUNDUP(((((1-1/MAX(100%,過積載率!AM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22" s="86">
        <f>ROUNDUP(((((1-1/MAX(100%,過積載率!AN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22" s="86">
        <f>ROUNDUP(((((1-1/MAX(100%,過積載率!AO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22" s="86">
        <f>ROUNDUP(((((1-1/MAX(100%,過積載率!AP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2" s="86">
        <f>ROUNDUP(((((1-1/MAX(100%,過積載率!AQ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2" s="86">
        <f>ROUNDUP(((((1-1/MAX(100%,過積載率!AR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2" s="86">
        <f>ROUNDUP(((((1-1/MAX(100%,過積載率!AS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2" s="86">
        <f>ROUNDUP(((((1-1/MAX(100%,過積載率!AT22))^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3" spans="1:46">
      <c r="A23">
        <v>21</v>
      </c>
      <c r="B23" s="86">
        <f>ROUNDUP(((((1-1/MAX(100%,過積載率!B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3" s="86">
        <f>ROUNDUP(((((1-1/MAX(100%,過積載率!C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3" s="86">
        <f>ROUNDUP(((((1-1/MAX(100%,過積載率!D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3" s="86">
        <f>ROUNDUP(((((1-1/MAX(100%,過積載率!E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3" s="86">
        <f>ROUNDUP(((((1-1/MAX(100%,過積載率!F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3" s="86">
        <f>ROUNDUP(((((1-1/MAX(100%,過積載率!G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3" s="86">
        <f>ROUNDUP(((((1-1/MAX(100%,過積載率!H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3" s="86">
        <f>ROUNDUP(((((1-1/MAX(100%,過積載率!I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3" s="86">
        <f>ROUNDUP(((((1-1/MAX(100%,過積載率!J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3" s="86">
        <f>ROUNDUP(((((1-1/MAX(100%,過積載率!K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3" s="86">
        <f>ROUNDUP(((((1-1/MAX(100%,過積載率!L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3" s="86">
        <f>ROUNDUP(((((1-1/MAX(100%,過積載率!M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23" s="86">
        <f>ROUNDUP(((((1-1/MAX(100%,過積載率!N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23" s="86">
        <f>ROUNDUP(((((1-1/MAX(100%,過積載率!O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23" s="86">
        <f>ROUNDUP(((((1-1/MAX(100%,過積載率!P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23" s="86">
        <f>ROUNDUP(((((1-1/MAX(100%,過積載率!Q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23" s="86">
        <f>ROUNDUP(((((1-1/MAX(100%,過積載率!R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23" s="86">
        <f>ROUNDUP(((((1-1/MAX(100%,過積載率!S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23" s="86">
        <f>ROUNDUP(((((1-1/MAX(100%,過積載率!T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23" s="86">
        <f>ROUNDUP(((((1-1/MAX(100%,過積載率!U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23" s="86">
        <f>ROUNDUP(((((1-1/MAX(100%,過積載率!V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23" s="86">
        <f>ROUNDUP(((((1-1/MAX(100%,過積載率!W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23" s="86">
        <f>ROUNDUP(((((1-1/MAX(100%,過積載率!X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23" s="86">
        <f>ROUNDUP(((((1-1/MAX(100%,過積載率!Y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23" s="86">
        <f>ROUNDUP(((((1-1/MAX(100%,過積載率!Z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23" s="86">
        <f>ROUNDUP(((((1-1/MAX(100%,過積載率!AA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23" s="86">
        <f>ROUNDUP(((((1-1/MAX(100%,過積載率!AB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23" s="86">
        <f>ROUNDUP(((((1-1/MAX(100%,過積載率!AC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23" s="86">
        <f>ROUNDUP(((((1-1/MAX(100%,過積載率!AD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23" s="86">
        <f>ROUNDUP(((((1-1/MAX(100%,過積載率!AE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23" s="86">
        <f>ROUNDUP(((((1-1/MAX(100%,過積載率!AF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23" s="86">
        <f>ROUNDUP(((((1-1/MAX(100%,過積載率!AG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23" s="86">
        <f>ROUNDUP(((((1-1/MAX(100%,過積載率!AH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23" s="86">
        <f>ROUNDUP(((((1-1/MAX(100%,過積載率!AI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23" s="86">
        <f>ROUNDUP(((((1-1/MAX(100%,過積載率!AJ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23" s="86">
        <f>ROUNDUP(((((1-1/MAX(100%,過積載率!AK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23" s="86">
        <f>ROUNDUP(((((1-1/MAX(100%,過積載率!AL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23" s="86">
        <f>ROUNDUP(((((1-1/MAX(100%,過積載率!AM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23" s="86">
        <f>ROUNDUP(((((1-1/MAX(100%,過積載率!AN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23" s="86">
        <f>ROUNDUP(((((1-1/MAX(100%,過積載率!AO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23" s="86">
        <f>ROUNDUP(((((1-1/MAX(100%,過積載率!AP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3" s="86">
        <f>ROUNDUP(((((1-1/MAX(100%,過積載率!AQ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3" s="86">
        <f>ROUNDUP(((((1-1/MAX(100%,過積載率!AR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3" s="86">
        <f>ROUNDUP(((((1-1/MAX(100%,過積載率!AS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3" s="86">
        <f>ROUNDUP(((((1-1/MAX(100%,過積載率!AT23))^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4" spans="1:46">
      <c r="A24">
        <v>22</v>
      </c>
      <c r="B24" s="86">
        <f>ROUNDUP(((((1-1/MAX(100%,過積載率!B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4" s="86">
        <f>ROUNDUP(((((1-1/MAX(100%,過積載率!C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4" s="86">
        <f>ROUNDUP(((((1-1/MAX(100%,過積載率!D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4" s="86">
        <f>ROUNDUP(((((1-1/MAX(100%,過積載率!E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4" s="86">
        <f>ROUNDUP(((((1-1/MAX(100%,過積載率!F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4" s="86">
        <f>ROUNDUP(((((1-1/MAX(100%,過積載率!G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4" s="86">
        <f>ROUNDUP(((((1-1/MAX(100%,過積載率!H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4" s="86">
        <f>ROUNDUP(((((1-1/MAX(100%,過積載率!I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4" s="86">
        <f>ROUNDUP(((((1-1/MAX(100%,過積載率!J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4" s="86">
        <f>ROUNDUP(((((1-1/MAX(100%,過積載率!K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4" s="86">
        <f>ROUNDUP(((((1-1/MAX(100%,過積載率!L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4" s="86">
        <f>ROUNDUP(((((1-1/MAX(100%,過積載率!M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24" s="86">
        <f>ROUNDUP(((((1-1/MAX(100%,過積載率!N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24" s="86">
        <f>ROUNDUP(((((1-1/MAX(100%,過積載率!O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24" s="86">
        <f>ROUNDUP(((((1-1/MAX(100%,過積載率!P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24" s="86">
        <f>ROUNDUP(((((1-1/MAX(100%,過積載率!Q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24" s="86">
        <f>ROUNDUP(((((1-1/MAX(100%,過積載率!R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24" s="86">
        <f>ROUNDUP(((((1-1/MAX(100%,過積載率!S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24" s="86">
        <f>ROUNDUP(((((1-1/MAX(100%,過積載率!T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24" s="86">
        <f>ROUNDUP(((((1-1/MAX(100%,過積載率!U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24" s="86">
        <f>ROUNDUP(((((1-1/MAX(100%,過積載率!V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24" s="86">
        <f>ROUNDUP(((((1-1/MAX(100%,過積載率!W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24" s="86">
        <f>ROUNDUP(((((1-1/MAX(100%,過積載率!X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24" s="86">
        <f>ROUNDUP(((((1-1/MAX(100%,過積載率!Y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24" s="86">
        <f>ROUNDUP(((((1-1/MAX(100%,過積載率!Z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24" s="86">
        <f>ROUNDUP(((((1-1/MAX(100%,過積載率!AA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24" s="86">
        <f>ROUNDUP(((((1-1/MAX(100%,過積載率!AB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24" s="86">
        <f>ROUNDUP(((((1-1/MAX(100%,過積載率!AC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24" s="86">
        <f>ROUNDUP(((((1-1/MAX(100%,過積載率!AD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24" s="86">
        <f>ROUNDUP(((((1-1/MAX(100%,過積載率!AE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24" s="86">
        <f>ROUNDUP(((((1-1/MAX(100%,過積載率!AF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24" s="86">
        <f>ROUNDUP(((((1-1/MAX(100%,過積載率!AG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24" s="86">
        <f>ROUNDUP(((((1-1/MAX(100%,過積載率!AH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24" s="86">
        <f>ROUNDUP(((((1-1/MAX(100%,過積載率!AI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24" s="86">
        <f>ROUNDUP(((((1-1/MAX(100%,過積載率!AJ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24" s="86">
        <f>ROUNDUP(((((1-1/MAX(100%,過積載率!AK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24" s="86">
        <f>ROUNDUP(((((1-1/MAX(100%,過積載率!AL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24" s="86">
        <f>ROUNDUP(((((1-1/MAX(100%,過積載率!AM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24" s="86">
        <f>ROUNDUP(((((1-1/MAX(100%,過積載率!AN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24" s="86">
        <f>ROUNDUP(((((1-1/MAX(100%,過積載率!AO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24" s="86">
        <f>ROUNDUP(((((1-1/MAX(100%,過積載率!AP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4" s="86">
        <f>ROUNDUP(((((1-1/MAX(100%,過積載率!AQ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4" s="86">
        <f>ROUNDUP(((((1-1/MAX(100%,過積載率!AR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4" s="86">
        <f>ROUNDUP(((((1-1/MAX(100%,過積載率!AS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4" s="86">
        <f>ROUNDUP(((((1-1/MAX(100%,過積載率!AT24))^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5" spans="1:46">
      <c r="A25">
        <v>23</v>
      </c>
      <c r="B25" s="86">
        <f>ROUNDUP(((((1-1/MAX(100%,過積載率!B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5" s="86">
        <f>ROUNDUP(((((1-1/MAX(100%,過積載率!C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5" s="86">
        <f>ROUNDUP(((((1-1/MAX(100%,過積載率!D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5" s="86">
        <f>ROUNDUP(((((1-1/MAX(100%,過積載率!E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5" s="86">
        <f>ROUNDUP(((((1-1/MAX(100%,過積載率!F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5" s="86">
        <f>ROUNDUP(((((1-1/MAX(100%,過積載率!G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5" s="86">
        <f>ROUNDUP(((((1-1/MAX(100%,過積載率!H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5" s="86">
        <f>ROUNDUP(((((1-1/MAX(100%,過積載率!I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5" s="86">
        <f>ROUNDUP(((((1-1/MAX(100%,過積載率!J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5" s="86">
        <f>ROUNDUP(((((1-1/MAX(100%,過積載率!K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5" s="86">
        <f>ROUNDUP(((((1-1/MAX(100%,過積載率!L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5" s="86">
        <f>ROUNDUP(((((1-1/MAX(100%,過積載率!M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25" s="86">
        <f>ROUNDUP(((((1-1/MAX(100%,過積載率!N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25" s="86">
        <f>ROUNDUP(((((1-1/MAX(100%,過積載率!O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25" s="86">
        <f>ROUNDUP(((((1-1/MAX(100%,過積載率!P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25" s="86">
        <f>ROUNDUP(((((1-1/MAX(100%,過積載率!Q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25" s="86">
        <f>ROUNDUP(((((1-1/MAX(100%,過積載率!R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25" s="86">
        <f>ROUNDUP(((((1-1/MAX(100%,過積載率!S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25" s="86">
        <f>ROUNDUP(((((1-1/MAX(100%,過積載率!T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25" s="86">
        <f>ROUNDUP(((((1-1/MAX(100%,過積載率!U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25" s="86">
        <f>ROUNDUP(((((1-1/MAX(100%,過積載率!V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25" s="86">
        <f>ROUNDUP(((((1-1/MAX(100%,過積載率!W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25" s="86">
        <f>ROUNDUP(((((1-1/MAX(100%,過積載率!X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25" s="86">
        <f>ROUNDUP(((((1-1/MAX(100%,過積載率!Y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25" s="86">
        <f>ROUNDUP(((((1-1/MAX(100%,過積載率!Z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25" s="86">
        <f>ROUNDUP(((((1-1/MAX(100%,過積載率!AA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25" s="86">
        <f>ROUNDUP(((((1-1/MAX(100%,過積載率!AB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25" s="86">
        <f>ROUNDUP(((((1-1/MAX(100%,過積載率!AC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25" s="86">
        <f>ROUNDUP(((((1-1/MAX(100%,過積載率!AD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25" s="86">
        <f>ROUNDUP(((((1-1/MAX(100%,過積載率!AE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25" s="86">
        <f>ROUNDUP(((((1-1/MAX(100%,過積載率!AF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25" s="86">
        <f>ROUNDUP(((((1-1/MAX(100%,過積載率!AG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25" s="86">
        <f>ROUNDUP(((((1-1/MAX(100%,過積載率!AH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25" s="86">
        <f>ROUNDUP(((((1-1/MAX(100%,過積載率!AI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25" s="86">
        <f>ROUNDUP(((((1-1/MAX(100%,過積載率!AJ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25" s="86">
        <f>ROUNDUP(((((1-1/MAX(100%,過積載率!AK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25" s="86">
        <f>ROUNDUP(((((1-1/MAX(100%,過積載率!AL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25" s="86">
        <f>ROUNDUP(((((1-1/MAX(100%,過積載率!AM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25" s="86">
        <f>ROUNDUP(((((1-1/MAX(100%,過積載率!AN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25" s="86">
        <f>ROUNDUP(((((1-1/MAX(100%,過積載率!AO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25" s="86">
        <f>ROUNDUP(((((1-1/MAX(100%,過積載率!AP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5" s="86">
        <f>ROUNDUP(((((1-1/MAX(100%,過積載率!AQ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5" s="86">
        <f>ROUNDUP(((((1-1/MAX(100%,過積載率!AR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5" s="86">
        <f>ROUNDUP(((((1-1/MAX(100%,過積載率!AS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5" s="86">
        <f>ROUNDUP(((((1-1/MAX(100%,過積載率!AT25))^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6" spans="1:46">
      <c r="A26">
        <v>24</v>
      </c>
      <c r="B26" s="86">
        <f>ROUNDUP(((((1-1/MAX(100%,過積載率!B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6" s="86">
        <f>ROUNDUP(((((1-1/MAX(100%,過積載率!C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6" s="86">
        <f>ROUNDUP(((((1-1/MAX(100%,過積載率!D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6" s="86">
        <f>ROUNDUP(((((1-1/MAX(100%,過積載率!E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6" s="86">
        <f>ROUNDUP(((((1-1/MAX(100%,過積載率!F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6" s="86">
        <f>ROUNDUP(((((1-1/MAX(100%,過積載率!G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6" s="86">
        <f>ROUNDUP(((((1-1/MAX(100%,過積載率!H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6" s="86">
        <f>ROUNDUP(((((1-1/MAX(100%,過積載率!I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6" s="86">
        <f>ROUNDUP(((((1-1/MAX(100%,過積載率!J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6" s="86">
        <f>ROUNDUP(((((1-1/MAX(100%,過積載率!K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6" s="86">
        <f>ROUNDUP(((((1-1/MAX(100%,過積載率!L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6" s="86">
        <f>ROUNDUP(((((1-1/MAX(100%,過積載率!M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26" s="86">
        <f>ROUNDUP(((((1-1/MAX(100%,過積載率!N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26" s="86">
        <f>ROUNDUP(((((1-1/MAX(100%,過積載率!O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26" s="86">
        <f>ROUNDUP(((((1-1/MAX(100%,過積載率!P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26" s="86">
        <f>ROUNDUP(((((1-1/MAX(100%,過積載率!Q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26" s="86">
        <f>ROUNDUP(((((1-1/MAX(100%,過積載率!R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26" s="86">
        <f>ROUNDUP(((((1-1/MAX(100%,過積載率!S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26" s="86">
        <f>ROUNDUP(((((1-1/MAX(100%,過積載率!T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26" s="86">
        <f>ROUNDUP(((((1-1/MAX(100%,過積載率!U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26" s="86">
        <f>ROUNDUP(((((1-1/MAX(100%,過積載率!V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26" s="86">
        <f>ROUNDUP(((((1-1/MAX(100%,過積載率!W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26" s="86">
        <f>ROUNDUP(((((1-1/MAX(100%,過積載率!X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26" s="86">
        <f>ROUNDUP(((((1-1/MAX(100%,過積載率!Y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26" s="86">
        <f>ROUNDUP(((((1-1/MAX(100%,過積載率!Z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26" s="86">
        <f>ROUNDUP(((((1-1/MAX(100%,過積載率!AA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26" s="86">
        <f>ROUNDUP(((((1-1/MAX(100%,過積載率!AB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26" s="86">
        <f>ROUNDUP(((((1-1/MAX(100%,過積載率!AC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26" s="86">
        <f>ROUNDUP(((((1-1/MAX(100%,過積載率!AD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26" s="86">
        <f>ROUNDUP(((((1-1/MAX(100%,過積載率!AE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26" s="86">
        <f>ROUNDUP(((((1-1/MAX(100%,過積載率!AF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26" s="86">
        <f>ROUNDUP(((((1-1/MAX(100%,過積載率!AG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26" s="86">
        <f>ROUNDUP(((((1-1/MAX(100%,過積載率!AH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26" s="86">
        <f>ROUNDUP(((((1-1/MAX(100%,過積載率!AI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26" s="86">
        <f>ROUNDUP(((((1-1/MAX(100%,過積載率!AJ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26" s="86">
        <f>ROUNDUP(((((1-1/MAX(100%,過積載率!AK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26" s="86">
        <f>ROUNDUP(((((1-1/MAX(100%,過積載率!AL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26" s="86">
        <f>ROUNDUP(((((1-1/MAX(100%,過積載率!AM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26" s="86">
        <f>ROUNDUP(((((1-1/MAX(100%,過積載率!AN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26" s="86">
        <f>ROUNDUP(((((1-1/MAX(100%,過積載率!AO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26" s="86">
        <f>ROUNDUP(((((1-1/MAX(100%,過積載率!AP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6" s="86">
        <f>ROUNDUP(((((1-1/MAX(100%,過積載率!AQ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6" s="86">
        <f>ROUNDUP(((((1-1/MAX(100%,過積載率!AR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6" s="86">
        <f>ROUNDUP(((((1-1/MAX(100%,過積載率!AS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6" s="86">
        <f>ROUNDUP(((((1-1/MAX(100%,過積載率!AT26))^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7" spans="1:46">
      <c r="A27">
        <v>25</v>
      </c>
      <c r="B27" s="86">
        <f>ROUNDUP(((((1-1/MAX(100%,過積載率!B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7" s="86">
        <f>ROUNDUP(((((1-1/MAX(100%,過積載率!C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7" s="86">
        <f>ROUNDUP(((((1-1/MAX(100%,過積載率!D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7" s="86">
        <f>ROUNDUP(((((1-1/MAX(100%,過積載率!E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7" s="86">
        <f>ROUNDUP(((((1-1/MAX(100%,過積載率!F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7" s="86">
        <f>ROUNDUP(((((1-1/MAX(100%,過積載率!G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7" s="86">
        <f>ROUNDUP(((((1-1/MAX(100%,過積載率!H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7" s="86">
        <f>ROUNDUP(((((1-1/MAX(100%,過積載率!I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7" s="86">
        <f>ROUNDUP(((((1-1/MAX(100%,過積載率!J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7" s="86">
        <f>ROUNDUP(((((1-1/MAX(100%,過積載率!K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7" s="86">
        <f>ROUNDUP(((((1-1/MAX(100%,過積載率!L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7" s="86">
        <f>ROUNDUP(((((1-1/MAX(100%,過積載率!M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27" s="86">
        <f>ROUNDUP(((((1-1/MAX(100%,過積載率!N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27" s="86">
        <f>ROUNDUP(((((1-1/MAX(100%,過積載率!O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27" s="86">
        <f>ROUNDUP(((((1-1/MAX(100%,過積載率!P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27" s="86">
        <f>ROUNDUP(((((1-1/MAX(100%,過積載率!Q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27" s="86">
        <f>ROUNDUP(((((1-1/MAX(100%,過積載率!R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27" s="86">
        <f>ROUNDUP(((((1-1/MAX(100%,過積載率!S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27" s="86">
        <f>ROUNDUP(((((1-1/MAX(100%,過積載率!T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27" s="86">
        <f>ROUNDUP(((((1-1/MAX(100%,過積載率!U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27" s="86">
        <f>ROUNDUP(((((1-1/MAX(100%,過積載率!V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27" s="86">
        <f>ROUNDUP(((((1-1/MAX(100%,過積載率!W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27" s="86">
        <f>ROUNDUP(((((1-1/MAX(100%,過積載率!X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27" s="86">
        <f>ROUNDUP(((((1-1/MAX(100%,過積載率!Y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27" s="86">
        <f>ROUNDUP(((((1-1/MAX(100%,過積載率!Z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27" s="86">
        <f>ROUNDUP(((((1-1/MAX(100%,過積載率!AA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27" s="86">
        <f>ROUNDUP(((((1-1/MAX(100%,過積載率!AB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27" s="86">
        <f>ROUNDUP(((((1-1/MAX(100%,過積載率!AC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27" s="86">
        <f>ROUNDUP(((((1-1/MAX(100%,過積載率!AD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27" s="86">
        <f>ROUNDUP(((((1-1/MAX(100%,過積載率!AE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27" s="86">
        <f>ROUNDUP(((((1-1/MAX(100%,過積載率!AF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27" s="86">
        <f>ROUNDUP(((((1-1/MAX(100%,過積載率!AG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27" s="86">
        <f>ROUNDUP(((((1-1/MAX(100%,過積載率!AH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27" s="86">
        <f>ROUNDUP(((((1-1/MAX(100%,過積載率!AI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27" s="86">
        <f>ROUNDUP(((((1-1/MAX(100%,過積載率!AJ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27" s="86">
        <f>ROUNDUP(((((1-1/MAX(100%,過積載率!AK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27" s="86">
        <f>ROUNDUP(((((1-1/MAX(100%,過積載率!AL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27" s="86">
        <f>ROUNDUP(((((1-1/MAX(100%,過積載率!AM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27" s="86">
        <f>ROUNDUP(((((1-1/MAX(100%,過積載率!AN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27" s="86">
        <f>ROUNDUP(((((1-1/MAX(100%,過積載率!AO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27" s="86">
        <f>ROUNDUP(((((1-1/MAX(100%,過積載率!AP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7" s="86">
        <f>ROUNDUP(((((1-1/MAX(100%,過積載率!AQ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7" s="86">
        <f>ROUNDUP(((((1-1/MAX(100%,過積載率!AR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7" s="86">
        <f>ROUNDUP(((((1-1/MAX(100%,過積載率!AS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7" s="86">
        <f>ROUNDUP(((((1-1/MAX(100%,過積載率!AT27))^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8" spans="1:46">
      <c r="A28">
        <v>26</v>
      </c>
      <c r="B28" s="86">
        <f>ROUNDUP(((((1-1/MAX(100%,過積載率!B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8" s="86">
        <f>ROUNDUP(((((1-1/MAX(100%,過積載率!C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8" s="86">
        <f>ROUNDUP(((((1-1/MAX(100%,過積載率!D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8" s="86">
        <f>ROUNDUP(((((1-1/MAX(100%,過積載率!E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8" s="86">
        <f>ROUNDUP(((((1-1/MAX(100%,過積載率!F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8" s="86">
        <f>ROUNDUP(((((1-1/MAX(100%,過積載率!G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8" s="86">
        <f>ROUNDUP(((((1-1/MAX(100%,過積載率!H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8" s="86">
        <f>ROUNDUP(((((1-1/MAX(100%,過積載率!I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8" s="86">
        <f>ROUNDUP(((((1-1/MAX(100%,過積載率!J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8" s="86">
        <f>ROUNDUP(((((1-1/MAX(100%,過積載率!K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8" s="86">
        <f>ROUNDUP(((((1-1/MAX(100%,過積載率!L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8" s="86">
        <f>ROUNDUP(((((1-1/MAX(100%,過積載率!M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28" s="86">
        <f>ROUNDUP(((((1-1/MAX(100%,過積載率!N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28" s="86">
        <f>ROUNDUP(((((1-1/MAX(100%,過積載率!O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28" s="86">
        <f>ROUNDUP(((((1-1/MAX(100%,過積載率!P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28" s="86">
        <f>ROUNDUP(((((1-1/MAX(100%,過積載率!Q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28" s="86">
        <f>ROUNDUP(((((1-1/MAX(100%,過積載率!R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28" s="86">
        <f>ROUNDUP(((((1-1/MAX(100%,過積載率!S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28" s="86">
        <f>ROUNDUP(((((1-1/MAX(100%,過積載率!T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28" s="86">
        <f>ROUNDUP(((((1-1/MAX(100%,過積載率!U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28" s="86">
        <f>ROUNDUP(((((1-1/MAX(100%,過積載率!V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28" s="86">
        <f>ROUNDUP(((((1-1/MAX(100%,過積載率!W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28" s="86">
        <f>ROUNDUP(((((1-1/MAX(100%,過積載率!X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28" s="86">
        <f>ROUNDUP(((((1-1/MAX(100%,過積載率!Y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28" s="86">
        <f>ROUNDUP(((((1-1/MAX(100%,過積載率!Z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28" s="86">
        <f>ROUNDUP(((((1-1/MAX(100%,過積載率!AA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28" s="86">
        <f>ROUNDUP(((((1-1/MAX(100%,過積載率!AB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28" s="86">
        <f>ROUNDUP(((((1-1/MAX(100%,過積載率!AC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28" s="86">
        <f>ROUNDUP(((((1-1/MAX(100%,過積載率!AD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28" s="86">
        <f>ROUNDUP(((((1-1/MAX(100%,過積載率!AE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28" s="86">
        <f>ROUNDUP(((((1-1/MAX(100%,過積載率!AF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28" s="86">
        <f>ROUNDUP(((((1-1/MAX(100%,過積載率!AG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28" s="86">
        <f>ROUNDUP(((((1-1/MAX(100%,過積載率!AH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28" s="86">
        <f>ROUNDUP(((((1-1/MAX(100%,過積載率!AI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28" s="86">
        <f>ROUNDUP(((((1-1/MAX(100%,過積載率!AJ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28" s="86">
        <f>ROUNDUP(((((1-1/MAX(100%,過積載率!AK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28" s="86">
        <f>ROUNDUP(((((1-1/MAX(100%,過積載率!AL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28" s="86">
        <f>ROUNDUP(((((1-1/MAX(100%,過積載率!AM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28" s="86">
        <f>ROUNDUP(((((1-1/MAX(100%,過積載率!AN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28" s="86">
        <f>ROUNDUP(((((1-1/MAX(100%,過積載率!AO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28" s="86">
        <f>ROUNDUP(((((1-1/MAX(100%,過積載率!AP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8" s="86">
        <f>ROUNDUP(((((1-1/MAX(100%,過積載率!AQ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8" s="86">
        <f>ROUNDUP(((((1-1/MAX(100%,過積載率!AR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8" s="86">
        <f>ROUNDUP(((((1-1/MAX(100%,過積載率!AS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8" s="86">
        <f>ROUNDUP(((((1-1/MAX(100%,過積載率!AT28))^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29" spans="1:46">
      <c r="A29">
        <v>27</v>
      </c>
      <c r="B29" s="86">
        <f>ROUNDUP(((((1-1/MAX(100%,過積載率!B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29" s="86">
        <f>ROUNDUP(((((1-1/MAX(100%,過積載率!C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29" s="86">
        <f>ROUNDUP(((((1-1/MAX(100%,過積載率!D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29" s="86">
        <f>ROUNDUP(((((1-1/MAX(100%,過積載率!E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29" s="86">
        <f>ROUNDUP(((((1-1/MAX(100%,過積載率!F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29" s="86">
        <f>ROUNDUP(((((1-1/MAX(100%,過積載率!G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29" s="86">
        <f>ROUNDUP(((((1-1/MAX(100%,過積載率!H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29" s="86">
        <f>ROUNDUP(((((1-1/MAX(100%,過積載率!I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29" s="86">
        <f>ROUNDUP(((((1-1/MAX(100%,過積載率!J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29" s="86">
        <f>ROUNDUP(((((1-1/MAX(100%,過積載率!K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29" s="86">
        <f>ROUNDUP(((((1-1/MAX(100%,過積載率!L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29" s="86">
        <f>ROUNDUP(((((1-1/MAX(100%,過積載率!M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29" s="86">
        <f>ROUNDUP(((((1-1/MAX(100%,過積載率!N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29" s="86">
        <f>ROUNDUP(((((1-1/MAX(100%,過積載率!O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29" s="86">
        <f>ROUNDUP(((((1-1/MAX(100%,過積載率!P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29" s="86">
        <f>ROUNDUP(((((1-1/MAX(100%,過積載率!Q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29" s="86">
        <f>ROUNDUP(((((1-1/MAX(100%,過積載率!R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29" s="86">
        <f>ROUNDUP(((((1-1/MAX(100%,過積載率!S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29" s="86">
        <f>ROUNDUP(((((1-1/MAX(100%,過積載率!T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29" s="86">
        <f>ROUNDUP(((((1-1/MAX(100%,過積載率!U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29" s="86">
        <f>ROUNDUP(((((1-1/MAX(100%,過積載率!V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29" s="86">
        <f>ROUNDUP(((((1-1/MAX(100%,過積載率!W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29" s="86">
        <f>ROUNDUP(((((1-1/MAX(100%,過積載率!X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29" s="86">
        <f>ROUNDUP(((((1-1/MAX(100%,過積載率!Y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29" s="86">
        <f>ROUNDUP(((((1-1/MAX(100%,過積載率!Z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29" s="86">
        <f>ROUNDUP(((((1-1/MAX(100%,過積載率!AA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29" s="86">
        <f>ROUNDUP(((((1-1/MAX(100%,過積載率!AB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29" s="86">
        <f>ROUNDUP(((((1-1/MAX(100%,過積載率!AC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29" s="86">
        <f>ROUNDUP(((((1-1/MAX(100%,過積載率!AD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29" s="86">
        <f>ROUNDUP(((((1-1/MAX(100%,過積載率!AE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29" s="86">
        <f>ROUNDUP(((((1-1/MAX(100%,過積載率!AF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29" s="86">
        <f>ROUNDUP(((((1-1/MAX(100%,過積載率!AG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29" s="86">
        <f>ROUNDUP(((((1-1/MAX(100%,過積載率!AH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29" s="86">
        <f>ROUNDUP(((((1-1/MAX(100%,過積載率!AI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29" s="86">
        <f>ROUNDUP(((((1-1/MAX(100%,過積載率!AJ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29" s="86">
        <f>ROUNDUP(((((1-1/MAX(100%,過積載率!AK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29" s="86">
        <f>ROUNDUP(((((1-1/MAX(100%,過積載率!AL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29" s="86">
        <f>ROUNDUP(((((1-1/MAX(100%,過積載率!AM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29" s="86">
        <f>ROUNDUP(((((1-1/MAX(100%,過積載率!AN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29" s="86">
        <f>ROUNDUP(((((1-1/MAX(100%,過積載率!AO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29" s="86">
        <f>ROUNDUP(((((1-1/MAX(100%,過積載率!AP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29" s="86">
        <f>ROUNDUP(((((1-1/MAX(100%,過積載率!AQ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29" s="86">
        <f>ROUNDUP(((((1-1/MAX(100%,過積載率!AR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29" s="86">
        <f>ROUNDUP(((((1-1/MAX(100%,過積載率!AS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29" s="86">
        <f>ROUNDUP(((((1-1/MAX(100%,過積載率!AT29))^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30" spans="1:46">
      <c r="A30">
        <v>28</v>
      </c>
      <c r="B30" s="86">
        <f>ROUNDUP(((((1-1/MAX(100%,過積載率!B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30" s="86">
        <f>ROUNDUP(((((1-1/MAX(100%,過積載率!C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30" s="86">
        <f>ROUNDUP(((((1-1/MAX(100%,過積載率!D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30" s="86">
        <f>ROUNDUP(((((1-1/MAX(100%,過積載率!E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30" s="86">
        <f>ROUNDUP(((((1-1/MAX(100%,過積載率!F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30" s="86">
        <f>ROUNDUP(((((1-1/MAX(100%,過積載率!G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30" s="86">
        <f>ROUNDUP(((((1-1/MAX(100%,過積載率!H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30" s="86">
        <f>ROUNDUP(((((1-1/MAX(100%,過積載率!I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30" s="86">
        <f>ROUNDUP(((((1-1/MAX(100%,過積載率!J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30" s="86">
        <f>ROUNDUP(((((1-1/MAX(100%,過積載率!K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30" s="86">
        <f>ROUNDUP(((((1-1/MAX(100%,過積載率!L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30" s="86">
        <f>ROUNDUP(((((1-1/MAX(100%,過積載率!M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30" s="86">
        <f>ROUNDUP(((((1-1/MAX(100%,過積載率!N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30" s="86">
        <f>ROUNDUP(((((1-1/MAX(100%,過積載率!O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30" s="86">
        <f>ROUNDUP(((((1-1/MAX(100%,過積載率!P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30" s="86">
        <f>ROUNDUP(((((1-1/MAX(100%,過積載率!Q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30" s="86">
        <f>ROUNDUP(((((1-1/MAX(100%,過積載率!R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30" s="86">
        <f>ROUNDUP(((((1-1/MAX(100%,過積載率!S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30" s="86">
        <f>ROUNDUP(((((1-1/MAX(100%,過積載率!T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30" s="86">
        <f>ROUNDUP(((((1-1/MAX(100%,過積載率!U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30" s="86">
        <f>ROUNDUP(((((1-1/MAX(100%,過積載率!V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30" s="86">
        <f>ROUNDUP(((((1-1/MAX(100%,過積載率!W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30" s="86">
        <f>ROUNDUP(((((1-1/MAX(100%,過積載率!X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30" s="86">
        <f>ROUNDUP(((((1-1/MAX(100%,過積載率!Y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30" s="86">
        <f>ROUNDUP(((((1-1/MAX(100%,過積載率!Z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30" s="86">
        <f>ROUNDUP(((((1-1/MAX(100%,過積載率!AA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30" s="86">
        <f>ROUNDUP(((((1-1/MAX(100%,過積載率!AB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30" s="86">
        <f>ROUNDUP(((((1-1/MAX(100%,過積載率!AC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30" s="86">
        <f>ROUNDUP(((((1-1/MAX(100%,過積載率!AD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30" s="86">
        <f>ROUNDUP(((((1-1/MAX(100%,過積載率!AE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30" s="86">
        <f>ROUNDUP(((((1-1/MAX(100%,過積載率!AF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30" s="86">
        <f>ROUNDUP(((((1-1/MAX(100%,過積載率!AG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30" s="86">
        <f>ROUNDUP(((((1-1/MAX(100%,過積載率!AH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30" s="86">
        <f>ROUNDUP(((((1-1/MAX(100%,過積載率!AI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30" s="86">
        <f>ROUNDUP(((((1-1/MAX(100%,過積載率!AJ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30" s="86">
        <f>ROUNDUP(((((1-1/MAX(100%,過積載率!AK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30" s="86">
        <f>ROUNDUP(((((1-1/MAX(100%,過積載率!AL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30" s="86">
        <f>ROUNDUP(((((1-1/MAX(100%,過積載率!AM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30" s="86">
        <f>ROUNDUP(((((1-1/MAX(100%,過積載率!AN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30" s="86">
        <f>ROUNDUP(((((1-1/MAX(100%,過積載率!AO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30" s="86">
        <f>ROUNDUP(((((1-1/MAX(100%,過積載率!AP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30" s="86">
        <f>ROUNDUP(((((1-1/MAX(100%,過積載率!AQ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30" s="86">
        <f>ROUNDUP(((((1-1/MAX(100%,過積載率!AR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30" s="86">
        <f>ROUNDUP(((((1-1/MAX(100%,過積載率!AS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30" s="86">
        <f>ROUNDUP(((((1-1/MAX(100%,過積載率!AT30))^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row r="31" spans="1:46">
      <c r="A31">
        <v>29</v>
      </c>
      <c r="B31" s="86">
        <f>ROUNDUP(((((1-1/MAX(100%,過積載率!B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C31" s="86">
        <f>ROUNDUP(((((1-1/MAX(100%,過積載率!C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D31" s="86">
        <f>ROUNDUP(((((1-1/MAX(100%,過積載率!D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E31" s="86">
        <f>ROUNDUP(((((1-1/MAX(100%,過積載率!E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F31" s="86">
        <f>ROUNDUP(((((1-1/MAX(100%,過積載率!F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G31" s="86">
        <f>ROUNDUP(((((1-1/MAX(100%,過積載率!G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H31" s="86">
        <f>ROUNDUP(((((1-1/MAX(100%,過積載率!H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I31" s="86">
        <f>ROUNDUP(((((1-1/MAX(100%,過積載率!I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J31" s="86">
        <f>ROUNDUP(((((1-1/MAX(100%,過積載率!J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K31" s="86">
        <f>ROUNDUP(((((1-1/MAX(100%,過積載率!K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L31" s="86">
        <f>ROUNDUP(((((1-1/MAX(100%,過積載率!L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M31" s="86">
        <f>ROUNDUP(((((1-1/MAX(100%,過積載率!M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N31" s="86">
        <f>ROUNDUP(((((1-1/MAX(100%,過積載率!N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O31" s="86">
        <f>ROUNDUP(((((1-1/MAX(100%,過積載率!O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P31" s="86">
        <f>ROUNDUP(((((1-1/MAX(100%,過積載率!P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Q31" s="86">
        <f>ROUNDUP(((((1-1/MAX(100%,過積載率!Q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R31" s="86">
        <f>ROUNDUP(((((1-1/MAX(100%,過積載率!R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S31" s="86">
        <f>ROUNDUP(((((1-1/MAX(100%,過積載率!S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T31" s="86">
        <f>ROUNDUP(((((1-1/MAX(100%,過積載率!T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U31" s="86">
        <f>ROUNDUP(((((1-1/MAX(100%,過積載率!U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V31" s="86">
        <f>ROUNDUP(((((1-1/MAX(100%,過積載率!V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W31" s="86">
        <f>ROUNDUP(((((1-1/MAX(100%,過積載率!W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X31" s="86">
        <f>ROUNDUP(((((1-1/MAX(100%,過積載率!X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Y31" s="86">
        <f>ROUNDUP(((((1-1/MAX(100%,過積載率!Y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Z31" s="86">
        <f>ROUNDUP(((((1-1/MAX(100%,過積載率!Z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A31" s="86">
        <f>ROUNDUP(((((1-1/MAX(100%,過積載率!AA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B31" s="86">
        <f>ROUNDUP(((((1-1/MAX(100%,過積載率!AB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C31" s="86">
        <f>ROUNDUP(((((1-1/MAX(100%,過積載率!AC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D31" s="86">
        <f>ROUNDUP(((((1-1/MAX(100%,過積載率!AD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E31" s="86">
        <f>ROUNDUP(((((1-1/MAX(100%,過積載率!AE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F31" s="86">
        <f>ROUNDUP(((((1-1/MAX(100%,過積載率!AF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G31" s="86">
        <f>ROUNDUP(((((1-1/MAX(100%,過積載率!AG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H31" s="86">
        <f>ROUNDUP(((((1-1/MAX(100%,過積載率!AH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I31" s="86">
        <f>ROUNDUP(((((1-1/MAX(100%,過積載率!AI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J31" s="86">
        <f>ROUNDUP(((((1-1/MAX(100%,過積載率!AJ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K31" s="86">
        <f>ROUNDUP(((((1-1/MAX(100%,過積載率!AK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L31" s="86">
        <f>ROUNDUP(((((1-1/MAX(100%,過積載率!AL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M31" s="86">
        <f>ROUNDUP(((((1-1/MAX(100%,過積載率!AM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N31" s="86">
        <f>ROUNDUP(((((1-1/MAX(100%,過積載率!AN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O31" s="86">
        <f>ROUNDUP(((((1-1/MAX(100%,過積載率!AO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P31" s="86">
        <f>ROUNDUP(((((1-1/MAX(100%,過積載率!AP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Q31" s="86">
        <f>ROUNDUP(((((1-1/MAX(100%,過積載率!AQ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R31" s="86">
        <f>ROUNDUP(((((1-1/MAX(100%,過積載率!AR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S31" s="86">
        <f>ROUNDUP(((((1-1/MAX(100%,過積載率!AS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c r="AT31" s="86">
        <f>ROUNDUP(((((1-1/MAX(100%,過積載率!AT31))^0.5*(HUAWEI製ＰＣＳ接続枚数計算ツール!$I$6-HUAWEI製ＰＣＳ接続枚数計算ツール!$G$6)+HUAWEI製ＰＣＳ接続枚数計算ツール!$G$6)*(1+(HUAWEI製ＰＣＳ接続枚数計算ツール!$C$16-25+HUAWEI製ＰＣＳ接続枚数計算ツール!$D$18)*HUAWEI製ＰＣＳ接続枚数計算ツール!$L$6))*(VLOOKUP(HUAWEI製ＰＣＳ接続枚数計算ツール!$C$9, HUAWEI製ＰＣＳ接続枚数計算ツール!$B$119:$P$149,10,FALSE)-HUAWEI製ＰＣＳ接続枚数計算ツール!$G$18)),2)</f>
        <v>44.85</v>
      </c>
    </row>
  </sheetData>
  <phoneticPr fontId="2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A1:AO32"/>
  <sheetViews>
    <sheetView workbookViewId="0">
      <selection activeCell="M11" sqref="M11"/>
    </sheetView>
  </sheetViews>
  <sheetFormatPr defaultRowHeight="14.1"/>
  <sheetData>
    <row r="1" spans="1:41">
      <c r="A1" t="s">
        <v>2037</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f>IF(HUAWEI製ＰＣＳ接続枚数計算ツール!$I$107/B$2&gt;=高温電圧!B3,1,0)</f>
        <v>1</v>
      </c>
      <c r="C3">
        <f>IF(HUAWEI製ＰＣＳ接続枚数計算ツール!$I$107/C$2&gt;=高温電圧!C3,1,0)</f>
        <v>1</v>
      </c>
      <c r="D3">
        <f>IF(HUAWEI製ＰＣＳ接続枚数計算ツール!$I$107/D$2&gt;=高温電圧!D3,1,0)</f>
        <v>1</v>
      </c>
      <c r="E3">
        <f>IF(HUAWEI製ＰＣＳ接続枚数計算ツール!$I$107/E$2&gt;=高温電圧!E3,1,0)</f>
        <v>1</v>
      </c>
      <c r="F3">
        <f>IF(HUAWEI製ＰＣＳ接続枚数計算ツール!$I$107/F$2&gt;=高温電圧!F3,1,0)</f>
        <v>1</v>
      </c>
      <c r="G3">
        <f>IF(HUAWEI製ＰＣＳ接続枚数計算ツール!$I$107/G$2&gt;=高温電圧!G3,1,0)</f>
        <v>1</v>
      </c>
      <c r="H3">
        <f>IF(HUAWEI製ＰＣＳ接続枚数計算ツール!$I$107/H$2&gt;=高温電圧!H3,1,0)</f>
        <v>1</v>
      </c>
      <c r="I3">
        <f>IF(HUAWEI製ＰＣＳ接続枚数計算ツール!$I$107/I$2&gt;=高温電圧!I3,1,0)</f>
        <v>1</v>
      </c>
      <c r="J3">
        <f>IF(HUAWEI製ＰＣＳ接続枚数計算ツール!$I$107/J$2&gt;=高温電圧!J3,1,0)</f>
        <v>1</v>
      </c>
      <c r="K3">
        <f>IF(HUAWEI製ＰＣＳ接続枚数計算ツール!$I$107/K$2&gt;=高温電圧!K3,1,0)</f>
        <v>1</v>
      </c>
      <c r="L3">
        <f>IF(HUAWEI製ＰＣＳ接続枚数計算ツール!$I$107/L$2&gt;=高温電圧!L3,1,0)</f>
        <v>1</v>
      </c>
      <c r="M3">
        <f>IF(HUAWEI製ＰＣＳ接続枚数計算ツール!$I$107/M$2&gt;=高温電圧!M3,1,0)</f>
        <v>1</v>
      </c>
      <c r="N3">
        <f>IF(HUAWEI製ＰＣＳ接続枚数計算ツール!$I$107/N$2&gt;=高温電圧!N3,1,0)</f>
        <v>1</v>
      </c>
      <c r="O3">
        <f>IF(HUAWEI製ＰＣＳ接続枚数計算ツール!$I$107/O$2&gt;=高温電圧!O3,1,0)</f>
        <v>1</v>
      </c>
      <c r="P3">
        <f>IF(HUAWEI製ＰＣＳ接続枚数計算ツール!$I$107/P$2&gt;=高温電圧!P3,1,0)</f>
        <v>1</v>
      </c>
      <c r="Q3">
        <f>IF(HUAWEI製ＰＣＳ接続枚数計算ツール!$I$107/Q$2&gt;=高温電圧!Q3,1,0)</f>
        <v>1</v>
      </c>
      <c r="R3">
        <f>IF(HUAWEI製ＰＣＳ接続枚数計算ツール!$I$107/R$2&gt;=高温電圧!R3,1,0)</f>
        <v>1</v>
      </c>
      <c r="S3">
        <f>IF(HUAWEI製ＰＣＳ接続枚数計算ツール!$I$107/S$2&gt;=高温電圧!S3,1,0)</f>
        <v>1</v>
      </c>
      <c r="T3">
        <f>IF(HUAWEI製ＰＣＳ接続枚数計算ツール!$I$107/T$2&gt;=高温電圧!T3,1,0)</f>
        <v>1</v>
      </c>
      <c r="U3">
        <f>IF(HUAWEI製ＰＣＳ接続枚数計算ツール!$I$107/U$2&gt;=高温電圧!U3,1,0)</f>
        <v>1</v>
      </c>
      <c r="V3">
        <f>IF(HUAWEI製ＰＣＳ接続枚数計算ツール!$I$107/V$2&gt;=高温電圧!V3,1,0)</f>
        <v>1</v>
      </c>
      <c r="W3">
        <f>IF(HUAWEI製ＰＣＳ接続枚数計算ツール!$I$107/W$2&gt;=高温電圧!W3,1,0)</f>
        <v>1</v>
      </c>
      <c r="X3">
        <f>IF(HUAWEI製ＰＣＳ接続枚数計算ツール!$I$107/X$2&gt;=高温電圧!X3,1,0)</f>
        <v>1</v>
      </c>
      <c r="Y3">
        <f>IF(HUAWEI製ＰＣＳ接続枚数計算ツール!$I$107/Y$2&gt;=高温電圧!Y3,1,0)</f>
        <v>1</v>
      </c>
      <c r="Z3">
        <f>IF(HUAWEI製ＰＣＳ接続枚数計算ツール!$I$107/Z$2&gt;=高温電圧!Z3,1,0)</f>
        <v>1</v>
      </c>
      <c r="AA3">
        <f>IF(HUAWEI製ＰＣＳ接続枚数計算ツール!$I$107/AA$2&gt;=高温電圧!AA3,1,0)</f>
        <v>0</v>
      </c>
      <c r="AB3">
        <f>IF(HUAWEI製ＰＣＳ接続枚数計算ツール!$I$107/AB$2&gt;=高温電圧!AB3,1,0)</f>
        <v>0</v>
      </c>
      <c r="AC3">
        <f>IF(HUAWEI製ＰＣＳ接続枚数計算ツール!$I$107/AC$2&gt;=高温電圧!AC3,1,0)</f>
        <v>0</v>
      </c>
      <c r="AD3">
        <f>IF(HUAWEI製ＰＣＳ接続枚数計算ツール!$I$107/AD$2&gt;=高温電圧!AD3,1,0)</f>
        <v>0</v>
      </c>
      <c r="AE3">
        <f>IF(HUAWEI製ＰＣＳ接続枚数計算ツール!$I$107/AE$2&gt;=高温電圧!AE3,1,0)</f>
        <v>0</v>
      </c>
      <c r="AF3">
        <f>IF(HUAWEI製ＰＣＳ接続枚数計算ツール!$I$107/AF$2&gt;=高温電圧!AF3,1,0)</f>
        <v>0</v>
      </c>
      <c r="AG3">
        <f>IF(HUAWEI製ＰＣＳ接続枚数計算ツール!$I$107/AG$2&gt;=高温電圧!AG3,1,0)</f>
        <v>0</v>
      </c>
      <c r="AH3">
        <f>IF(HUAWEI製ＰＣＳ接続枚数計算ツール!$I$107/AH$2&gt;=高温電圧!AH3,1,0)</f>
        <v>0</v>
      </c>
      <c r="AI3">
        <f>IF(HUAWEI製ＰＣＳ接続枚数計算ツール!$I$107/AI$2&gt;=高温電圧!AI3,1,0)</f>
        <v>0</v>
      </c>
      <c r="AJ3">
        <f>IF(HUAWEI製ＰＣＳ接続枚数計算ツール!$I$107/AJ$2&gt;=高温電圧!AJ3,1,0)</f>
        <v>0</v>
      </c>
      <c r="AK3">
        <f>IF(HUAWEI製ＰＣＳ接続枚数計算ツール!$I$107/AK$2&gt;=高温電圧!AK3,1,0)</f>
        <v>0</v>
      </c>
      <c r="AL3">
        <f>IF(HUAWEI製ＰＣＳ接続枚数計算ツール!$I$107/AL$2&gt;=高温電圧!AL3,1,0)</f>
        <v>0</v>
      </c>
      <c r="AM3">
        <f>IF(HUAWEI製ＰＣＳ接続枚数計算ツール!$I$107/AM$2&gt;=高温電圧!AM3,1,0)</f>
        <v>0</v>
      </c>
      <c r="AN3">
        <f>IF(HUAWEI製ＰＣＳ接続枚数計算ツール!$I$107/AN$2&gt;=高温電圧!AN3,1,0)</f>
        <v>0</v>
      </c>
      <c r="AO3">
        <f>IF(HUAWEI製ＰＣＳ接続枚数計算ツール!$I$107/AO$2&gt;=高温電圧!AO3,1,0)</f>
        <v>0</v>
      </c>
    </row>
    <row r="4" spans="1:41">
      <c r="A4">
        <v>2</v>
      </c>
      <c r="B4">
        <f>IF(HUAWEI製ＰＣＳ接続枚数計算ツール!$I$107/B$2&gt;=高温電圧!B4,1,0)</f>
        <v>1</v>
      </c>
      <c r="C4">
        <f>IF(HUAWEI製ＰＣＳ接続枚数計算ツール!$I$107/C$2&gt;=高温電圧!C4,1,0)</f>
        <v>1</v>
      </c>
      <c r="D4">
        <f>IF(HUAWEI製ＰＣＳ接続枚数計算ツール!$I$107/D$2&gt;=高温電圧!D4,1,0)</f>
        <v>1</v>
      </c>
      <c r="E4">
        <f>IF(HUAWEI製ＰＣＳ接続枚数計算ツール!$I$107/E$2&gt;=高温電圧!E4,1,0)</f>
        <v>1</v>
      </c>
      <c r="F4">
        <f>IF(HUAWEI製ＰＣＳ接続枚数計算ツール!$I$107/F$2&gt;=高温電圧!F4,1,0)</f>
        <v>1</v>
      </c>
      <c r="G4">
        <f>IF(HUAWEI製ＰＣＳ接続枚数計算ツール!$I$107/G$2&gt;=高温電圧!G4,1,0)</f>
        <v>1</v>
      </c>
      <c r="H4">
        <f>IF(HUAWEI製ＰＣＳ接続枚数計算ツール!$I$107/H$2&gt;=高温電圧!H4,1,0)</f>
        <v>1</v>
      </c>
      <c r="I4">
        <f>IF(HUAWEI製ＰＣＳ接続枚数計算ツール!$I$107/I$2&gt;=高温電圧!I4,1,0)</f>
        <v>1</v>
      </c>
      <c r="J4">
        <f>IF(HUAWEI製ＰＣＳ接続枚数計算ツール!$I$107/J$2&gt;=高温電圧!J4,1,0)</f>
        <v>1</v>
      </c>
      <c r="K4">
        <f>IF(HUAWEI製ＰＣＳ接続枚数計算ツール!$I$107/K$2&gt;=高温電圧!K4,1,0)</f>
        <v>1</v>
      </c>
      <c r="L4">
        <f>IF(HUAWEI製ＰＣＳ接続枚数計算ツール!$I$107/L$2&gt;=高温電圧!L4,1,0)</f>
        <v>1</v>
      </c>
      <c r="M4">
        <f>IF(HUAWEI製ＰＣＳ接続枚数計算ツール!$I$107/M$2&gt;=高温電圧!M4,1,0)</f>
        <v>1</v>
      </c>
      <c r="N4">
        <f>IF(HUAWEI製ＰＣＳ接続枚数計算ツール!$I$107/N$2&gt;=高温電圧!N4,1,0)</f>
        <v>1</v>
      </c>
      <c r="O4">
        <f>IF(HUAWEI製ＰＣＳ接続枚数計算ツール!$I$107/O$2&gt;=高温電圧!O4,1,0)</f>
        <v>1</v>
      </c>
      <c r="P4">
        <f>IF(HUAWEI製ＰＣＳ接続枚数計算ツール!$I$107/P$2&gt;=高温電圧!P4,1,0)</f>
        <v>1</v>
      </c>
      <c r="Q4">
        <f>IF(HUAWEI製ＰＣＳ接続枚数計算ツール!$I$107/Q$2&gt;=高温電圧!Q4,1,0)</f>
        <v>1</v>
      </c>
      <c r="R4">
        <f>IF(HUAWEI製ＰＣＳ接続枚数計算ツール!$I$107/R$2&gt;=高温電圧!R4,1,0)</f>
        <v>1</v>
      </c>
      <c r="S4">
        <f>IF(HUAWEI製ＰＣＳ接続枚数計算ツール!$I$107/S$2&gt;=高温電圧!S4,1,0)</f>
        <v>1</v>
      </c>
      <c r="T4">
        <f>IF(HUAWEI製ＰＣＳ接続枚数計算ツール!$I$107/T$2&gt;=高温電圧!T4,1,0)</f>
        <v>1</v>
      </c>
      <c r="U4">
        <f>IF(HUAWEI製ＰＣＳ接続枚数計算ツール!$I$107/U$2&gt;=高温電圧!U4,1,0)</f>
        <v>1</v>
      </c>
      <c r="V4">
        <f>IF(HUAWEI製ＰＣＳ接続枚数計算ツール!$I$107/V$2&gt;=高温電圧!V4,1,0)</f>
        <v>1</v>
      </c>
      <c r="W4">
        <f>IF(HUAWEI製ＰＣＳ接続枚数計算ツール!$I$107/W$2&gt;=高温電圧!W4,1,0)</f>
        <v>1</v>
      </c>
      <c r="X4">
        <f>IF(HUAWEI製ＰＣＳ接続枚数計算ツール!$I$107/X$2&gt;=高温電圧!X4,1,0)</f>
        <v>1</v>
      </c>
      <c r="Y4">
        <f>IF(HUAWEI製ＰＣＳ接続枚数計算ツール!$I$107/Y$2&gt;=高温電圧!Y4,1,0)</f>
        <v>1</v>
      </c>
      <c r="Z4">
        <f>IF(HUAWEI製ＰＣＳ接続枚数計算ツール!$I$107/Z$2&gt;=高温電圧!Z4,1,0)</f>
        <v>1</v>
      </c>
      <c r="AA4">
        <f>IF(HUAWEI製ＰＣＳ接続枚数計算ツール!$I$107/AA$2&gt;=高温電圧!AA4,1,0)</f>
        <v>0</v>
      </c>
      <c r="AB4">
        <f>IF(HUAWEI製ＰＣＳ接続枚数計算ツール!$I$107/AB$2&gt;=高温電圧!AB4,1,0)</f>
        <v>0</v>
      </c>
      <c r="AC4">
        <f>IF(HUAWEI製ＰＣＳ接続枚数計算ツール!$I$107/AC$2&gt;=高温電圧!AC4,1,0)</f>
        <v>0</v>
      </c>
      <c r="AD4">
        <f>IF(HUAWEI製ＰＣＳ接続枚数計算ツール!$I$107/AD$2&gt;=高温電圧!AD4,1,0)</f>
        <v>0</v>
      </c>
      <c r="AE4">
        <f>IF(HUAWEI製ＰＣＳ接続枚数計算ツール!$I$107/AE$2&gt;=高温電圧!AE4,1,0)</f>
        <v>0</v>
      </c>
      <c r="AF4">
        <f>IF(HUAWEI製ＰＣＳ接続枚数計算ツール!$I$107/AF$2&gt;=高温電圧!AF4,1,0)</f>
        <v>0</v>
      </c>
      <c r="AG4">
        <f>IF(HUAWEI製ＰＣＳ接続枚数計算ツール!$I$107/AG$2&gt;=高温電圧!AG4,1,0)</f>
        <v>0</v>
      </c>
      <c r="AH4">
        <f>IF(HUAWEI製ＰＣＳ接続枚数計算ツール!$I$107/AH$2&gt;=高温電圧!AH4,1,0)</f>
        <v>0</v>
      </c>
      <c r="AI4">
        <f>IF(HUAWEI製ＰＣＳ接続枚数計算ツール!$I$107/AI$2&gt;=高温電圧!AI4,1,0)</f>
        <v>0</v>
      </c>
      <c r="AJ4">
        <f>IF(HUAWEI製ＰＣＳ接続枚数計算ツール!$I$107/AJ$2&gt;=高温電圧!AJ4,1,0)</f>
        <v>0</v>
      </c>
      <c r="AK4">
        <f>IF(HUAWEI製ＰＣＳ接続枚数計算ツール!$I$107/AK$2&gt;=高温電圧!AK4,1,0)</f>
        <v>0</v>
      </c>
      <c r="AL4">
        <f>IF(HUAWEI製ＰＣＳ接続枚数計算ツール!$I$107/AL$2&gt;=高温電圧!AL4,1,0)</f>
        <v>0</v>
      </c>
      <c r="AM4">
        <f>IF(HUAWEI製ＰＣＳ接続枚数計算ツール!$I$107/AM$2&gt;=高温電圧!AM4,1,0)</f>
        <v>0</v>
      </c>
      <c r="AN4">
        <f>IF(HUAWEI製ＰＣＳ接続枚数計算ツール!$I$107/AN$2&gt;=高温電圧!AN4,1,0)</f>
        <v>0</v>
      </c>
      <c r="AO4">
        <f>IF(HUAWEI製ＰＣＳ接続枚数計算ツール!$I$107/AO$2&gt;=高温電圧!AO4,1,0)</f>
        <v>0</v>
      </c>
    </row>
    <row r="5" spans="1:41">
      <c r="A5">
        <v>3</v>
      </c>
      <c r="B5">
        <f>IF(HUAWEI製ＰＣＳ接続枚数計算ツール!$I$107/B$2&gt;=高温電圧!B5,1,0)</f>
        <v>1</v>
      </c>
      <c r="C5">
        <f>IF(HUAWEI製ＰＣＳ接続枚数計算ツール!$I$107/C$2&gt;=高温電圧!C5,1,0)</f>
        <v>1</v>
      </c>
      <c r="D5">
        <f>IF(HUAWEI製ＰＣＳ接続枚数計算ツール!$I$107/D$2&gt;=高温電圧!D5,1,0)</f>
        <v>1</v>
      </c>
      <c r="E5">
        <f>IF(HUAWEI製ＰＣＳ接続枚数計算ツール!$I$107/E$2&gt;=高温電圧!E5,1,0)</f>
        <v>1</v>
      </c>
      <c r="F5">
        <f>IF(HUAWEI製ＰＣＳ接続枚数計算ツール!$I$107/F$2&gt;=高温電圧!F5,1,0)</f>
        <v>1</v>
      </c>
      <c r="G5">
        <f>IF(HUAWEI製ＰＣＳ接続枚数計算ツール!$I$107/G$2&gt;=高温電圧!G5,1,0)</f>
        <v>1</v>
      </c>
      <c r="H5">
        <f>IF(HUAWEI製ＰＣＳ接続枚数計算ツール!$I$107/H$2&gt;=高温電圧!H5,1,0)</f>
        <v>1</v>
      </c>
      <c r="I5">
        <f>IF(HUAWEI製ＰＣＳ接続枚数計算ツール!$I$107/I$2&gt;=高温電圧!I5,1,0)</f>
        <v>1</v>
      </c>
      <c r="J5">
        <f>IF(HUAWEI製ＰＣＳ接続枚数計算ツール!$I$107/J$2&gt;=高温電圧!J5,1,0)</f>
        <v>1</v>
      </c>
      <c r="K5">
        <f>IF(HUAWEI製ＰＣＳ接続枚数計算ツール!$I$107/K$2&gt;=高温電圧!K5,1,0)</f>
        <v>1</v>
      </c>
      <c r="L5">
        <f>IF(HUAWEI製ＰＣＳ接続枚数計算ツール!$I$107/L$2&gt;=高温電圧!L5,1,0)</f>
        <v>1</v>
      </c>
      <c r="M5">
        <f>IF(HUAWEI製ＰＣＳ接続枚数計算ツール!$I$107/M$2&gt;=高温電圧!M5,1,0)</f>
        <v>1</v>
      </c>
      <c r="N5">
        <f>IF(HUAWEI製ＰＣＳ接続枚数計算ツール!$I$107/N$2&gt;=高温電圧!N5,1,0)</f>
        <v>1</v>
      </c>
      <c r="O5">
        <f>IF(HUAWEI製ＰＣＳ接続枚数計算ツール!$I$107/O$2&gt;=高温電圧!O5,1,0)</f>
        <v>1</v>
      </c>
      <c r="P5">
        <f>IF(HUAWEI製ＰＣＳ接続枚数計算ツール!$I$107/P$2&gt;=高温電圧!P5,1,0)</f>
        <v>1</v>
      </c>
      <c r="Q5">
        <f>IF(HUAWEI製ＰＣＳ接続枚数計算ツール!$I$107/Q$2&gt;=高温電圧!Q5,1,0)</f>
        <v>1</v>
      </c>
      <c r="R5">
        <f>IF(HUAWEI製ＰＣＳ接続枚数計算ツール!$I$107/R$2&gt;=高温電圧!R5,1,0)</f>
        <v>1</v>
      </c>
      <c r="S5">
        <f>IF(HUAWEI製ＰＣＳ接続枚数計算ツール!$I$107/S$2&gt;=高温電圧!S5,1,0)</f>
        <v>1</v>
      </c>
      <c r="T5">
        <f>IF(HUAWEI製ＰＣＳ接続枚数計算ツール!$I$107/T$2&gt;=高温電圧!T5,1,0)</f>
        <v>1</v>
      </c>
      <c r="U5">
        <f>IF(HUAWEI製ＰＣＳ接続枚数計算ツール!$I$107/U$2&gt;=高温電圧!U5,1,0)</f>
        <v>1</v>
      </c>
      <c r="V5">
        <f>IF(HUAWEI製ＰＣＳ接続枚数計算ツール!$I$107/V$2&gt;=高温電圧!V5,1,0)</f>
        <v>1</v>
      </c>
      <c r="W5">
        <f>IF(HUAWEI製ＰＣＳ接続枚数計算ツール!$I$107/W$2&gt;=高温電圧!W5,1,0)</f>
        <v>1</v>
      </c>
      <c r="X5">
        <f>IF(HUAWEI製ＰＣＳ接続枚数計算ツール!$I$107/X$2&gt;=高温電圧!X5,1,0)</f>
        <v>1</v>
      </c>
      <c r="Y5">
        <f>IF(HUAWEI製ＰＣＳ接続枚数計算ツール!$I$107/Y$2&gt;=高温電圧!Y5,1,0)</f>
        <v>1</v>
      </c>
      <c r="Z5">
        <f>IF(HUAWEI製ＰＣＳ接続枚数計算ツール!$I$107/Z$2&gt;=高温電圧!Z5,1,0)</f>
        <v>1</v>
      </c>
      <c r="AA5">
        <f>IF(HUAWEI製ＰＣＳ接続枚数計算ツール!$I$107/AA$2&gt;=高温電圧!AA5,1,0)</f>
        <v>0</v>
      </c>
      <c r="AB5">
        <f>IF(HUAWEI製ＰＣＳ接続枚数計算ツール!$I$107/AB$2&gt;=高温電圧!AB5,1,0)</f>
        <v>0</v>
      </c>
      <c r="AC5">
        <f>IF(HUAWEI製ＰＣＳ接続枚数計算ツール!$I$107/AC$2&gt;=高温電圧!AC5,1,0)</f>
        <v>0</v>
      </c>
      <c r="AD5">
        <f>IF(HUAWEI製ＰＣＳ接続枚数計算ツール!$I$107/AD$2&gt;=高温電圧!AD5,1,0)</f>
        <v>0</v>
      </c>
      <c r="AE5">
        <f>IF(HUAWEI製ＰＣＳ接続枚数計算ツール!$I$107/AE$2&gt;=高温電圧!AE5,1,0)</f>
        <v>0</v>
      </c>
      <c r="AF5">
        <f>IF(HUAWEI製ＰＣＳ接続枚数計算ツール!$I$107/AF$2&gt;=高温電圧!AF5,1,0)</f>
        <v>0</v>
      </c>
      <c r="AG5">
        <f>IF(HUAWEI製ＰＣＳ接続枚数計算ツール!$I$107/AG$2&gt;=高温電圧!AG5,1,0)</f>
        <v>0</v>
      </c>
      <c r="AH5">
        <f>IF(HUAWEI製ＰＣＳ接続枚数計算ツール!$I$107/AH$2&gt;=高温電圧!AH5,1,0)</f>
        <v>0</v>
      </c>
      <c r="AI5">
        <f>IF(HUAWEI製ＰＣＳ接続枚数計算ツール!$I$107/AI$2&gt;=高温電圧!AI5,1,0)</f>
        <v>0</v>
      </c>
      <c r="AJ5">
        <f>IF(HUAWEI製ＰＣＳ接続枚数計算ツール!$I$107/AJ$2&gt;=高温電圧!AJ5,1,0)</f>
        <v>0</v>
      </c>
      <c r="AK5">
        <f>IF(HUAWEI製ＰＣＳ接続枚数計算ツール!$I$107/AK$2&gt;=高温電圧!AK5,1,0)</f>
        <v>0</v>
      </c>
      <c r="AL5">
        <f>IF(HUAWEI製ＰＣＳ接続枚数計算ツール!$I$107/AL$2&gt;=高温電圧!AL5,1,0)</f>
        <v>0</v>
      </c>
      <c r="AM5">
        <f>IF(HUAWEI製ＰＣＳ接続枚数計算ツール!$I$107/AM$2&gt;=高温電圧!AM5,1,0)</f>
        <v>0</v>
      </c>
      <c r="AN5">
        <f>IF(HUAWEI製ＰＣＳ接続枚数計算ツール!$I$107/AN$2&gt;=高温電圧!AN5,1,0)</f>
        <v>0</v>
      </c>
      <c r="AO5">
        <f>IF(HUAWEI製ＰＣＳ接続枚数計算ツール!$I$107/AO$2&gt;=高温電圧!AO5,1,0)</f>
        <v>0</v>
      </c>
    </row>
    <row r="6" spans="1:41">
      <c r="A6">
        <v>4</v>
      </c>
      <c r="B6">
        <f>IF(HUAWEI製ＰＣＳ接続枚数計算ツール!$I$107/B$2&gt;=高温電圧!B6,1,0)</f>
        <v>1</v>
      </c>
      <c r="C6">
        <f>IF(HUAWEI製ＰＣＳ接続枚数計算ツール!$I$107/C$2&gt;=高温電圧!C6,1,0)</f>
        <v>1</v>
      </c>
      <c r="D6">
        <f>IF(HUAWEI製ＰＣＳ接続枚数計算ツール!$I$107/D$2&gt;=高温電圧!D6,1,0)</f>
        <v>1</v>
      </c>
      <c r="E6">
        <f>IF(HUAWEI製ＰＣＳ接続枚数計算ツール!$I$107/E$2&gt;=高温電圧!E6,1,0)</f>
        <v>1</v>
      </c>
      <c r="F6">
        <f>IF(HUAWEI製ＰＣＳ接続枚数計算ツール!$I$107/F$2&gt;=高温電圧!F6,1,0)</f>
        <v>1</v>
      </c>
      <c r="G6">
        <f>IF(HUAWEI製ＰＣＳ接続枚数計算ツール!$I$107/G$2&gt;=高温電圧!G6,1,0)</f>
        <v>1</v>
      </c>
      <c r="H6">
        <f>IF(HUAWEI製ＰＣＳ接続枚数計算ツール!$I$107/H$2&gt;=高温電圧!H6,1,0)</f>
        <v>1</v>
      </c>
      <c r="I6">
        <f>IF(HUAWEI製ＰＣＳ接続枚数計算ツール!$I$107/I$2&gt;=高温電圧!I6,1,0)</f>
        <v>1</v>
      </c>
      <c r="J6">
        <f>IF(HUAWEI製ＰＣＳ接続枚数計算ツール!$I$107/J$2&gt;=高温電圧!J6,1,0)</f>
        <v>1</v>
      </c>
      <c r="K6">
        <f>IF(HUAWEI製ＰＣＳ接続枚数計算ツール!$I$107/K$2&gt;=高温電圧!K6,1,0)</f>
        <v>1</v>
      </c>
      <c r="L6">
        <f>IF(HUAWEI製ＰＣＳ接続枚数計算ツール!$I$107/L$2&gt;=高温電圧!L6,1,0)</f>
        <v>1</v>
      </c>
      <c r="M6">
        <f>IF(HUAWEI製ＰＣＳ接続枚数計算ツール!$I$107/M$2&gt;=高温電圧!M6,1,0)</f>
        <v>1</v>
      </c>
      <c r="N6">
        <f>IF(HUAWEI製ＰＣＳ接続枚数計算ツール!$I$107/N$2&gt;=高温電圧!N6,1,0)</f>
        <v>1</v>
      </c>
      <c r="O6">
        <f>IF(HUAWEI製ＰＣＳ接続枚数計算ツール!$I$107/O$2&gt;=高温電圧!O6,1,0)</f>
        <v>1</v>
      </c>
      <c r="P6">
        <f>IF(HUAWEI製ＰＣＳ接続枚数計算ツール!$I$107/P$2&gt;=高温電圧!P6,1,0)</f>
        <v>1</v>
      </c>
      <c r="Q6">
        <f>IF(HUAWEI製ＰＣＳ接続枚数計算ツール!$I$107/Q$2&gt;=高温電圧!Q6,1,0)</f>
        <v>1</v>
      </c>
      <c r="R6">
        <f>IF(HUAWEI製ＰＣＳ接続枚数計算ツール!$I$107/R$2&gt;=高温電圧!R6,1,0)</f>
        <v>1</v>
      </c>
      <c r="S6">
        <f>IF(HUAWEI製ＰＣＳ接続枚数計算ツール!$I$107/S$2&gt;=高温電圧!S6,1,0)</f>
        <v>1</v>
      </c>
      <c r="T6">
        <f>IF(HUAWEI製ＰＣＳ接続枚数計算ツール!$I$107/T$2&gt;=高温電圧!T6,1,0)</f>
        <v>1</v>
      </c>
      <c r="U6">
        <f>IF(HUAWEI製ＰＣＳ接続枚数計算ツール!$I$107/U$2&gt;=高温電圧!U6,1,0)</f>
        <v>1</v>
      </c>
      <c r="V6">
        <f>IF(HUAWEI製ＰＣＳ接続枚数計算ツール!$I$107/V$2&gt;=高温電圧!V6,1,0)</f>
        <v>1</v>
      </c>
      <c r="W6">
        <f>IF(HUAWEI製ＰＣＳ接続枚数計算ツール!$I$107/W$2&gt;=高温電圧!W6,1,0)</f>
        <v>1</v>
      </c>
      <c r="X6">
        <f>IF(HUAWEI製ＰＣＳ接続枚数計算ツール!$I$107/X$2&gt;=高温電圧!X6,1,0)</f>
        <v>1</v>
      </c>
      <c r="Y6">
        <f>IF(HUAWEI製ＰＣＳ接続枚数計算ツール!$I$107/Y$2&gt;=高温電圧!Y6,1,0)</f>
        <v>1</v>
      </c>
      <c r="Z6">
        <f>IF(HUAWEI製ＰＣＳ接続枚数計算ツール!$I$107/Z$2&gt;=高温電圧!Z6,1,0)</f>
        <v>1</v>
      </c>
      <c r="AA6">
        <f>IF(HUAWEI製ＰＣＳ接続枚数計算ツール!$I$107/AA$2&gt;=高温電圧!AA6,1,0)</f>
        <v>0</v>
      </c>
      <c r="AB6">
        <f>IF(HUAWEI製ＰＣＳ接続枚数計算ツール!$I$107/AB$2&gt;=高温電圧!AB6,1,0)</f>
        <v>0</v>
      </c>
      <c r="AC6">
        <f>IF(HUAWEI製ＰＣＳ接続枚数計算ツール!$I$107/AC$2&gt;=高温電圧!AC6,1,0)</f>
        <v>0</v>
      </c>
      <c r="AD6">
        <f>IF(HUAWEI製ＰＣＳ接続枚数計算ツール!$I$107/AD$2&gt;=高温電圧!AD6,1,0)</f>
        <v>0</v>
      </c>
      <c r="AE6">
        <f>IF(HUAWEI製ＰＣＳ接続枚数計算ツール!$I$107/AE$2&gt;=高温電圧!AE6,1,0)</f>
        <v>0</v>
      </c>
      <c r="AF6">
        <f>IF(HUAWEI製ＰＣＳ接続枚数計算ツール!$I$107/AF$2&gt;=高温電圧!AF6,1,0)</f>
        <v>0</v>
      </c>
      <c r="AG6">
        <f>IF(HUAWEI製ＰＣＳ接続枚数計算ツール!$I$107/AG$2&gt;=高温電圧!AG6,1,0)</f>
        <v>0</v>
      </c>
      <c r="AH6">
        <f>IF(HUAWEI製ＰＣＳ接続枚数計算ツール!$I$107/AH$2&gt;=高温電圧!AH6,1,0)</f>
        <v>0</v>
      </c>
      <c r="AI6">
        <f>IF(HUAWEI製ＰＣＳ接続枚数計算ツール!$I$107/AI$2&gt;=高温電圧!AI6,1,0)</f>
        <v>0</v>
      </c>
      <c r="AJ6">
        <f>IF(HUAWEI製ＰＣＳ接続枚数計算ツール!$I$107/AJ$2&gt;=高温電圧!AJ6,1,0)</f>
        <v>0</v>
      </c>
      <c r="AK6">
        <f>IF(HUAWEI製ＰＣＳ接続枚数計算ツール!$I$107/AK$2&gt;=高温電圧!AK6,1,0)</f>
        <v>0</v>
      </c>
      <c r="AL6">
        <f>IF(HUAWEI製ＰＣＳ接続枚数計算ツール!$I$107/AL$2&gt;=高温電圧!AL6,1,0)</f>
        <v>0</v>
      </c>
      <c r="AM6">
        <f>IF(HUAWEI製ＰＣＳ接続枚数計算ツール!$I$107/AM$2&gt;=高温電圧!AM6,1,0)</f>
        <v>0</v>
      </c>
      <c r="AN6">
        <f>IF(HUAWEI製ＰＣＳ接続枚数計算ツール!$I$107/AN$2&gt;=高温電圧!AN6,1,0)</f>
        <v>0</v>
      </c>
      <c r="AO6">
        <f>IF(HUAWEI製ＰＣＳ接続枚数計算ツール!$I$107/AO$2&gt;=高温電圧!AO6,1,0)</f>
        <v>0</v>
      </c>
    </row>
    <row r="7" spans="1:41">
      <c r="A7">
        <v>5</v>
      </c>
      <c r="B7">
        <f>IF(HUAWEI製ＰＣＳ接続枚数計算ツール!$I$107/B$2&gt;=高温電圧!B7,1,0)</f>
        <v>1</v>
      </c>
      <c r="C7">
        <f>IF(HUAWEI製ＰＣＳ接続枚数計算ツール!$I$107/C$2&gt;=高温電圧!C7,1,0)</f>
        <v>1</v>
      </c>
      <c r="D7">
        <f>IF(HUAWEI製ＰＣＳ接続枚数計算ツール!$I$107/D$2&gt;=高温電圧!D7,1,0)</f>
        <v>1</v>
      </c>
      <c r="E7">
        <f>IF(HUAWEI製ＰＣＳ接続枚数計算ツール!$I$107/E$2&gt;=高温電圧!E7,1,0)</f>
        <v>1</v>
      </c>
      <c r="F7">
        <f>IF(HUAWEI製ＰＣＳ接続枚数計算ツール!$I$107/F$2&gt;=高温電圧!F7,1,0)</f>
        <v>1</v>
      </c>
      <c r="G7">
        <f>IF(HUAWEI製ＰＣＳ接続枚数計算ツール!$I$107/G$2&gt;=高温電圧!G7,1,0)</f>
        <v>1</v>
      </c>
      <c r="H7">
        <f>IF(HUAWEI製ＰＣＳ接続枚数計算ツール!$I$107/H$2&gt;=高温電圧!H7,1,0)</f>
        <v>1</v>
      </c>
      <c r="I7">
        <f>IF(HUAWEI製ＰＣＳ接続枚数計算ツール!$I$107/I$2&gt;=高温電圧!I7,1,0)</f>
        <v>1</v>
      </c>
      <c r="J7">
        <f>IF(HUAWEI製ＰＣＳ接続枚数計算ツール!$I$107/J$2&gt;=高温電圧!J7,1,0)</f>
        <v>1</v>
      </c>
      <c r="K7">
        <f>IF(HUAWEI製ＰＣＳ接続枚数計算ツール!$I$107/K$2&gt;=高温電圧!K7,1,0)</f>
        <v>1</v>
      </c>
      <c r="L7">
        <f>IF(HUAWEI製ＰＣＳ接続枚数計算ツール!$I$107/L$2&gt;=高温電圧!L7,1,0)</f>
        <v>1</v>
      </c>
      <c r="M7">
        <f>IF(HUAWEI製ＰＣＳ接続枚数計算ツール!$I$107/M$2&gt;=高温電圧!M7,1,0)</f>
        <v>1</v>
      </c>
      <c r="N7">
        <f>IF(HUAWEI製ＰＣＳ接続枚数計算ツール!$I$107/N$2&gt;=高温電圧!N7,1,0)</f>
        <v>1</v>
      </c>
      <c r="O7">
        <f>IF(HUAWEI製ＰＣＳ接続枚数計算ツール!$I$107/O$2&gt;=高温電圧!O7,1,0)</f>
        <v>1</v>
      </c>
      <c r="P7">
        <f>IF(HUAWEI製ＰＣＳ接続枚数計算ツール!$I$107/P$2&gt;=高温電圧!P7,1,0)</f>
        <v>1</v>
      </c>
      <c r="Q7">
        <f>IF(HUAWEI製ＰＣＳ接続枚数計算ツール!$I$107/Q$2&gt;=高温電圧!Q7,1,0)</f>
        <v>1</v>
      </c>
      <c r="R7">
        <f>IF(HUAWEI製ＰＣＳ接続枚数計算ツール!$I$107/R$2&gt;=高温電圧!R7,1,0)</f>
        <v>1</v>
      </c>
      <c r="S7">
        <f>IF(HUAWEI製ＰＣＳ接続枚数計算ツール!$I$107/S$2&gt;=高温電圧!S7,1,0)</f>
        <v>1</v>
      </c>
      <c r="T7">
        <f>IF(HUAWEI製ＰＣＳ接続枚数計算ツール!$I$107/T$2&gt;=高温電圧!T7,1,0)</f>
        <v>1</v>
      </c>
      <c r="U7">
        <f>IF(HUAWEI製ＰＣＳ接続枚数計算ツール!$I$107/U$2&gt;=高温電圧!U7,1,0)</f>
        <v>1</v>
      </c>
      <c r="V7">
        <f>IF(HUAWEI製ＰＣＳ接続枚数計算ツール!$I$107/V$2&gt;=高温電圧!V7,1,0)</f>
        <v>1</v>
      </c>
      <c r="W7">
        <f>IF(HUAWEI製ＰＣＳ接続枚数計算ツール!$I$107/W$2&gt;=高温電圧!W7,1,0)</f>
        <v>1</v>
      </c>
      <c r="X7">
        <f>IF(HUAWEI製ＰＣＳ接続枚数計算ツール!$I$107/X$2&gt;=高温電圧!X7,1,0)</f>
        <v>1</v>
      </c>
      <c r="Y7">
        <f>IF(HUAWEI製ＰＣＳ接続枚数計算ツール!$I$107/Y$2&gt;=高温電圧!Y7,1,0)</f>
        <v>1</v>
      </c>
      <c r="Z7">
        <f>IF(HUAWEI製ＰＣＳ接続枚数計算ツール!$I$107/Z$2&gt;=高温電圧!Z7,1,0)</f>
        <v>1</v>
      </c>
      <c r="AA7">
        <f>IF(HUAWEI製ＰＣＳ接続枚数計算ツール!$I$107/AA$2&gt;=高温電圧!AA7,1,0)</f>
        <v>0</v>
      </c>
      <c r="AB7">
        <f>IF(HUAWEI製ＰＣＳ接続枚数計算ツール!$I$107/AB$2&gt;=高温電圧!AB7,1,0)</f>
        <v>0</v>
      </c>
      <c r="AC7">
        <f>IF(HUAWEI製ＰＣＳ接続枚数計算ツール!$I$107/AC$2&gt;=高温電圧!AC7,1,0)</f>
        <v>0</v>
      </c>
      <c r="AD7">
        <f>IF(HUAWEI製ＰＣＳ接続枚数計算ツール!$I$107/AD$2&gt;=高温電圧!AD7,1,0)</f>
        <v>0</v>
      </c>
      <c r="AE7">
        <f>IF(HUAWEI製ＰＣＳ接続枚数計算ツール!$I$107/AE$2&gt;=高温電圧!AE7,1,0)</f>
        <v>0</v>
      </c>
      <c r="AF7">
        <f>IF(HUAWEI製ＰＣＳ接続枚数計算ツール!$I$107/AF$2&gt;=高温電圧!AF7,1,0)</f>
        <v>0</v>
      </c>
      <c r="AG7">
        <f>IF(HUAWEI製ＰＣＳ接続枚数計算ツール!$I$107/AG$2&gt;=高温電圧!AG7,1,0)</f>
        <v>0</v>
      </c>
      <c r="AH7">
        <f>IF(HUAWEI製ＰＣＳ接続枚数計算ツール!$I$107/AH$2&gt;=高温電圧!AH7,1,0)</f>
        <v>0</v>
      </c>
      <c r="AI7">
        <f>IF(HUAWEI製ＰＣＳ接続枚数計算ツール!$I$107/AI$2&gt;=高温電圧!AI7,1,0)</f>
        <v>0</v>
      </c>
      <c r="AJ7">
        <f>IF(HUAWEI製ＰＣＳ接続枚数計算ツール!$I$107/AJ$2&gt;=高温電圧!AJ7,1,0)</f>
        <v>0</v>
      </c>
      <c r="AK7">
        <f>IF(HUAWEI製ＰＣＳ接続枚数計算ツール!$I$107/AK$2&gt;=高温電圧!AK7,1,0)</f>
        <v>0</v>
      </c>
      <c r="AL7">
        <f>IF(HUAWEI製ＰＣＳ接続枚数計算ツール!$I$107/AL$2&gt;=高温電圧!AL7,1,0)</f>
        <v>0</v>
      </c>
      <c r="AM7">
        <f>IF(HUAWEI製ＰＣＳ接続枚数計算ツール!$I$107/AM$2&gt;=高温電圧!AM7,1,0)</f>
        <v>0</v>
      </c>
      <c r="AN7">
        <f>IF(HUAWEI製ＰＣＳ接続枚数計算ツール!$I$107/AN$2&gt;=高温電圧!AN7,1,0)</f>
        <v>0</v>
      </c>
      <c r="AO7">
        <f>IF(HUAWEI製ＰＣＳ接続枚数計算ツール!$I$107/AO$2&gt;=高温電圧!AO7,1,0)</f>
        <v>0</v>
      </c>
    </row>
    <row r="8" spans="1:41">
      <c r="A8">
        <v>6</v>
      </c>
      <c r="B8">
        <f>IF(HUAWEI製ＰＣＳ接続枚数計算ツール!$I$107/B$2&gt;=高温電圧!B8,1,0)</f>
        <v>1</v>
      </c>
      <c r="C8">
        <f>IF(HUAWEI製ＰＣＳ接続枚数計算ツール!$I$107/C$2&gt;=高温電圧!C8,1,0)</f>
        <v>1</v>
      </c>
      <c r="D8">
        <f>IF(HUAWEI製ＰＣＳ接続枚数計算ツール!$I$107/D$2&gt;=高温電圧!D8,1,0)</f>
        <v>1</v>
      </c>
      <c r="E8">
        <f>IF(HUAWEI製ＰＣＳ接続枚数計算ツール!$I$107/E$2&gt;=高温電圧!E8,1,0)</f>
        <v>1</v>
      </c>
      <c r="F8">
        <f>IF(HUAWEI製ＰＣＳ接続枚数計算ツール!$I$107/F$2&gt;=高温電圧!F8,1,0)</f>
        <v>1</v>
      </c>
      <c r="G8">
        <f>IF(HUAWEI製ＰＣＳ接続枚数計算ツール!$I$107/G$2&gt;=高温電圧!G8,1,0)</f>
        <v>1</v>
      </c>
      <c r="H8">
        <f>IF(HUAWEI製ＰＣＳ接続枚数計算ツール!$I$107/H$2&gt;=高温電圧!H8,1,0)</f>
        <v>1</v>
      </c>
      <c r="I8">
        <f>IF(HUAWEI製ＰＣＳ接続枚数計算ツール!$I$107/I$2&gt;=高温電圧!I8,1,0)</f>
        <v>1</v>
      </c>
      <c r="J8">
        <f>IF(HUAWEI製ＰＣＳ接続枚数計算ツール!$I$107/J$2&gt;=高温電圧!J8,1,0)</f>
        <v>1</v>
      </c>
      <c r="K8">
        <f>IF(HUAWEI製ＰＣＳ接続枚数計算ツール!$I$107/K$2&gt;=高温電圧!K8,1,0)</f>
        <v>1</v>
      </c>
      <c r="L8">
        <f>IF(HUAWEI製ＰＣＳ接続枚数計算ツール!$I$107/L$2&gt;=高温電圧!L8,1,0)</f>
        <v>1</v>
      </c>
      <c r="M8">
        <f>IF(HUAWEI製ＰＣＳ接続枚数計算ツール!$I$107/M$2&gt;=高温電圧!M8,1,0)</f>
        <v>1</v>
      </c>
      <c r="N8">
        <f>IF(HUAWEI製ＰＣＳ接続枚数計算ツール!$I$107/N$2&gt;=高温電圧!N8,1,0)</f>
        <v>1</v>
      </c>
      <c r="O8">
        <f>IF(HUAWEI製ＰＣＳ接続枚数計算ツール!$I$107/O$2&gt;=高温電圧!O8,1,0)</f>
        <v>1</v>
      </c>
      <c r="P8">
        <f>IF(HUAWEI製ＰＣＳ接続枚数計算ツール!$I$107/P$2&gt;=高温電圧!P8,1,0)</f>
        <v>1</v>
      </c>
      <c r="Q8">
        <f>IF(HUAWEI製ＰＣＳ接続枚数計算ツール!$I$107/Q$2&gt;=高温電圧!Q8,1,0)</f>
        <v>1</v>
      </c>
      <c r="R8">
        <f>IF(HUAWEI製ＰＣＳ接続枚数計算ツール!$I$107/R$2&gt;=高温電圧!R8,1,0)</f>
        <v>1</v>
      </c>
      <c r="S8">
        <f>IF(HUAWEI製ＰＣＳ接続枚数計算ツール!$I$107/S$2&gt;=高温電圧!S8,1,0)</f>
        <v>1</v>
      </c>
      <c r="T8">
        <f>IF(HUAWEI製ＰＣＳ接続枚数計算ツール!$I$107/T$2&gt;=高温電圧!T8,1,0)</f>
        <v>1</v>
      </c>
      <c r="U8">
        <f>IF(HUAWEI製ＰＣＳ接続枚数計算ツール!$I$107/U$2&gt;=高温電圧!U8,1,0)</f>
        <v>1</v>
      </c>
      <c r="V8">
        <f>IF(HUAWEI製ＰＣＳ接続枚数計算ツール!$I$107/V$2&gt;=高温電圧!V8,1,0)</f>
        <v>1</v>
      </c>
      <c r="W8">
        <f>IF(HUAWEI製ＰＣＳ接続枚数計算ツール!$I$107/W$2&gt;=高温電圧!W8,1,0)</f>
        <v>1</v>
      </c>
      <c r="X8">
        <f>IF(HUAWEI製ＰＣＳ接続枚数計算ツール!$I$107/X$2&gt;=高温電圧!X8,1,0)</f>
        <v>1</v>
      </c>
      <c r="Y8">
        <f>IF(HUAWEI製ＰＣＳ接続枚数計算ツール!$I$107/Y$2&gt;=高温電圧!Y8,1,0)</f>
        <v>1</v>
      </c>
      <c r="Z8">
        <f>IF(HUAWEI製ＰＣＳ接続枚数計算ツール!$I$107/Z$2&gt;=高温電圧!Z8,1,0)</f>
        <v>1</v>
      </c>
      <c r="AA8">
        <f>IF(HUAWEI製ＰＣＳ接続枚数計算ツール!$I$107/AA$2&gt;=高温電圧!AA8,1,0)</f>
        <v>0</v>
      </c>
      <c r="AB8">
        <f>IF(HUAWEI製ＰＣＳ接続枚数計算ツール!$I$107/AB$2&gt;=高温電圧!AB8,1,0)</f>
        <v>0</v>
      </c>
      <c r="AC8">
        <f>IF(HUAWEI製ＰＣＳ接続枚数計算ツール!$I$107/AC$2&gt;=高温電圧!AC8,1,0)</f>
        <v>0</v>
      </c>
      <c r="AD8">
        <f>IF(HUAWEI製ＰＣＳ接続枚数計算ツール!$I$107/AD$2&gt;=高温電圧!AD8,1,0)</f>
        <v>0</v>
      </c>
      <c r="AE8">
        <f>IF(HUAWEI製ＰＣＳ接続枚数計算ツール!$I$107/AE$2&gt;=高温電圧!AE8,1,0)</f>
        <v>0</v>
      </c>
      <c r="AF8">
        <f>IF(HUAWEI製ＰＣＳ接続枚数計算ツール!$I$107/AF$2&gt;=高温電圧!AF8,1,0)</f>
        <v>0</v>
      </c>
      <c r="AG8">
        <f>IF(HUAWEI製ＰＣＳ接続枚数計算ツール!$I$107/AG$2&gt;=高温電圧!AG8,1,0)</f>
        <v>0</v>
      </c>
      <c r="AH8">
        <f>IF(HUAWEI製ＰＣＳ接続枚数計算ツール!$I$107/AH$2&gt;=高温電圧!AH8,1,0)</f>
        <v>0</v>
      </c>
      <c r="AI8">
        <f>IF(HUAWEI製ＰＣＳ接続枚数計算ツール!$I$107/AI$2&gt;=高温電圧!AI8,1,0)</f>
        <v>0</v>
      </c>
      <c r="AJ8">
        <f>IF(HUAWEI製ＰＣＳ接続枚数計算ツール!$I$107/AJ$2&gt;=高温電圧!AJ8,1,0)</f>
        <v>0</v>
      </c>
      <c r="AK8">
        <f>IF(HUAWEI製ＰＣＳ接続枚数計算ツール!$I$107/AK$2&gt;=高温電圧!AK8,1,0)</f>
        <v>0</v>
      </c>
      <c r="AL8">
        <f>IF(HUAWEI製ＰＣＳ接続枚数計算ツール!$I$107/AL$2&gt;=高温電圧!AL8,1,0)</f>
        <v>0</v>
      </c>
      <c r="AM8">
        <f>IF(HUAWEI製ＰＣＳ接続枚数計算ツール!$I$107/AM$2&gt;=高温電圧!AM8,1,0)</f>
        <v>0</v>
      </c>
      <c r="AN8">
        <f>IF(HUAWEI製ＰＣＳ接続枚数計算ツール!$I$107/AN$2&gt;=高温電圧!AN8,1,0)</f>
        <v>0</v>
      </c>
      <c r="AO8">
        <f>IF(HUAWEI製ＰＣＳ接続枚数計算ツール!$I$107/AO$2&gt;=高温電圧!AO8,1,0)</f>
        <v>0</v>
      </c>
    </row>
    <row r="9" spans="1:41">
      <c r="A9">
        <v>7</v>
      </c>
      <c r="B9">
        <f>IF(HUAWEI製ＰＣＳ接続枚数計算ツール!$I$107/B$2&gt;=高温電圧!B9,1,0)</f>
        <v>1</v>
      </c>
      <c r="C9">
        <f>IF(HUAWEI製ＰＣＳ接続枚数計算ツール!$I$107/C$2&gt;=高温電圧!C9,1,0)</f>
        <v>1</v>
      </c>
      <c r="D9">
        <f>IF(HUAWEI製ＰＣＳ接続枚数計算ツール!$I$107/D$2&gt;=高温電圧!D9,1,0)</f>
        <v>1</v>
      </c>
      <c r="E9">
        <f>IF(HUAWEI製ＰＣＳ接続枚数計算ツール!$I$107/E$2&gt;=高温電圧!E9,1,0)</f>
        <v>1</v>
      </c>
      <c r="F9">
        <f>IF(HUAWEI製ＰＣＳ接続枚数計算ツール!$I$107/F$2&gt;=高温電圧!F9,1,0)</f>
        <v>1</v>
      </c>
      <c r="G9">
        <f>IF(HUAWEI製ＰＣＳ接続枚数計算ツール!$I$107/G$2&gt;=高温電圧!G9,1,0)</f>
        <v>1</v>
      </c>
      <c r="H9">
        <f>IF(HUAWEI製ＰＣＳ接続枚数計算ツール!$I$107/H$2&gt;=高温電圧!H9,1,0)</f>
        <v>1</v>
      </c>
      <c r="I9">
        <f>IF(HUAWEI製ＰＣＳ接続枚数計算ツール!$I$107/I$2&gt;=高温電圧!I9,1,0)</f>
        <v>1</v>
      </c>
      <c r="J9">
        <f>IF(HUAWEI製ＰＣＳ接続枚数計算ツール!$I$107/J$2&gt;=高温電圧!J9,1,0)</f>
        <v>1</v>
      </c>
      <c r="K9">
        <f>IF(HUAWEI製ＰＣＳ接続枚数計算ツール!$I$107/K$2&gt;=高温電圧!K9,1,0)</f>
        <v>1</v>
      </c>
      <c r="L9">
        <f>IF(HUAWEI製ＰＣＳ接続枚数計算ツール!$I$107/L$2&gt;=高温電圧!L9,1,0)</f>
        <v>1</v>
      </c>
      <c r="M9">
        <f>IF(HUAWEI製ＰＣＳ接続枚数計算ツール!$I$107/M$2&gt;=高温電圧!M9,1,0)</f>
        <v>1</v>
      </c>
      <c r="N9">
        <f>IF(HUAWEI製ＰＣＳ接続枚数計算ツール!$I$107/N$2&gt;=高温電圧!N9,1,0)</f>
        <v>1</v>
      </c>
      <c r="O9">
        <f>IF(HUAWEI製ＰＣＳ接続枚数計算ツール!$I$107/O$2&gt;=高温電圧!O9,1,0)</f>
        <v>1</v>
      </c>
      <c r="P9">
        <f>IF(HUAWEI製ＰＣＳ接続枚数計算ツール!$I$107/P$2&gt;=高温電圧!P9,1,0)</f>
        <v>1</v>
      </c>
      <c r="Q9">
        <f>IF(HUAWEI製ＰＣＳ接続枚数計算ツール!$I$107/Q$2&gt;=高温電圧!Q9,1,0)</f>
        <v>1</v>
      </c>
      <c r="R9">
        <f>IF(HUAWEI製ＰＣＳ接続枚数計算ツール!$I$107/R$2&gt;=高温電圧!R9,1,0)</f>
        <v>1</v>
      </c>
      <c r="S9">
        <f>IF(HUAWEI製ＰＣＳ接続枚数計算ツール!$I$107/S$2&gt;=高温電圧!S9,1,0)</f>
        <v>1</v>
      </c>
      <c r="T9">
        <f>IF(HUAWEI製ＰＣＳ接続枚数計算ツール!$I$107/T$2&gt;=高温電圧!T9,1,0)</f>
        <v>1</v>
      </c>
      <c r="U9">
        <f>IF(HUAWEI製ＰＣＳ接続枚数計算ツール!$I$107/U$2&gt;=高温電圧!U9,1,0)</f>
        <v>1</v>
      </c>
      <c r="V9">
        <f>IF(HUAWEI製ＰＣＳ接続枚数計算ツール!$I$107/V$2&gt;=高温電圧!V9,1,0)</f>
        <v>1</v>
      </c>
      <c r="W9">
        <f>IF(HUAWEI製ＰＣＳ接続枚数計算ツール!$I$107/W$2&gt;=高温電圧!W9,1,0)</f>
        <v>1</v>
      </c>
      <c r="X9">
        <f>IF(HUAWEI製ＰＣＳ接続枚数計算ツール!$I$107/X$2&gt;=高温電圧!X9,1,0)</f>
        <v>1</v>
      </c>
      <c r="Y9">
        <f>IF(HUAWEI製ＰＣＳ接続枚数計算ツール!$I$107/Y$2&gt;=高温電圧!Y9,1,0)</f>
        <v>1</v>
      </c>
      <c r="Z9">
        <f>IF(HUAWEI製ＰＣＳ接続枚数計算ツール!$I$107/Z$2&gt;=高温電圧!Z9,1,0)</f>
        <v>1</v>
      </c>
      <c r="AA9">
        <f>IF(HUAWEI製ＰＣＳ接続枚数計算ツール!$I$107/AA$2&gt;=高温電圧!AA9,1,0)</f>
        <v>0</v>
      </c>
      <c r="AB9">
        <f>IF(HUAWEI製ＰＣＳ接続枚数計算ツール!$I$107/AB$2&gt;=高温電圧!AB9,1,0)</f>
        <v>0</v>
      </c>
      <c r="AC9">
        <f>IF(HUAWEI製ＰＣＳ接続枚数計算ツール!$I$107/AC$2&gt;=高温電圧!AC9,1,0)</f>
        <v>0</v>
      </c>
      <c r="AD9">
        <f>IF(HUAWEI製ＰＣＳ接続枚数計算ツール!$I$107/AD$2&gt;=高温電圧!AD9,1,0)</f>
        <v>0</v>
      </c>
      <c r="AE9">
        <f>IF(HUAWEI製ＰＣＳ接続枚数計算ツール!$I$107/AE$2&gt;=高温電圧!AE9,1,0)</f>
        <v>0</v>
      </c>
      <c r="AF9">
        <f>IF(HUAWEI製ＰＣＳ接続枚数計算ツール!$I$107/AF$2&gt;=高温電圧!AF9,1,0)</f>
        <v>0</v>
      </c>
      <c r="AG9">
        <f>IF(HUAWEI製ＰＣＳ接続枚数計算ツール!$I$107/AG$2&gt;=高温電圧!AG9,1,0)</f>
        <v>0</v>
      </c>
      <c r="AH9">
        <f>IF(HUAWEI製ＰＣＳ接続枚数計算ツール!$I$107/AH$2&gt;=高温電圧!AH9,1,0)</f>
        <v>0</v>
      </c>
      <c r="AI9">
        <f>IF(HUAWEI製ＰＣＳ接続枚数計算ツール!$I$107/AI$2&gt;=高温電圧!AI9,1,0)</f>
        <v>0</v>
      </c>
      <c r="AJ9">
        <f>IF(HUAWEI製ＰＣＳ接続枚数計算ツール!$I$107/AJ$2&gt;=高温電圧!AJ9,1,0)</f>
        <v>0</v>
      </c>
      <c r="AK9">
        <f>IF(HUAWEI製ＰＣＳ接続枚数計算ツール!$I$107/AK$2&gt;=高温電圧!AK9,1,0)</f>
        <v>0</v>
      </c>
      <c r="AL9">
        <f>IF(HUAWEI製ＰＣＳ接続枚数計算ツール!$I$107/AL$2&gt;=高温電圧!AL9,1,0)</f>
        <v>0</v>
      </c>
      <c r="AM9">
        <f>IF(HUAWEI製ＰＣＳ接続枚数計算ツール!$I$107/AM$2&gt;=高温電圧!AM9,1,0)</f>
        <v>0</v>
      </c>
      <c r="AN9">
        <f>IF(HUAWEI製ＰＣＳ接続枚数計算ツール!$I$107/AN$2&gt;=高温電圧!AN9,1,0)</f>
        <v>0</v>
      </c>
      <c r="AO9">
        <f>IF(HUAWEI製ＰＣＳ接続枚数計算ツール!$I$107/AO$2&gt;=高温電圧!AO9,1,0)</f>
        <v>0</v>
      </c>
    </row>
    <row r="10" spans="1:41">
      <c r="A10">
        <v>8</v>
      </c>
      <c r="B10">
        <f>IF(HUAWEI製ＰＣＳ接続枚数計算ツール!$I$107/B$2&gt;=高温電圧!B10,1,0)</f>
        <v>1</v>
      </c>
      <c r="C10">
        <f>IF(HUAWEI製ＰＣＳ接続枚数計算ツール!$I$107/C$2&gt;=高温電圧!C10,1,0)</f>
        <v>1</v>
      </c>
      <c r="D10">
        <f>IF(HUAWEI製ＰＣＳ接続枚数計算ツール!$I$107/D$2&gt;=高温電圧!D10,1,0)</f>
        <v>1</v>
      </c>
      <c r="E10">
        <f>IF(HUAWEI製ＰＣＳ接続枚数計算ツール!$I$107/E$2&gt;=高温電圧!E10,1,0)</f>
        <v>1</v>
      </c>
      <c r="F10">
        <f>IF(HUAWEI製ＰＣＳ接続枚数計算ツール!$I$107/F$2&gt;=高温電圧!F10,1,0)</f>
        <v>1</v>
      </c>
      <c r="G10">
        <f>IF(HUAWEI製ＰＣＳ接続枚数計算ツール!$I$107/G$2&gt;=高温電圧!G10,1,0)</f>
        <v>1</v>
      </c>
      <c r="H10">
        <f>IF(HUAWEI製ＰＣＳ接続枚数計算ツール!$I$107/H$2&gt;=高温電圧!H10,1,0)</f>
        <v>1</v>
      </c>
      <c r="I10">
        <f>IF(HUAWEI製ＰＣＳ接続枚数計算ツール!$I$107/I$2&gt;=高温電圧!I10,1,0)</f>
        <v>1</v>
      </c>
      <c r="J10">
        <f>IF(HUAWEI製ＰＣＳ接続枚数計算ツール!$I$107/J$2&gt;=高温電圧!J10,1,0)</f>
        <v>1</v>
      </c>
      <c r="K10">
        <f>IF(HUAWEI製ＰＣＳ接続枚数計算ツール!$I$107/K$2&gt;=高温電圧!K10,1,0)</f>
        <v>1</v>
      </c>
      <c r="L10">
        <f>IF(HUAWEI製ＰＣＳ接続枚数計算ツール!$I$107/L$2&gt;=高温電圧!L10,1,0)</f>
        <v>1</v>
      </c>
      <c r="M10">
        <f>IF(HUAWEI製ＰＣＳ接続枚数計算ツール!$I$107/M$2&gt;=高温電圧!M10,1,0)</f>
        <v>1</v>
      </c>
      <c r="N10">
        <f>IF(HUAWEI製ＰＣＳ接続枚数計算ツール!$I$107/N$2&gt;=高温電圧!N10,1,0)</f>
        <v>1</v>
      </c>
      <c r="O10">
        <f>IF(HUAWEI製ＰＣＳ接続枚数計算ツール!$I$107/O$2&gt;=高温電圧!O10,1,0)</f>
        <v>1</v>
      </c>
      <c r="P10">
        <f>IF(HUAWEI製ＰＣＳ接続枚数計算ツール!$I$107/P$2&gt;=高温電圧!P10,1,0)</f>
        <v>1</v>
      </c>
      <c r="Q10">
        <f>IF(HUAWEI製ＰＣＳ接続枚数計算ツール!$I$107/Q$2&gt;=高温電圧!Q10,1,0)</f>
        <v>1</v>
      </c>
      <c r="R10">
        <f>IF(HUAWEI製ＰＣＳ接続枚数計算ツール!$I$107/R$2&gt;=高温電圧!R10,1,0)</f>
        <v>1</v>
      </c>
      <c r="S10">
        <f>IF(HUAWEI製ＰＣＳ接続枚数計算ツール!$I$107/S$2&gt;=高温電圧!S10,1,0)</f>
        <v>1</v>
      </c>
      <c r="T10">
        <f>IF(HUAWEI製ＰＣＳ接続枚数計算ツール!$I$107/T$2&gt;=高温電圧!T10,1,0)</f>
        <v>1</v>
      </c>
      <c r="U10">
        <f>IF(HUAWEI製ＰＣＳ接続枚数計算ツール!$I$107/U$2&gt;=高温電圧!U10,1,0)</f>
        <v>1</v>
      </c>
      <c r="V10">
        <f>IF(HUAWEI製ＰＣＳ接続枚数計算ツール!$I$107/V$2&gt;=高温電圧!V10,1,0)</f>
        <v>1</v>
      </c>
      <c r="W10">
        <f>IF(HUAWEI製ＰＣＳ接続枚数計算ツール!$I$107/W$2&gt;=高温電圧!W10,1,0)</f>
        <v>1</v>
      </c>
      <c r="X10">
        <f>IF(HUAWEI製ＰＣＳ接続枚数計算ツール!$I$107/X$2&gt;=高温電圧!X10,1,0)</f>
        <v>1</v>
      </c>
      <c r="Y10">
        <f>IF(HUAWEI製ＰＣＳ接続枚数計算ツール!$I$107/Y$2&gt;=高温電圧!Y10,1,0)</f>
        <v>1</v>
      </c>
      <c r="Z10">
        <f>IF(HUAWEI製ＰＣＳ接続枚数計算ツール!$I$107/Z$2&gt;=高温電圧!Z10,1,0)</f>
        <v>1</v>
      </c>
      <c r="AA10">
        <f>IF(HUAWEI製ＰＣＳ接続枚数計算ツール!$I$107/AA$2&gt;=高温電圧!AA10,1,0)</f>
        <v>0</v>
      </c>
      <c r="AB10">
        <f>IF(HUAWEI製ＰＣＳ接続枚数計算ツール!$I$107/AB$2&gt;=高温電圧!AB10,1,0)</f>
        <v>0</v>
      </c>
      <c r="AC10">
        <f>IF(HUAWEI製ＰＣＳ接続枚数計算ツール!$I$107/AC$2&gt;=高温電圧!AC10,1,0)</f>
        <v>0</v>
      </c>
      <c r="AD10">
        <f>IF(HUAWEI製ＰＣＳ接続枚数計算ツール!$I$107/AD$2&gt;=高温電圧!AD10,1,0)</f>
        <v>0</v>
      </c>
      <c r="AE10">
        <f>IF(HUAWEI製ＰＣＳ接続枚数計算ツール!$I$107/AE$2&gt;=高温電圧!AE10,1,0)</f>
        <v>0</v>
      </c>
      <c r="AF10">
        <f>IF(HUAWEI製ＰＣＳ接続枚数計算ツール!$I$107/AF$2&gt;=高温電圧!AF10,1,0)</f>
        <v>0</v>
      </c>
      <c r="AG10">
        <f>IF(HUAWEI製ＰＣＳ接続枚数計算ツール!$I$107/AG$2&gt;=高温電圧!AG10,1,0)</f>
        <v>0</v>
      </c>
      <c r="AH10">
        <f>IF(HUAWEI製ＰＣＳ接続枚数計算ツール!$I$107/AH$2&gt;=高温電圧!AH10,1,0)</f>
        <v>0</v>
      </c>
      <c r="AI10">
        <f>IF(HUAWEI製ＰＣＳ接続枚数計算ツール!$I$107/AI$2&gt;=高温電圧!AI10,1,0)</f>
        <v>0</v>
      </c>
      <c r="AJ10">
        <f>IF(HUAWEI製ＰＣＳ接続枚数計算ツール!$I$107/AJ$2&gt;=高温電圧!AJ10,1,0)</f>
        <v>0</v>
      </c>
      <c r="AK10">
        <f>IF(HUAWEI製ＰＣＳ接続枚数計算ツール!$I$107/AK$2&gt;=高温電圧!AK10,1,0)</f>
        <v>0</v>
      </c>
      <c r="AL10">
        <f>IF(HUAWEI製ＰＣＳ接続枚数計算ツール!$I$107/AL$2&gt;=高温電圧!AL10,1,0)</f>
        <v>0</v>
      </c>
      <c r="AM10">
        <f>IF(HUAWEI製ＰＣＳ接続枚数計算ツール!$I$107/AM$2&gt;=高温電圧!AM10,1,0)</f>
        <v>0</v>
      </c>
      <c r="AN10">
        <f>IF(HUAWEI製ＰＣＳ接続枚数計算ツール!$I$107/AN$2&gt;=高温電圧!AN10,1,0)</f>
        <v>0</v>
      </c>
      <c r="AO10">
        <f>IF(HUAWEI製ＰＣＳ接続枚数計算ツール!$I$107/AO$2&gt;=高温電圧!AO10,1,0)</f>
        <v>0</v>
      </c>
    </row>
    <row r="11" spans="1:41">
      <c r="A11">
        <v>9</v>
      </c>
      <c r="B11">
        <f>IF(HUAWEI製ＰＣＳ接続枚数計算ツール!$I$107/B$2&gt;=高温電圧!B11,1,0)</f>
        <v>1</v>
      </c>
      <c r="C11">
        <f>IF(HUAWEI製ＰＣＳ接続枚数計算ツール!$I$107/C$2&gt;=高温電圧!C11,1,0)</f>
        <v>1</v>
      </c>
      <c r="D11">
        <f>IF(HUAWEI製ＰＣＳ接続枚数計算ツール!$I$107/D$2&gt;=高温電圧!D11,1,0)</f>
        <v>1</v>
      </c>
      <c r="E11">
        <f>IF(HUAWEI製ＰＣＳ接続枚数計算ツール!$I$107/E$2&gt;=高温電圧!E11,1,0)</f>
        <v>1</v>
      </c>
      <c r="F11">
        <f>IF(HUAWEI製ＰＣＳ接続枚数計算ツール!$I$107/F$2&gt;=高温電圧!F11,1,0)</f>
        <v>1</v>
      </c>
      <c r="G11">
        <f>IF(HUAWEI製ＰＣＳ接続枚数計算ツール!$I$107/G$2&gt;=高温電圧!G11,1,0)</f>
        <v>1</v>
      </c>
      <c r="H11">
        <f>IF(HUAWEI製ＰＣＳ接続枚数計算ツール!$I$107/H$2&gt;=高温電圧!H11,1,0)</f>
        <v>1</v>
      </c>
      <c r="I11">
        <f>IF(HUAWEI製ＰＣＳ接続枚数計算ツール!$I$107/I$2&gt;=高温電圧!I11,1,0)</f>
        <v>1</v>
      </c>
      <c r="J11">
        <f>IF(HUAWEI製ＰＣＳ接続枚数計算ツール!$I$107/J$2&gt;=高温電圧!J11,1,0)</f>
        <v>1</v>
      </c>
      <c r="K11">
        <f>IF(HUAWEI製ＰＣＳ接続枚数計算ツール!$I$107/K$2&gt;=高温電圧!K11,1,0)</f>
        <v>1</v>
      </c>
      <c r="L11">
        <f>IF(HUAWEI製ＰＣＳ接続枚数計算ツール!$I$107/L$2&gt;=高温電圧!L11,1,0)</f>
        <v>1</v>
      </c>
      <c r="M11">
        <f>IF(HUAWEI製ＰＣＳ接続枚数計算ツール!$I$107/M$2&gt;=高温電圧!M11,1,0)</f>
        <v>1</v>
      </c>
      <c r="N11">
        <f>IF(HUAWEI製ＰＣＳ接続枚数計算ツール!$I$107/N$2&gt;=高温電圧!N11,1,0)</f>
        <v>1</v>
      </c>
      <c r="O11">
        <f>IF(HUAWEI製ＰＣＳ接続枚数計算ツール!$I$107/O$2&gt;=高温電圧!O11,1,0)</f>
        <v>1</v>
      </c>
      <c r="P11">
        <f>IF(HUAWEI製ＰＣＳ接続枚数計算ツール!$I$107/P$2&gt;=高温電圧!P11,1,0)</f>
        <v>1</v>
      </c>
      <c r="Q11">
        <f>IF(HUAWEI製ＰＣＳ接続枚数計算ツール!$I$107/Q$2&gt;=高温電圧!Q11,1,0)</f>
        <v>1</v>
      </c>
      <c r="R11">
        <f>IF(HUAWEI製ＰＣＳ接続枚数計算ツール!$I$107/R$2&gt;=高温電圧!R11,1,0)</f>
        <v>1</v>
      </c>
      <c r="S11">
        <f>IF(HUAWEI製ＰＣＳ接続枚数計算ツール!$I$107/S$2&gt;=高温電圧!S11,1,0)</f>
        <v>1</v>
      </c>
      <c r="T11">
        <f>IF(HUAWEI製ＰＣＳ接続枚数計算ツール!$I$107/T$2&gt;=高温電圧!T11,1,0)</f>
        <v>1</v>
      </c>
      <c r="U11">
        <f>IF(HUAWEI製ＰＣＳ接続枚数計算ツール!$I$107/U$2&gt;=高温電圧!U11,1,0)</f>
        <v>1</v>
      </c>
      <c r="V11">
        <f>IF(HUAWEI製ＰＣＳ接続枚数計算ツール!$I$107/V$2&gt;=高温電圧!V11,1,0)</f>
        <v>1</v>
      </c>
      <c r="W11">
        <f>IF(HUAWEI製ＰＣＳ接続枚数計算ツール!$I$107/W$2&gt;=高温電圧!W11,1,0)</f>
        <v>1</v>
      </c>
      <c r="X11">
        <f>IF(HUAWEI製ＰＣＳ接続枚数計算ツール!$I$107/X$2&gt;=高温電圧!X11,1,0)</f>
        <v>1</v>
      </c>
      <c r="Y11">
        <f>IF(HUAWEI製ＰＣＳ接続枚数計算ツール!$I$107/Y$2&gt;=高温電圧!Y11,1,0)</f>
        <v>0</v>
      </c>
      <c r="Z11">
        <f>IF(HUAWEI製ＰＣＳ接続枚数計算ツール!$I$107/Z$2&gt;=高温電圧!Z11,1,0)</f>
        <v>0</v>
      </c>
      <c r="AA11">
        <f>IF(HUAWEI製ＰＣＳ接続枚数計算ツール!$I$107/AA$2&gt;=高温電圧!AA11,1,0)</f>
        <v>0</v>
      </c>
      <c r="AB11">
        <f>IF(HUAWEI製ＰＣＳ接続枚数計算ツール!$I$107/AB$2&gt;=高温電圧!AB11,1,0)</f>
        <v>0</v>
      </c>
      <c r="AC11">
        <f>IF(HUAWEI製ＰＣＳ接続枚数計算ツール!$I$107/AC$2&gt;=高温電圧!AC11,1,0)</f>
        <v>0</v>
      </c>
      <c r="AD11">
        <f>IF(HUAWEI製ＰＣＳ接続枚数計算ツール!$I$107/AD$2&gt;=高温電圧!AD11,1,0)</f>
        <v>0</v>
      </c>
      <c r="AE11">
        <f>IF(HUAWEI製ＰＣＳ接続枚数計算ツール!$I$107/AE$2&gt;=高温電圧!AE11,1,0)</f>
        <v>0</v>
      </c>
      <c r="AF11">
        <f>IF(HUAWEI製ＰＣＳ接続枚数計算ツール!$I$107/AF$2&gt;=高温電圧!AF11,1,0)</f>
        <v>0</v>
      </c>
      <c r="AG11">
        <f>IF(HUAWEI製ＰＣＳ接続枚数計算ツール!$I$107/AG$2&gt;=高温電圧!AG11,1,0)</f>
        <v>0</v>
      </c>
      <c r="AH11">
        <f>IF(HUAWEI製ＰＣＳ接続枚数計算ツール!$I$107/AH$2&gt;=高温電圧!AH11,1,0)</f>
        <v>0</v>
      </c>
      <c r="AI11">
        <f>IF(HUAWEI製ＰＣＳ接続枚数計算ツール!$I$107/AI$2&gt;=高温電圧!AI11,1,0)</f>
        <v>0</v>
      </c>
      <c r="AJ11">
        <f>IF(HUAWEI製ＰＣＳ接続枚数計算ツール!$I$107/AJ$2&gt;=高温電圧!AJ11,1,0)</f>
        <v>0</v>
      </c>
      <c r="AK11">
        <f>IF(HUAWEI製ＰＣＳ接続枚数計算ツール!$I$107/AK$2&gt;=高温電圧!AK11,1,0)</f>
        <v>0</v>
      </c>
      <c r="AL11">
        <f>IF(HUAWEI製ＰＣＳ接続枚数計算ツール!$I$107/AL$2&gt;=高温電圧!AL11,1,0)</f>
        <v>0</v>
      </c>
      <c r="AM11">
        <f>IF(HUAWEI製ＰＣＳ接続枚数計算ツール!$I$107/AM$2&gt;=高温電圧!AM11,1,0)</f>
        <v>0</v>
      </c>
      <c r="AN11">
        <f>IF(HUAWEI製ＰＣＳ接続枚数計算ツール!$I$107/AN$2&gt;=高温電圧!AN11,1,0)</f>
        <v>0</v>
      </c>
      <c r="AO11">
        <f>IF(HUAWEI製ＰＣＳ接続枚数計算ツール!$I$107/AO$2&gt;=高温電圧!AO11,1,0)</f>
        <v>0</v>
      </c>
    </row>
    <row r="12" spans="1:41">
      <c r="A12">
        <v>10</v>
      </c>
      <c r="B12">
        <f>IF(HUAWEI製ＰＣＳ接続枚数計算ツール!$I$107/B$2&gt;=高温電圧!B12,1,0)</f>
        <v>1</v>
      </c>
      <c r="C12">
        <f>IF(HUAWEI製ＰＣＳ接続枚数計算ツール!$I$107/C$2&gt;=高温電圧!C12,1,0)</f>
        <v>1</v>
      </c>
      <c r="D12">
        <f>IF(HUAWEI製ＰＣＳ接続枚数計算ツール!$I$107/D$2&gt;=高温電圧!D12,1,0)</f>
        <v>1</v>
      </c>
      <c r="E12">
        <f>IF(HUAWEI製ＰＣＳ接続枚数計算ツール!$I$107/E$2&gt;=高温電圧!E12,1,0)</f>
        <v>1</v>
      </c>
      <c r="F12">
        <f>IF(HUAWEI製ＰＣＳ接続枚数計算ツール!$I$107/F$2&gt;=高温電圧!F12,1,0)</f>
        <v>1</v>
      </c>
      <c r="G12">
        <f>IF(HUAWEI製ＰＣＳ接続枚数計算ツール!$I$107/G$2&gt;=高温電圧!G12,1,0)</f>
        <v>1</v>
      </c>
      <c r="H12">
        <f>IF(HUAWEI製ＰＣＳ接続枚数計算ツール!$I$107/H$2&gt;=高温電圧!H12,1,0)</f>
        <v>1</v>
      </c>
      <c r="I12">
        <f>IF(HUAWEI製ＰＣＳ接続枚数計算ツール!$I$107/I$2&gt;=高温電圧!I12,1,0)</f>
        <v>1</v>
      </c>
      <c r="J12">
        <f>IF(HUAWEI製ＰＣＳ接続枚数計算ツール!$I$107/J$2&gt;=高温電圧!J12,1,0)</f>
        <v>1</v>
      </c>
      <c r="K12">
        <f>IF(HUAWEI製ＰＣＳ接続枚数計算ツール!$I$107/K$2&gt;=高温電圧!K12,1,0)</f>
        <v>1</v>
      </c>
      <c r="L12">
        <f>IF(HUAWEI製ＰＣＳ接続枚数計算ツール!$I$107/L$2&gt;=高温電圧!L12,1,0)</f>
        <v>1</v>
      </c>
      <c r="M12">
        <f>IF(HUAWEI製ＰＣＳ接続枚数計算ツール!$I$107/M$2&gt;=高温電圧!M12,1,0)</f>
        <v>1</v>
      </c>
      <c r="N12">
        <f>IF(HUAWEI製ＰＣＳ接続枚数計算ツール!$I$107/N$2&gt;=高温電圧!N12,1,0)</f>
        <v>1</v>
      </c>
      <c r="O12">
        <f>IF(HUAWEI製ＰＣＳ接続枚数計算ツール!$I$107/O$2&gt;=高温電圧!O12,1,0)</f>
        <v>1</v>
      </c>
      <c r="P12">
        <f>IF(HUAWEI製ＰＣＳ接続枚数計算ツール!$I$107/P$2&gt;=高温電圧!P12,1,0)</f>
        <v>1</v>
      </c>
      <c r="Q12">
        <f>IF(HUAWEI製ＰＣＳ接続枚数計算ツール!$I$107/Q$2&gt;=高温電圧!Q12,1,0)</f>
        <v>1</v>
      </c>
      <c r="R12">
        <f>IF(HUAWEI製ＰＣＳ接続枚数計算ツール!$I$107/R$2&gt;=高温電圧!R12,1,0)</f>
        <v>1</v>
      </c>
      <c r="S12">
        <f>IF(HUAWEI製ＰＣＳ接続枚数計算ツール!$I$107/S$2&gt;=高温電圧!S12,1,0)</f>
        <v>1</v>
      </c>
      <c r="T12">
        <f>IF(HUAWEI製ＰＣＳ接続枚数計算ツール!$I$107/T$2&gt;=高温電圧!T12,1,0)</f>
        <v>1</v>
      </c>
      <c r="U12">
        <f>IF(HUAWEI製ＰＣＳ接続枚数計算ツール!$I$107/U$2&gt;=高温電圧!U12,1,0)</f>
        <v>1</v>
      </c>
      <c r="V12">
        <f>IF(HUAWEI製ＰＣＳ接続枚数計算ツール!$I$107/V$2&gt;=高温電圧!V12,1,0)</f>
        <v>1</v>
      </c>
      <c r="W12">
        <f>IF(HUAWEI製ＰＣＳ接続枚数計算ツール!$I$107/W$2&gt;=高温電圧!W12,1,0)</f>
        <v>1</v>
      </c>
      <c r="X12">
        <f>IF(HUAWEI製ＰＣＳ接続枚数計算ツール!$I$107/X$2&gt;=高温電圧!X12,1,0)</f>
        <v>1</v>
      </c>
      <c r="Y12">
        <f>IF(HUAWEI製ＰＣＳ接続枚数計算ツール!$I$107/Y$2&gt;=高温電圧!Y12,1,0)</f>
        <v>0</v>
      </c>
      <c r="Z12">
        <f>IF(HUAWEI製ＰＣＳ接続枚数計算ツール!$I$107/Z$2&gt;=高温電圧!Z12,1,0)</f>
        <v>0</v>
      </c>
      <c r="AA12">
        <f>IF(HUAWEI製ＰＣＳ接続枚数計算ツール!$I$107/AA$2&gt;=高温電圧!AA12,1,0)</f>
        <v>0</v>
      </c>
      <c r="AB12">
        <f>IF(HUAWEI製ＰＣＳ接続枚数計算ツール!$I$107/AB$2&gt;=高温電圧!AB12,1,0)</f>
        <v>0</v>
      </c>
      <c r="AC12">
        <f>IF(HUAWEI製ＰＣＳ接続枚数計算ツール!$I$107/AC$2&gt;=高温電圧!AC12,1,0)</f>
        <v>0</v>
      </c>
      <c r="AD12">
        <f>IF(HUAWEI製ＰＣＳ接続枚数計算ツール!$I$107/AD$2&gt;=高温電圧!AD12,1,0)</f>
        <v>0</v>
      </c>
      <c r="AE12">
        <f>IF(HUAWEI製ＰＣＳ接続枚数計算ツール!$I$107/AE$2&gt;=高温電圧!AE12,1,0)</f>
        <v>0</v>
      </c>
      <c r="AF12">
        <f>IF(HUAWEI製ＰＣＳ接続枚数計算ツール!$I$107/AF$2&gt;=高温電圧!AF12,1,0)</f>
        <v>0</v>
      </c>
      <c r="AG12">
        <f>IF(HUAWEI製ＰＣＳ接続枚数計算ツール!$I$107/AG$2&gt;=高温電圧!AG12,1,0)</f>
        <v>0</v>
      </c>
      <c r="AH12">
        <f>IF(HUAWEI製ＰＣＳ接続枚数計算ツール!$I$107/AH$2&gt;=高温電圧!AH12,1,0)</f>
        <v>0</v>
      </c>
      <c r="AI12">
        <f>IF(HUAWEI製ＰＣＳ接続枚数計算ツール!$I$107/AI$2&gt;=高温電圧!AI12,1,0)</f>
        <v>0</v>
      </c>
      <c r="AJ12">
        <f>IF(HUAWEI製ＰＣＳ接続枚数計算ツール!$I$107/AJ$2&gt;=高温電圧!AJ12,1,0)</f>
        <v>0</v>
      </c>
      <c r="AK12">
        <f>IF(HUAWEI製ＰＣＳ接続枚数計算ツール!$I$107/AK$2&gt;=高温電圧!AK12,1,0)</f>
        <v>0</v>
      </c>
      <c r="AL12">
        <f>IF(HUAWEI製ＰＣＳ接続枚数計算ツール!$I$107/AL$2&gt;=高温電圧!AL12,1,0)</f>
        <v>0</v>
      </c>
      <c r="AM12">
        <f>IF(HUAWEI製ＰＣＳ接続枚数計算ツール!$I$107/AM$2&gt;=高温電圧!AM12,1,0)</f>
        <v>0</v>
      </c>
      <c r="AN12">
        <f>IF(HUAWEI製ＰＣＳ接続枚数計算ツール!$I$107/AN$2&gt;=高温電圧!AN12,1,0)</f>
        <v>0</v>
      </c>
      <c r="AO12">
        <f>IF(HUAWEI製ＰＣＳ接続枚数計算ツール!$I$107/AO$2&gt;=高温電圧!AO12,1,0)</f>
        <v>0</v>
      </c>
    </row>
    <row r="13" spans="1:41">
      <c r="A13">
        <v>11</v>
      </c>
      <c r="B13">
        <f>IF(HUAWEI製ＰＣＳ接続枚数計算ツール!$I$107/B$2&gt;=高温電圧!B13,1,0)</f>
        <v>1</v>
      </c>
      <c r="C13">
        <f>IF(HUAWEI製ＰＣＳ接続枚数計算ツール!$I$107/C$2&gt;=高温電圧!C13,1,0)</f>
        <v>1</v>
      </c>
      <c r="D13">
        <f>IF(HUAWEI製ＰＣＳ接続枚数計算ツール!$I$107/D$2&gt;=高温電圧!D13,1,0)</f>
        <v>1</v>
      </c>
      <c r="E13">
        <f>IF(HUAWEI製ＰＣＳ接続枚数計算ツール!$I$107/E$2&gt;=高温電圧!E13,1,0)</f>
        <v>1</v>
      </c>
      <c r="F13">
        <f>IF(HUAWEI製ＰＣＳ接続枚数計算ツール!$I$107/F$2&gt;=高温電圧!F13,1,0)</f>
        <v>1</v>
      </c>
      <c r="G13">
        <f>IF(HUAWEI製ＰＣＳ接続枚数計算ツール!$I$107/G$2&gt;=高温電圧!G13,1,0)</f>
        <v>1</v>
      </c>
      <c r="H13">
        <f>IF(HUAWEI製ＰＣＳ接続枚数計算ツール!$I$107/H$2&gt;=高温電圧!H13,1,0)</f>
        <v>1</v>
      </c>
      <c r="I13">
        <f>IF(HUAWEI製ＰＣＳ接続枚数計算ツール!$I$107/I$2&gt;=高温電圧!I13,1,0)</f>
        <v>1</v>
      </c>
      <c r="J13">
        <f>IF(HUAWEI製ＰＣＳ接続枚数計算ツール!$I$107/J$2&gt;=高温電圧!J13,1,0)</f>
        <v>1</v>
      </c>
      <c r="K13">
        <f>IF(HUAWEI製ＰＣＳ接続枚数計算ツール!$I$107/K$2&gt;=高温電圧!K13,1,0)</f>
        <v>1</v>
      </c>
      <c r="L13">
        <f>IF(HUAWEI製ＰＣＳ接続枚数計算ツール!$I$107/L$2&gt;=高温電圧!L13,1,0)</f>
        <v>1</v>
      </c>
      <c r="M13">
        <f>IF(HUAWEI製ＰＣＳ接続枚数計算ツール!$I$107/M$2&gt;=高温電圧!M13,1,0)</f>
        <v>1</v>
      </c>
      <c r="N13">
        <f>IF(HUAWEI製ＰＣＳ接続枚数計算ツール!$I$107/N$2&gt;=高温電圧!N13,1,0)</f>
        <v>1</v>
      </c>
      <c r="O13">
        <f>IF(HUAWEI製ＰＣＳ接続枚数計算ツール!$I$107/O$2&gt;=高温電圧!O13,1,0)</f>
        <v>1</v>
      </c>
      <c r="P13">
        <f>IF(HUAWEI製ＰＣＳ接続枚数計算ツール!$I$107/P$2&gt;=高温電圧!P13,1,0)</f>
        <v>1</v>
      </c>
      <c r="Q13">
        <f>IF(HUAWEI製ＰＣＳ接続枚数計算ツール!$I$107/Q$2&gt;=高温電圧!Q13,1,0)</f>
        <v>1</v>
      </c>
      <c r="R13">
        <f>IF(HUAWEI製ＰＣＳ接続枚数計算ツール!$I$107/R$2&gt;=高温電圧!R13,1,0)</f>
        <v>1</v>
      </c>
      <c r="S13">
        <f>IF(HUAWEI製ＰＣＳ接続枚数計算ツール!$I$107/S$2&gt;=高温電圧!S13,1,0)</f>
        <v>1</v>
      </c>
      <c r="T13">
        <f>IF(HUAWEI製ＰＣＳ接続枚数計算ツール!$I$107/T$2&gt;=高温電圧!T13,1,0)</f>
        <v>1</v>
      </c>
      <c r="U13">
        <f>IF(HUAWEI製ＰＣＳ接続枚数計算ツール!$I$107/U$2&gt;=高温電圧!U13,1,0)</f>
        <v>1</v>
      </c>
      <c r="V13">
        <f>IF(HUAWEI製ＰＣＳ接続枚数計算ツール!$I$107/V$2&gt;=高温電圧!V13,1,0)</f>
        <v>1</v>
      </c>
      <c r="W13">
        <f>IF(HUAWEI製ＰＣＳ接続枚数計算ツール!$I$107/W$2&gt;=高温電圧!W13,1,0)</f>
        <v>1</v>
      </c>
      <c r="X13">
        <f>IF(HUAWEI製ＰＣＳ接続枚数計算ツール!$I$107/X$2&gt;=高温電圧!X13,1,0)</f>
        <v>0</v>
      </c>
      <c r="Y13">
        <f>IF(HUAWEI製ＰＣＳ接続枚数計算ツール!$I$107/Y$2&gt;=高温電圧!Y13,1,0)</f>
        <v>0</v>
      </c>
      <c r="Z13">
        <f>IF(HUAWEI製ＰＣＳ接続枚数計算ツール!$I$107/Z$2&gt;=高温電圧!Z13,1,0)</f>
        <v>0</v>
      </c>
      <c r="AA13">
        <f>IF(HUAWEI製ＰＣＳ接続枚数計算ツール!$I$107/AA$2&gt;=高温電圧!AA13,1,0)</f>
        <v>0</v>
      </c>
      <c r="AB13">
        <f>IF(HUAWEI製ＰＣＳ接続枚数計算ツール!$I$107/AB$2&gt;=高温電圧!AB13,1,0)</f>
        <v>0</v>
      </c>
      <c r="AC13">
        <f>IF(HUAWEI製ＰＣＳ接続枚数計算ツール!$I$107/AC$2&gt;=高温電圧!AC13,1,0)</f>
        <v>0</v>
      </c>
      <c r="AD13">
        <f>IF(HUAWEI製ＰＣＳ接続枚数計算ツール!$I$107/AD$2&gt;=高温電圧!AD13,1,0)</f>
        <v>0</v>
      </c>
      <c r="AE13">
        <f>IF(HUAWEI製ＰＣＳ接続枚数計算ツール!$I$107/AE$2&gt;=高温電圧!AE13,1,0)</f>
        <v>0</v>
      </c>
      <c r="AF13">
        <f>IF(HUAWEI製ＰＣＳ接続枚数計算ツール!$I$107/AF$2&gt;=高温電圧!AF13,1,0)</f>
        <v>0</v>
      </c>
      <c r="AG13">
        <f>IF(HUAWEI製ＰＣＳ接続枚数計算ツール!$I$107/AG$2&gt;=高温電圧!AG13,1,0)</f>
        <v>0</v>
      </c>
      <c r="AH13">
        <f>IF(HUAWEI製ＰＣＳ接続枚数計算ツール!$I$107/AH$2&gt;=高温電圧!AH13,1,0)</f>
        <v>0</v>
      </c>
      <c r="AI13">
        <f>IF(HUAWEI製ＰＣＳ接続枚数計算ツール!$I$107/AI$2&gt;=高温電圧!AI13,1,0)</f>
        <v>0</v>
      </c>
      <c r="AJ13">
        <f>IF(HUAWEI製ＰＣＳ接続枚数計算ツール!$I$107/AJ$2&gt;=高温電圧!AJ13,1,0)</f>
        <v>0</v>
      </c>
      <c r="AK13">
        <f>IF(HUAWEI製ＰＣＳ接続枚数計算ツール!$I$107/AK$2&gt;=高温電圧!AK13,1,0)</f>
        <v>0</v>
      </c>
      <c r="AL13">
        <f>IF(HUAWEI製ＰＣＳ接続枚数計算ツール!$I$107/AL$2&gt;=高温電圧!AL13,1,0)</f>
        <v>0</v>
      </c>
      <c r="AM13">
        <f>IF(HUAWEI製ＰＣＳ接続枚数計算ツール!$I$107/AM$2&gt;=高温電圧!AM13,1,0)</f>
        <v>0</v>
      </c>
      <c r="AN13">
        <f>IF(HUAWEI製ＰＣＳ接続枚数計算ツール!$I$107/AN$2&gt;=高温電圧!AN13,1,0)</f>
        <v>0</v>
      </c>
      <c r="AO13">
        <f>IF(HUAWEI製ＰＣＳ接続枚数計算ツール!$I$107/AO$2&gt;=高温電圧!AO13,1,0)</f>
        <v>0</v>
      </c>
    </row>
    <row r="14" spans="1:41">
      <c r="A14">
        <v>12</v>
      </c>
      <c r="B14">
        <f>IF(HUAWEI製ＰＣＳ接続枚数計算ツール!$I$107/B$2&gt;=高温電圧!B14,1,0)</f>
        <v>1</v>
      </c>
      <c r="C14">
        <f>IF(HUAWEI製ＰＣＳ接続枚数計算ツール!$I$107/C$2&gt;=高温電圧!C14,1,0)</f>
        <v>1</v>
      </c>
      <c r="D14">
        <f>IF(HUAWEI製ＰＣＳ接続枚数計算ツール!$I$107/D$2&gt;=高温電圧!D14,1,0)</f>
        <v>1</v>
      </c>
      <c r="E14">
        <f>IF(HUAWEI製ＰＣＳ接続枚数計算ツール!$I$107/E$2&gt;=高温電圧!E14,1,0)</f>
        <v>1</v>
      </c>
      <c r="F14">
        <f>IF(HUAWEI製ＰＣＳ接続枚数計算ツール!$I$107/F$2&gt;=高温電圧!F14,1,0)</f>
        <v>1</v>
      </c>
      <c r="G14">
        <f>IF(HUAWEI製ＰＣＳ接続枚数計算ツール!$I$107/G$2&gt;=高温電圧!G14,1,0)</f>
        <v>1</v>
      </c>
      <c r="H14">
        <f>IF(HUAWEI製ＰＣＳ接続枚数計算ツール!$I$107/H$2&gt;=高温電圧!H14,1,0)</f>
        <v>1</v>
      </c>
      <c r="I14">
        <f>IF(HUAWEI製ＰＣＳ接続枚数計算ツール!$I$107/I$2&gt;=高温電圧!I14,1,0)</f>
        <v>1</v>
      </c>
      <c r="J14">
        <f>IF(HUAWEI製ＰＣＳ接続枚数計算ツール!$I$107/J$2&gt;=高温電圧!J14,1,0)</f>
        <v>1</v>
      </c>
      <c r="K14">
        <f>IF(HUAWEI製ＰＣＳ接続枚数計算ツール!$I$107/K$2&gt;=高温電圧!K14,1,0)</f>
        <v>1</v>
      </c>
      <c r="L14">
        <f>IF(HUAWEI製ＰＣＳ接続枚数計算ツール!$I$107/L$2&gt;=高温電圧!L14,1,0)</f>
        <v>1</v>
      </c>
      <c r="M14">
        <f>IF(HUAWEI製ＰＣＳ接続枚数計算ツール!$I$107/M$2&gt;=高温電圧!M14,1,0)</f>
        <v>1</v>
      </c>
      <c r="N14">
        <f>IF(HUAWEI製ＰＣＳ接続枚数計算ツール!$I$107/N$2&gt;=高温電圧!N14,1,0)</f>
        <v>1</v>
      </c>
      <c r="O14">
        <f>IF(HUAWEI製ＰＣＳ接続枚数計算ツール!$I$107/O$2&gt;=高温電圧!O14,1,0)</f>
        <v>1</v>
      </c>
      <c r="P14">
        <f>IF(HUAWEI製ＰＣＳ接続枚数計算ツール!$I$107/P$2&gt;=高温電圧!P14,1,0)</f>
        <v>1</v>
      </c>
      <c r="Q14">
        <f>IF(HUAWEI製ＰＣＳ接続枚数計算ツール!$I$107/Q$2&gt;=高温電圧!Q14,1,0)</f>
        <v>1</v>
      </c>
      <c r="R14">
        <f>IF(HUAWEI製ＰＣＳ接続枚数計算ツール!$I$107/R$2&gt;=高温電圧!R14,1,0)</f>
        <v>1</v>
      </c>
      <c r="S14">
        <f>IF(HUAWEI製ＰＣＳ接続枚数計算ツール!$I$107/S$2&gt;=高温電圧!S14,1,0)</f>
        <v>1</v>
      </c>
      <c r="T14">
        <f>IF(HUAWEI製ＰＣＳ接続枚数計算ツール!$I$107/T$2&gt;=高温電圧!T14,1,0)</f>
        <v>1</v>
      </c>
      <c r="U14">
        <f>IF(HUAWEI製ＰＣＳ接続枚数計算ツール!$I$107/U$2&gt;=高温電圧!U14,1,0)</f>
        <v>1</v>
      </c>
      <c r="V14">
        <f>IF(HUAWEI製ＰＣＳ接続枚数計算ツール!$I$107/V$2&gt;=高温電圧!V14,1,0)</f>
        <v>1</v>
      </c>
      <c r="W14">
        <f>IF(HUAWEI製ＰＣＳ接続枚数計算ツール!$I$107/W$2&gt;=高温電圧!W14,1,0)</f>
        <v>1</v>
      </c>
      <c r="X14">
        <f>IF(HUAWEI製ＰＣＳ接続枚数計算ツール!$I$107/X$2&gt;=高温電圧!X14,1,0)</f>
        <v>0</v>
      </c>
      <c r="Y14">
        <f>IF(HUAWEI製ＰＣＳ接続枚数計算ツール!$I$107/Y$2&gt;=高温電圧!Y14,1,0)</f>
        <v>0</v>
      </c>
      <c r="Z14">
        <f>IF(HUAWEI製ＰＣＳ接続枚数計算ツール!$I$107/Z$2&gt;=高温電圧!Z14,1,0)</f>
        <v>0</v>
      </c>
      <c r="AA14">
        <f>IF(HUAWEI製ＰＣＳ接続枚数計算ツール!$I$107/AA$2&gt;=高温電圧!AA14,1,0)</f>
        <v>0</v>
      </c>
      <c r="AB14">
        <f>IF(HUAWEI製ＰＣＳ接続枚数計算ツール!$I$107/AB$2&gt;=高温電圧!AB14,1,0)</f>
        <v>0</v>
      </c>
      <c r="AC14">
        <f>IF(HUAWEI製ＰＣＳ接続枚数計算ツール!$I$107/AC$2&gt;=高温電圧!AC14,1,0)</f>
        <v>0</v>
      </c>
      <c r="AD14">
        <f>IF(HUAWEI製ＰＣＳ接続枚数計算ツール!$I$107/AD$2&gt;=高温電圧!AD14,1,0)</f>
        <v>0</v>
      </c>
      <c r="AE14">
        <f>IF(HUAWEI製ＰＣＳ接続枚数計算ツール!$I$107/AE$2&gt;=高温電圧!AE14,1,0)</f>
        <v>0</v>
      </c>
      <c r="AF14">
        <f>IF(HUAWEI製ＰＣＳ接続枚数計算ツール!$I$107/AF$2&gt;=高温電圧!AF14,1,0)</f>
        <v>0</v>
      </c>
      <c r="AG14">
        <f>IF(HUAWEI製ＰＣＳ接続枚数計算ツール!$I$107/AG$2&gt;=高温電圧!AG14,1,0)</f>
        <v>0</v>
      </c>
      <c r="AH14">
        <f>IF(HUAWEI製ＰＣＳ接続枚数計算ツール!$I$107/AH$2&gt;=高温電圧!AH14,1,0)</f>
        <v>0</v>
      </c>
      <c r="AI14">
        <f>IF(HUAWEI製ＰＣＳ接続枚数計算ツール!$I$107/AI$2&gt;=高温電圧!AI14,1,0)</f>
        <v>0</v>
      </c>
      <c r="AJ14">
        <f>IF(HUAWEI製ＰＣＳ接続枚数計算ツール!$I$107/AJ$2&gt;=高温電圧!AJ14,1,0)</f>
        <v>0</v>
      </c>
      <c r="AK14">
        <f>IF(HUAWEI製ＰＣＳ接続枚数計算ツール!$I$107/AK$2&gt;=高温電圧!AK14,1,0)</f>
        <v>0</v>
      </c>
      <c r="AL14">
        <f>IF(HUAWEI製ＰＣＳ接続枚数計算ツール!$I$107/AL$2&gt;=高温電圧!AL14,1,0)</f>
        <v>0</v>
      </c>
      <c r="AM14">
        <f>IF(HUAWEI製ＰＣＳ接続枚数計算ツール!$I$107/AM$2&gt;=高温電圧!AM14,1,0)</f>
        <v>0</v>
      </c>
      <c r="AN14">
        <f>IF(HUAWEI製ＰＣＳ接続枚数計算ツール!$I$107/AN$2&gt;=高温電圧!AN14,1,0)</f>
        <v>0</v>
      </c>
      <c r="AO14">
        <f>IF(HUAWEI製ＰＣＳ接続枚数計算ツール!$I$107/AO$2&gt;=高温電圧!AO14,1,0)</f>
        <v>0</v>
      </c>
    </row>
    <row r="15" spans="1:41">
      <c r="A15">
        <v>13</v>
      </c>
      <c r="B15">
        <f>IF(HUAWEI製ＰＣＳ接続枚数計算ツール!$I$107/B$2&gt;=高温電圧!B15,1,0)</f>
        <v>1</v>
      </c>
      <c r="C15">
        <f>IF(HUAWEI製ＰＣＳ接続枚数計算ツール!$I$107/C$2&gt;=高温電圧!C15,1,0)</f>
        <v>1</v>
      </c>
      <c r="D15">
        <f>IF(HUAWEI製ＰＣＳ接続枚数計算ツール!$I$107/D$2&gt;=高温電圧!D15,1,0)</f>
        <v>1</v>
      </c>
      <c r="E15">
        <f>IF(HUAWEI製ＰＣＳ接続枚数計算ツール!$I$107/E$2&gt;=高温電圧!E15,1,0)</f>
        <v>1</v>
      </c>
      <c r="F15">
        <f>IF(HUAWEI製ＰＣＳ接続枚数計算ツール!$I$107/F$2&gt;=高温電圧!F15,1,0)</f>
        <v>1</v>
      </c>
      <c r="G15">
        <f>IF(HUAWEI製ＰＣＳ接続枚数計算ツール!$I$107/G$2&gt;=高温電圧!G15,1,0)</f>
        <v>1</v>
      </c>
      <c r="H15">
        <f>IF(HUAWEI製ＰＣＳ接続枚数計算ツール!$I$107/H$2&gt;=高温電圧!H15,1,0)</f>
        <v>1</v>
      </c>
      <c r="I15">
        <f>IF(HUAWEI製ＰＣＳ接続枚数計算ツール!$I$107/I$2&gt;=高温電圧!I15,1,0)</f>
        <v>1</v>
      </c>
      <c r="J15">
        <f>IF(HUAWEI製ＰＣＳ接続枚数計算ツール!$I$107/J$2&gt;=高温電圧!J15,1,0)</f>
        <v>1</v>
      </c>
      <c r="K15">
        <f>IF(HUAWEI製ＰＣＳ接続枚数計算ツール!$I$107/K$2&gt;=高温電圧!K15,1,0)</f>
        <v>1</v>
      </c>
      <c r="L15">
        <f>IF(HUAWEI製ＰＣＳ接続枚数計算ツール!$I$107/L$2&gt;=高温電圧!L15,1,0)</f>
        <v>1</v>
      </c>
      <c r="M15">
        <f>IF(HUAWEI製ＰＣＳ接続枚数計算ツール!$I$107/M$2&gt;=高温電圧!M15,1,0)</f>
        <v>1</v>
      </c>
      <c r="N15">
        <f>IF(HUAWEI製ＰＣＳ接続枚数計算ツール!$I$107/N$2&gt;=高温電圧!N15,1,0)</f>
        <v>1</v>
      </c>
      <c r="O15">
        <f>IF(HUAWEI製ＰＣＳ接続枚数計算ツール!$I$107/O$2&gt;=高温電圧!O15,1,0)</f>
        <v>1</v>
      </c>
      <c r="P15">
        <f>IF(HUAWEI製ＰＣＳ接続枚数計算ツール!$I$107/P$2&gt;=高温電圧!P15,1,0)</f>
        <v>1</v>
      </c>
      <c r="Q15">
        <f>IF(HUAWEI製ＰＣＳ接続枚数計算ツール!$I$107/Q$2&gt;=高温電圧!Q15,1,0)</f>
        <v>1</v>
      </c>
      <c r="R15">
        <f>IF(HUAWEI製ＰＣＳ接続枚数計算ツール!$I$107/R$2&gt;=高温電圧!R15,1,0)</f>
        <v>1</v>
      </c>
      <c r="S15">
        <f>IF(HUAWEI製ＰＣＳ接続枚数計算ツール!$I$107/S$2&gt;=高温電圧!S15,1,0)</f>
        <v>1</v>
      </c>
      <c r="T15">
        <f>IF(HUAWEI製ＰＣＳ接続枚数計算ツール!$I$107/T$2&gt;=高温電圧!T15,1,0)</f>
        <v>1</v>
      </c>
      <c r="U15">
        <f>IF(HUAWEI製ＰＣＳ接続枚数計算ツール!$I$107/U$2&gt;=高温電圧!U15,1,0)</f>
        <v>1</v>
      </c>
      <c r="V15">
        <f>IF(HUAWEI製ＰＣＳ接続枚数計算ツール!$I$107/V$2&gt;=高温電圧!V15,1,0)</f>
        <v>1</v>
      </c>
      <c r="W15">
        <f>IF(HUAWEI製ＰＣＳ接続枚数計算ツール!$I$107/W$2&gt;=高温電圧!W15,1,0)</f>
        <v>1</v>
      </c>
      <c r="X15">
        <f>IF(HUAWEI製ＰＣＳ接続枚数計算ツール!$I$107/X$2&gt;=高温電圧!X15,1,0)</f>
        <v>0</v>
      </c>
      <c r="Y15">
        <f>IF(HUAWEI製ＰＣＳ接続枚数計算ツール!$I$107/Y$2&gt;=高温電圧!Y15,1,0)</f>
        <v>0</v>
      </c>
      <c r="Z15">
        <f>IF(HUAWEI製ＰＣＳ接続枚数計算ツール!$I$107/Z$2&gt;=高温電圧!Z15,1,0)</f>
        <v>0</v>
      </c>
      <c r="AA15">
        <f>IF(HUAWEI製ＰＣＳ接続枚数計算ツール!$I$107/AA$2&gt;=高温電圧!AA15,1,0)</f>
        <v>0</v>
      </c>
      <c r="AB15">
        <f>IF(HUAWEI製ＰＣＳ接続枚数計算ツール!$I$107/AB$2&gt;=高温電圧!AB15,1,0)</f>
        <v>0</v>
      </c>
      <c r="AC15">
        <f>IF(HUAWEI製ＰＣＳ接続枚数計算ツール!$I$107/AC$2&gt;=高温電圧!AC15,1,0)</f>
        <v>0</v>
      </c>
      <c r="AD15">
        <f>IF(HUAWEI製ＰＣＳ接続枚数計算ツール!$I$107/AD$2&gt;=高温電圧!AD15,1,0)</f>
        <v>0</v>
      </c>
      <c r="AE15">
        <f>IF(HUAWEI製ＰＣＳ接続枚数計算ツール!$I$107/AE$2&gt;=高温電圧!AE15,1,0)</f>
        <v>0</v>
      </c>
      <c r="AF15">
        <f>IF(HUAWEI製ＰＣＳ接続枚数計算ツール!$I$107/AF$2&gt;=高温電圧!AF15,1,0)</f>
        <v>0</v>
      </c>
      <c r="AG15">
        <f>IF(HUAWEI製ＰＣＳ接続枚数計算ツール!$I$107/AG$2&gt;=高温電圧!AG15,1,0)</f>
        <v>0</v>
      </c>
      <c r="AH15">
        <f>IF(HUAWEI製ＰＣＳ接続枚数計算ツール!$I$107/AH$2&gt;=高温電圧!AH15,1,0)</f>
        <v>0</v>
      </c>
      <c r="AI15">
        <f>IF(HUAWEI製ＰＣＳ接続枚数計算ツール!$I$107/AI$2&gt;=高温電圧!AI15,1,0)</f>
        <v>0</v>
      </c>
      <c r="AJ15">
        <f>IF(HUAWEI製ＰＣＳ接続枚数計算ツール!$I$107/AJ$2&gt;=高温電圧!AJ15,1,0)</f>
        <v>0</v>
      </c>
      <c r="AK15">
        <f>IF(HUAWEI製ＰＣＳ接続枚数計算ツール!$I$107/AK$2&gt;=高温電圧!AK15,1,0)</f>
        <v>0</v>
      </c>
      <c r="AL15">
        <f>IF(HUAWEI製ＰＣＳ接続枚数計算ツール!$I$107/AL$2&gt;=高温電圧!AL15,1,0)</f>
        <v>0</v>
      </c>
      <c r="AM15">
        <f>IF(HUAWEI製ＰＣＳ接続枚数計算ツール!$I$107/AM$2&gt;=高温電圧!AM15,1,0)</f>
        <v>0</v>
      </c>
      <c r="AN15">
        <f>IF(HUAWEI製ＰＣＳ接続枚数計算ツール!$I$107/AN$2&gt;=高温電圧!AN15,1,0)</f>
        <v>0</v>
      </c>
      <c r="AO15">
        <f>IF(HUAWEI製ＰＣＳ接続枚数計算ツール!$I$107/AO$2&gt;=高温電圧!AO15,1,0)</f>
        <v>0</v>
      </c>
    </row>
    <row r="16" spans="1:41">
      <c r="A16">
        <v>14</v>
      </c>
      <c r="B16">
        <f>IF(HUAWEI製ＰＣＳ接続枚数計算ツール!$I$107/B$2&gt;=高温電圧!B16,1,0)</f>
        <v>1</v>
      </c>
      <c r="C16">
        <f>IF(HUAWEI製ＰＣＳ接続枚数計算ツール!$I$107/C$2&gt;=高温電圧!C16,1,0)</f>
        <v>1</v>
      </c>
      <c r="D16">
        <f>IF(HUAWEI製ＰＣＳ接続枚数計算ツール!$I$107/D$2&gt;=高温電圧!D16,1,0)</f>
        <v>1</v>
      </c>
      <c r="E16">
        <f>IF(HUAWEI製ＰＣＳ接続枚数計算ツール!$I$107/E$2&gt;=高温電圧!E16,1,0)</f>
        <v>1</v>
      </c>
      <c r="F16">
        <f>IF(HUAWEI製ＰＣＳ接続枚数計算ツール!$I$107/F$2&gt;=高温電圧!F16,1,0)</f>
        <v>1</v>
      </c>
      <c r="G16">
        <f>IF(HUAWEI製ＰＣＳ接続枚数計算ツール!$I$107/G$2&gt;=高温電圧!G16,1,0)</f>
        <v>1</v>
      </c>
      <c r="H16">
        <f>IF(HUAWEI製ＰＣＳ接続枚数計算ツール!$I$107/H$2&gt;=高温電圧!H16,1,0)</f>
        <v>1</v>
      </c>
      <c r="I16">
        <f>IF(HUAWEI製ＰＣＳ接続枚数計算ツール!$I$107/I$2&gt;=高温電圧!I16,1,0)</f>
        <v>1</v>
      </c>
      <c r="J16">
        <f>IF(HUAWEI製ＰＣＳ接続枚数計算ツール!$I$107/J$2&gt;=高温電圧!J16,1,0)</f>
        <v>1</v>
      </c>
      <c r="K16">
        <f>IF(HUAWEI製ＰＣＳ接続枚数計算ツール!$I$107/K$2&gt;=高温電圧!K16,1,0)</f>
        <v>1</v>
      </c>
      <c r="L16">
        <f>IF(HUAWEI製ＰＣＳ接続枚数計算ツール!$I$107/L$2&gt;=高温電圧!L16,1,0)</f>
        <v>1</v>
      </c>
      <c r="M16">
        <f>IF(HUAWEI製ＰＣＳ接続枚数計算ツール!$I$107/M$2&gt;=高温電圧!M16,1,0)</f>
        <v>1</v>
      </c>
      <c r="N16">
        <f>IF(HUAWEI製ＰＣＳ接続枚数計算ツール!$I$107/N$2&gt;=高温電圧!N16,1,0)</f>
        <v>1</v>
      </c>
      <c r="O16">
        <f>IF(HUAWEI製ＰＣＳ接続枚数計算ツール!$I$107/O$2&gt;=高温電圧!O16,1,0)</f>
        <v>1</v>
      </c>
      <c r="P16">
        <f>IF(HUAWEI製ＰＣＳ接続枚数計算ツール!$I$107/P$2&gt;=高温電圧!P16,1,0)</f>
        <v>1</v>
      </c>
      <c r="Q16">
        <f>IF(HUAWEI製ＰＣＳ接続枚数計算ツール!$I$107/Q$2&gt;=高温電圧!Q16,1,0)</f>
        <v>1</v>
      </c>
      <c r="R16">
        <f>IF(HUAWEI製ＰＣＳ接続枚数計算ツール!$I$107/R$2&gt;=高温電圧!R16,1,0)</f>
        <v>1</v>
      </c>
      <c r="S16">
        <f>IF(HUAWEI製ＰＣＳ接続枚数計算ツール!$I$107/S$2&gt;=高温電圧!S16,1,0)</f>
        <v>1</v>
      </c>
      <c r="T16">
        <f>IF(HUAWEI製ＰＣＳ接続枚数計算ツール!$I$107/T$2&gt;=高温電圧!T16,1,0)</f>
        <v>1</v>
      </c>
      <c r="U16">
        <f>IF(HUAWEI製ＰＣＳ接続枚数計算ツール!$I$107/U$2&gt;=高温電圧!U16,1,0)</f>
        <v>1</v>
      </c>
      <c r="V16">
        <f>IF(HUAWEI製ＰＣＳ接続枚数計算ツール!$I$107/V$2&gt;=高温電圧!V16,1,0)</f>
        <v>1</v>
      </c>
      <c r="W16">
        <f>IF(HUAWEI製ＰＣＳ接続枚数計算ツール!$I$107/W$2&gt;=高温電圧!W16,1,0)</f>
        <v>1</v>
      </c>
      <c r="X16">
        <f>IF(HUAWEI製ＰＣＳ接続枚数計算ツール!$I$107/X$2&gt;=高温電圧!X16,1,0)</f>
        <v>0</v>
      </c>
      <c r="Y16">
        <f>IF(HUAWEI製ＰＣＳ接続枚数計算ツール!$I$107/Y$2&gt;=高温電圧!Y16,1,0)</f>
        <v>0</v>
      </c>
      <c r="Z16">
        <f>IF(HUAWEI製ＰＣＳ接続枚数計算ツール!$I$107/Z$2&gt;=高温電圧!Z16,1,0)</f>
        <v>0</v>
      </c>
      <c r="AA16">
        <f>IF(HUAWEI製ＰＣＳ接続枚数計算ツール!$I$107/AA$2&gt;=高温電圧!AA16,1,0)</f>
        <v>0</v>
      </c>
      <c r="AB16">
        <f>IF(HUAWEI製ＰＣＳ接続枚数計算ツール!$I$107/AB$2&gt;=高温電圧!AB16,1,0)</f>
        <v>0</v>
      </c>
      <c r="AC16">
        <f>IF(HUAWEI製ＰＣＳ接続枚数計算ツール!$I$107/AC$2&gt;=高温電圧!AC16,1,0)</f>
        <v>0</v>
      </c>
      <c r="AD16">
        <f>IF(HUAWEI製ＰＣＳ接続枚数計算ツール!$I$107/AD$2&gt;=高温電圧!AD16,1,0)</f>
        <v>0</v>
      </c>
      <c r="AE16">
        <f>IF(HUAWEI製ＰＣＳ接続枚数計算ツール!$I$107/AE$2&gt;=高温電圧!AE16,1,0)</f>
        <v>0</v>
      </c>
      <c r="AF16">
        <f>IF(HUAWEI製ＰＣＳ接続枚数計算ツール!$I$107/AF$2&gt;=高温電圧!AF16,1,0)</f>
        <v>0</v>
      </c>
      <c r="AG16">
        <f>IF(HUAWEI製ＰＣＳ接続枚数計算ツール!$I$107/AG$2&gt;=高温電圧!AG16,1,0)</f>
        <v>0</v>
      </c>
      <c r="AH16">
        <f>IF(HUAWEI製ＰＣＳ接続枚数計算ツール!$I$107/AH$2&gt;=高温電圧!AH16,1,0)</f>
        <v>0</v>
      </c>
      <c r="AI16">
        <f>IF(HUAWEI製ＰＣＳ接続枚数計算ツール!$I$107/AI$2&gt;=高温電圧!AI16,1,0)</f>
        <v>0</v>
      </c>
      <c r="AJ16">
        <f>IF(HUAWEI製ＰＣＳ接続枚数計算ツール!$I$107/AJ$2&gt;=高温電圧!AJ16,1,0)</f>
        <v>0</v>
      </c>
      <c r="AK16">
        <f>IF(HUAWEI製ＰＣＳ接続枚数計算ツール!$I$107/AK$2&gt;=高温電圧!AK16,1,0)</f>
        <v>0</v>
      </c>
      <c r="AL16">
        <f>IF(HUAWEI製ＰＣＳ接続枚数計算ツール!$I$107/AL$2&gt;=高温電圧!AL16,1,0)</f>
        <v>0</v>
      </c>
      <c r="AM16">
        <f>IF(HUAWEI製ＰＣＳ接続枚数計算ツール!$I$107/AM$2&gt;=高温電圧!AM16,1,0)</f>
        <v>0</v>
      </c>
      <c r="AN16">
        <f>IF(HUAWEI製ＰＣＳ接続枚数計算ツール!$I$107/AN$2&gt;=高温電圧!AN16,1,0)</f>
        <v>0</v>
      </c>
      <c r="AO16">
        <f>IF(HUAWEI製ＰＣＳ接続枚数計算ツール!$I$107/AO$2&gt;=高温電圧!AO16,1,0)</f>
        <v>0</v>
      </c>
    </row>
    <row r="17" spans="1:41">
      <c r="A17">
        <v>15</v>
      </c>
      <c r="B17">
        <f>IF(HUAWEI製ＰＣＳ接続枚数計算ツール!$I$107/B$2&gt;=高温電圧!B17,1,0)</f>
        <v>1</v>
      </c>
      <c r="C17">
        <f>IF(HUAWEI製ＰＣＳ接続枚数計算ツール!$I$107/C$2&gt;=高温電圧!C17,1,0)</f>
        <v>1</v>
      </c>
      <c r="D17">
        <f>IF(HUAWEI製ＰＣＳ接続枚数計算ツール!$I$107/D$2&gt;=高温電圧!D17,1,0)</f>
        <v>1</v>
      </c>
      <c r="E17">
        <f>IF(HUAWEI製ＰＣＳ接続枚数計算ツール!$I$107/E$2&gt;=高温電圧!E17,1,0)</f>
        <v>1</v>
      </c>
      <c r="F17">
        <f>IF(HUAWEI製ＰＣＳ接続枚数計算ツール!$I$107/F$2&gt;=高温電圧!F17,1,0)</f>
        <v>1</v>
      </c>
      <c r="G17">
        <f>IF(HUAWEI製ＰＣＳ接続枚数計算ツール!$I$107/G$2&gt;=高温電圧!G17,1,0)</f>
        <v>1</v>
      </c>
      <c r="H17">
        <f>IF(HUAWEI製ＰＣＳ接続枚数計算ツール!$I$107/H$2&gt;=高温電圧!H17,1,0)</f>
        <v>1</v>
      </c>
      <c r="I17">
        <f>IF(HUAWEI製ＰＣＳ接続枚数計算ツール!$I$107/I$2&gt;=高温電圧!I17,1,0)</f>
        <v>1</v>
      </c>
      <c r="J17">
        <f>IF(HUAWEI製ＰＣＳ接続枚数計算ツール!$I$107/J$2&gt;=高温電圧!J17,1,0)</f>
        <v>1</v>
      </c>
      <c r="K17">
        <f>IF(HUAWEI製ＰＣＳ接続枚数計算ツール!$I$107/K$2&gt;=高温電圧!K17,1,0)</f>
        <v>1</v>
      </c>
      <c r="L17">
        <f>IF(HUAWEI製ＰＣＳ接続枚数計算ツール!$I$107/L$2&gt;=高温電圧!L17,1,0)</f>
        <v>1</v>
      </c>
      <c r="M17">
        <f>IF(HUAWEI製ＰＣＳ接続枚数計算ツール!$I$107/M$2&gt;=高温電圧!M17,1,0)</f>
        <v>1</v>
      </c>
      <c r="N17">
        <f>IF(HUAWEI製ＰＣＳ接続枚数計算ツール!$I$107/N$2&gt;=高温電圧!N17,1,0)</f>
        <v>1</v>
      </c>
      <c r="O17">
        <f>IF(HUAWEI製ＰＣＳ接続枚数計算ツール!$I$107/O$2&gt;=高温電圧!O17,1,0)</f>
        <v>1</v>
      </c>
      <c r="P17">
        <f>IF(HUAWEI製ＰＣＳ接続枚数計算ツール!$I$107/P$2&gt;=高温電圧!P17,1,0)</f>
        <v>1</v>
      </c>
      <c r="Q17">
        <f>IF(HUAWEI製ＰＣＳ接続枚数計算ツール!$I$107/Q$2&gt;=高温電圧!Q17,1,0)</f>
        <v>1</v>
      </c>
      <c r="R17">
        <f>IF(HUAWEI製ＰＣＳ接続枚数計算ツール!$I$107/R$2&gt;=高温電圧!R17,1,0)</f>
        <v>1</v>
      </c>
      <c r="S17">
        <f>IF(HUAWEI製ＰＣＳ接続枚数計算ツール!$I$107/S$2&gt;=高温電圧!S17,1,0)</f>
        <v>1</v>
      </c>
      <c r="T17">
        <f>IF(HUAWEI製ＰＣＳ接続枚数計算ツール!$I$107/T$2&gt;=高温電圧!T17,1,0)</f>
        <v>1</v>
      </c>
      <c r="U17">
        <f>IF(HUAWEI製ＰＣＳ接続枚数計算ツール!$I$107/U$2&gt;=高温電圧!U17,1,0)</f>
        <v>1</v>
      </c>
      <c r="V17">
        <f>IF(HUAWEI製ＰＣＳ接続枚数計算ツール!$I$107/V$2&gt;=高温電圧!V17,1,0)</f>
        <v>1</v>
      </c>
      <c r="W17">
        <f>IF(HUAWEI製ＰＣＳ接続枚数計算ツール!$I$107/W$2&gt;=高温電圧!W17,1,0)</f>
        <v>1</v>
      </c>
      <c r="X17">
        <f>IF(HUAWEI製ＰＣＳ接続枚数計算ツール!$I$107/X$2&gt;=高温電圧!X17,1,0)</f>
        <v>0</v>
      </c>
      <c r="Y17">
        <f>IF(HUAWEI製ＰＣＳ接続枚数計算ツール!$I$107/Y$2&gt;=高温電圧!Y17,1,0)</f>
        <v>0</v>
      </c>
      <c r="Z17">
        <f>IF(HUAWEI製ＰＣＳ接続枚数計算ツール!$I$107/Z$2&gt;=高温電圧!Z17,1,0)</f>
        <v>0</v>
      </c>
      <c r="AA17">
        <f>IF(HUAWEI製ＰＣＳ接続枚数計算ツール!$I$107/AA$2&gt;=高温電圧!AA17,1,0)</f>
        <v>0</v>
      </c>
      <c r="AB17">
        <f>IF(HUAWEI製ＰＣＳ接続枚数計算ツール!$I$107/AB$2&gt;=高温電圧!AB17,1,0)</f>
        <v>0</v>
      </c>
      <c r="AC17">
        <f>IF(HUAWEI製ＰＣＳ接続枚数計算ツール!$I$107/AC$2&gt;=高温電圧!AC17,1,0)</f>
        <v>0</v>
      </c>
      <c r="AD17">
        <f>IF(HUAWEI製ＰＣＳ接続枚数計算ツール!$I$107/AD$2&gt;=高温電圧!AD17,1,0)</f>
        <v>0</v>
      </c>
      <c r="AE17">
        <f>IF(HUAWEI製ＰＣＳ接続枚数計算ツール!$I$107/AE$2&gt;=高温電圧!AE17,1,0)</f>
        <v>0</v>
      </c>
      <c r="AF17">
        <f>IF(HUAWEI製ＰＣＳ接続枚数計算ツール!$I$107/AF$2&gt;=高温電圧!AF17,1,0)</f>
        <v>0</v>
      </c>
      <c r="AG17">
        <f>IF(HUAWEI製ＰＣＳ接続枚数計算ツール!$I$107/AG$2&gt;=高温電圧!AG17,1,0)</f>
        <v>0</v>
      </c>
      <c r="AH17">
        <f>IF(HUAWEI製ＰＣＳ接続枚数計算ツール!$I$107/AH$2&gt;=高温電圧!AH17,1,0)</f>
        <v>0</v>
      </c>
      <c r="AI17">
        <f>IF(HUAWEI製ＰＣＳ接続枚数計算ツール!$I$107/AI$2&gt;=高温電圧!AI17,1,0)</f>
        <v>0</v>
      </c>
      <c r="AJ17">
        <f>IF(HUAWEI製ＰＣＳ接続枚数計算ツール!$I$107/AJ$2&gt;=高温電圧!AJ17,1,0)</f>
        <v>0</v>
      </c>
      <c r="AK17">
        <f>IF(HUAWEI製ＰＣＳ接続枚数計算ツール!$I$107/AK$2&gt;=高温電圧!AK17,1,0)</f>
        <v>0</v>
      </c>
      <c r="AL17">
        <f>IF(HUAWEI製ＰＣＳ接続枚数計算ツール!$I$107/AL$2&gt;=高温電圧!AL17,1,0)</f>
        <v>0</v>
      </c>
      <c r="AM17">
        <f>IF(HUAWEI製ＰＣＳ接続枚数計算ツール!$I$107/AM$2&gt;=高温電圧!AM17,1,0)</f>
        <v>0</v>
      </c>
      <c r="AN17">
        <f>IF(HUAWEI製ＰＣＳ接続枚数計算ツール!$I$107/AN$2&gt;=高温電圧!AN17,1,0)</f>
        <v>0</v>
      </c>
      <c r="AO17">
        <f>IF(HUAWEI製ＰＣＳ接続枚数計算ツール!$I$107/AO$2&gt;=高温電圧!AO17,1,0)</f>
        <v>0</v>
      </c>
    </row>
    <row r="18" spans="1:41">
      <c r="A18">
        <v>16</v>
      </c>
      <c r="B18">
        <f>IF(HUAWEI製ＰＣＳ接続枚数計算ツール!$I$107/B$2&gt;=高温電圧!B18,1,0)</f>
        <v>1</v>
      </c>
      <c r="C18">
        <f>IF(HUAWEI製ＰＣＳ接続枚数計算ツール!$I$107/C$2&gt;=高温電圧!C18,1,0)</f>
        <v>1</v>
      </c>
      <c r="D18">
        <f>IF(HUAWEI製ＰＣＳ接続枚数計算ツール!$I$107/D$2&gt;=高温電圧!D18,1,0)</f>
        <v>1</v>
      </c>
      <c r="E18">
        <f>IF(HUAWEI製ＰＣＳ接続枚数計算ツール!$I$107/E$2&gt;=高温電圧!E18,1,0)</f>
        <v>1</v>
      </c>
      <c r="F18">
        <f>IF(HUAWEI製ＰＣＳ接続枚数計算ツール!$I$107/F$2&gt;=高温電圧!F18,1,0)</f>
        <v>1</v>
      </c>
      <c r="G18">
        <f>IF(HUAWEI製ＰＣＳ接続枚数計算ツール!$I$107/G$2&gt;=高温電圧!G18,1,0)</f>
        <v>1</v>
      </c>
      <c r="H18">
        <f>IF(HUAWEI製ＰＣＳ接続枚数計算ツール!$I$107/H$2&gt;=高温電圧!H18,1,0)</f>
        <v>1</v>
      </c>
      <c r="I18">
        <f>IF(HUAWEI製ＰＣＳ接続枚数計算ツール!$I$107/I$2&gt;=高温電圧!I18,1,0)</f>
        <v>1</v>
      </c>
      <c r="J18">
        <f>IF(HUAWEI製ＰＣＳ接続枚数計算ツール!$I$107/J$2&gt;=高温電圧!J18,1,0)</f>
        <v>1</v>
      </c>
      <c r="K18">
        <f>IF(HUAWEI製ＰＣＳ接続枚数計算ツール!$I$107/K$2&gt;=高温電圧!K18,1,0)</f>
        <v>1</v>
      </c>
      <c r="L18">
        <f>IF(HUAWEI製ＰＣＳ接続枚数計算ツール!$I$107/L$2&gt;=高温電圧!L18,1,0)</f>
        <v>1</v>
      </c>
      <c r="M18">
        <f>IF(HUAWEI製ＰＣＳ接続枚数計算ツール!$I$107/M$2&gt;=高温電圧!M18,1,0)</f>
        <v>1</v>
      </c>
      <c r="N18">
        <f>IF(HUAWEI製ＰＣＳ接続枚数計算ツール!$I$107/N$2&gt;=高温電圧!N18,1,0)</f>
        <v>1</v>
      </c>
      <c r="O18">
        <f>IF(HUAWEI製ＰＣＳ接続枚数計算ツール!$I$107/O$2&gt;=高温電圧!O18,1,0)</f>
        <v>1</v>
      </c>
      <c r="P18">
        <f>IF(HUAWEI製ＰＣＳ接続枚数計算ツール!$I$107/P$2&gt;=高温電圧!P18,1,0)</f>
        <v>1</v>
      </c>
      <c r="Q18">
        <f>IF(HUAWEI製ＰＣＳ接続枚数計算ツール!$I$107/Q$2&gt;=高温電圧!Q18,1,0)</f>
        <v>1</v>
      </c>
      <c r="R18">
        <f>IF(HUAWEI製ＰＣＳ接続枚数計算ツール!$I$107/R$2&gt;=高温電圧!R18,1,0)</f>
        <v>1</v>
      </c>
      <c r="S18">
        <f>IF(HUAWEI製ＰＣＳ接続枚数計算ツール!$I$107/S$2&gt;=高温電圧!S18,1,0)</f>
        <v>1</v>
      </c>
      <c r="T18">
        <f>IF(HUAWEI製ＰＣＳ接続枚数計算ツール!$I$107/T$2&gt;=高温電圧!T18,1,0)</f>
        <v>1</v>
      </c>
      <c r="U18">
        <f>IF(HUAWEI製ＰＣＳ接続枚数計算ツール!$I$107/U$2&gt;=高温電圧!U18,1,0)</f>
        <v>1</v>
      </c>
      <c r="V18">
        <f>IF(HUAWEI製ＰＣＳ接続枚数計算ツール!$I$107/V$2&gt;=高温電圧!V18,1,0)</f>
        <v>1</v>
      </c>
      <c r="W18">
        <f>IF(HUAWEI製ＰＣＳ接続枚数計算ツール!$I$107/W$2&gt;=高温電圧!W18,1,0)</f>
        <v>0</v>
      </c>
      <c r="X18">
        <f>IF(HUAWEI製ＰＣＳ接続枚数計算ツール!$I$107/X$2&gt;=高温電圧!X18,1,0)</f>
        <v>0</v>
      </c>
      <c r="Y18">
        <f>IF(HUAWEI製ＰＣＳ接続枚数計算ツール!$I$107/Y$2&gt;=高温電圧!Y18,1,0)</f>
        <v>0</v>
      </c>
      <c r="Z18">
        <f>IF(HUAWEI製ＰＣＳ接続枚数計算ツール!$I$107/Z$2&gt;=高温電圧!Z18,1,0)</f>
        <v>0</v>
      </c>
      <c r="AA18">
        <f>IF(HUAWEI製ＰＣＳ接続枚数計算ツール!$I$107/AA$2&gt;=高温電圧!AA18,1,0)</f>
        <v>0</v>
      </c>
      <c r="AB18">
        <f>IF(HUAWEI製ＰＣＳ接続枚数計算ツール!$I$107/AB$2&gt;=高温電圧!AB18,1,0)</f>
        <v>0</v>
      </c>
      <c r="AC18">
        <f>IF(HUAWEI製ＰＣＳ接続枚数計算ツール!$I$107/AC$2&gt;=高温電圧!AC18,1,0)</f>
        <v>0</v>
      </c>
      <c r="AD18">
        <f>IF(HUAWEI製ＰＣＳ接続枚数計算ツール!$I$107/AD$2&gt;=高温電圧!AD18,1,0)</f>
        <v>0</v>
      </c>
      <c r="AE18">
        <f>IF(HUAWEI製ＰＣＳ接続枚数計算ツール!$I$107/AE$2&gt;=高温電圧!AE18,1,0)</f>
        <v>0</v>
      </c>
      <c r="AF18">
        <f>IF(HUAWEI製ＰＣＳ接続枚数計算ツール!$I$107/AF$2&gt;=高温電圧!AF18,1,0)</f>
        <v>0</v>
      </c>
      <c r="AG18">
        <f>IF(HUAWEI製ＰＣＳ接続枚数計算ツール!$I$107/AG$2&gt;=高温電圧!AG18,1,0)</f>
        <v>0</v>
      </c>
      <c r="AH18">
        <f>IF(HUAWEI製ＰＣＳ接続枚数計算ツール!$I$107/AH$2&gt;=高温電圧!AH18,1,0)</f>
        <v>0</v>
      </c>
      <c r="AI18">
        <f>IF(HUAWEI製ＰＣＳ接続枚数計算ツール!$I$107/AI$2&gt;=高温電圧!AI18,1,0)</f>
        <v>0</v>
      </c>
      <c r="AJ18">
        <f>IF(HUAWEI製ＰＣＳ接続枚数計算ツール!$I$107/AJ$2&gt;=高温電圧!AJ18,1,0)</f>
        <v>0</v>
      </c>
      <c r="AK18">
        <f>IF(HUAWEI製ＰＣＳ接続枚数計算ツール!$I$107/AK$2&gt;=高温電圧!AK18,1,0)</f>
        <v>0</v>
      </c>
      <c r="AL18">
        <f>IF(HUAWEI製ＰＣＳ接続枚数計算ツール!$I$107/AL$2&gt;=高温電圧!AL18,1,0)</f>
        <v>0</v>
      </c>
      <c r="AM18">
        <f>IF(HUAWEI製ＰＣＳ接続枚数計算ツール!$I$107/AM$2&gt;=高温電圧!AM18,1,0)</f>
        <v>0</v>
      </c>
      <c r="AN18">
        <f>IF(HUAWEI製ＰＣＳ接続枚数計算ツール!$I$107/AN$2&gt;=高温電圧!AN18,1,0)</f>
        <v>0</v>
      </c>
      <c r="AO18">
        <f>IF(HUAWEI製ＰＣＳ接続枚数計算ツール!$I$107/AO$2&gt;=高温電圧!AO18,1,0)</f>
        <v>0</v>
      </c>
    </row>
    <row r="19" spans="1:41">
      <c r="A19">
        <v>17</v>
      </c>
      <c r="B19">
        <f>IF(HUAWEI製ＰＣＳ接続枚数計算ツール!$I$107/B$2&gt;=高温電圧!B19,1,0)</f>
        <v>1</v>
      </c>
      <c r="C19">
        <f>IF(HUAWEI製ＰＣＳ接続枚数計算ツール!$I$107/C$2&gt;=高温電圧!C19,1,0)</f>
        <v>1</v>
      </c>
      <c r="D19">
        <f>IF(HUAWEI製ＰＣＳ接続枚数計算ツール!$I$107/D$2&gt;=高温電圧!D19,1,0)</f>
        <v>1</v>
      </c>
      <c r="E19">
        <f>IF(HUAWEI製ＰＣＳ接続枚数計算ツール!$I$107/E$2&gt;=高温電圧!E19,1,0)</f>
        <v>1</v>
      </c>
      <c r="F19">
        <f>IF(HUAWEI製ＰＣＳ接続枚数計算ツール!$I$107/F$2&gt;=高温電圧!F19,1,0)</f>
        <v>1</v>
      </c>
      <c r="G19">
        <f>IF(HUAWEI製ＰＣＳ接続枚数計算ツール!$I$107/G$2&gt;=高温電圧!G19,1,0)</f>
        <v>1</v>
      </c>
      <c r="H19">
        <f>IF(HUAWEI製ＰＣＳ接続枚数計算ツール!$I$107/H$2&gt;=高温電圧!H19,1,0)</f>
        <v>1</v>
      </c>
      <c r="I19">
        <f>IF(HUAWEI製ＰＣＳ接続枚数計算ツール!$I$107/I$2&gt;=高温電圧!I19,1,0)</f>
        <v>1</v>
      </c>
      <c r="J19">
        <f>IF(HUAWEI製ＰＣＳ接続枚数計算ツール!$I$107/J$2&gt;=高温電圧!J19,1,0)</f>
        <v>1</v>
      </c>
      <c r="K19">
        <f>IF(HUAWEI製ＰＣＳ接続枚数計算ツール!$I$107/K$2&gt;=高温電圧!K19,1,0)</f>
        <v>1</v>
      </c>
      <c r="L19">
        <f>IF(HUAWEI製ＰＣＳ接続枚数計算ツール!$I$107/L$2&gt;=高温電圧!L19,1,0)</f>
        <v>1</v>
      </c>
      <c r="M19">
        <f>IF(HUAWEI製ＰＣＳ接続枚数計算ツール!$I$107/M$2&gt;=高温電圧!M19,1,0)</f>
        <v>1</v>
      </c>
      <c r="N19">
        <f>IF(HUAWEI製ＰＣＳ接続枚数計算ツール!$I$107/N$2&gt;=高温電圧!N19,1,0)</f>
        <v>1</v>
      </c>
      <c r="O19">
        <f>IF(HUAWEI製ＰＣＳ接続枚数計算ツール!$I$107/O$2&gt;=高温電圧!O19,1,0)</f>
        <v>1</v>
      </c>
      <c r="P19">
        <f>IF(HUAWEI製ＰＣＳ接続枚数計算ツール!$I$107/P$2&gt;=高温電圧!P19,1,0)</f>
        <v>1</v>
      </c>
      <c r="Q19">
        <f>IF(HUAWEI製ＰＣＳ接続枚数計算ツール!$I$107/Q$2&gt;=高温電圧!Q19,1,0)</f>
        <v>1</v>
      </c>
      <c r="R19">
        <f>IF(HUAWEI製ＰＣＳ接続枚数計算ツール!$I$107/R$2&gt;=高温電圧!R19,1,0)</f>
        <v>1</v>
      </c>
      <c r="S19">
        <f>IF(HUAWEI製ＰＣＳ接続枚数計算ツール!$I$107/S$2&gt;=高温電圧!S19,1,0)</f>
        <v>1</v>
      </c>
      <c r="T19">
        <f>IF(HUAWEI製ＰＣＳ接続枚数計算ツール!$I$107/T$2&gt;=高温電圧!T19,1,0)</f>
        <v>1</v>
      </c>
      <c r="U19">
        <f>IF(HUAWEI製ＰＣＳ接続枚数計算ツール!$I$107/U$2&gt;=高温電圧!U19,1,0)</f>
        <v>1</v>
      </c>
      <c r="V19">
        <f>IF(HUAWEI製ＰＣＳ接続枚数計算ツール!$I$107/V$2&gt;=高温電圧!V19,1,0)</f>
        <v>1</v>
      </c>
      <c r="W19">
        <f>IF(HUAWEI製ＰＣＳ接続枚数計算ツール!$I$107/W$2&gt;=高温電圧!W19,1,0)</f>
        <v>0</v>
      </c>
      <c r="X19">
        <f>IF(HUAWEI製ＰＣＳ接続枚数計算ツール!$I$107/X$2&gt;=高温電圧!X19,1,0)</f>
        <v>0</v>
      </c>
      <c r="Y19">
        <f>IF(HUAWEI製ＰＣＳ接続枚数計算ツール!$I$107/Y$2&gt;=高温電圧!Y19,1,0)</f>
        <v>0</v>
      </c>
      <c r="Z19">
        <f>IF(HUAWEI製ＰＣＳ接続枚数計算ツール!$I$107/Z$2&gt;=高温電圧!Z19,1,0)</f>
        <v>0</v>
      </c>
      <c r="AA19">
        <f>IF(HUAWEI製ＰＣＳ接続枚数計算ツール!$I$107/AA$2&gt;=高温電圧!AA19,1,0)</f>
        <v>0</v>
      </c>
      <c r="AB19">
        <f>IF(HUAWEI製ＰＣＳ接続枚数計算ツール!$I$107/AB$2&gt;=高温電圧!AB19,1,0)</f>
        <v>0</v>
      </c>
      <c r="AC19">
        <f>IF(HUAWEI製ＰＣＳ接続枚数計算ツール!$I$107/AC$2&gt;=高温電圧!AC19,1,0)</f>
        <v>0</v>
      </c>
      <c r="AD19">
        <f>IF(HUAWEI製ＰＣＳ接続枚数計算ツール!$I$107/AD$2&gt;=高温電圧!AD19,1,0)</f>
        <v>0</v>
      </c>
      <c r="AE19">
        <f>IF(HUAWEI製ＰＣＳ接続枚数計算ツール!$I$107/AE$2&gt;=高温電圧!AE19,1,0)</f>
        <v>0</v>
      </c>
      <c r="AF19">
        <f>IF(HUAWEI製ＰＣＳ接続枚数計算ツール!$I$107/AF$2&gt;=高温電圧!AF19,1,0)</f>
        <v>0</v>
      </c>
      <c r="AG19">
        <f>IF(HUAWEI製ＰＣＳ接続枚数計算ツール!$I$107/AG$2&gt;=高温電圧!AG19,1,0)</f>
        <v>0</v>
      </c>
      <c r="AH19">
        <f>IF(HUAWEI製ＰＣＳ接続枚数計算ツール!$I$107/AH$2&gt;=高温電圧!AH19,1,0)</f>
        <v>0</v>
      </c>
      <c r="AI19">
        <f>IF(HUAWEI製ＰＣＳ接続枚数計算ツール!$I$107/AI$2&gt;=高温電圧!AI19,1,0)</f>
        <v>0</v>
      </c>
      <c r="AJ19">
        <f>IF(HUAWEI製ＰＣＳ接続枚数計算ツール!$I$107/AJ$2&gt;=高温電圧!AJ19,1,0)</f>
        <v>0</v>
      </c>
      <c r="AK19">
        <f>IF(HUAWEI製ＰＣＳ接続枚数計算ツール!$I$107/AK$2&gt;=高温電圧!AK19,1,0)</f>
        <v>0</v>
      </c>
      <c r="AL19">
        <f>IF(HUAWEI製ＰＣＳ接続枚数計算ツール!$I$107/AL$2&gt;=高温電圧!AL19,1,0)</f>
        <v>0</v>
      </c>
      <c r="AM19">
        <f>IF(HUAWEI製ＰＣＳ接続枚数計算ツール!$I$107/AM$2&gt;=高温電圧!AM19,1,0)</f>
        <v>0</v>
      </c>
      <c r="AN19">
        <f>IF(HUAWEI製ＰＣＳ接続枚数計算ツール!$I$107/AN$2&gt;=高温電圧!AN19,1,0)</f>
        <v>0</v>
      </c>
      <c r="AO19">
        <f>IF(HUAWEI製ＰＣＳ接続枚数計算ツール!$I$107/AO$2&gt;=高温電圧!AO19,1,0)</f>
        <v>0</v>
      </c>
    </row>
    <row r="20" spans="1:41">
      <c r="A20">
        <v>18</v>
      </c>
      <c r="B20">
        <f>IF(HUAWEI製ＰＣＳ接続枚数計算ツール!$I$107/B$2&gt;=高温電圧!B20,1,0)</f>
        <v>1</v>
      </c>
      <c r="C20">
        <f>IF(HUAWEI製ＰＣＳ接続枚数計算ツール!$I$107/C$2&gt;=高温電圧!C20,1,0)</f>
        <v>1</v>
      </c>
      <c r="D20">
        <f>IF(HUAWEI製ＰＣＳ接続枚数計算ツール!$I$107/D$2&gt;=高温電圧!D20,1,0)</f>
        <v>1</v>
      </c>
      <c r="E20">
        <f>IF(HUAWEI製ＰＣＳ接続枚数計算ツール!$I$107/E$2&gt;=高温電圧!E20,1,0)</f>
        <v>1</v>
      </c>
      <c r="F20">
        <f>IF(HUAWEI製ＰＣＳ接続枚数計算ツール!$I$107/F$2&gt;=高温電圧!F20,1,0)</f>
        <v>1</v>
      </c>
      <c r="G20">
        <f>IF(HUAWEI製ＰＣＳ接続枚数計算ツール!$I$107/G$2&gt;=高温電圧!G20,1,0)</f>
        <v>1</v>
      </c>
      <c r="H20">
        <f>IF(HUAWEI製ＰＣＳ接続枚数計算ツール!$I$107/H$2&gt;=高温電圧!H20,1,0)</f>
        <v>1</v>
      </c>
      <c r="I20">
        <f>IF(HUAWEI製ＰＣＳ接続枚数計算ツール!$I$107/I$2&gt;=高温電圧!I20,1,0)</f>
        <v>1</v>
      </c>
      <c r="J20">
        <f>IF(HUAWEI製ＰＣＳ接続枚数計算ツール!$I$107/J$2&gt;=高温電圧!J20,1,0)</f>
        <v>1</v>
      </c>
      <c r="K20">
        <f>IF(HUAWEI製ＰＣＳ接続枚数計算ツール!$I$107/K$2&gt;=高温電圧!K20,1,0)</f>
        <v>1</v>
      </c>
      <c r="L20">
        <f>IF(HUAWEI製ＰＣＳ接続枚数計算ツール!$I$107/L$2&gt;=高温電圧!L20,1,0)</f>
        <v>1</v>
      </c>
      <c r="M20">
        <f>IF(HUAWEI製ＰＣＳ接続枚数計算ツール!$I$107/M$2&gt;=高温電圧!M20,1,0)</f>
        <v>1</v>
      </c>
      <c r="N20">
        <f>IF(HUAWEI製ＰＣＳ接続枚数計算ツール!$I$107/N$2&gt;=高温電圧!N20,1,0)</f>
        <v>1</v>
      </c>
      <c r="O20">
        <f>IF(HUAWEI製ＰＣＳ接続枚数計算ツール!$I$107/O$2&gt;=高温電圧!O20,1,0)</f>
        <v>1</v>
      </c>
      <c r="P20">
        <f>IF(HUAWEI製ＰＣＳ接続枚数計算ツール!$I$107/P$2&gt;=高温電圧!P20,1,0)</f>
        <v>1</v>
      </c>
      <c r="Q20">
        <f>IF(HUAWEI製ＰＣＳ接続枚数計算ツール!$I$107/Q$2&gt;=高温電圧!Q20,1,0)</f>
        <v>1</v>
      </c>
      <c r="R20">
        <f>IF(HUAWEI製ＰＣＳ接続枚数計算ツール!$I$107/R$2&gt;=高温電圧!R20,1,0)</f>
        <v>1</v>
      </c>
      <c r="S20">
        <f>IF(HUAWEI製ＰＣＳ接続枚数計算ツール!$I$107/S$2&gt;=高温電圧!S20,1,0)</f>
        <v>1</v>
      </c>
      <c r="T20">
        <f>IF(HUAWEI製ＰＣＳ接続枚数計算ツール!$I$107/T$2&gt;=高温電圧!T20,1,0)</f>
        <v>1</v>
      </c>
      <c r="U20">
        <f>IF(HUAWEI製ＰＣＳ接続枚数計算ツール!$I$107/U$2&gt;=高温電圧!U20,1,0)</f>
        <v>1</v>
      </c>
      <c r="V20">
        <f>IF(HUAWEI製ＰＣＳ接続枚数計算ツール!$I$107/V$2&gt;=高温電圧!V20,1,0)</f>
        <v>1</v>
      </c>
      <c r="W20">
        <f>IF(HUAWEI製ＰＣＳ接続枚数計算ツール!$I$107/W$2&gt;=高温電圧!W20,1,0)</f>
        <v>0</v>
      </c>
      <c r="X20">
        <f>IF(HUAWEI製ＰＣＳ接続枚数計算ツール!$I$107/X$2&gt;=高温電圧!X20,1,0)</f>
        <v>0</v>
      </c>
      <c r="Y20">
        <f>IF(HUAWEI製ＰＣＳ接続枚数計算ツール!$I$107/Y$2&gt;=高温電圧!Y20,1,0)</f>
        <v>0</v>
      </c>
      <c r="Z20">
        <f>IF(HUAWEI製ＰＣＳ接続枚数計算ツール!$I$107/Z$2&gt;=高温電圧!Z20,1,0)</f>
        <v>0</v>
      </c>
      <c r="AA20">
        <f>IF(HUAWEI製ＰＣＳ接続枚数計算ツール!$I$107/AA$2&gt;=高温電圧!AA20,1,0)</f>
        <v>0</v>
      </c>
      <c r="AB20">
        <f>IF(HUAWEI製ＰＣＳ接続枚数計算ツール!$I$107/AB$2&gt;=高温電圧!AB20,1,0)</f>
        <v>0</v>
      </c>
      <c r="AC20">
        <f>IF(HUAWEI製ＰＣＳ接続枚数計算ツール!$I$107/AC$2&gt;=高温電圧!AC20,1,0)</f>
        <v>0</v>
      </c>
      <c r="AD20">
        <f>IF(HUAWEI製ＰＣＳ接続枚数計算ツール!$I$107/AD$2&gt;=高温電圧!AD20,1,0)</f>
        <v>0</v>
      </c>
      <c r="AE20">
        <f>IF(HUAWEI製ＰＣＳ接続枚数計算ツール!$I$107/AE$2&gt;=高温電圧!AE20,1,0)</f>
        <v>0</v>
      </c>
      <c r="AF20">
        <f>IF(HUAWEI製ＰＣＳ接続枚数計算ツール!$I$107/AF$2&gt;=高温電圧!AF20,1,0)</f>
        <v>0</v>
      </c>
      <c r="AG20">
        <f>IF(HUAWEI製ＰＣＳ接続枚数計算ツール!$I$107/AG$2&gt;=高温電圧!AG20,1,0)</f>
        <v>0</v>
      </c>
      <c r="AH20">
        <f>IF(HUAWEI製ＰＣＳ接続枚数計算ツール!$I$107/AH$2&gt;=高温電圧!AH20,1,0)</f>
        <v>0</v>
      </c>
      <c r="AI20">
        <f>IF(HUAWEI製ＰＣＳ接続枚数計算ツール!$I$107/AI$2&gt;=高温電圧!AI20,1,0)</f>
        <v>0</v>
      </c>
      <c r="AJ20">
        <f>IF(HUAWEI製ＰＣＳ接続枚数計算ツール!$I$107/AJ$2&gt;=高温電圧!AJ20,1,0)</f>
        <v>0</v>
      </c>
      <c r="AK20">
        <f>IF(HUAWEI製ＰＣＳ接続枚数計算ツール!$I$107/AK$2&gt;=高温電圧!AK20,1,0)</f>
        <v>0</v>
      </c>
      <c r="AL20">
        <f>IF(HUAWEI製ＰＣＳ接続枚数計算ツール!$I$107/AL$2&gt;=高温電圧!AL20,1,0)</f>
        <v>0</v>
      </c>
      <c r="AM20">
        <f>IF(HUAWEI製ＰＣＳ接続枚数計算ツール!$I$107/AM$2&gt;=高温電圧!AM20,1,0)</f>
        <v>0</v>
      </c>
      <c r="AN20">
        <f>IF(HUAWEI製ＰＣＳ接続枚数計算ツール!$I$107/AN$2&gt;=高温電圧!AN20,1,0)</f>
        <v>0</v>
      </c>
      <c r="AO20">
        <f>IF(HUAWEI製ＰＣＳ接続枚数計算ツール!$I$107/AO$2&gt;=高温電圧!AO20,1,0)</f>
        <v>0</v>
      </c>
    </row>
    <row r="21" spans="1:41">
      <c r="A21">
        <v>19</v>
      </c>
      <c r="B21">
        <f>IF(HUAWEI製ＰＣＳ接続枚数計算ツール!$I$107/B$2&gt;=高温電圧!B21,1,0)</f>
        <v>1</v>
      </c>
      <c r="C21">
        <f>IF(HUAWEI製ＰＣＳ接続枚数計算ツール!$I$107/C$2&gt;=高温電圧!C21,1,0)</f>
        <v>1</v>
      </c>
      <c r="D21">
        <f>IF(HUAWEI製ＰＣＳ接続枚数計算ツール!$I$107/D$2&gt;=高温電圧!D21,1,0)</f>
        <v>1</v>
      </c>
      <c r="E21">
        <f>IF(HUAWEI製ＰＣＳ接続枚数計算ツール!$I$107/E$2&gt;=高温電圧!E21,1,0)</f>
        <v>1</v>
      </c>
      <c r="F21">
        <f>IF(HUAWEI製ＰＣＳ接続枚数計算ツール!$I$107/F$2&gt;=高温電圧!F21,1,0)</f>
        <v>1</v>
      </c>
      <c r="G21">
        <f>IF(HUAWEI製ＰＣＳ接続枚数計算ツール!$I$107/G$2&gt;=高温電圧!G21,1,0)</f>
        <v>1</v>
      </c>
      <c r="H21">
        <f>IF(HUAWEI製ＰＣＳ接続枚数計算ツール!$I$107/H$2&gt;=高温電圧!H21,1,0)</f>
        <v>1</v>
      </c>
      <c r="I21">
        <f>IF(HUAWEI製ＰＣＳ接続枚数計算ツール!$I$107/I$2&gt;=高温電圧!I21,1,0)</f>
        <v>1</v>
      </c>
      <c r="J21">
        <f>IF(HUAWEI製ＰＣＳ接続枚数計算ツール!$I$107/J$2&gt;=高温電圧!J21,1,0)</f>
        <v>1</v>
      </c>
      <c r="K21">
        <f>IF(HUAWEI製ＰＣＳ接続枚数計算ツール!$I$107/K$2&gt;=高温電圧!K21,1,0)</f>
        <v>1</v>
      </c>
      <c r="L21">
        <f>IF(HUAWEI製ＰＣＳ接続枚数計算ツール!$I$107/L$2&gt;=高温電圧!L21,1,0)</f>
        <v>1</v>
      </c>
      <c r="M21">
        <f>IF(HUAWEI製ＰＣＳ接続枚数計算ツール!$I$107/M$2&gt;=高温電圧!M21,1,0)</f>
        <v>1</v>
      </c>
      <c r="N21">
        <f>IF(HUAWEI製ＰＣＳ接続枚数計算ツール!$I$107/N$2&gt;=高温電圧!N21,1,0)</f>
        <v>1</v>
      </c>
      <c r="O21">
        <f>IF(HUAWEI製ＰＣＳ接続枚数計算ツール!$I$107/O$2&gt;=高温電圧!O21,1,0)</f>
        <v>1</v>
      </c>
      <c r="P21">
        <f>IF(HUAWEI製ＰＣＳ接続枚数計算ツール!$I$107/P$2&gt;=高温電圧!P21,1,0)</f>
        <v>1</v>
      </c>
      <c r="Q21">
        <f>IF(HUAWEI製ＰＣＳ接続枚数計算ツール!$I$107/Q$2&gt;=高温電圧!Q21,1,0)</f>
        <v>1</v>
      </c>
      <c r="R21">
        <f>IF(HUAWEI製ＰＣＳ接続枚数計算ツール!$I$107/R$2&gt;=高温電圧!R21,1,0)</f>
        <v>1</v>
      </c>
      <c r="S21">
        <f>IF(HUAWEI製ＰＣＳ接続枚数計算ツール!$I$107/S$2&gt;=高温電圧!S21,1,0)</f>
        <v>1</v>
      </c>
      <c r="T21">
        <f>IF(HUAWEI製ＰＣＳ接続枚数計算ツール!$I$107/T$2&gt;=高温電圧!T21,1,0)</f>
        <v>1</v>
      </c>
      <c r="U21">
        <f>IF(HUAWEI製ＰＣＳ接続枚数計算ツール!$I$107/U$2&gt;=高温電圧!U21,1,0)</f>
        <v>1</v>
      </c>
      <c r="V21">
        <f>IF(HUAWEI製ＰＣＳ接続枚数計算ツール!$I$107/V$2&gt;=高温電圧!V21,1,0)</f>
        <v>1</v>
      </c>
      <c r="W21">
        <f>IF(HUAWEI製ＰＣＳ接続枚数計算ツール!$I$107/W$2&gt;=高温電圧!W21,1,0)</f>
        <v>1</v>
      </c>
      <c r="X21">
        <f>IF(HUAWEI製ＰＣＳ接続枚数計算ツール!$I$107/X$2&gt;=高温電圧!X21,1,0)</f>
        <v>1</v>
      </c>
      <c r="Y21">
        <f>IF(HUAWEI製ＰＣＳ接続枚数計算ツール!$I$107/Y$2&gt;=高温電圧!Y21,1,0)</f>
        <v>1</v>
      </c>
      <c r="Z21">
        <f>IF(HUAWEI製ＰＣＳ接続枚数計算ツール!$I$107/Z$2&gt;=高温電圧!Z21,1,0)</f>
        <v>1</v>
      </c>
      <c r="AA21">
        <f>IF(HUAWEI製ＰＣＳ接続枚数計算ツール!$I$107/AA$2&gt;=高温電圧!AA21,1,0)</f>
        <v>0</v>
      </c>
      <c r="AB21">
        <f>IF(HUAWEI製ＰＣＳ接続枚数計算ツール!$I$107/AB$2&gt;=高温電圧!AB21,1,0)</f>
        <v>0</v>
      </c>
      <c r="AC21">
        <f>IF(HUAWEI製ＰＣＳ接続枚数計算ツール!$I$107/AC$2&gt;=高温電圧!AC21,1,0)</f>
        <v>0</v>
      </c>
      <c r="AD21">
        <f>IF(HUAWEI製ＰＣＳ接続枚数計算ツール!$I$107/AD$2&gt;=高温電圧!AD21,1,0)</f>
        <v>0</v>
      </c>
      <c r="AE21">
        <f>IF(HUAWEI製ＰＣＳ接続枚数計算ツール!$I$107/AE$2&gt;=高温電圧!AE21,1,0)</f>
        <v>0</v>
      </c>
      <c r="AF21">
        <f>IF(HUAWEI製ＰＣＳ接続枚数計算ツール!$I$107/AF$2&gt;=高温電圧!AF21,1,0)</f>
        <v>0</v>
      </c>
      <c r="AG21">
        <f>IF(HUAWEI製ＰＣＳ接続枚数計算ツール!$I$107/AG$2&gt;=高温電圧!AG21,1,0)</f>
        <v>0</v>
      </c>
      <c r="AH21">
        <f>IF(HUAWEI製ＰＣＳ接続枚数計算ツール!$I$107/AH$2&gt;=高温電圧!AH21,1,0)</f>
        <v>0</v>
      </c>
      <c r="AI21">
        <f>IF(HUAWEI製ＰＣＳ接続枚数計算ツール!$I$107/AI$2&gt;=高温電圧!AI21,1,0)</f>
        <v>0</v>
      </c>
      <c r="AJ21">
        <f>IF(HUAWEI製ＰＣＳ接続枚数計算ツール!$I$107/AJ$2&gt;=高温電圧!AJ21,1,0)</f>
        <v>0</v>
      </c>
      <c r="AK21">
        <f>IF(HUAWEI製ＰＣＳ接続枚数計算ツール!$I$107/AK$2&gt;=高温電圧!AK21,1,0)</f>
        <v>0</v>
      </c>
      <c r="AL21">
        <f>IF(HUAWEI製ＰＣＳ接続枚数計算ツール!$I$107/AL$2&gt;=高温電圧!AL21,1,0)</f>
        <v>0</v>
      </c>
      <c r="AM21">
        <f>IF(HUAWEI製ＰＣＳ接続枚数計算ツール!$I$107/AM$2&gt;=高温電圧!AM21,1,0)</f>
        <v>0</v>
      </c>
      <c r="AN21">
        <f>IF(HUAWEI製ＰＣＳ接続枚数計算ツール!$I$107/AN$2&gt;=高温電圧!AN21,1,0)</f>
        <v>0</v>
      </c>
      <c r="AO21">
        <f>IF(HUAWEI製ＰＣＳ接続枚数計算ツール!$I$107/AO$2&gt;=高温電圧!AO21,1,0)</f>
        <v>0</v>
      </c>
    </row>
    <row r="22" spans="1:41">
      <c r="A22">
        <v>20</v>
      </c>
      <c r="B22">
        <f>IF(HUAWEI製ＰＣＳ接続枚数計算ツール!$I$107/B$2&gt;=高温電圧!B22,1,0)</f>
        <v>1</v>
      </c>
      <c r="C22">
        <f>IF(HUAWEI製ＰＣＳ接続枚数計算ツール!$I$107/C$2&gt;=高温電圧!C22,1,0)</f>
        <v>1</v>
      </c>
      <c r="D22">
        <f>IF(HUAWEI製ＰＣＳ接続枚数計算ツール!$I$107/D$2&gt;=高温電圧!D22,1,0)</f>
        <v>1</v>
      </c>
      <c r="E22">
        <f>IF(HUAWEI製ＰＣＳ接続枚数計算ツール!$I$107/E$2&gt;=高温電圧!E22,1,0)</f>
        <v>1</v>
      </c>
      <c r="F22">
        <f>IF(HUAWEI製ＰＣＳ接続枚数計算ツール!$I$107/F$2&gt;=高温電圧!F22,1,0)</f>
        <v>1</v>
      </c>
      <c r="G22">
        <f>IF(HUAWEI製ＰＣＳ接続枚数計算ツール!$I$107/G$2&gt;=高温電圧!G22,1,0)</f>
        <v>1</v>
      </c>
      <c r="H22">
        <f>IF(HUAWEI製ＰＣＳ接続枚数計算ツール!$I$107/H$2&gt;=高温電圧!H22,1,0)</f>
        <v>1</v>
      </c>
      <c r="I22">
        <f>IF(HUAWEI製ＰＣＳ接続枚数計算ツール!$I$107/I$2&gt;=高温電圧!I22,1,0)</f>
        <v>1</v>
      </c>
      <c r="J22">
        <f>IF(HUAWEI製ＰＣＳ接続枚数計算ツール!$I$107/J$2&gt;=高温電圧!J22,1,0)</f>
        <v>1</v>
      </c>
      <c r="K22">
        <f>IF(HUAWEI製ＰＣＳ接続枚数計算ツール!$I$107/K$2&gt;=高温電圧!K22,1,0)</f>
        <v>1</v>
      </c>
      <c r="L22">
        <f>IF(HUAWEI製ＰＣＳ接続枚数計算ツール!$I$107/L$2&gt;=高温電圧!L22,1,0)</f>
        <v>1</v>
      </c>
      <c r="M22">
        <f>IF(HUAWEI製ＰＣＳ接続枚数計算ツール!$I$107/M$2&gt;=高温電圧!M22,1,0)</f>
        <v>1</v>
      </c>
      <c r="N22">
        <f>IF(HUAWEI製ＰＣＳ接続枚数計算ツール!$I$107/N$2&gt;=高温電圧!N22,1,0)</f>
        <v>1</v>
      </c>
      <c r="O22">
        <f>IF(HUAWEI製ＰＣＳ接続枚数計算ツール!$I$107/O$2&gt;=高温電圧!O22,1,0)</f>
        <v>1</v>
      </c>
      <c r="P22">
        <f>IF(HUAWEI製ＰＣＳ接続枚数計算ツール!$I$107/P$2&gt;=高温電圧!P22,1,0)</f>
        <v>1</v>
      </c>
      <c r="Q22">
        <f>IF(HUAWEI製ＰＣＳ接続枚数計算ツール!$I$107/Q$2&gt;=高温電圧!Q22,1,0)</f>
        <v>1</v>
      </c>
      <c r="R22">
        <f>IF(HUAWEI製ＰＣＳ接続枚数計算ツール!$I$107/R$2&gt;=高温電圧!R22,1,0)</f>
        <v>1</v>
      </c>
      <c r="S22">
        <f>IF(HUAWEI製ＰＣＳ接続枚数計算ツール!$I$107/S$2&gt;=高温電圧!S22,1,0)</f>
        <v>1</v>
      </c>
      <c r="T22">
        <f>IF(HUAWEI製ＰＣＳ接続枚数計算ツール!$I$107/T$2&gt;=高温電圧!T22,1,0)</f>
        <v>1</v>
      </c>
      <c r="U22">
        <f>IF(HUAWEI製ＰＣＳ接続枚数計算ツール!$I$107/U$2&gt;=高温電圧!U22,1,0)</f>
        <v>1</v>
      </c>
      <c r="V22">
        <f>IF(HUAWEI製ＰＣＳ接続枚数計算ツール!$I$107/V$2&gt;=高温電圧!V22,1,0)</f>
        <v>1</v>
      </c>
      <c r="W22">
        <f>IF(HUAWEI製ＰＣＳ接続枚数計算ツール!$I$107/W$2&gt;=高温電圧!W22,1,0)</f>
        <v>1</v>
      </c>
      <c r="X22">
        <f>IF(HUAWEI製ＰＣＳ接続枚数計算ツール!$I$107/X$2&gt;=高温電圧!X22,1,0)</f>
        <v>1</v>
      </c>
      <c r="Y22">
        <f>IF(HUAWEI製ＰＣＳ接続枚数計算ツール!$I$107/Y$2&gt;=高温電圧!Y22,1,0)</f>
        <v>1</v>
      </c>
      <c r="Z22">
        <f>IF(HUAWEI製ＰＣＳ接続枚数計算ツール!$I$107/Z$2&gt;=高温電圧!Z22,1,0)</f>
        <v>1</v>
      </c>
      <c r="AA22">
        <f>IF(HUAWEI製ＰＣＳ接続枚数計算ツール!$I$107/AA$2&gt;=高温電圧!AA22,1,0)</f>
        <v>0</v>
      </c>
      <c r="AB22">
        <f>IF(HUAWEI製ＰＣＳ接続枚数計算ツール!$I$107/AB$2&gt;=高温電圧!AB22,1,0)</f>
        <v>0</v>
      </c>
      <c r="AC22">
        <f>IF(HUAWEI製ＰＣＳ接続枚数計算ツール!$I$107/AC$2&gt;=高温電圧!AC22,1,0)</f>
        <v>0</v>
      </c>
      <c r="AD22">
        <f>IF(HUAWEI製ＰＣＳ接続枚数計算ツール!$I$107/AD$2&gt;=高温電圧!AD22,1,0)</f>
        <v>0</v>
      </c>
      <c r="AE22">
        <f>IF(HUAWEI製ＰＣＳ接続枚数計算ツール!$I$107/AE$2&gt;=高温電圧!AE22,1,0)</f>
        <v>0</v>
      </c>
      <c r="AF22">
        <f>IF(HUAWEI製ＰＣＳ接続枚数計算ツール!$I$107/AF$2&gt;=高温電圧!AF22,1,0)</f>
        <v>0</v>
      </c>
      <c r="AG22">
        <f>IF(HUAWEI製ＰＣＳ接続枚数計算ツール!$I$107/AG$2&gt;=高温電圧!AG22,1,0)</f>
        <v>0</v>
      </c>
      <c r="AH22">
        <f>IF(HUAWEI製ＰＣＳ接続枚数計算ツール!$I$107/AH$2&gt;=高温電圧!AH22,1,0)</f>
        <v>0</v>
      </c>
      <c r="AI22">
        <f>IF(HUAWEI製ＰＣＳ接続枚数計算ツール!$I$107/AI$2&gt;=高温電圧!AI22,1,0)</f>
        <v>0</v>
      </c>
      <c r="AJ22">
        <f>IF(HUAWEI製ＰＣＳ接続枚数計算ツール!$I$107/AJ$2&gt;=高温電圧!AJ22,1,0)</f>
        <v>0</v>
      </c>
      <c r="AK22">
        <f>IF(HUAWEI製ＰＣＳ接続枚数計算ツール!$I$107/AK$2&gt;=高温電圧!AK22,1,0)</f>
        <v>0</v>
      </c>
      <c r="AL22">
        <f>IF(HUAWEI製ＰＣＳ接続枚数計算ツール!$I$107/AL$2&gt;=高温電圧!AL22,1,0)</f>
        <v>0</v>
      </c>
      <c r="AM22">
        <f>IF(HUAWEI製ＰＣＳ接続枚数計算ツール!$I$107/AM$2&gt;=高温電圧!AM22,1,0)</f>
        <v>0</v>
      </c>
      <c r="AN22">
        <f>IF(HUAWEI製ＰＣＳ接続枚数計算ツール!$I$107/AN$2&gt;=高温電圧!AN22,1,0)</f>
        <v>0</v>
      </c>
      <c r="AO22">
        <f>IF(HUAWEI製ＰＣＳ接続枚数計算ツール!$I$107/AO$2&gt;=高温電圧!AO22,1,0)</f>
        <v>0</v>
      </c>
    </row>
    <row r="23" spans="1:41">
      <c r="A23">
        <v>21</v>
      </c>
      <c r="B23">
        <f>IF(HUAWEI製ＰＣＳ接続枚数計算ツール!$I$107/B$2&gt;=高温電圧!B23,1,0)</f>
        <v>1</v>
      </c>
      <c r="C23">
        <f>IF(HUAWEI製ＰＣＳ接続枚数計算ツール!$I$107/C$2&gt;=高温電圧!C23,1,0)</f>
        <v>1</v>
      </c>
      <c r="D23">
        <f>IF(HUAWEI製ＰＣＳ接続枚数計算ツール!$I$107/D$2&gt;=高温電圧!D23,1,0)</f>
        <v>1</v>
      </c>
      <c r="E23">
        <f>IF(HUAWEI製ＰＣＳ接続枚数計算ツール!$I$107/E$2&gt;=高温電圧!E23,1,0)</f>
        <v>1</v>
      </c>
      <c r="F23">
        <f>IF(HUAWEI製ＰＣＳ接続枚数計算ツール!$I$107/F$2&gt;=高温電圧!F23,1,0)</f>
        <v>1</v>
      </c>
      <c r="G23">
        <f>IF(HUAWEI製ＰＣＳ接続枚数計算ツール!$I$107/G$2&gt;=高温電圧!G23,1,0)</f>
        <v>1</v>
      </c>
      <c r="H23">
        <f>IF(HUAWEI製ＰＣＳ接続枚数計算ツール!$I$107/H$2&gt;=高温電圧!H23,1,0)</f>
        <v>1</v>
      </c>
      <c r="I23">
        <f>IF(HUAWEI製ＰＣＳ接続枚数計算ツール!$I$107/I$2&gt;=高温電圧!I23,1,0)</f>
        <v>1</v>
      </c>
      <c r="J23">
        <f>IF(HUAWEI製ＰＣＳ接続枚数計算ツール!$I$107/J$2&gt;=高温電圧!J23,1,0)</f>
        <v>1</v>
      </c>
      <c r="K23">
        <f>IF(HUAWEI製ＰＣＳ接続枚数計算ツール!$I$107/K$2&gt;=高温電圧!K23,1,0)</f>
        <v>1</v>
      </c>
      <c r="L23">
        <f>IF(HUAWEI製ＰＣＳ接続枚数計算ツール!$I$107/L$2&gt;=高温電圧!L23,1,0)</f>
        <v>1</v>
      </c>
      <c r="M23">
        <f>IF(HUAWEI製ＰＣＳ接続枚数計算ツール!$I$107/M$2&gt;=高温電圧!M23,1,0)</f>
        <v>1</v>
      </c>
      <c r="N23">
        <f>IF(HUAWEI製ＰＣＳ接続枚数計算ツール!$I$107/N$2&gt;=高温電圧!N23,1,0)</f>
        <v>1</v>
      </c>
      <c r="O23">
        <f>IF(HUAWEI製ＰＣＳ接続枚数計算ツール!$I$107/O$2&gt;=高温電圧!O23,1,0)</f>
        <v>1</v>
      </c>
      <c r="P23">
        <f>IF(HUAWEI製ＰＣＳ接続枚数計算ツール!$I$107/P$2&gt;=高温電圧!P23,1,0)</f>
        <v>1</v>
      </c>
      <c r="Q23">
        <f>IF(HUAWEI製ＰＣＳ接続枚数計算ツール!$I$107/Q$2&gt;=高温電圧!Q23,1,0)</f>
        <v>1</v>
      </c>
      <c r="R23">
        <f>IF(HUAWEI製ＰＣＳ接続枚数計算ツール!$I$107/R$2&gt;=高温電圧!R23,1,0)</f>
        <v>1</v>
      </c>
      <c r="S23">
        <f>IF(HUAWEI製ＰＣＳ接続枚数計算ツール!$I$107/S$2&gt;=高温電圧!S23,1,0)</f>
        <v>1</v>
      </c>
      <c r="T23">
        <f>IF(HUAWEI製ＰＣＳ接続枚数計算ツール!$I$107/T$2&gt;=高温電圧!T23,1,0)</f>
        <v>1</v>
      </c>
      <c r="U23">
        <f>IF(HUAWEI製ＰＣＳ接続枚数計算ツール!$I$107/U$2&gt;=高温電圧!U23,1,0)</f>
        <v>1</v>
      </c>
      <c r="V23">
        <f>IF(HUAWEI製ＰＣＳ接続枚数計算ツール!$I$107/V$2&gt;=高温電圧!V23,1,0)</f>
        <v>1</v>
      </c>
      <c r="W23">
        <f>IF(HUAWEI製ＰＣＳ接続枚数計算ツール!$I$107/W$2&gt;=高温電圧!W23,1,0)</f>
        <v>1</v>
      </c>
      <c r="X23">
        <f>IF(HUAWEI製ＰＣＳ接続枚数計算ツール!$I$107/X$2&gt;=高温電圧!X23,1,0)</f>
        <v>1</v>
      </c>
      <c r="Y23">
        <f>IF(HUAWEI製ＰＣＳ接続枚数計算ツール!$I$107/Y$2&gt;=高温電圧!Y23,1,0)</f>
        <v>1</v>
      </c>
      <c r="Z23">
        <f>IF(HUAWEI製ＰＣＳ接続枚数計算ツール!$I$107/Z$2&gt;=高温電圧!Z23,1,0)</f>
        <v>1</v>
      </c>
      <c r="AA23">
        <f>IF(HUAWEI製ＰＣＳ接続枚数計算ツール!$I$107/AA$2&gt;=高温電圧!AA23,1,0)</f>
        <v>0</v>
      </c>
      <c r="AB23">
        <f>IF(HUAWEI製ＰＣＳ接続枚数計算ツール!$I$107/AB$2&gt;=高温電圧!AB23,1,0)</f>
        <v>0</v>
      </c>
      <c r="AC23">
        <f>IF(HUAWEI製ＰＣＳ接続枚数計算ツール!$I$107/AC$2&gt;=高温電圧!AC23,1,0)</f>
        <v>0</v>
      </c>
      <c r="AD23">
        <f>IF(HUAWEI製ＰＣＳ接続枚数計算ツール!$I$107/AD$2&gt;=高温電圧!AD23,1,0)</f>
        <v>0</v>
      </c>
      <c r="AE23">
        <f>IF(HUAWEI製ＰＣＳ接続枚数計算ツール!$I$107/AE$2&gt;=高温電圧!AE23,1,0)</f>
        <v>0</v>
      </c>
      <c r="AF23">
        <f>IF(HUAWEI製ＰＣＳ接続枚数計算ツール!$I$107/AF$2&gt;=高温電圧!AF23,1,0)</f>
        <v>0</v>
      </c>
      <c r="AG23">
        <f>IF(HUAWEI製ＰＣＳ接続枚数計算ツール!$I$107/AG$2&gt;=高温電圧!AG23,1,0)</f>
        <v>0</v>
      </c>
      <c r="AH23">
        <f>IF(HUAWEI製ＰＣＳ接続枚数計算ツール!$I$107/AH$2&gt;=高温電圧!AH23,1,0)</f>
        <v>0</v>
      </c>
      <c r="AI23">
        <f>IF(HUAWEI製ＰＣＳ接続枚数計算ツール!$I$107/AI$2&gt;=高温電圧!AI23,1,0)</f>
        <v>0</v>
      </c>
      <c r="AJ23">
        <f>IF(HUAWEI製ＰＣＳ接続枚数計算ツール!$I$107/AJ$2&gt;=高温電圧!AJ23,1,0)</f>
        <v>0</v>
      </c>
      <c r="AK23">
        <f>IF(HUAWEI製ＰＣＳ接続枚数計算ツール!$I$107/AK$2&gt;=高温電圧!AK23,1,0)</f>
        <v>0</v>
      </c>
      <c r="AL23">
        <f>IF(HUAWEI製ＰＣＳ接続枚数計算ツール!$I$107/AL$2&gt;=高温電圧!AL23,1,0)</f>
        <v>0</v>
      </c>
      <c r="AM23">
        <f>IF(HUAWEI製ＰＣＳ接続枚数計算ツール!$I$107/AM$2&gt;=高温電圧!AM23,1,0)</f>
        <v>0</v>
      </c>
      <c r="AN23">
        <f>IF(HUAWEI製ＰＣＳ接続枚数計算ツール!$I$107/AN$2&gt;=高温電圧!AN23,1,0)</f>
        <v>0</v>
      </c>
      <c r="AO23">
        <f>IF(HUAWEI製ＰＣＳ接続枚数計算ツール!$I$107/AO$2&gt;=高温電圧!AO23,1,0)</f>
        <v>0</v>
      </c>
    </row>
    <row r="24" spans="1:41">
      <c r="A24">
        <v>22</v>
      </c>
      <c r="B24">
        <f>IF(HUAWEI製ＰＣＳ接続枚数計算ツール!$I$107/B$2&gt;=高温電圧!B24,1,0)</f>
        <v>1</v>
      </c>
      <c r="C24">
        <f>IF(HUAWEI製ＰＣＳ接続枚数計算ツール!$I$107/C$2&gt;=高温電圧!C24,1,0)</f>
        <v>1</v>
      </c>
      <c r="D24">
        <f>IF(HUAWEI製ＰＣＳ接続枚数計算ツール!$I$107/D$2&gt;=高温電圧!D24,1,0)</f>
        <v>1</v>
      </c>
      <c r="E24">
        <f>IF(HUAWEI製ＰＣＳ接続枚数計算ツール!$I$107/E$2&gt;=高温電圧!E24,1,0)</f>
        <v>1</v>
      </c>
      <c r="F24">
        <f>IF(HUAWEI製ＰＣＳ接続枚数計算ツール!$I$107/F$2&gt;=高温電圧!F24,1,0)</f>
        <v>1</v>
      </c>
      <c r="G24">
        <f>IF(HUAWEI製ＰＣＳ接続枚数計算ツール!$I$107/G$2&gt;=高温電圧!G24,1,0)</f>
        <v>1</v>
      </c>
      <c r="H24">
        <f>IF(HUAWEI製ＰＣＳ接続枚数計算ツール!$I$107/H$2&gt;=高温電圧!H24,1,0)</f>
        <v>1</v>
      </c>
      <c r="I24">
        <f>IF(HUAWEI製ＰＣＳ接続枚数計算ツール!$I$107/I$2&gt;=高温電圧!I24,1,0)</f>
        <v>1</v>
      </c>
      <c r="J24">
        <f>IF(HUAWEI製ＰＣＳ接続枚数計算ツール!$I$107/J$2&gt;=高温電圧!J24,1,0)</f>
        <v>1</v>
      </c>
      <c r="K24">
        <f>IF(HUAWEI製ＰＣＳ接続枚数計算ツール!$I$107/K$2&gt;=高温電圧!K24,1,0)</f>
        <v>1</v>
      </c>
      <c r="L24">
        <f>IF(HUAWEI製ＰＣＳ接続枚数計算ツール!$I$107/L$2&gt;=高温電圧!L24,1,0)</f>
        <v>1</v>
      </c>
      <c r="M24">
        <f>IF(HUAWEI製ＰＣＳ接続枚数計算ツール!$I$107/M$2&gt;=高温電圧!M24,1,0)</f>
        <v>1</v>
      </c>
      <c r="N24">
        <f>IF(HUAWEI製ＰＣＳ接続枚数計算ツール!$I$107/N$2&gt;=高温電圧!N24,1,0)</f>
        <v>1</v>
      </c>
      <c r="O24">
        <f>IF(HUAWEI製ＰＣＳ接続枚数計算ツール!$I$107/O$2&gt;=高温電圧!O24,1,0)</f>
        <v>1</v>
      </c>
      <c r="P24">
        <f>IF(HUAWEI製ＰＣＳ接続枚数計算ツール!$I$107/P$2&gt;=高温電圧!P24,1,0)</f>
        <v>1</v>
      </c>
      <c r="Q24">
        <f>IF(HUAWEI製ＰＣＳ接続枚数計算ツール!$I$107/Q$2&gt;=高温電圧!Q24,1,0)</f>
        <v>1</v>
      </c>
      <c r="R24">
        <f>IF(HUAWEI製ＰＣＳ接続枚数計算ツール!$I$107/R$2&gt;=高温電圧!R24,1,0)</f>
        <v>1</v>
      </c>
      <c r="S24">
        <f>IF(HUAWEI製ＰＣＳ接続枚数計算ツール!$I$107/S$2&gt;=高温電圧!S24,1,0)</f>
        <v>1</v>
      </c>
      <c r="T24">
        <f>IF(HUAWEI製ＰＣＳ接続枚数計算ツール!$I$107/T$2&gt;=高温電圧!T24,1,0)</f>
        <v>1</v>
      </c>
      <c r="U24">
        <f>IF(HUAWEI製ＰＣＳ接続枚数計算ツール!$I$107/U$2&gt;=高温電圧!U24,1,0)</f>
        <v>1</v>
      </c>
      <c r="V24">
        <f>IF(HUAWEI製ＰＣＳ接続枚数計算ツール!$I$107/V$2&gt;=高温電圧!V24,1,0)</f>
        <v>1</v>
      </c>
      <c r="W24">
        <f>IF(HUAWEI製ＰＣＳ接続枚数計算ツール!$I$107/W$2&gt;=高温電圧!W24,1,0)</f>
        <v>1</v>
      </c>
      <c r="X24">
        <f>IF(HUAWEI製ＰＣＳ接続枚数計算ツール!$I$107/X$2&gt;=高温電圧!X24,1,0)</f>
        <v>1</v>
      </c>
      <c r="Y24">
        <f>IF(HUAWEI製ＰＣＳ接続枚数計算ツール!$I$107/Y$2&gt;=高温電圧!Y24,1,0)</f>
        <v>1</v>
      </c>
      <c r="Z24">
        <f>IF(HUAWEI製ＰＣＳ接続枚数計算ツール!$I$107/Z$2&gt;=高温電圧!Z24,1,0)</f>
        <v>1</v>
      </c>
      <c r="AA24">
        <f>IF(HUAWEI製ＰＣＳ接続枚数計算ツール!$I$107/AA$2&gt;=高温電圧!AA24,1,0)</f>
        <v>0</v>
      </c>
      <c r="AB24">
        <f>IF(HUAWEI製ＰＣＳ接続枚数計算ツール!$I$107/AB$2&gt;=高温電圧!AB24,1,0)</f>
        <v>0</v>
      </c>
      <c r="AC24">
        <f>IF(HUAWEI製ＰＣＳ接続枚数計算ツール!$I$107/AC$2&gt;=高温電圧!AC24,1,0)</f>
        <v>0</v>
      </c>
      <c r="AD24">
        <f>IF(HUAWEI製ＰＣＳ接続枚数計算ツール!$I$107/AD$2&gt;=高温電圧!AD24,1,0)</f>
        <v>0</v>
      </c>
      <c r="AE24">
        <f>IF(HUAWEI製ＰＣＳ接続枚数計算ツール!$I$107/AE$2&gt;=高温電圧!AE24,1,0)</f>
        <v>0</v>
      </c>
      <c r="AF24">
        <f>IF(HUAWEI製ＰＣＳ接続枚数計算ツール!$I$107/AF$2&gt;=高温電圧!AF24,1,0)</f>
        <v>0</v>
      </c>
      <c r="AG24">
        <f>IF(HUAWEI製ＰＣＳ接続枚数計算ツール!$I$107/AG$2&gt;=高温電圧!AG24,1,0)</f>
        <v>0</v>
      </c>
      <c r="AH24">
        <f>IF(HUAWEI製ＰＣＳ接続枚数計算ツール!$I$107/AH$2&gt;=高温電圧!AH24,1,0)</f>
        <v>0</v>
      </c>
      <c r="AI24">
        <f>IF(HUAWEI製ＰＣＳ接続枚数計算ツール!$I$107/AI$2&gt;=高温電圧!AI24,1,0)</f>
        <v>0</v>
      </c>
      <c r="AJ24">
        <f>IF(HUAWEI製ＰＣＳ接続枚数計算ツール!$I$107/AJ$2&gt;=高温電圧!AJ24,1,0)</f>
        <v>0</v>
      </c>
      <c r="AK24">
        <f>IF(HUAWEI製ＰＣＳ接続枚数計算ツール!$I$107/AK$2&gt;=高温電圧!AK24,1,0)</f>
        <v>0</v>
      </c>
      <c r="AL24">
        <f>IF(HUAWEI製ＰＣＳ接続枚数計算ツール!$I$107/AL$2&gt;=高温電圧!AL24,1,0)</f>
        <v>0</v>
      </c>
      <c r="AM24">
        <f>IF(HUAWEI製ＰＣＳ接続枚数計算ツール!$I$107/AM$2&gt;=高温電圧!AM24,1,0)</f>
        <v>0</v>
      </c>
      <c r="AN24">
        <f>IF(HUAWEI製ＰＣＳ接続枚数計算ツール!$I$107/AN$2&gt;=高温電圧!AN24,1,0)</f>
        <v>0</v>
      </c>
      <c r="AO24">
        <f>IF(HUAWEI製ＰＣＳ接続枚数計算ツール!$I$107/AO$2&gt;=高温電圧!AO24,1,0)</f>
        <v>0</v>
      </c>
    </row>
    <row r="25" spans="1:41">
      <c r="A25">
        <v>23</v>
      </c>
      <c r="B25">
        <f>IF(HUAWEI製ＰＣＳ接続枚数計算ツール!$I$107/B$2&gt;=高温電圧!B25,1,0)</f>
        <v>1</v>
      </c>
      <c r="C25">
        <f>IF(HUAWEI製ＰＣＳ接続枚数計算ツール!$I$107/C$2&gt;=高温電圧!C25,1,0)</f>
        <v>1</v>
      </c>
      <c r="D25">
        <f>IF(HUAWEI製ＰＣＳ接続枚数計算ツール!$I$107/D$2&gt;=高温電圧!D25,1,0)</f>
        <v>1</v>
      </c>
      <c r="E25">
        <f>IF(HUAWEI製ＰＣＳ接続枚数計算ツール!$I$107/E$2&gt;=高温電圧!E25,1,0)</f>
        <v>1</v>
      </c>
      <c r="F25">
        <f>IF(HUAWEI製ＰＣＳ接続枚数計算ツール!$I$107/F$2&gt;=高温電圧!F25,1,0)</f>
        <v>1</v>
      </c>
      <c r="G25">
        <f>IF(HUAWEI製ＰＣＳ接続枚数計算ツール!$I$107/G$2&gt;=高温電圧!G25,1,0)</f>
        <v>1</v>
      </c>
      <c r="H25">
        <f>IF(HUAWEI製ＰＣＳ接続枚数計算ツール!$I$107/H$2&gt;=高温電圧!H25,1,0)</f>
        <v>1</v>
      </c>
      <c r="I25">
        <f>IF(HUAWEI製ＰＣＳ接続枚数計算ツール!$I$107/I$2&gt;=高温電圧!I25,1,0)</f>
        <v>1</v>
      </c>
      <c r="J25">
        <f>IF(HUAWEI製ＰＣＳ接続枚数計算ツール!$I$107/J$2&gt;=高温電圧!J25,1,0)</f>
        <v>1</v>
      </c>
      <c r="K25">
        <f>IF(HUAWEI製ＰＣＳ接続枚数計算ツール!$I$107/K$2&gt;=高温電圧!K25,1,0)</f>
        <v>1</v>
      </c>
      <c r="L25">
        <f>IF(HUAWEI製ＰＣＳ接続枚数計算ツール!$I$107/L$2&gt;=高温電圧!L25,1,0)</f>
        <v>1</v>
      </c>
      <c r="M25">
        <f>IF(HUAWEI製ＰＣＳ接続枚数計算ツール!$I$107/M$2&gt;=高温電圧!M25,1,0)</f>
        <v>1</v>
      </c>
      <c r="N25">
        <f>IF(HUAWEI製ＰＣＳ接続枚数計算ツール!$I$107/N$2&gt;=高温電圧!N25,1,0)</f>
        <v>1</v>
      </c>
      <c r="O25">
        <f>IF(HUAWEI製ＰＣＳ接続枚数計算ツール!$I$107/O$2&gt;=高温電圧!O25,1,0)</f>
        <v>1</v>
      </c>
      <c r="P25">
        <f>IF(HUAWEI製ＰＣＳ接続枚数計算ツール!$I$107/P$2&gt;=高温電圧!P25,1,0)</f>
        <v>1</v>
      </c>
      <c r="Q25">
        <f>IF(HUAWEI製ＰＣＳ接続枚数計算ツール!$I$107/Q$2&gt;=高温電圧!Q25,1,0)</f>
        <v>1</v>
      </c>
      <c r="R25">
        <f>IF(HUAWEI製ＰＣＳ接続枚数計算ツール!$I$107/R$2&gt;=高温電圧!R25,1,0)</f>
        <v>1</v>
      </c>
      <c r="S25">
        <f>IF(HUAWEI製ＰＣＳ接続枚数計算ツール!$I$107/S$2&gt;=高温電圧!S25,1,0)</f>
        <v>1</v>
      </c>
      <c r="T25">
        <f>IF(HUAWEI製ＰＣＳ接続枚数計算ツール!$I$107/T$2&gt;=高温電圧!T25,1,0)</f>
        <v>1</v>
      </c>
      <c r="U25">
        <f>IF(HUAWEI製ＰＣＳ接続枚数計算ツール!$I$107/U$2&gt;=高温電圧!U25,1,0)</f>
        <v>1</v>
      </c>
      <c r="V25">
        <f>IF(HUAWEI製ＰＣＳ接続枚数計算ツール!$I$107/V$2&gt;=高温電圧!V25,1,0)</f>
        <v>1</v>
      </c>
      <c r="W25">
        <f>IF(HUAWEI製ＰＣＳ接続枚数計算ツール!$I$107/W$2&gt;=高温電圧!W25,1,0)</f>
        <v>1</v>
      </c>
      <c r="X25">
        <f>IF(HUAWEI製ＰＣＳ接続枚数計算ツール!$I$107/X$2&gt;=高温電圧!X25,1,0)</f>
        <v>1</v>
      </c>
      <c r="Y25">
        <f>IF(HUAWEI製ＰＣＳ接続枚数計算ツール!$I$107/Y$2&gt;=高温電圧!Y25,1,0)</f>
        <v>1</v>
      </c>
      <c r="Z25">
        <f>IF(HUAWEI製ＰＣＳ接続枚数計算ツール!$I$107/Z$2&gt;=高温電圧!Z25,1,0)</f>
        <v>1</v>
      </c>
      <c r="AA25">
        <f>IF(HUAWEI製ＰＣＳ接続枚数計算ツール!$I$107/AA$2&gt;=高温電圧!AA25,1,0)</f>
        <v>0</v>
      </c>
      <c r="AB25">
        <f>IF(HUAWEI製ＰＣＳ接続枚数計算ツール!$I$107/AB$2&gt;=高温電圧!AB25,1,0)</f>
        <v>0</v>
      </c>
      <c r="AC25">
        <f>IF(HUAWEI製ＰＣＳ接続枚数計算ツール!$I$107/AC$2&gt;=高温電圧!AC25,1,0)</f>
        <v>0</v>
      </c>
      <c r="AD25">
        <f>IF(HUAWEI製ＰＣＳ接続枚数計算ツール!$I$107/AD$2&gt;=高温電圧!AD25,1,0)</f>
        <v>0</v>
      </c>
      <c r="AE25">
        <f>IF(HUAWEI製ＰＣＳ接続枚数計算ツール!$I$107/AE$2&gt;=高温電圧!AE25,1,0)</f>
        <v>0</v>
      </c>
      <c r="AF25">
        <f>IF(HUAWEI製ＰＣＳ接続枚数計算ツール!$I$107/AF$2&gt;=高温電圧!AF25,1,0)</f>
        <v>0</v>
      </c>
      <c r="AG25">
        <f>IF(HUAWEI製ＰＣＳ接続枚数計算ツール!$I$107/AG$2&gt;=高温電圧!AG25,1,0)</f>
        <v>0</v>
      </c>
      <c r="AH25">
        <f>IF(HUAWEI製ＰＣＳ接続枚数計算ツール!$I$107/AH$2&gt;=高温電圧!AH25,1,0)</f>
        <v>0</v>
      </c>
      <c r="AI25">
        <f>IF(HUAWEI製ＰＣＳ接続枚数計算ツール!$I$107/AI$2&gt;=高温電圧!AI25,1,0)</f>
        <v>0</v>
      </c>
      <c r="AJ25">
        <f>IF(HUAWEI製ＰＣＳ接続枚数計算ツール!$I$107/AJ$2&gt;=高温電圧!AJ25,1,0)</f>
        <v>0</v>
      </c>
      <c r="AK25">
        <f>IF(HUAWEI製ＰＣＳ接続枚数計算ツール!$I$107/AK$2&gt;=高温電圧!AK25,1,0)</f>
        <v>0</v>
      </c>
      <c r="AL25">
        <f>IF(HUAWEI製ＰＣＳ接続枚数計算ツール!$I$107/AL$2&gt;=高温電圧!AL25,1,0)</f>
        <v>0</v>
      </c>
      <c r="AM25">
        <f>IF(HUAWEI製ＰＣＳ接続枚数計算ツール!$I$107/AM$2&gt;=高温電圧!AM25,1,0)</f>
        <v>0</v>
      </c>
      <c r="AN25">
        <f>IF(HUAWEI製ＰＣＳ接続枚数計算ツール!$I$107/AN$2&gt;=高温電圧!AN25,1,0)</f>
        <v>0</v>
      </c>
      <c r="AO25">
        <f>IF(HUAWEI製ＰＣＳ接続枚数計算ツール!$I$107/AO$2&gt;=高温電圧!AO25,1,0)</f>
        <v>0</v>
      </c>
    </row>
    <row r="26" spans="1:41">
      <c r="A26">
        <v>24</v>
      </c>
      <c r="B26">
        <f>IF(HUAWEI製ＰＣＳ接続枚数計算ツール!$I$107/B$2&gt;=高温電圧!B26,1,0)</f>
        <v>1</v>
      </c>
      <c r="C26">
        <f>IF(HUAWEI製ＰＣＳ接続枚数計算ツール!$I$107/C$2&gt;=高温電圧!C26,1,0)</f>
        <v>1</v>
      </c>
      <c r="D26">
        <f>IF(HUAWEI製ＰＣＳ接続枚数計算ツール!$I$107/D$2&gt;=高温電圧!D26,1,0)</f>
        <v>1</v>
      </c>
      <c r="E26">
        <f>IF(HUAWEI製ＰＣＳ接続枚数計算ツール!$I$107/E$2&gt;=高温電圧!E26,1,0)</f>
        <v>1</v>
      </c>
      <c r="F26">
        <f>IF(HUAWEI製ＰＣＳ接続枚数計算ツール!$I$107/F$2&gt;=高温電圧!F26,1,0)</f>
        <v>1</v>
      </c>
      <c r="G26">
        <f>IF(HUAWEI製ＰＣＳ接続枚数計算ツール!$I$107/G$2&gt;=高温電圧!G26,1,0)</f>
        <v>1</v>
      </c>
      <c r="H26">
        <f>IF(HUAWEI製ＰＣＳ接続枚数計算ツール!$I$107/H$2&gt;=高温電圧!H26,1,0)</f>
        <v>1</v>
      </c>
      <c r="I26">
        <f>IF(HUAWEI製ＰＣＳ接続枚数計算ツール!$I$107/I$2&gt;=高温電圧!I26,1,0)</f>
        <v>1</v>
      </c>
      <c r="J26">
        <f>IF(HUAWEI製ＰＣＳ接続枚数計算ツール!$I$107/J$2&gt;=高温電圧!J26,1,0)</f>
        <v>1</v>
      </c>
      <c r="K26">
        <f>IF(HUAWEI製ＰＣＳ接続枚数計算ツール!$I$107/K$2&gt;=高温電圧!K26,1,0)</f>
        <v>1</v>
      </c>
      <c r="L26">
        <f>IF(HUAWEI製ＰＣＳ接続枚数計算ツール!$I$107/L$2&gt;=高温電圧!L26,1,0)</f>
        <v>1</v>
      </c>
      <c r="M26">
        <f>IF(HUAWEI製ＰＣＳ接続枚数計算ツール!$I$107/M$2&gt;=高温電圧!M26,1,0)</f>
        <v>1</v>
      </c>
      <c r="N26">
        <f>IF(HUAWEI製ＰＣＳ接続枚数計算ツール!$I$107/N$2&gt;=高温電圧!N26,1,0)</f>
        <v>1</v>
      </c>
      <c r="O26">
        <f>IF(HUAWEI製ＰＣＳ接続枚数計算ツール!$I$107/O$2&gt;=高温電圧!O26,1,0)</f>
        <v>1</v>
      </c>
      <c r="P26">
        <f>IF(HUAWEI製ＰＣＳ接続枚数計算ツール!$I$107/P$2&gt;=高温電圧!P26,1,0)</f>
        <v>1</v>
      </c>
      <c r="Q26">
        <f>IF(HUAWEI製ＰＣＳ接続枚数計算ツール!$I$107/Q$2&gt;=高温電圧!Q26,1,0)</f>
        <v>1</v>
      </c>
      <c r="R26">
        <f>IF(HUAWEI製ＰＣＳ接続枚数計算ツール!$I$107/R$2&gt;=高温電圧!R26,1,0)</f>
        <v>1</v>
      </c>
      <c r="S26">
        <f>IF(HUAWEI製ＰＣＳ接続枚数計算ツール!$I$107/S$2&gt;=高温電圧!S26,1,0)</f>
        <v>1</v>
      </c>
      <c r="T26">
        <f>IF(HUAWEI製ＰＣＳ接続枚数計算ツール!$I$107/T$2&gt;=高温電圧!T26,1,0)</f>
        <v>1</v>
      </c>
      <c r="U26">
        <f>IF(HUAWEI製ＰＣＳ接続枚数計算ツール!$I$107/U$2&gt;=高温電圧!U26,1,0)</f>
        <v>1</v>
      </c>
      <c r="V26">
        <f>IF(HUAWEI製ＰＣＳ接続枚数計算ツール!$I$107/V$2&gt;=高温電圧!V26,1,0)</f>
        <v>1</v>
      </c>
      <c r="W26">
        <f>IF(HUAWEI製ＰＣＳ接続枚数計算ツール!$I$107/W$2&gt;=高温電圧!W26,1,0)</f>
        <v>1</v>
      </c>
      <c r="X26">
        <f>IF(HUAWEI製ＰＣＳ接続枚数計算ツール!$I$107/X$2&gt;=高温電圧!X26,1,0)</f>
        <v>1</v>
      </c>
      <c r="Y26">
        <f>IF(HUAWEI製ＰＣＳ接続枚数計算ツール!$I$107/Y$2&gt;=高温電圧!Y26,1,0)</f>
        <v>1</v>
      </c>
      <c r="Z26">
        <f>IF(HUAWEI製ＰＣＳ接続枚数計算ツール!$I$107/Z$2&gt;=高温電圧!Z26,1,0)</f>
        <v>1</v>
      </c>
      <c r="AA26">
        <f>IF(HUAWEI製ＰＣＳ接続枚数計算ツール!$I$107/AA$2&gt;=高温電圧!AA26,1,0)</f>
        <v>0</v>
      </c>
      <c r="AB26">
        <f>IF(HUAWEI製ＰＣＳ接続枚数計算ツール!$I$107/AB$2&gt;=高温電圧!AB26,1,0)</f>
        <v>0</v>
      </c>
      <c r="AC26">
        <f>IF(HUAWEI製ＰＣＳ接続枚数計算ツール!$I$107/AC$2&gt;=高温電圧!AC26,1,0)</f>
        <v>0</v>
      </c>
      <c r="AD26">
        <f>IF(HUAWEI製ＰＣＳ接続枚数計算ツール!$I$107/AD$2&gt;=高温電圧!AD26,1,0)</f>
        <v>0</v>
      </c>
      <c r="AE26">
        <f>IF(HUAWEI製ＰＣＳ接続枚数計算ツール!$I$107/AE$2&gt;=高温電圧!AE26,1,0)</f>
        <v>0</v>
      </c>
      <c r="AF26">
        <f>IF(HUAWEI製ＰＣＳ接続枚数計算ツール!$I$107/AF$2&gt;=高温電圧!AF26,1,0)</f>
        <v>0</v>
      </c>
      <c r="AG26">
        <f>IF(HUAWEI製ＰＣＳ接続枚数計算ツール!$I$107/AG$2&gt;=高温電圧!AG26,1,0)</f>
        <v>0</v>
      </c>
      <c r="AH26">
        <f>IF(HUAWEI製ＰＣＳ接続枚数計算ツール!$I$107/AH$2&gt;=高温電圧!AH26,1,0)</f>
        <v>0</v>
      </c>
      <c r="AI26">
        <f>IF(HUAWEI製ＰＣＳ接続枚数計算ツール!$I$107/AI$2&gt;=高温電圧!AI26,1,0)</f>
        <v>0</v>
      </c>
      <c r="AJ26">
        <f>IF(HUAWEI製ＰＣＳ接続枚数計算ツール!$I$107/AJ$2&gt;=高温電圧!AJ26,1,0)</f>
        <v>0</v>
      </c>
      <c r="AK26">
        <f>IF(HUAWEI製ＰＣＳ接続枚数計算ツール!$I$107/AK$2&gt;=高温電圧!AK26,1,0)</f>
        <v>0</v>
      </c>
      <c r="AL26">
        <f>IF(HUAWEI製ＰＣＳ接続枚数計算ツール!$I$107/AL$2&gt;=高温電圧!AL26,1,0)</f>
        <v>0</v>
      </c>
      <c r="AM26">
        <f>IF(HUAWEI製ＰＣＳ接続枚数計算ツール!$I$107/AM$2&gt;=高温電圧!AM26,1,0)</f>
        <v>0</v>
      </c>
      <c r="AN26">
        <f>IF(HUAWEI製ＰＣＳ接続枚数計算ツール!$I$107/AN$2&gt;=高温電圧!AN26,1,0)</f>
        <v>0</v>
      </c>
      <c r="AO26">
        <f>IF(HUAWEI製ＰＣＳ接続枚数計算ツール!$I$107/AO$2&gt;=高温電圧!AO26,1,0)</f>
        <v>0</v>
      </c>
    </row>
    <row r="27" spans="1:41">
      <c r="A27">
        <v>25</v>
      </c>
      <c r="B27">
        <f>IF(HUAWEI製ＰＣＳ接続枚数計算ツール!$I$107/B$2&gt;=高温電圧!B27,1,0)</f>
        <v>1</v>
      </c>
      <c r="C27">
        <f>IF(HUAWEI製ＰＣＳ接続枚数計算ツール!$I$107/C$2&gt;=高温電圧!C27,1,0)</f>
        <v>1</v>
      </c>
      <c r="D27">
        <f>IF(HUAWEI製ＰＣＳ接続枚数計算ツール!$I$107/D$2&gt;=高温電圧!D27,1,0)</f>
        <v>1</v>
      </c>
      <c r="E27">
        <f>IF(HUAWEI製ＰＣＳ接続枚数計算ツール!$I$107/E$2&gt;=高温電圧!E27,1,0)</f>
        <v>1</v>
      </c>
      <c r="F27">
        <f>IF(HUAWEI製ＰＣＳ接続枚数計算ツール!$I$107/F$2&gt;=高温電圧!F27,1,0)</f>
        <v>1</v>
      </c>
      <c r="G27">
        <f>IF(HUAWEI製ＰＣＳ接続枚数計算ツール!$I$107/G$2&gt;=高温電圧!G27,1,0)</f>
        <v>1</v>
      </c>
      <c r="H27">
        <f>IF(HUAWEI製ＰＣＳ接続枚数計算ツール!$I$107/H$2&gt;=高温電圧!H27,1,0)</f>
        <v>1</v>
      </c>
      <c r="I27">
        <f>IF(HUAWEI製ＰＣＳ接続枚数計算ツール!$I$107/I$2&gt;=高温電圧!I27,1,0)</f>
        <v>1</v>
      </c>
      <c r="J27">
        <f>IF(HUAWEI製ＰＣＳ接続枚数計算ツール!$I$107/J$2&gt;=高温電圧!J27,1,0)</f>
        <v>1</v>
      </c>
      <c r="K27">
        <f>IF(HUAWEI製ＰＣＳ接続枚数計算ツール!$I$107/K$2&gt;=高温電圧!K27,1,0)</f>
        <v>1</v>
      </c>
      <c r="L27">
        <f>IF(HUAWEI製ＰＣＳ接続枚数計算ツール!$I$107/L$2&gt;=高温電圧!L27,1,0)</f>
        <v>1</v>
      </c>
      <c r="M27">
        <f>IF(HUAWEI製ＰＣＳ接続枚数計算ツール!$I$107/M$2&gt;=高温電圧!M27,1,0)</f>
        <v>1</v>
      </c>
      <c r="N27">
        <f>IF(HUAWEI製ＰＣＳ接続枚数計算ツール!$I$107/N$2&gt;=高温電圧!N27,1,0)</f>
        <v>1</v>
      </c>
      <c r="O27">
        <f>IF(HUAWEI製ＰＣＳ接続枚数計算ツール!$I$107/O$2&gt;=高温電圧!O27,1,0)</f>
        <v>1</v>
      </c>
      <c r="P27">
        <f>IF(HUAWEI製ＰＣＳ接続枚数計算ツール!$I$107/P$2&gt;=高温電圧!P27,1,0)</f>
        <v>1</v>
      </c>
      <c r="Q27">
        <f>IF(HUAWEI製ＰＣＳ接続枚数計算ツール!$I$107/Q$2&gt;=高温電圧!Q27,1,0)</f>
        <v>1</v>
      </c>
      <c r="R27">
        <f>IF(HUAWEI製ＰＣＳ接続枚数計算ツール!$I$107/R$2&gt;=高温電圧!R27,1,0)</f>
        <v>1</v>
      </c>
      <c r="S27">
        <f>IF(HUAWEI製ＰＣＳ接続枚数計算ツール!$I$107/S$2&gt;=高温電圧!S27,1,0)</f>
        <v>1</v>
      </c>
      <c r="T27">
        <f>IF(HUAWEI製ＰＣＳ接続枚数計算ツール!$I$107/T$2&gt;=高温電圧!T27,1,0)</f>
        <v>1</v>
      </c>
      <c r="U27">
        <f>IF(HUAWEI製ＰＣＳ接続枚数計算ツール!$I$107/U$2&gt;=高温電圧!U27,1,0)</f>
        <v>1</v>
      </c>
      <c r="V27">
        <f>IF(HUAWEI製ＰＣＳ接続枚数計算ツール!$I$107/V$2&gt;=高温電圧!V27,1,0)</f>
        <v>1</v>
      </c>
      <c r="W27">
        <f>IF(HUAWEI製ＰＣＳ接続枚数計算ツール!$I$107/W$2&gt;=高温電圧!W27,1,0)</f>
        <v>1</v>
      </c>
      <c r="X27">
        <f>IF(HUAWEI製ＰＣＳ接続枚数計算ツール!$I$107/X$2&gt;=高温電圧!X27,1,0)</f>
        <v>1</v>
      </c>
      <c r="Y27">
        <f>IF(HUAWEI製ＰＣＳ接続枚数計算ツール!$I$107/Y$2&gt;=高温電圧!Y27,1,0)</f>
        <v>1</v>
      </c>
      <c r="Z27">
        <f>IF(HUAWEI製ＰＣＳ接続枚数計算ツール!$I$107/Z$2&gt;=高温電圧!Z27,1,0)</f>
        <v>1</v>
      </c>
      <c r="AA27">
        <f>IF(HUAWEI製ＰＣＳ接続枚数計算ツール!$I$107/AA$2&gt;=高温電圧!AA27,1,0)</f>
        <v>0</v>
      </c>
      <c r="AB27">
        <f>IF(HUAWEI製ＰＣＳ接続枚数計算ツール!$I$107/AB$2&gt;=高温電圧!AB27,1,0)</f>
        <v>0</v>
      </c>
      <c r="AC27">
        <f>IF(HUAWEI製ＰＣＳ接続枚数計算ツール!$I$107/AC$2&gt;=高温電圧!AC27,1,0)</f>
        <v>0</v>
      </c>
      <c r="AD27">
        <f>IF(HUAWEI製ＰＣＳ接続枚数計算ツール!$I$107/AD$2&gt;=高温電圧!AD27,1,0)</f>
        <v>0</v>
      </c>
      <c r="AE27">
        <f>IF(HUAWEI製ＰＣＳ接続枚数計算ツール!$I$107/AE$2&gt;=高温電圧!AE27,1,0)</f>
        <v>0</v>
      </c>
      <c r="AF27">
        <f>IF(HUAWEI製ＰＣＳ接続枚数計算ツール!$I$107/AF$2&gt;=高温電圧!AF27,1,0)</f>
        <v>0</v>
      </c>
      <c r="AG27">
        <f>IF(HUAWEI製ＰＣＳ接続枚数計算ツール!$I$107/AG$2&gt;=高温電圧!AG27,1,0)</f>
        <v>0</v>
      </c>
      <c r="AH27">
        <f>IF(HUAWEI製ＰＣＳ接続枚数計算ツール!$I$107/AH$2&gt;=高温電圧!AH27,1,0)</f>
        <v>0</v>
      </c>
      <c r="AI27">
        <f>IF(HUAWEI製ＰＣＳ接続枚数計算ツール!$I$107/AI$2&gt;=高温電圧!AI27,1,0)</f>
        <v>0</v>
      </c>
      <c r="AJ27">
        <f>IF(HUAWEI製ＰＣＳ接続枚数計算ツール!$I$107/AJ$2&gt;=高温電圧!AJ27,1,0)</f>
        <v>0</v>
      </c>
      <c r="AK27">
        <f>IF(HUAWEI製ＰＣＳ接続枚数計算ツール!$I$107/AK$2&gt;=高温電圧!AK27,1,0)</f>
        <v>0</v>
      </c>
      <c r="AL27">
        <f>IF(HUAWEI製ＰＣＳ接続枚数計算ツール!$I$107/AL$2&gt;=高温電圧!AL27,1,0)</f>
        <v>0</v>
      </c>
      <c r="AM27">
        <f>IF(HUAWEI製ＰＣＳ接続枚数計算ツール!$I$107/AM$2&gt;=高温電圧!AM27,1,0)</f>
        <v>0</v>
      </c>
      <c r="AN27">
        <f>IF(HUAWEI製ＰＣＳ接続枚数計算ツール!$I$107/AN$2&gt;=高温電圧!AN27,1,0)</f>
        <v>0</v>
      </c>
      <c r="AO27">
        <f>IF(HUAWEI製ＰＣＳ接続枚数計算ツール!$I$107/AO$2&gt;=高温電圧!AO27,1,0)</f>
        <v>0</v>
      </c>
    </row>
    <row r="28" spans="1:41">
      <c r="A28">
        <v>26</v>
      </c>
      <c r="B28">
        <f>IF(HUAWEI製ＰＣＳ接続枚数計算ツール!$I$107/B$2&gt;=高温電圧!B28,1,0)</f>
        <v>1</v>
      </c>
      <c r="C28">
        <f>IF(HUAWEI製ＰＣＳ接続枚数計算ツール!$I$107/C$2&gt;=高温電圧!C28,1,0)</f>
        <v>1</v>
      </c>
      <c r="D28">
        <f>IF(HUAWEI製ＰＣＳ接続枚数計算ツール!$I$107/D$2&gt;=高温電圧!D28,1,0)</f>
        <v>1</v>
      </c>
      <c r="E28">
        <f>IF(HUAWEI製ＰＣＳ接続枚数計算ツール!$I$107/E$2&gt;=高温電圧!E28,1,0)</f>
        <v>1</v>
      </c>
      <c r="F28">
        <f>IF(HUAWEI製ＰＣＳ接続枚数計算ツール!$I$107/F$2&gt;=高温電圧!F28,1,0)</f>
        <v>1</v>
      </c>
      <c r="G28">
        <f>IF(HUAWEI製ＰＣＳ接続枚数計算ツール!$I$107/G$2&gt;=高温電圧!G28,1,0)</f>
        <v>1</v>
      </c>
      <c r="H28">
        <f>IF(HUAWEI製ＰＣＳ接続枚数計算ツール!$I$107/H$2&gt;=高温電圧!H28,1,0)</f>
        <v>1</v>
      </c>
      <c r="I28">
        <f>IF(HUAWEI製ＰＣＳ接続枚数計算ツール!$I$107/I$2&gt;=高温電圧!I28,1,0)</f>
        <v>1</v>
      </c>
      <c r="J28">
        <f>IF(HUAWEI製ＰＣＳ接続枚数計算ツール!$I$107/J$2&gt;=高温電圧!J28,1,0)</f>
        <v>1</v>
      </c>
      <c r="K28">
        <f>IF(HUAWEI製ＰＣＳ接続枚数計算ツール!$I$107/K$2&gt;=高温電圧!K28,1,0)</f>
        <v>1</v>
      </c>
      <c r="L28">
        <f>IF(HUAWEI製ＰＣＳ接続枚数計算ツール!$I$107/L$2&gt;=高温電圧!L28,1,0)</f>
        <v>1</v>
      </c>
      <c r="M28">
        <f>IF(HUAWEI製ＰＣＳ接続枚数計算ツール!$I$107/M$2&gt;=高温電圧!M28,1,0)</f>
        <v>1</v>
      </c>
      <c r="N28">
        <f>IF(HUAWEI製ＰＣＳ接続枚数計算ツール!$I$107/N$2&gt;=高温電圧!N28,1,0)</f>
        <v>1</v>
      </c>
      <c r="O28">
        <f>IF(HUAWEI製ＰＣＳ接続枚数計算ツール!$I$107/O$2&gt;=高温電圧!O28,1,0)</f>
        <v>1</v>
      </c>
      <c r="P28">
        <f>IF(HUAWEI製ＰＣＳ接続枚数計算ツール!$I$107/P$2&gt;=高温電圧!P28,1,0)</f>
        <v>1</v>
      </c>
      <c r="Q28">
        <f>IF(HUAWEI製ＰＣＳ接続枚数計算ツール!$I$107/Q$2&gt;=高温電圧!Q28,1,0)</f>
        <v>1</v>
      </c>
      <c r="R28">
        <f>IF(HUAWEI製ＰＣＳ接続枚数計算ツール!$I$107/R$2&gt;=高温電圧!R28,1,0)</f>
        <v>1</v>
      </c>
      <c r="S28">
        <f>IF(HUAWEI製ＰＣＳ接続枚数計算ツール!$I$107/S$2&gt;=高温電圧!S28,1,0)</f>
        <v>1</v>
      </c>
      <c r="T28">
        <f>IF(HUAWEI製ＰＣＳ接続枚数計算ツール!$I$107/T$2&gt;=高温電圧!T28,1,0)</f>
        <v>1</v>
      </c>
      <c r="U28">
        <f>IF(HUAWEI製ＰＣＳ接続枚数計算ツール!$I$107/U$2&gt;=高温電圧!U28,1,0)</f>
        <v>1</v>
      </c>
      <c r="V28">
        <f>IF(HUAWEI製ＰＣＳ接続枚数計算ツール!$I$107/V$2&gt;=高温電圧!V28,1,0)</f>
        <v>1</v>
      </c>
      <c r="W28">
        <f>IF(HUAWEI製ＰＣＳ接続枚数計算ツール!$I$107/W$2&gt;=高温電圧!W28,1,0)</f>
        <v>1</v>
      </c>
      <c r="X28">
        <f>IF(HUAWEI製ＰＣＳ接続枚数計算ツール!$I$107/X$2&gt;=高温電圧!X28,1,0)</f>
        <v>1</v>
      </c>
      <c r="Y28">
        <f>IF(HUAWEI製ＰＣＳ接続枚数計算ツール!$I$107/Y$2&gt;=高温電圧!Y28,1,0)</f>
        <v>1</v>
      </c>
      <c r="Z28">
        <f>IF(HUAWEI製ＰＣＳ接続枚数計算ツール!$I$107/Z$2&gt;=高温電圧!Z28,1,0)</f>
        <v>1</v>
      </c>
      <c r="AA28">
        <f>IF(HUAWEI製ＰＣＳ接続枚数計算ツール!$I$107/AA$2&gt;=高温電圧!AA28,1,0)</f>
        <v>0</v>
      </c>
      <c r="AB28">
        <f>IF(HUAWEI製ＰＣＳ接続枚数計算ツール!$I$107/AB$2&gt;=高温電圧!AB28,1,0)</f>
        <v>0</v>
      </c>
      <c r="AC28">
        <f>IF(HUAWEI製ＰＣＳ接続枚数計算ツール!$I$107/AC$2&gt;=高温電圧!AC28,1,0)</f>
        <v>0</v>
      </c>
      <c r="AD28">
        <f>IF(HUAWEI製ＰＣＳ接続枚数計算ツール!$I$107/AD$2&gt;=高温電圧!AD28,1,0)</f>
        <v>0</v>
      </c>
      <c r="AE28">
        <f>IF(HUAWEI製ＰＣＳ接続枚数計算ツール!$I$107/AE$2&gt;=高温電圧!AE28,1,0)</f>
        <v>0</v>
      </c>
      <c r="AF28">
        <f>IF(HUAWEI製ＰＣＳ接続枚数計算ツール!$I$107/AF$2&gt;=高温電圧!AF28,1,0)</f>
        <v>0</v>
      </c>
      <c r="AG28">
        <f>IF(HUAWEI製ＰＣＳ接続枚数計算ツール!$I$107/AG$2&gt;=高温電圧!AG28,1,0)</f>
        <v>0</v>
      </c>
      <c r="AH28">
        <f>IF(HUAWEI製ＰＣＳ接続枚数計算ツール!$I$107/AH$2&gt;=高温電圧!AH28,1,0)</f>
        <v>0</v>
      </c>
      <c r="AI28">
        <f>IF(HUAWEI製ＰＣＳ接続枚数計算ツール!$I$107/AI$2&gt;=高温電圧!AI28,1,0)</f>
        <v>0</v>
      </c>
      <c r="AJ28">
        <f>IF(HUAWEI製ＰＣＳ接続枚数計算ツール!$I$107/AJ$2&gt;=高温電圧!AJ28,1,0)</f>
        <v>0</v>
      </c>
      <c r="AK28">
        <f>IF(HUAWEI製ＰＣＳ接続枚数計算ツール!$I$107/AK$2&gt;=高温電圧!AK28,1,0)</f>
        <v>0</v>
      </c>
      <c r="AL28">
        <f>IF(HUAWEI製ＰＣＳ接続枚数計算ツール!$I$107/AL$2&gt;=高温電圧!AL28,1,0)</f>
        <v>0</v>
      </c>
      <c r="AM28">
        <f>IF(HUAWEI製ＰＣＳ接続枚数計算ツール!$I$107/AM$2&gt;=高温電圧!AM28,1,0)</f>
        <v>0</v>
      </c>
      <c r="AN28">
        <f>IF(HUAWEI製ＰＣＳ接続枚数計算ツール!$I$107/AN$2&gt;=高温電圧!AN28,1,0)</f>
        <v>0</v>
      </c>
      <c r="AO28">
        <f>IF(HUAWEI製ＰＣＳ接続枚数計算ツール!$I$107/AO$2&gt;=高温電圧!AO28,1,0)</f>
        <v>0</v>
      </c>
    </row>
    <row r="29" spans="1:41">
      <c r="A29">
        <v>27</v>
      </c>
      <c r="B29">
        <f>IF(HUAWEI製ＰＣＳ接続枚数計算ツール!$I$107/B$2&gt;=高温電圧!B29,1,0)</f>
        <v>1</v>
      </c>
      <c r="C29">
        <f>IF(HUAWEI製ＰＣＳ接続枚数計算ツール!$I$107/C$2&gt;=高温電圧!C29,1,0)</f>
        <v>1</v>
      </c>
      <c r="D29">
        <f>IF(HUAWEI製ＰＣＳ接続枚数計算ツール!$I$107/D$2&gt;=高温電圧!D29,1,0)</f>
        <v>1</v>
      </c>
      <c r="E29">
        <f>IF(HUAWEI製ＰＣＳ接続枚数計算ツール!$I$107/E$2&gt;=高温電圧!E29,1,0)</f>
        <v>1</v>
      </c>
      <c r="F29">
        <f>IF(HUAWEI製ＰＣＳ接続枚数計算ツール!$I$107/F$2&gt;=高温電圧!F29,1,0)</f>
        <v>1</v>
      </c>
      <c r="G29">
        <f>IF(HUAWEI製ＰＣＳ接続枚数計算ツール!$I$107/G$2&gt;=高温電圧!G29,1,0)</f>
        <v>1</v>
      </c>
      <c r="H29">
        <f>IF(HUAWEI製ＰＣＳ接続枚数計算ツール!$I$107/H$2&gt;=高温電圧!H29,1,0)</f>
        <v>1</v>
      </c>
      <c r="I29">
        <f>IF(HUAWEI製ＰＣＳ接続枚数計算ツール!$I$107/I$2&gt;=高温電圧!I29,1,0)</f>
        <v>1</v>
      </c>
      <c r="J29">
        <f>IF(HUAWEI製ＰＣＳ接続枚数計算ツール!$I$107/J$2&gt;=高温電圧!J29,1,0)</f>
        <v>1</v>
      </c>
      <c r="K29">
        <f>IF(HUAWEI製ＰＣＳ接続枚数計算ツール!$I$107/K$2&gt;=高温電圧!K29,1,0)</f>
        <v>1</v>
      </c>
      <c r="L29">
        <f>IF(HUAWEI製ＰＣＳ接続枚数計算ツール!$I$107/L$2&gt;=高温電圧!L29,1,0)</f>
        <v>1</v>
      </c>
      <c r="M29">
        <f>IF(HUAWEI製ＰＣＳ接続枚数計算ツール!$I$107/M$2&gt;=高温電圧!M29,1,0)</f>
        <v>1</v>
      </c>
      <c r="N29">
        <f>IF(HUAWEI製ＰＣＳ接続枚数計算ツール!$I$107/N$2&gt;=高温電圧!N29,1,0)</f>
        <v>1</v>
      </c>
      <c r="O29">
        <f>IF(HUAWEI製ＰＣＳ接続枚数計算ツール!$I$107/O$2&gt;=高温電圧!O29,1,0)</f>
        <v>1</v>
      </c>
      <c r="P29">
        <f>IF(HUAWEI製ＰＣＳ接続枚数計算ツール!$I$107/P$2&gt;=高温電圧!P29,1,0)</f>
        <v>1</v>
      </c>
      <c r="Q29">
        <f>IF(HUAWEI製ＰＣＳ接続枚数計算ツール!$I$107/Q$2&gt;=高温電圧!Q29,1,0)</f>
        <v>1</v>
      </c>
      <c r="R29">
        <f>IF(HUAWEI製ＰＣＳ接続枚数計算ツール!$I$107/R$2&gt;=高温電圧!R29,1,0)</f>
        <v>1</v>
      </c>
      <c r="S29">
        <f>IF(HUAWEI製ＰＣＳ接続枚数計算ツール!$I$107/S$2&gt;=高温電圧!S29,1,0)</f>
        <v>1</v>
      </c>
      <c r="T29">
        <f>IF(HUAWEI製ＰＣＳ接続枚数計算ツール!$I$107/T$2&gt;=高温電圧!T29,1,0)</f>
        <v>1</v>
      </c>
      <c r="U29">
        <f>IF(HUAWEI製ＰＣＳ接続枚数計算ツール!$I$107/U$2&gt;=高温電圧!U29,1,0)</f>
        <v>1</v>
      </c>
      <c r="V29">
        <f>IF(HUAWEI製ＰＣＳ接続枚数計算ツール!$I$107/V$2&gt;=高温電圧!V29,1,0)</f>
        <v>1</v>
      </c>
      <c r="W29">
        <f>IF(HUAWEI製ＰＣＳ接続枚数計算ツール!$I$107/W$2&gt;=高温電圧!W29,1,0)</f>
        <v>1</v>
      </c>
      <c r="X29">
        <f>IF(HUAWEI製ＰＣＳ接続枚数計算ツール!$I$107/X$2&gt;=高温電圧!X29,1,0)</f>
        <v>1</v>
      </c>
      <c r="Y29">
        <f>IF(HUAWEI製ＰＣＳ接続枚数計算ツール!$I$107/Y$2&gt;=高温電圧!Y29,1,0)</f>
        <v>1</v>
      </c>
      <c r="Z29">
        <f>IF(HUAWEI製ＰＣＳ接続枚数計算ツール!$I$107/Z$2&gt;=高温電圧!Z29,1,0)</f>
        <v>1</v>
      </c>
      <c r="AA29">
        <f>IF(HUAWEI製ＰＣＳ接続枚数計算ツール!$I$107/AA$2&gt;=高温電圧!AA29,1,0)</f>
        <v>0</v>
      </c>
      <c r="AB29">
        <f>IF(HUAWEI製ＰＣＳ接続枚数計算ツール!$I$107/AB$2&gt;=高温電圧!AB29,1,0)</f>
        <v>0</v>
      </c>
      <c r="AC29">
        <f>IF(HUAWEI製ＰＣＳ接続枚数計算ツール!$I$107/AC$2&gt;=高温電圧!AC29,1,0)</f>
        <v>0</v>
      </c>
      <c r="AD29">
        <f>IF(HUAWEI製ＰＣＳ接続枚数計算ツール!$I$107/AD$2&gt;=高温電圧!AD29,1,0)</f>
        <v>0</v>
      </c>
      <c r="AE29">
        <f>IF(HUAWEI製ＰＣＳ接続枚数計算ツール!$I$107/AE$2&gt;=高温電圧!AE29,1,0)</f>
        <v>0</v>
      </c>
      <c r="AF29">
        <f>IF(HUAWEI製ＰＣＳ接続枚数計算ツール!$I$107/AF$2&gt;=高温電圧!AF29,1,0)</f>
        <v>0</v>
      </c>
      <c r="AG29">
        <f>IF(HUAWEI製ＰＣＳ接続枚数計算ツール!$I$107/AG$2&gt;=高温電圧!AG29,1,0)</f>
        <v>0</v>
      </c>
      <c r="AH29">
        <f>IF(HUAWEI製ＰＣＳ接続枚数計算ツール!$I$107/AH$2&gt;=高温電圧!AH29,1,0)</f>
        <v>0</v>
      </c>
      <c r="AI29">
        <f>IF(HUAWEI製ＰＣＳ接続枚数計算ツール!$I$107/AI$2&gt;=高温電圧!AI29,1,0)</f>
        <v>0</v>
      </c>
      <c r="AJ29">
        <f>IF(HUAWEI製ＰＣＳ接続枚数計算ツール!$I$107/AJ$2&gt;=高温電圧!AJ29,1,0)</f>
        <v>0</v>
      </c>
      <c r="AK29">
        <f>IF(HUAWEI製ＰＣＳ接続枚数計算ツール!$I$107/AK$2&gt;=高温電圧!AK29,1,0)</f>
        <v>0</v>
      </c>
      <c r="AL29">
        <f>IF(HUAWEI製ＰＣＳ接続枚数計算ツール!$I$107/AL$2&gt;=高温電圧!AL29,1,0)</f>
        <v>0</v>
      </c>
      <c r="AM29">
        <f>IF(HUAWEI製ＰＣＳ接続枚数計算ツール!$I$107/AM$2&gt;=高温電圧!AM29,1,0)</f>
        <v>0</v>
      </c>
      <c r="AN29">
        <f>IF(HUAWEI製ＰＣＳ接続枚数計算ツール!$I$107/AN$2&gt;=高温電圧!AN29,1,0)</f>
        <v>0</v>
      </c>
      <c r="AO29">
        <f>IF(HUAWEI製ＰＣＳ接続枚数計算ツール!$I$107/AO$2&gt;=高温電圧!AO29,1,0)</f>
        <v>0</v>
      </c>
    </row>
    <row r="30" spans="1:41">
      <c r="A30">
        <v>28</v>
      </c>
      <c r="B30">
        <f>IF(HUAWEI製ＰＣＳ接続枚数計算ツール!$I$107/B$2&gt;=高温電圧!B30,1,0)</f>
        <v>1</v>
      </c>
      <c r="C30">
        <f>IF(HUAWEI製ＰＣＳ接続枚数計算ツール!$I$107/C$2&gt;=高温電圧!C30,1,0)</f>
        <v>1</v>
      </c>
      <c r="D30">
        <f>IF(HUAWEI製ＰＣＳ接続枚数計算ツール!$I$107/D$2&gt;=高温電圧!D30,1,0)</f>
        <v>1</v>
      </c>
      <c r="E30">
        <f>IF(HUAWEI製ＰＣＳ接続枚数計算ツール!$I$107/E$2&gt;=高温電圧!E30,1,0)</f>
        <v>1</v>
      </c>
      <c r="F30">
        <f>IF(HUAWEI製ＰＣＳ接続枚数計算ツール!$I$107/F$2&gt;=高温電圧!F30,1,0)</f>
        <v>1</v>
      </c>
      <c r="G30">
        <f>IF(HUAWEI製ＰＣＳ接続枚数計算ツール!$I$107/G$2&gt;=高温電圧!G30,1,0)</f>
        <v>1</v>
      </c>
      <c r="H30">
        <f>IF(HUAWEI製ＰＣＳ接続枚数計算ツール!$I$107/H$2&gt;=高温電圧!H30,1,0)</f>
        <v>1</v>
      </c>
      <c r="I30">
        <f>IF(HUAWEI製ＰＣＳ接続枚数計算ツール!$I$107/I$2&gt;=高温電圧!I30,1,0)</f>
        <v>1</v>
      </c>
      <c r="J30">
        <f>IF(HUAWEI製ＰＣＳ接続枚数計算ツール!$I$107/J$2&gt;=高温電圧!J30,1,0)</f>
        <v>1</v>
      </c>
      <c r="K30">
        <f>IF(HUAWEI製ＰＣＳ接続枚数計算ツール!$I$107/K$2&gt;=高温電圧!K30,1,0)</f>
        <v>1</v>
      </c>
      <c r="L30">
        <f>IF(HUAWEI製ＰＣＳ接続枚数計算ツール!$I$107/L$2&gt;=高温電圧!L30,1,0)</f>
        <v>1</v>
      </c>
      <c r="M30">
        <f>IF(HUAWEI製ＰＣＳ接続枚数計算ツール!$I$107/M$2&gt;=高温電圧!M30,1,0)</f>
        <v>1</v>
      </c>
      <c r="N30">
        <f>IF(HUAWEI製ＰＣＳ接続枚数計算ツール!$I$107/N$2&gt;=高温電圧!N30,1,0)</f>
        <v>1</v>
      </c>
      <c r="O30">
        <f>IF(HUAWEI製ＰＣＳ接続枚数計算ツール!$I$107/O$2&gt;=高温電圧!O30,1,0)</f>
        <v>1</v>
      </c>
      <c r="P30">
        <f>IF(HUAWEI製ＰＣＳ接続枚数計算ツール!$I$107/P$2&gt;=高温電圧!P30,1,0)</f>
        <v>1</v>
      </c>
      <c r="Q30">
        <f>IF(HUAWEI製ＰＣＳ接続枚数計算ツール!$I$107/Q$2&gt;=高温電圧!Q30,1,0)</f>
        <v>1</v>
      </c>
      <c r="R30">
        <f>IF(HUAWEI製ＰＣＳ接続枚数計算ツール!$I$107/R$2&gt;=高温電圧!R30,1,0)</f>
        <v>1</v>
      </c>
      <c r="S30">
        <f>IF(HUAWEI製ＰＣＳ接続枚数計算ツール!$I$107/S$2&gt;=高温電圧!S30,1,0)</f>
        <v>1</v>
      </c>
      <c r="T30">
        <f>IF(HUAWEI製ＰＣＳ接続枚数計算ツール!$I$107/T$2&gt;=高温電圧!T30,1,0)</f>
        <v>1</v>
      </c>
      <c r="U30">
        <f>IF(HUAWEI製ＰＣＳ接続枚数計算ツール!$I$107/U$2&gt;=高温電圧!U30,1,0)</f>
        <v>1</v>
      </c>
      <c r="V30">
        <f>IF(HUAWEI製ＰＣＳ接続枚数計算ツール!$I$107/V$2&gt;=高温電圧!V30,1,0)</f>
        <v>1</v>
      </c>
      <c r="W30">
        <f>IF(HUAWEI製ＰＣＳ接続枚数計算ツール!$I$107/W$2&gt;=高温電圧!W30,1,0)</f>
        <v>1</v>
      </c>
      <c r="X30">
        <f>IF(HUAWEI製ＰＣＳ接続枚数計算ツール!$I$107/X$2&gt;=高温電圧!X30,1,0)</f>
        <v>1</v>
      </c>
      <c r="Y30">
        <f>IF(HUAWEI製ＰＣＳ接続枚数計算ツール!$I$107/Y$2&gt;=高温電圧!Y30,1,0)</f>
        <v>1</v>
      </c>
      <c r="Z30">
        <f>IF(HUAWEI製ＰＣＳ接続枚数計算ツール!$I$107/Z$2&gt;=高温電圧!Z30,1,0)</f>
        <v>1</v>
      </c>
      <c r="AA30">
        <f>IF(HUAWEI製ＰＣＳ接続枚数計算ツール!$I$107/AA$2&gt;=高温電圧!AA30,1,0)</f>
        <v>0</v>
      </c>
      <c r="AB30">
        <f>IF(HUAWEI製ＰＣＳ接続枚数計算ツール!$I$107/AB$2&gt;=高温電圧!AB30,1,0)</f>
        <v>0</v>
      </c>
      <c r="AC30">
        <f>IF(HUAWEI製ＰＣＳ接続枚数計算ツール!$I$107/AC$2&gt;=高温電圧!AC30,1,0)</f>
        <v>0</v>
      </c>
      <c r="AD30">
        <f>IF(HUAWEI製ＰＣＳ接続枚数計算ツール!$I$107/AD$2&gt;=高温電圧!AD30,1,0)</f>
        <v>0</v>
      </c>
      <c r="AE30">
        <f>IF(HUAWEI製ＰＣＳ接続枚数計算ツール!$I$107/AE$2&gt;=高温電圧!AE30,1,0)</f>
        <v>0</v>
      </c>
      <c r="AF30">
        <f>IF(HUAWEI製ＰＣＳ接続枚数計算ツール!$I$107/AF$2&gt;=高温電圧!AF30,1,0)</f>
        <v>0</v>
      </c>
      <c r="AG30">
        <f>IF(HUAWEI製ＰＣＳ接続枚数計算ツール!$I$107/AG$2&gt;=高温電圧!AG30,1,0)</f>
        <v>0</v>
      </c>
      <c r="AH30">
        <f>IF(HUAWEI製ＰＣＳ接続枚数計算ツール!$I$107/AH$2&gt;=高温電圧!AH30,1,0)</f>
        <v>0</v>
      </c>
      <c r="AI30">
        <f>IF(HUAWEI製ＰＣＳ接続枚数計算ツール!$I$107/AI$2&gt;=高温電圧!AI30,1,0)</f>
        <v>0</v>
      </c>
      <c r="AJ30">
        <f>IF(HUAWEI製ＰＣＳ接続枚数計算ツール!$I$107/AJ$2&gt;=高温電圧!AJ30,1,0)</f>
        <v>0</v>
      </c>
      <c r="AK30">
        <f>IF(HUAWEI製ＰＣＳ接続枚数計算ツール!$I$107/AK$2&gt;=高温電圧!AK30,1,0)</f>
        <v>0</v>
      </c>
      <c r="AL30">
        <f>IF(HUAWEI製ＰＣＳ接続枚数計算ツール!$I$107/AL$2&gt;=高温電圧!AL30,1,0)</f>
        <v>0</v>
      </c>
      <c r="AM30">
        <f>IF(HUAWEI製ＰＣＳ接続枚数計算ツール!$I$107/AM$2&gt;=高温電圧!AM30,1,0)</f>
        <v>0</v>
      </c>
      <c r="AN30">
        <f>IF(HUAWEI製ＰＣＳ接続枚数計算ツール!$I$107/AN$2&gt;=高温電圧!AN30,1,0)</f>
        <v>0</v>
      </c>
      <c r="AO30">
        <f>IF(HUAWEI製ＰＣＳ接続枚数計算ツール!$I$107/AO$2&gt;=高温電圧!AO30,1,0)</f>
        <v>0</v>
      </c>
    </row>
    <row r="31" spans="1:41">
      <c r="A31">
        <v>29</v>
      </c>
      <c r="B31">
        <f>IF(HUAWEI製ＰＣＳ接続枚数計算ツール!$I$107/B$2&gt;=高温電圧!B31,1,0)</f>
        <v>1</v>
      </c>
      <c r="C31">
        <f>IF(HUAWEI製ＰＣＳ接続枚数計算ツール!$I$107/C$2&gt;=高温電圧!C31,1,0)</f>
        <v>1</v>
      </c>
      <c r="D31">
        <f>IF(HUAWEI製ＰＣＳ接続枚数計算ツール!$I$107/D$2&gt;=高温電圧!D31,1,0)</f>
        <v>1</v>
      </c>
      <c r="E31">
        <f>IF(HUAWEI製ＰＣＳ接続枚数計算ツール!$I$107/E$2&gt;=高温電圧!E31,1,0)</f>
        <v>1</v>
      </c>
      <c r="F31">
        <f>IF(HUAWEI製ＰＣＳ接続枚数計算ツール!$I$107/F$2&gt;=高温電圧!F31,1,0)</f>
        <v>1</v>
      </c>
      <c r="G31">
        <f>IF(HUAWEI製ＰＣＳ接続枚数計算ツール!$I$107/G$2&gt;=高温電圧!G31,1,0)</f>
        <v>1</v>
      </c>
      <c r="H31">
        <f>IF(HUAWEI製ＰＣＳ接続枚数計算ツール!$I$107/H$2&gt;=高温電圧!H31,1,0)</f>
        <v>1</v>
      </c>
      <c r="I31">
        <f>IF(HUAWEI製ＰＣＳ接続枚数計算ツール!$I$107/I$2&gt;=高温電圧!I31,1,0)</f>
        <v>1</v>
      </c>
      <c r="J31">
        <f>IF(HUAWEI製ＰＣＳ接続枚数計算ツール!$I$107/J$2&gt;=高温電圧!J31,1,0)</f>
        <v>1</v>
      </c>
      <c r="K31">
        <f>IF(HUAWEI製ＰＣＳ接続枚数計算ツール!$I$107/K$2&gt;=高温電圧!K31,1,0)</f>
        <v>1</v>
      </c>
      <c r="L31">
        <f>IF(HUAWEI製ＰＣＳ接続枚数計算ツール!$I$107/L$2&gt;=高温電圧!L31,1,0)</f>
        <v>1</v>
      </c>
      <c r="M31">
        <f>IF(HUAWEI製ＰＣＳ接続枚数計算ツール!$I$107/M$2&gt;=高温電圧!M31,1,0)</f>
        <v>1</v>
      </c>
      <c r="N31">
        <f>IF(HUAWEI製ＰＣＳ接続枚数計算ツール!$I$107/N$2&gt;=高温電圧!N31,1,0)</f>
        <v>1</v>
      </c>
      <c r="O31">
        <f>IF(HUAWEI製ＰＣＳ接続枚数計算ツール!$I$107/O$2&gt;=高温電圧!O31,1,0)</f>
        <v>1</v>
      </c>
      <c r="P31">
        <f>IF(HUAWEI製ＰＣＳ接続枚数計算ツール!$I$107/P$2&gt;=高温電圧!P31,1,0)</f>
        <v>1</v>
      </c>
      <c r="Q31">
        <f>IF(HUAWEI製ＰＣＳ接続枚数計算ツール!$I$107/Q$2&gt;=高温電圧!Q31,1,0)</f>
        <v>1</v>
      </c>
      <c r="R31">
        <f>IF(HUAWEI製ＰＣＳ接続枚数計算ツール!$I$107/R$2&gt;=高温電圧!R31,1,0)</f>
        <v>1</v>
      </c>
      <c r="S31">
        <f>IF(HUAWEI製ＰＣＳ接続枚数計算ツール!$I$107/S$2&gt;=高温電圧!S31,1,0)</f>
        <v>1</v>
      </c>
      <c r="T31">
        <f>IF(HUAWEI製ＰＣＳ接続枚数計算ツール!$I$107/T$2&gt;=高温電圧!T31,1,0)</f>
        <v>1</v>
      </c>
      <c r="U31">
        <f>IF(HUAWEI製ＰＣＳ接続枚数計算ツール!$I$107/U$2&gt;=高温電圧!U31,1,0)</f>
        <v>1</v>
      </c>
      <c r="V31">
        <f>IF(HUAWEI製ＰＣＳ接続枚数計算ツール!$I$107/V$2&gt;=高温電圧!V31,1,0)</f>
        <v>1</v>
      </c>
      <c r="W31">
        <f>IF(HUAWEI製ＰＣＳ接続枚数計算ツール!$I$107/W$2&gt;=高温電圧!W31,1,0)</f>
        <v>1</v>
      </c>
      <c r="X31">
        <f>IF(HUAWEI製ＰＣＳ接続枚数計算ツール!$I$107/X$2&gt;=高温電圧!X31,1,0)</f>
        <v>1</v>
      </c>
      <c r="Y31">
        <f>IF(HUAWEI製ＰＣＳ接続枚数計算ツール!$I$107/Y$2&gt;=高温電圧!Y31,1,0)</f>
        <v>1</v>
      </c>
      <c r="Z31">
        <f>IF(HUAWEI製ＰＣＳ接続枚数計算ツール!$I$107/Z$2&gt;=高温電圧!Z31,1,0)</f>
        <v>1</v>
      </c>
      <c r="AA31">
        <f>IF(HUAWEI製ＰＣＳ接続枚数計算ツール!$I$107/AA$2&gt;=高温電圧!AA31,1,0)</f>
        <v>0</v>
      </c>
      <c r="AB31">
        <f>IF(HUAWEI製ＰＣＳ接続枚数計算ツール!$I$107/AB$2&gt;=高温電圧!AB31,1,0)</f>
        <v>0</v>
      </c>
      <c r="AC31">
        <f>IF(HUAWEI製ＰＣＳ接続枚数計算ツール!$I$107/AC$2&gt;=高温電圧!AC31,1,0)</f>
        <v>0</v>
      </c>
      <c r="AD31">
        <f>IF(HUAWEI製ＰＣＳ接続枚数計算ツール!$I$107/AD$2&gt;=高温電圧!AD31,1,0)</f>
        <v>0</v>
      </c>
      <c r="AE31">
        <f>IF(HUAWEI製ＰＣＳ接続枚数計算ツール!$I$107/AE$2&gt;=高温電圧!AE31,1,0)</f>
        <v>0</v>
      </c>
      <c r="AF31">
        <f>IF(HUAWEI製ＰＣＳ接続枚数計算ツール!$I$107/AF$2&gt;=高温電圧!AF31,1,0)</f>
        <v>0</v>
      </c>
      <c r="AG31">
        <f>IF(HUAWEI製ＰＣＳ接続枚数計算ツール!$I$107/AG$2&gt;=高温電圧!AG31,1,0)</f>
        <v>0</v>
      </c>
      <c r="AH31">
        <f>IF(HUAWEI製ＰＣＳ接続枚数計算ツール!$I$107/AH$2&gt;=高温電圧!AH31,1,0)</f>
        <v>0</v>
      </c>
      <c r="AI31">
        <f>IF(HUAWEI製ＰＣＳ接続枚数計算ツール!$I$107/AI$2&gt;=高温電圧!AI31,1,0)</f>
        <v>0</v>
      </c>
      <c r="AJ31">
        <f>IF(HUAWEI製ＰＣＳ接続枚数計算ツール!$I$107/AJ$2&gt;=高温電圧!AJ31,1,0)</f>
        <v>0</v>
      </c>
      <c r="AK31">
        <f>IF(HUAWEI製ＰＣＳ接続枚数計算ツール!$I$107/AK$2&gt;=高温電圧!AK31,1,0)</f>
        <v>0</v>
      </c>
      <c r="AL31">
        <f>IF(HUAWEI製ＰＣＳ接続枚数計算ツール!$I$107/AL$2&gt;=高温電圧!AL31,1,0)</f>
        <v>0</v>
      </c>
      <c r="AM31">
        <f>IF(HUAWEI製ＰＣＳ接続枚数計算ツール!$I$107/AM$2&gt;=高温電圧!AM31,1,0)</f>
        <v>0</v>
      </c>
      <c r="AN31">
        <f>IF(HUAWEI製ＰＣＳ接続枚数計算ツール!$I$107/AN$2&gt;=高温電圧!AN31,1,0)</f>
        <v>0</v>
      </c>
      <c r="AO31">
        <f>IF(HUAWEI製ＰＣＳ接続枚数計算ツール!$I$107/AO$2&gt;=高温電圧!AO31,1,0)</f>
        <v>0</v>
      </c>
    </row>
    <row r="32" spans="1:41">
      <c r="A32">
        <v>30</v>
      </c>
      <c r="B32">
        <f>IF(HUAWEI製ＰＣＳ接続枚数計算ツール!$I$107/B$2&gt;=高温電圧!B32,1,0)</f>
        <v>1</v>
      </c>
      <c r="C32">
        <f>IF(HUAWEI製ＰＣＳ接続枚数計算ツール!$I$107/C$2&gt;=高温電圧!C32,1,0)</f>
        <v>1</v>
      </c>
      <c r="D32">
        <f>IF(HUAWEI製ＰＣＳ接続枚数計算ツール!$I$107/D$2&gt;=高温電圧!D32,1,0)</f>
        <v>1</v>
      </c>
      <c r="E32">
        <f>IF(HUAWEI製ＰＣＳ接続枚数計算ツール!$I$107/E$2&gt;=高温電圧!E32,1,0)</f>
        <v>1</v>
      </c>
      <c r="F32">
        <f>IF(HUAWEI製ＰＣＳ接続枚数計算ツール!$I$107/F$2&gt;=高温電圧!F32,1,0)</f>
        <v>1</v>
      </c>
      <c r="G32">
        <f>IF(HUAWEI製ＰＣＳ接続枚数計算ツール!$I$107/G$2&gt;=高温電圧!G32,1,0)</f>
        <v>1</v>
      </c>
      <c r="H32">
        <f>IF(HUAWEI製ＰＣＳ接続枚数計算ツール!$I$107/H$2&gt;=高温電圧!H32,1,0)</f>
        <v>1</v>
      </c>
      <c r="I32">
        <f>IF(HUAWEI製ＰＣＳ接続枚数計算ツール!$I$107/I$2&gt;=高温電圧!I32,1,0)</f>
        <v>1</v>
      </c>
      <c r="J32">
        <f>IF(HUAWEI製ＰＣＳ接続枚数計算ツール!$I$107/J$2&gt;=高温電圧!J32,1,0)</f>
        <v>1</v>
      </c>
      <c r="K32">
        <f>IF(HUAWEI製ＰＣＳ接続枚数計算ツール!$I$107/K$2&gt;=高温電圧!K32,1,0)</f>
        <v>1</v>
      </c>
      <c r="L32">
        <f>IF(HUAWEI製ＰＣＳ接続枚数計算ツール!$I$107/L$2&gt;=高温電圧!L32,1,0)</f>
        <v>1</v>
      </c>
      <c r="M32">
        <f>IF(HUAWEI製ＰＣＳ接続枚数計算ツール!$I$107/M$2&gt;=高温電圧!M32,1,0)</f>
        <v>1</v>
      </c>
      <c r="N32">
        <f>IF(HUAWEI製ＰＣＳ接続枚数計算ツール!$I$107/N$2&gt;=高温電圧!N32,1,0)</f>
        <v>1</v>
      </c>
      <c r="O32">
        <f>IF(HUAWEI製ＰＣＳ接続枚数計算ツール!$I$107/O$2&gt;=高温電圧!O32,1,0)</f>
        <v>1</v>
      </c>
      <c r="P32">
        <f>IF(HUAWEI製ＰＣＳ接続枚数計算ツール!$I$107/P$2&gt;=高温電圧!P32,1,0)</f>
        <v>1</v>
      </c>
      <c r="Q32">
        <f>IF(HUAWEI製ＰＣＳ接続枚数計算ツール!$I$107/Q$2&gt;=高温電圧!Q32,1,0)</f>
        <v>1</v>
      </c>
      <c r="R32">
        <f>IF(HUAWEI製ＰＣＳ接続枚数計算ツール!$I$107/R$2&gt;=高温電圧!R32,1,0)</f>
        <v>1</v>
      </c>
      <c r="S32">
        <f>IF(HUAWEI製ＰＣＳ接続枚数計算ツール!$I$107/S$2&gt;=高温電圧!S32,1,0)</f>
        <v>1</v>
      </c>
      <c r="T32">
        <f>IF(HUAWEI製ＰＣＳ接続枚数計算ツール!$I$107/T$2&gt;=高温電圧!T32,1,0)</f>
        <v>1</v>
      </c>
      <c r="U32">
        <f>IF(HUAWEI製ＰＣＳ接続枚数計算ツール!$I$107/U$2&gt;=高温電圧!U32,1,0)</f>
        <v>1</v>
      </c>
      <c r="V32">
        <f>IF(HUAWEI製ＰＣＳ接続枚数計算ツール!$I$107/V$2&gt;=高温電圧!V32,1,0)</f>
        <v>1</v>
      </c>
      <c r="W32">
        <f>IF(HUAWEI製ＰＣＳ接続枚数計算ツール!$I$107/W$2&gt;=高温電圧!W32,1,0)</f>
        <v>1</v>
      </c>
      <c r="X32">
        <f>IF(HUAWEI製ＰＣＳ接続枚数計算ツール!$I$107/X$2&gt;=高温電圧!X32,1,0)</f>
        <v>1</v>
      </c>
      <c r="Y32">
        <f>IF(HUAWEI製ＰＣＳ接続枚数計算ツール!$I$107/Y$2&gt;=高温電圧!Y32,1,0)</f>
        <v>1</v>
      </c>
      <c r="Z32">
        <f>IF(HUAWEI製ＰＣＳ接続枚数計算ツール!$I$107/Z$2&gt;=高温電圧!Z32,1,0)</f>
        <v>1</v>
      </c>
      <c r="AA32">
        <f>IF(HUAWEI製ＰＣＳ接続枚数計算ツール!$I$107/AA$2&gt;=高温電圧!AA32,1,0)</f>
        <v>0</v>
      </c>
      <c r="AB32">
        <f>IF(HUAWEI製ＰＣＳ接続枚数計算ツール!$I$107/AB$2&gt;=高温電圧!AB32,1,0)</f>
        <v>0</v>
      </c>
      <c r="AC32">
        <f>IF(HUAWEI製ＰＣＳ接続枚数計算ツール!$I$107/AC$2&gt;=高温電圧!AC32,1,0)</f>
        <v>0</v>
      </c>
      <c r="AD32">
        <f>IF(HUAWEI製ＰＣＳ接続枚数計算ツール!$I$107/AD$2&gt;=高温電圧!AD32,1,0)</f>
        <v>0</v>
      </c>
      <c r="AE32">
        <f>IF(HUAWEI製ＰＣＳ接続枚数計算ツール!$I$107/AE$2&gt;=高温電圧!AE32,1,0)</f>
        <v>0</v>
      </c>
      <c r="AF32">
        <f>IF(HUAWEI製ＰＣＳ接続枚数計算ツール!$I$107/AF$2&gt;=高温電圧!AF32,1,0)</f>
        <v>0</v>
      </c>
      <c r="AG32">
        <f>IF(HUAWEI製ＰＣＳ接続枚数計算ツール!$I$107/AG$2&gt;=高温電圧!AG32,1,0)</f>
        <v>0</v>
      </c>
      <c r="AH32">
        <f>IF(HUAWEI製ＰＣＳ接続枚数計算ツール!$I$107/AH$2&gt;=高温電圧!AH32,1,0)</f>
        <v>0</v>
      </c>
      <c r="AI32">
        <f>IF(HUAWEI製ＰＣＳ接続枚数計算ツール!$I$107/AI$2&gt;=高温電圧!AI32,1,0)</f>
        <v>0</v>
      </c>
      <c r="AJ32">
        <f>IF(HUAWEI製ＰＣＳ接続枚数計算ツール!$I$107/AJ$2&gt;=高温電圧!AJ32,1,0)</f>
        <v>0</v>
      </c>
      <c r="AK32">
        <f>IF(HUAWEI製ＰＣＳ接続枚数計算ツール!$I$107/AK$2&gt;=高温電圧!AK32,1,0)</f>
        <v>0</v>
      </c>
      <c r="AL32">
        <f>IF(HUAWEI製ＰＣＳ接続枚数計算ツール!$I$107/AL$2&gt;=高温電圧!AL32,1,0)</f>
        <v>0</v>
      </c>
      <c r="AM32">
        <f>IF(HUAWEI製ＰＣＳ接続枚数計算ツール!$I$107/AM$2&gt;=高温電圧!AM32,1,0)</f>
        <v>0</v>
      </c>
      <c r="AN32">
        <f>IF(HUAWEI製ＰＣＳ接続枚数計算ツール!$I$107/AN$2&gt;=高温電圧!AN32,1,0)</f>
        <v>0</v>
      </c>
      <c r="AO32">
        <f>IF(HUAWEI製ＰＣＳ接続枚数計算ツール!$I$107/AO$2&gt;=高温電圧!AO32,1,0)</f>
        <v>0</v>
      </c>
    </row>
  </sheetData>
  <phoneticPr fontId="2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dimension ref="A1:AO32"/>
  <sheetViews>
    <sheetView topLeftCell="V1" workbookViewId="0">
      <selection activeCell="AI30" sqref="AI30"/>
    </sheetView>
  </sheetViews>
  <sheetFormatPr defaultRowHeight="14.1"/>
  <sheetData>
    <row r="1" spans="1:41">
      <c r="A1" t="s">
        <v>2037</v>
      </c>
    </row>
    <row r="2" spans="1:41">
      <c r="A2" t="s">
        <v>2034</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row>
    <row r="3" spans="1:41">
      <c r="A3">
        <v>1</v>
      </c>
      <c r="B3">
        <f>IF(HUAWEI製ＰＣＳ接続枚数計算ツール!$G$107/B$2&gt;=低温電圧!B3,1,0)</f>
        <v>1</v>
      </c>
      <c r="C3">
        <f>IF(HUAWEI製ＰＣＳ接続枚数計算ツール!$G$107/C$2&gt;=低温電圧!C3,1,0)</f>
        <v>1</v>
      </c>
      <c r="D3">
        <f>IF(HUAWEI製ＰＣＳ接続枚数計算ツール!$G$107/D$2&gt;=低温電圧!D3,1,0)</f>
        <v>1</v>
      </c>
      <c r="E3">
        <f>IF(HUAWEI製ＰＣＳ接続枚数計算ツール!$G$107/E$2&gt;=低温電圧!E3,1,0)</f>
        <v>1</v>
      </c>
      <c r="F3">
        <f>IF(HUAWEI製ＰＣＳ接続枚数計算ツール!$G$107/F$2&gt;=低温電圧!F3,1,0)</f>
        <v>1</v>
      </c>
      <c r="G3">
        <f>IF(HUAWEI製ＰＣＳ接続枚数計算ツール!$G$107/G$2&gt;=低温電圧!G3,1,0)</f>
        <v>1</v>
      </c>
      <c r="H3">
        <f>IF(HUAWEI製ＰＣＳ接続枚数計算ツール!$G$107/H$2&gt;=低温電圧!H3,1,0)</f>
        <v>1</v>
      </c>
      <c r="I3">
        <f>IF(HUAWEI製ＰＣＳ接続枚数計算ツール!$G$107/I$2&gt;=低温電圧!I3,1,0)</f>
        <v>1</v>
      </c>
      <c r="J3">
        <f>IF(HUAWEI製ＰＣＳ接続枚数計算ツール!$G$107/J$2&gt;=低温電圧!J3,1,0)</f>
        <v>1</v>
      </c>
      <c r="K3">
        <f>IF(HUAWEI製ＰＣＳ接続枚数計算ツール!$G$107/K$2&gt;=低温電圧!K3,1,0)</f>
        <v>1</v>
      </c>
      <c r="L3">
        <f>IF(HUAWEI製ＰＣＳ接続枚数計算ツール!$G$107/L$2&gt;=低温電圧!L3,1,0)</f>
        <v>1</v>
      </c>
      <c r="M3">
        <f>IF(HUAWEI製ＰＣＳ接続枚数計算ツール!$G$107/M$2&gt;=低温電圧!M3,1,0)</f>
        <v>1</v>
      </c>
      <c r="N3">
        <f>IF(HUAWEI製ＰＣＳ接続枚数計算ツール!$G$107/N$2&gt;=低温電圧!N3,1,0)</f>
        <v>1</v>
      </c>
      <c r="O3">
        <f>IF(HUAWEI製ＰＣＳ接続枚数計算ツール!$G$107/O$2&gt;=低温電圧!O3,1,0)</f>
        <v>1</v>
      </c>
      <c r="P3">
        <f>IF(HUAWEI製ＰＣＳ接続枚数計算ツール!$G$107/P$2&gt;=低温電圧!P3,1,0)</f>
        <v>1</v>
      </c>
      <c r="Q3">
        <f>IF(HUAWEI製ＰＣＳ接続枚数計算ツール!$G$107/Q$2&gt;=低温電圧!Q3,1,0)</f>
        <v>1</v>
      </c>
      <c r="R3">
        <f>IF(HUAWEI製ＰＣＳ接続枚数計算ツール!$G$107/R$2&gt;=低温電圧!R3,1,0)</f>
        <v>1</v>
      </c>
      <c r="S3">
        <f>IF(HUAWEI製ＰＣＳ接続枚数計算ツール!$G$107/S$2&gt;=低温電圧!S3,1,0)</f>
        <v>1</v>
      </c>
      <c r="T3">
        <f>IF(HUAWEI製ＰＣＳ接続枚数計算ツール!$G$107/T$2&gt;=低温電圧!T3,1,0)</f>
        <v>1</v>
      </c>
      <c r="U3">
        <f>IF(HUAWEI製ＰＣＳ接続枚数計算ツール!$G$107/U$2&gt;=低温電圧!U3,1,0)</f>
        <v>1</v>
      </c>
      <c r="V3">
        <f>IF(HUAWEI製ＰＣＳ接続枚数計算ツール!$G$107/V$2&gt;=低温電圧!V3,1,0)</f>
        <v>1</v>
      </c>
      <c r="W3">
        <f>IF(HUAWEI製ＰＣＳ接続枚数計算ツール!$G$107/W$2&gt;=低温電圧!W3,1,0)</f>
        <v>1</v>
      </c>
      <c r="X3">
        <f>IF(HUAWEI製ＰＣＳ接続枚数計算ツール!$G$107/X$2&gt;=低温電圧!X3,1,0)</f>
        <v>1</v>
      </c>
      <c r="Y3">
        <f>IF(HUAWEI製ＰＣＳ接続枚数計算ツール!$G$107/Y$2&gt;=低温電圧!Y3,1,0)</f>
        <v>1</v>
      </c>
      <c r="Z3">
        <f>IF(HUAWEI製ＰＣＳ接続枚数計算ツール!$G$107/Z$2&gt;=低温電圧!Z3,1,0)</f>
        <v>1</v>
      </c>
      <c r="AA3">
        <f>IF(HUAWEI製ＰＣＳ接続枚数計算ツール!$G$107/AA$2&gt;=低温電圧!AA3,1,0)</f>
        <v>1</v>
      </c>
      <c r="AB3">
        <f>IF(HUAWEI製ＰＣＳ接続枚数計算ツール!$G$107/AB$2&gt;=低温電圧!AB3,1,0)</f>
        <v>0</v>
      </c>
      <c r="AC3">
        <f>IF(HUAWEI製ＰＣＳ接続枚数計算ツール!$G$107/AC$2&gt;=低温電圧!AC3,1,0)</f>
        <v>0</v>
      </c>
      <c r="AD3">
        <f>IF(HUAWEI製ＰＣＳ接続枚数計算ツール!$G$107/AD$2&gt;=低温電圧!AD3,1,0)</f>
        <v>0</v>
      </c>
      <c r="AE3">
        <f>IF(HUAWEI製ＰＣＳ接続枚数計算ツール!$G$107/AE$2&gt;=低温電圧!AE3,1,0)</f>
        <v>0</v>
      </c>
      <c r="AF3">
        <f>IF(HUAWEI製ＰＣＳ接続枚数計算ツール!$G$107/AF$2&gt;=低温電圧!AF3,1,0)</f>
        <v>0</v>
      </c>
      <c r="AG3">
        <f>IF(HUAWEI製ＰＣＳ接続枚数計算ツール!$G$107/AG$2&gt;=低温電圧!AG3,1,0)</f>
        <v>0</v>
      </c>
      <c r="AH3">
        <f>IF(HUAWEI製ＰＣＳ接続枚数計算ツール!$G$107/AH$2&gt;=低温電圧!AH3,1,0)</f>
        <v>0</v>
      </c>
      <c r="AI3">
        <f>IF(HUAWEI製ＰＣＳ接続枚数計算ツール!$G$107/AI$2&gt;=低温電圧!AI3,1,0)</f>
        <v>0</v>
      </c>
      <c r="AJ3">
        <f>IF(HUAWEI製ＰＣＳ接続枚数計算ツール!$G$107/AJ$2&gt;=低温電圧!AJ3,1,0)</f>
        <v>0</v>
      </c>
      <c r="AK3">
        <f>IF(HUAWEI製ＰＣＳ接続枚数計算ツール!$G$107/AK$2&gt;=低温電圧!AK3,1,0)</f>
        <v>0</v>
      </c>
      <c r="AL3">
        <f>IF(HUAWEI製ＰＣＳ接続枚数計算ツール!$G$107/AL$2&gt;=低温電圧!AL3,1,0)</f>
        <v>0</v>
      </c>
      <c r="AM3">
        <f>IF(HUAWEI製ＰＣＳ接続枚数計算ツール!$G$107/AM$2&gt;=低温電圧!AM3,1,0)</f>
        <v>0</v>
      </c>
      <c r="AN3">
        <f>IF(HUAWEI製ＰＣＳ接続枚数計算ツール!$G$107/AN$2&gt;=低温電圧!AN3,1,0)</f>
        <v>0</v>
      </c>
      <c r="AO3">
        <f>IF(HUAWEI製ＰＣＳ接続枚数計算ツール!$G$107/AO$2&gt;=低温電圧!AO3,1,0)</f>
        <v>0</v>
      </c>
    </row>
    <row r="4" spans="1:41">
      <c r="A4">
        <v>2</v>
      </c>
      <c r="B4">
        <f>IF(HUAWEI製ＰＣＳ接続枚数計算ツール!$G$107/B$2&gt;=低温電圧!B4,1,0)</f>
        <v>1</v>
      </c>
      <c r="C4">
        <f>IF(HUAWEI製ＰＣＳ接続枚数計算ツール!$G$107/C$2&gt;=低温電圧!C4,1,0)</f>
        <v>1</v>
      </c>
      <c r="D4">
        <f>IF(HUAWEI製ＰＣＳ接続枚数計算ツール!$G$107/D$2&gt;=低温電圧!D4,1,0)</f>
        <v>1</v>
      </c>
      <c r="E4">
        <f>IF(HUAWEI製ＰＣＳ接続枚数計算ツール!$G$107/E$2&gt;=低温電圧!E4,1,0)</f>
        <v>1</v>
      </c>
      <c r="F4">
        <f>IF(HUAWEI製ＰＣＳ接続枚数計算ツール!$G$107/F$2&gt;=低温電圧!F4,1,0)</f>
        <v>1</v>
      </c>
      <c r="G4">
        <f>IF(HUAWEI製ＰＣＳ接続枚数計算ツール!$G$107/G$2&gt;=低温電圧!G4,1,0)</f>
        <v>1</v>
      </c>
      <c r="H4">
        <f>IF(HUAWEI製ＰＣＳ接続枚数計算ツール!$G$107/H$2&gt;=低温電圧!H4,1,0)</f>
        <v>1</v>
      </c>
      <c r="I4">
        <f>IF(HUAWEI製ＰＣＳ接続枚数計算ツール!$G$107/I$2&gt;=低温電圧!I4,1,0)</f>
        <v>1</v>
      </c>
      <c r="J4">
        <f>IF(HUAWEI製ＰＣＳ接続枚数計算ツール!$G$107/J$2&gt;=低温電圧!J4,1,0)</f>
        <v>1</v>
      </c>
      <c r="K4">
        <f>IF(HUAWEI製ＰＣＳ接続枚数計算ツール!$G$107/K$2&gt;=低温電圧!K4,1,0)</f>
        <v>1</v>
      </c>
      <c r="L4">
        <f>IF(HUAWEI製ＰＣＳ接続枚数計算ツール!$G$107/L$2&gt;=低温電圧!L4,1,0)</f>
        <v>1</v>
      </c>
      <c r="M4">
        <f>IF(HUAWEI製ＰＣＳ接続枚数計算ツール!$G$107/M$2&gt;=低温電圧!M4,1,0)</f>
        <v>1</v>
      </c>
      <c r="N4">
        <f>IF(HUAWEI製ＰＣＳ接続枚数計算ツール!$G$107/N$2&gt;=低温電圧!N4,1,0)</f>
        <v>1</v>
      </c>
      <c r="O4">
        <f>IF(HUAWEI製ＰＣＳ接続枚数計算ツール!$G$107/O$2&gt;=低温電圧!O4,1,0)</f>
        <v>1</v>
      </c>
      <c r="P4">
        <f>IF(HUAWEI製ＰＣＳ接続枚数計算ツール!$G$107/P$2&gt;=低温電圧!P4,1,0)</f>
        <v>1</v>
      </c>
      <c r="Q4">
        <f>IF(HUAWEI製ＰＣＳ接続枚数計算ツール!$G$107/Q$2&gt;=低温電圧!Q4,1,0)</f>
        <v>1</v>
      </c>
      <c r="R4">
        <f>IF(HUAWEI製ＰＣＳ接続枚数計算ツール!$G$107/R$2&gt;=低温電圧!R4,1,0)</f>
        <v>1</v>
      </c>
      <c r="S4">
        <f>IF(HUAWEI製ＰＣＳ接続枚数計算ツール!$G$107/S$2&gt;=低温電圧!S4,1,0)</f>
        <v>1</v>
      </c>
      <c r="T4">
        <f>IF(HUAWEI製ＰＣＳ接続枚数計算ツール!$G$107/T$2&gt;=低温電圧!T4,1,0)</f>
        <v>1</v>
      </c>
      <c r="U4">
        <f>IF(HUAWEI製ＰＣＳ接続枚数計算ツール!$G$107/U$2&gt;=低温電圧!U4,1,0)</f>
        <v>1</v>
      </c>
      <c r="V4">
        <f>IF(HUAWEI製ＰＣＳ接続枚数計算ツール!$G$107/V$2&gt;=低温電圧!V4,1,0)</f>
        <v>1</v>
      </c>
      <c r="W4">
        <f>IF(HUAWEI製ＰＣＳ接続枚数計算ツール!$G$107/W$2&gt;=低温電圧!W4,1,0)</f>
        <v>1</v>
      </c>
      <c r="X4">
        <f>IF(HUAWEI製ＰＣＳ接続枚数計算ツール!$G$107/X$2&gt;=低温電圧!X4,1,0)</f>
        <v>1</v>
      </c>
      <c r="Y4">
        <f>IF(HUAWEI製ＰＣＳ接続枚数計算ツール!$G$107/Y$2&gt;=低温電圧!Y4,1,0)</f>
        <v>1</v>
      </c>
      <c r="Z4">
        <f>IF(HUAWEI製ＰＣＳ接続枚数計算ツール!$G$107/Z$2&gt;=低温電圧!Z4,1,0)</f>
        <v>1</v>
      </c>
      <c r="AA4">
        <f>IF(HUAWEI製ＰＣＳ接続枚数計算ツール!$G$107/AA$2&gt;=低温電圧!AA4,1,0)</f>
        <v>1</v>
      </c>
      <c r="AB4">
        <f>IF(HUAWEI製ＰＣＳ接続枚数計算ツール!$G$107/AB$2&gt;=低温電圧!AB4,1,0)</f>
        <v>0</v>
      </c>
      <c r="AC4">
        <f>IF(HUAWEI製ＰＣＳ接続枚数計算ツール!$G$107/AC$2&gt;=低温電圧!AC4,1,0)</f>
        <v>0</v>
      </c>
      <c r="AD4">
        <f>IF(HUAWEI製ＰＣＳ接続枚数計算ツール!$G$107/AD$2&gt;=低温電圧!AD4,1,0)</f>
        <v>0</v>
      </c>
      <c r="AE4">
        <f>IF(HUAWEI製ＰＣＳ接続枚数計算ツール!$G$107/AE$2&gt;=低温電圧!AE4,1,0)</f>
        <v>0</v>
      </c>
      <c r="AF4">
        <f>IF(HUAWEI製ＰＣＳ接続枚数計算ツール!$G$107/AF$2&gt;=低温電圧!AF4,1,0)</f>
        <v>0</v>
      </c>
      <c r="AG4">
        <f>IF(HUAWEI製ＰＣＳ接続枚数計算ツール!$G$107/AG$2&gt;=低温電圧!AG4,1,0)</f>
        <v>0</v>
      </c>
      <c r="AH4">
        <f>IF(HUAWEI製ＰＣＳ接続枚数計算ツール!$G$107/AH$2&gt;=低温電圧!AH4,1,0)</f>
        <v>0</v>
      </c>
      <c r="AI4">
        <f>IF(HUAWEI製ＰＣＳ接続枚数計算ツール!$G$107/AI$2&gt;=低温電圧!AI4,1,0)</f>
        <v>0</v>
      </c>
      <c r="AJ4">
        <f>IF(HUAWEI製ＰＣＳ接続枚数計算ツール!$G$107/AJ$2&gt;=低温電圧!AJ4,1,0)</f>
        <v>0</v>
      </c>
      <c r="AK4">
        <f>IF(HUAWEI製ＰＣＳ接続枚数計算ツール!$G$107/AK$2&gt;=低温電圧!AK4,1,0)</f>
        <v>0</v>
      </c>
      <c r="AL4">
        <f>IF(HUAWEI製ＰＣＳ接続枚数計算ツール!$G$107/AL$2&gt;=低温電圧!AL4,1,0)</f>
        <v>0</v>
      </c>
      <c r="AM4">
        <f>IF(HUAWEI製ＰＣＳ接続枚数計算ツール!$G$107/AM$2&gt;=低温電圧!AM4,1,0)</f>
        <v>0</v>
      </c>
      <c r="AN4">
        <f>IF(HUAWEI製ＰＣＳ接続枚数計算ツール!$G$107/AN$2&gt;=低温電圧!AN4,1,0)</f>
        <v>0</v>
      </c>
      <c r="AO4">
        <f>IF(HUAWEI製ＰＣＳ接続枚数計算ツール!$G$107/AO$2&gt;=低温電圧!AO4,1,0)</f>
        <v>0</v>
      </c>
    </row>
    <row r="5" spans="1:41">
      <c r="A5">
        <v>3</v>
      </c>
      <c r="B5">
        <f>IF(HUAWEI製ＰＣＳ接続枚数計算ツール!$G$107/B$2&gt;=低温電圧!B5,1,0)</f>
        <v>1</v>
      </c>
      <c r="C5">
        <f>IF(HUAWEI製ＰＣＳ接続枚数計算ツール!$G$107/C$2&gt;=低温電圧!C5,1,0)</f>
        <v>1</v>
      </c>
      <c r="D5">
        <f>IF(HUAWEI製ＰＣＳ接続枚数計算ツール!$G$107/D$2&gt;=低温電圧!D5,1,0)</f>
        <v>1</v>
      </c>
      <c r="E5">
        <f>IF(HUAWEI製ＰＣＳ接続枚数計算ツール!$G$107/E$2&gt;=低温電圧!E5,1,0)</f>
        <v>1</v>
      </c>
      <c r="F5">
        <f>IF(HUAWEI製ＰＣＳ接続枚数計算ツール!$G$107/F$2&gt;=低温電圧!F5,1,0)</f>
        <v>1</v>
      </c>
      <c r="G5">
        <f>IF(HUAWEI製ＰＣＳ接続枚数計算ツール!$G$107/G$2&gt;=低温電圧!G5,1,0)</f>
        <v>1</v>
      </c>
      <c r="H5">
        <f>IF(HUAWEI製ＰＣＳ接続枚数計算ツール!$G$107/H$2&gt;=低温電圧!H5,1,0)</f>
        <v>1</v>
      </c>
      <c r="I5">
        <f>IF(HUAWEI製ＰＣＳ接続枚数計算ツール!$G$107/I$2&gt;=低温電圧!I5,1,0)</f>
        <v>1</v>
      </c>
      <c r="J5">
        <f>IF(HUAWEI製ＰＣＳ接続枚数計算ツール!$G$107/J$2&gt;=低温電圧!J5,1,0)</f>
        <v>1</v>
      </c>
      <c r="K5">
        <f>IF(HUAWEI製ＰＣＳ接続枚数計算ツール!$G$107/K$2&gt;=低温電圧!K5,1,0)</f>
        <v>1</v>
      </c>
      <c r="L5">
        <f>IF(HUAWEI製ＰＣＳ接続枚数計算ツール!$G$107/L$2&gt;=低温電圧!L5,1,0)</f>
        <v>1</v>
      </c>
      <c r="M5">
        <f>IF(HUAWEI製ＰＣＳ接続枚数計算ツール!$G$107/M$2&gt;=低温電圧!M5,1,0)</f>
        <v>1</v>
      </c>
      <c r="N5">
        <f>IF(HUAWEI製ＰＣＳ接続枚数計算ツール!$G$107/N$2&gt;=低温電圧!N5,1,0)</f>
        <v>1</v>
      </c>
      <c r="O5">
        <f>IF(HUAWEI製ＰＣＳ接続枚数計算ツール!$G$107/O$2&gt;=低温電圧!O5,1,0)</f>
        <v>1</v>
      </c>
      <c r="P5">
        <f>IF(HUAWEI製ＰＣＳ接続枚数計算ツール!$G$107/P$2&gt;=低温電圧!P5,1,0)</f>
        <v>1</v>
      </c>
      <c r="Q5">
        <f>IF(HUAWEI製ＰＣＳ接続枚数計算ツール!$G$107/Q$2&gt;=低温電圧!Q5,1,0)</f>
        <v>1</v>
      </c>
      <c r="R5">
        <f>IF(HUAWEI製ＰＣＳ接続枚数計算ツール!$G$107/R$2&gt;=低温電圧!R5,1,0)</f>
        <v>1</v>
      </c>
      <c r="S5">
        <f>IF(HUAWEI製ＰＣＳ接続枚数計算ツール!$G$107/S$2&gt;=低温電圧!S5,1,0)</f>
        <v>1</v>
      </c>
      <c r="T5">
        <f>IF(HUAWEI製ＰＣＳ接続枚数計算ツール!$G$107/T$2&gt;=低温電圧!T5,1,0)</f>
        <v>1</v>
      </c>
      <c r="U5">
        <f>IF(HUAWEI製ＰＣＳ接続枚数計算ツール!$G$107/U$2&gt;=低温電圧!U5,1,0)</f>
        <v>1</v>
      </c>
      <c r="V5">
        <f>IF(HUAWEI製ＰＣＳ接続枚数計算ツール!$G$107/V$2&gt;=低温電圧!V5,1,0)</f>
        <v>1</v>
      </c>
      <c r="W5">
        <f>IF(HUAWEI製ＰＣＳ接続枚数計算ツール!$G$107/W$2&gt;=低温電圧!W5,1,0)</f>
        <v>1</v>
      </c>
      <c r="X5">
        <f>IF(HUAWEI製ＰＣＳ接続枚数計算ツール!$G$107/X$2&gt;=低温電圧!X5,1,0)</f>
        <v>1</v>
      </c>
      <c r="Y5">
        <f>IF(HUAWEI製ＰＣＳ接続枚数計算ツール!$G$107/Y$2&gt;=低温電圧!Y5,1,0)</f>
        <v>1</v>
      </c>
      <c r="Z5">
        <f>IF(HUAWEI製ＰＣＳ接続枚数計算ツール!$G$107/Z$2&gt;=低温電圧!Z5,1,0)</f>
        <v>1</v>
      </c>
      <c r="AA5">
        <f>IF(HUAWEI製ＰＣＳ接続枚数計算ツール!$G$107/AA$2&gt;=低温電圧!AA5,1,0)</f>
        <v>1</v>
      </c>
      <c r="AB5">
        <f>IF(HUAWEI製ＰＣＳ接続枚数計算ツール!$G$107/AB$2&gt;=低温電圧!AB5,1,0)</f>
        <v>0</v>
      </c>
      <c r="AC5">
        <f>IF(HUAWEI製ＰＣＳ接続枚数計算ツール!$G$107/AC$2&gt;=低温電圧!AC5,1,0)</f>
        <v>0</v>
      </c>
      <c r="AD5">
        <f>IF(HUAWEI製ＰＣＳ接続枚数計算ツール!$G$107/AD$2&gt;=低温電圧!AD5,1,0)</f>
        <v>0</v>
      </c>
      <c r="AE5">
        <f>IF(HUAWEI製ＰＣＳ接続枚数計算ツール!$G$107/AE$2&gt;=低温電圧!AE5,1,0)</f>
        <v>0</v>
      </c>
      <c r="AF5">
        <f>IF(HUAWEI製ＰＣＳ接続枚数計算ツール!$G$107/AF$2&gt;=低温電圧!AF5,1,0)</f>
        <v>0</v>
      </c>
      <c r="AG5">
        <f>IF(HUAWEI製ＰＣＳ接続枚数計算ツール!$G$107/AG$2&gt;=低温電圧!AG5,1,0)</f>
        <v>0</v>
      </c>
      <c r="AH5">
        <f>IF(HUAWEI製ＰＣＳ接続枚数計算ツール!$G$107/AH$2&gt;=低温電圧!AH5,1,0)</f>
        <v>0</v>
      </c>
      <c r="AI5">
        <f>IF(HUAWEI製ＰＣＳ接続枚数計算ツール!$G$107/AI$2&gt;=低温電圧!AI5,1,0)</f>
        <v>0</v>
      </c>
      <c r="AJ5">
        <f>IF(HUAWEI製ＰＣＳ接続枚数計算ツール!$G$107/AJ$2&gt;=低温電圧!AJ5,1,0)</f>
        <v>0</v>
      </c>
      <c r="AK5">
        <f>IF(HUAWEI製ＰＣＳ接続枚数計算ツール!$G$107/AK$2&gt;=低温電圧!AK5,1,0)</f>
        <v>0</v>
      </c>
      <c r="AL5">
        <f>IF(HUAWEI製ＰＣＳ接続枚数計算ツール!$G$107/AL$2&gt;=低温電圧!AL5,1,0)</f>
        <v>0</v>
      </c>
      <c r="AM5">
        <f>IF(HUAWEI製ＰＣＳ接続枚数計算ツール!$G$107/AM$2&gt;=低温電圧!AM5,1,0)</f>
        <v>0</v>
      </c>
      <c r="AN5">
        <f>IF(HUAWEI製ＰＣＳ接続枚数計算ツール!$G$107/AN$2&gt;=低温電圧!AN5,1,0)</f>
        <v>0</v>
      </c>
      <c r="AO5">
        <f>IF(HUAWEI製ＰＣＳ接続枚数計算ツール!$G$107/AO$2&gt;=低温電圧!AO5,1,0)</f>
        <v>0</v>
      </c>
    </row>
    <row r="6" spans="1:41">
      <c r="A6">
        <v>4</v>
      </c>
      <c r="B6">
        <f>IF(HUAWEI製ＰＣＳ接続枚数計算ツール!$G$107/B$2&gt;=低温電圧!B6,1,0)</f>
        <v>1</v>
      </c>
      <c r="C6">
        <f>IF(HUAWEI製ＰＣＳ接続枚数計算ツール!$G$107/C$2&gt;=低温電圧!C6,1,0)</f>
        <v>1</v>
      </c>
      <c r="D6">
        <f>IF(HUAWEI製ＰＣＳ接続枚数計算ツール!$G$107/D$2&gt;=低温電圧!D6,1,0)</f>
        <v>1</v>
      </c>
      <c r="E6">
        <f>IF(HUAWEI製ＰＣＳ接続枚数計算ツール!$G$107/E$2&gt;=低温電圧!E6,1,0)</f>
        <v>1</v>
      </c>
      <c r="F6">
        <f>IF(HUAWEI製ＰＣＳ接続枚数計算ツール!$G$107/F$2&gt;=低温電圧!F6,1,0)</f>
        <v>1</v>
      </c>
      <c r="G6">
        <f>IF(HUAWEI製ＰＣＳ接続枚数計算ツール!$G$107/G$2&gt;=低温電圧!G6,1,0)</f>
        <v>1</v>
      </c>
      <c r="H6">
        <f>IF(HUAWEI製ＰＣＳ接続枚数計算ツール!$G$107/H$2&gt;=低温電圧!H6,1,0)</f>
        <v>1</v>
      </c>
      <c r="I6">
        <f>IF(HUAWEI製ＰＣＳ接続枚数計算ツール!$G$107/I$2&gt;=低温電圧!I6,1,0)</f>
        <v>1</v>
      </c>
      <c r="J6">
        <f>IF(HUAWEI製ＰＣＳ接続枚数計算ツール!$G$107/J$2&gt;=低温電圧!J6,1,0)</f>
        <v>1</v>
      </c>
      <c r="K6">
        <f>IF(HUAWEI製ＰＣＳ接続枚数計算ツール!$G$107/K$2&gt;=低温電圧!K6,1,0)</f>
        <v>1</v>
      </c>
      <c r="L6">
        <f>IF(HUAWEI製ＰＣＳ接続枚数計算ツール!$G$107/L$2&gt;=低温電圧!L6,1,0)</f>
        <v>1</v>
      </c>
      <c r="M6">
        <f>IF(HUAWEI製ＰＣＳ接続枚数計算ツール!$G$107/M$2&gt;=低温電圧!M6,1,0)</f>
        <v>1</v>
      </c>
      <c r="N6">
        <f>IF(HUAWEI製ＰＣＳ接続枚数計算ツール!$G$107/N$2&gt;=低温電圧!N6,1,0)</f>
        <v>1</v>
      </c>
      <c r="O6">
        <f>IF(HUAWEI製ＰＣＳ接続枚数計算ツール!$G$107/O$2&gt;=低温電圧!O6,1,0)</f>
        <v>1</v>
      </c>
      <c r="P6">
        <f>IF(HUAWEI製ＰＣＳ接続枚数計算ツール!$G$107/P$2&gt;=低温電圧!P6,1,0)</f>
        <v>1</v>
      </c>
      <c r="Q6">
        <f>IF(HUAWEI製ＰＣＳ接続枚数計算ツール!$G$107/Q$2&gt;=低温電圧!Q6,1,0)</f>
        <v>1</v>
      </c>
      <c r="R6">
        <f>IF(HUAWEI製ＰＣＳ接続枚数計算ツール!$G$107/R$2&gt;=低温電圧!R6,1,0)</f>
        <v>1</v>
      </c>
      <c r="S6">
        <f>IF(HUAWEI製ＰＣＳ接続枚数計算ツール!$G$107/S$2&gt;=低温電圧!S6,1,0)</f>
        <v>1</v>
      </c>
      <c r="T6">
        <f>IF(HUAWEI製ＰＣＳ接続枚数計算ツール!$G$107/T$2&gt;=低温電圧!T6,1,0)</f>
        <v>1</v>
      </c>
      <c r="U6">
        <f>IF(HUAWEI製ＰＣＳ接続枚数計算ツール!$G$107/U$2&gt;=低温電圧!U6,1,0)</f>
        <v>1</v>
      </c>
      <c r="V6">
        <f>IF(HUAWEI製ＰＣＳ接続枚数計算ツール!$G$107/V$2&gt;=低温電圧!V6,1,0)</f>
        <v>1</v>
      </c>
      <c r="W6">
        <f>IF(HUAWEI製ＰＣＳ接続枚数計算ツール!$G$107/W$2&gt;=低温電圧!W6,1,0)</f>
        <v>1</v>
      </c>
      <c r="X6">
        <f>IF(HUAWEI製ＰＣＳ接続枚数計算ツール!$G$107/X$2&gt;=低温電圧!X6,1,0)</f>
        <v>1</v>
      </c>
      <c r="Y6">
        <f>IF(HUAWEI製ＰＣＳ接続枚数計算ツール!$G$107/Y$2&gt;=低温電圧!Y6,1,0)</f>
        <v>1</v>
      </c>
      <c r="Z6">
        <f>IF(HUAWEI製ＰＣＳ接続枚数計算ツール!$G$107/Z$2&gt;=低温電圧!Z6,1,0)</f>
        <v>1</v>
      </c>
      <c r="AA6">
        <f>IF(HUAWEI製ＰＣＳ接続枚数計算ツール!$G$107/AA$2&gt;=低温電圧!AA6,1,0)</f>
        <v>1</v>
      </c>
      <c r="AB6">
        <f>IF(HUAWEI製ＰＣＳ接続枚数計算ツール!$G$107/AB$2&gt;=低温電圧!AB6,1,0)</f>
        <v>0</v>
      </c>
      <c r="AC6">
        <f>IF(HUAWEI製ＰＣＳ接続枚数計算ツール!$G$107/AC$2&gt;=低温電圧!AC6,1,0)</f>
        <v>0</v>
      </c>
      <c r="AD6">
        <f>IF(HUAWEI製ＰＣＳ接続枚数計算ツール!$G$107/AD$2&gt;=低温電圧!AD6,1,0)</f>
        <v>0</v>
      </c>
      <c r="AE6">
        <f>IF(HUAWEI製ＰＣＳ接続枚数計算ツール!$G$107/AE$2&gt;=低温電圧!AE6,1,0)</f>
        <v>0</v>
      </c>
      <c r="AF6">
        <f>IF(HUAWEI製ＰＣＳ接続枚数計算ツール!$G$107/AF$2&gt;=低温電圧!AF6,1,0)</f>
        <v>0</v>
      </c>
      <c r="AG6">
        <f>IF(HUAWEI製ＰＣＳ接続枚数計算ツール!$G$107/AG$2&gt;=低温電圧!AG6,1,0)</f>
        <v>0</v>
      </c>
      <c r="AH6">
        <f>IF(HUAWEI製ＰＣＳ接続枚数計算ツール!$G$107/AH$2&gt;=低温電圧!AH6,1,0)</f>
        <v>0</v>
      </c>
      <c r="AI6">
        <f>IF(HUAWEI製ＰＣＳ接続枚数計算ツール!$G$107/AI$2&gt;=低温電圧!AI6,1,0)</f>
        <v>0</v>
      </c>
      <c r="AJ6">
        <f>IF(HUAWEI製ＰＣＳ接続枚数計算ツール!$G$107/AJ$2&gt;=低温電圧!AJ6,1,0)</f>
        <v>0</v>
      </c>
      <c r="AK6">
        <f>IF(HUAWEI製ＰＣＳ接続枚数計算ツール!$G$107/AK$2&gt;=低温電圧!AK6,1,0)</f>
        <v>0</v>
      </c>
      <c r="AL6">
        <f>IF(HUAWEI製ＰＣＳ接続枚数計算ツール!$G$107/AL$2&gt;=低温電圧!AL6,1,0)</f>
        <v>0</v>
      </c>
      <c r="AM6">
        <f>IF(HUAWEI製ＰＣＳ接続枚数計算ツール!$G$107/AM$2&gt;=低温電圧!AM6,1,0)</f>
        <v>0</v>
      </c>
      <c r="AN6">
        <f>IF(HUAWEI製ＰＣＳ接続枚数計算ツール!$G$107/AN$2&gt;=低温電圧!AN6,1,0)</f>
        <v>0</v>
      </c>
      <c r="AO6">
        <f>IF(HUAWEI製ＰＣＳ接続枚数計算ツール!$G$107/AO$2&gt;=低温電圧!AO6,1,0)</f>
        <v>0</v>
      </c>
    </row>
    <row r="7" spans="1:41">
      <c r="A7">
        <v>5</v>
      </c>
      <c r="B7">
        <f>IF(HUAWEI製ＰＣＳ接続枚数計算ツール!$G$107/B$2&gt;=低温電圧!B7,1,0)</f>
        <v>1</v>
      </c>
      <c r="C7">
        <f>IF(HUAWEI製ＰＣＳ接続枚数計算ツール!$G$107/C$2&gt;=低温電圧!C7,1,0)</f>
        <v>1</v>
      </c>
      <c r="D7">
        <f>IF(HUAWEI製ＰＣＳ接続枚数計算ツール!$G$107/D$2&gt;=低温電圧!D7,1,0)</f>
        <v>1</v>
      </c>
      <c r="E7">
        <f>IF(HUAWEI製ＰＣＳ接続枚数計算ツール!$G$107/E$2&gt;=低温電圧!E7,1,0)</f>
        <v>1</v>
      </c>
      <c r="F7">
        <f>IF(HUAWEI製ＰＣＳ接続枚数計算ツール!$G$107/F$2&gt;=低温電圧!F7,1,0)</f>
        <v>1</v>
      </c>
      <c r="G7">
        <f>IF(HUAWEI製ＰＣＳ接続枚数計算ツール!$G$107/G$2&gt;=低温電圧!G7,1,0)</f>
        <v>1</v>
      </c>
      <c r="H7">
        <f>IF(HUAWEI製ＰＣＳ接続枚数計算ツール!$G$107/H$2&gt;=低温電圧!H7,1,0)</f>
        <v>1</v>
      </c>
      <c r="I7">
        <f>IF(HUAWEI製ＰＣＳ接続枚数計算ツール!$G$107/I$2&gt;=低温電圧!I7,1,0)</f>
        <v>1</v>
      </c>
      <c r="J7">
        <f>IF(HUAWEI製ＰＣＳ接続枚数計算ツール!$G$107/J$2&gt;=低温電圧!J7,1,0)</f>
        <v>1</v>
      </c>
      <c r="K7">
        <f>IF(HUAWEI製ＰＣＳ接続枚数計算ツール!$G$107/K$2&gt;=低温電圧!K7,1,0)</f>
        <v>1</v>
      </c>
      <c r="L7">
        <f>IF(HUAWEI製ＰＣＳ接続枚数計算ツール!$G$107/L$2&gt;=低温電圧!L7,1,0)</f>
        <v>1</v>
      </c>
      <c r="M7">
        <f>IF(HUAWEI製ＰＣＳ接続枚数計算ツール!$G$107/M$2&gt;=低温電圧!M7,1,0)</f>
        <v>1</v>
      </c>
      <c r="N7">
        <f>IF(HUAWEI製ＰＣＳ接続枚数計算ツール!$G$107/N$2&gt;=低温電圧!N7,1,0)</f>
        <v>1</v>
      </c>
      <c r="O7">
        <f>IF(HUAWEI製ＰＣＳ接続枚数計算ツール!$G$107/O$2&gt;=低温電圧!O7,1,0)</f>
        <v>1</v>
      </c>
      <c r="P7">
        <f>IF(HUAWEI製ＰＣＳ接続枚数計算ツール!$G$107/P$2&gt;=低温電圧!P7,1,0)</f>
        <v>1</v>
      </c>
      <c r="Q7">
        <f>IF(HUAWEI製ＰＣＳ接続枚数計算ツール!$G$107/Q$2&gt;=低温電圧!Q7,1,0)</f>
        <v>1</v>
      </c>
      <c r="R7">
        <f>IF(HUAWEI製ＰＣＳ接続枚数計算ツール!$G$107/R$2&gt;=低温電圧!R7,1,0)</f>
        <v>1</v>
      </c>
      <c r="S7">
        <f>IF(HUAWEI製ＰＣＳ接続枚数計算ツール!$G$107/S$2&gt;=低温電圧!S7,1,0)</f>
        <v>1</v>
      </c>
      <c r="T7">
        <f>IF(HUAWEI製ＰＣＳ接続枚数計算ツール!$G$107/T$2&gt;=低温電圧!T7,1,0)</f>
        <v>1</v>
      </c>
      <c r="U7">
        <f>IF(HUAWEI製ＰＣＳ接続枚数計算ツール!$G$107/U$2&gt;=低温電圧!U7,1,0)</f>
        <v>1</v>
      </c>
      <c r="V7">
        <f>IF(HUAWEI製ＰＣＳ接続枚数計算ツール!$G$107/V$2&gt;=低温電圧!V7,1,0)</f>
        <v>1</v>
      </c>
      <c r="W7">
        <f>IF(HUAWEI製ＰＣＳ接続枚数計算ツール!$G$107/W$2&gt;=低温電圧!W7,1,0)</f>
        <v>1</v>
      </c>
      <c r="X7">
        <f>IF(HUAWEI製ＰＣＳ接続枚数計算ツール!$G$107/X$2&gt;=低温電圧!X7,1,0)</f>
        <v>1</v>
      </c>
      <c r="Y7">
        <f>IF(HUAWEI製ＰＣＳ接続枚数計算ツール!$G$107/Y$2&gt;=低温電圧!Y7,1,0)</f>
        <v>1</v>
      </c>
      <c r="Z7">
        <f>IF(HUAWEI製ＰＣＳ接続枚数計算ツール!$G$107/Z$2&gt;=低温電圧!Z7,1,0)</f>
        <v>1</v>
      </c>
      <c r="AA7">
        <f>IF(HUAWEI製ＰＣＳ接続枚数計算ツール!$G$107/AA$2&gt;=低温電圧!AA7,1,0)</f>
        <v>1</v>
      </c>
      <c r="AB7">
        <f>IF(HUAWEI製ＰＣＳ接続枚数計算ツール!$G$107/AB$2&gt;=低温電圧!AB7,1,0)</f>
        <v>0</v>
      </c>
      <c r="AC7">
        <f>IF(HUAWEI製ＰＣＳ接続枚数計算ツール!$G$107/AC$2&gt;=低温電圧!AC7,1,0)</f>
        <v>0</v>
      </c>
      <c r="AD7">
        <f>IF(HUAWEI製ＰＣＳ接続枚数計算ツール!$G$107/AD$2&gt;=低温電圧!AD7,1,0)</f>
        <v>0</v>
      </c>
      <c r="AE7">
        <f>IF(HUAWEI製ＰＣＳ接続枚数計算ツール!$G$107/AE$2&gt;=低温電圧!AE7,1,0)</f>
        <v>0</v>
      </c>
      <c r="AF7">
        <f>IF(HUAWEI製ＰＣＳ接続枚数計算ツール!$G$107/AF$2&gt;=低温電圧!AF7,1,0)</f>
        <v>0</v>
      </c>
      <c r="AG7">
        <f>IF(HUAWEI製ＰＣＳ接続枚数計算ツール!$G$107/AG$2&gt;=低温電圧!AG7,1,0)</f>
        <v>0</v>
      </c>
      <c r="AH7">
        <f>IF(HUAWEI製ＰＣＳ接続枚数計算ツール!$G$107/AH$2&gt;=低温電圧!AH7,1,0)</f>
        <v>0</v>
      </c>
      <c r="AI7">
        <f>IF(HUAWEI製ＰＣＳ接続枚数計算ツール!$G$107/AI$2&gt;=低温電圧!AI7,1,0)</f>
        <v>0</v>
      </c>
      <c r="AJ7">
        <f>IF(HUAWEI製ＰＣＳ接続枚数計算ツール!$G$107/AJ$2&gt;=低温電圧!AJ7,1,0)</f>
        <v>0</v>
      </c>
      <c r="AK7">
        <f>IF(HUAWEI製ＰＣＳ接続枚数計算ツール!$G$107/AK$2&gt;=低温電圧!AK7,1,0)</f>
        <v>0</v>
      </c>
      <c r="AL7">
        <f>IF(HUAWEI製ＰＣＳ接続枚数計算ツール!$G$107/AL$2&gt;=低温電圧!AL7,1,0)</f>
        <v>0</v>
      </c>
      <c r="AM7">
        <f>IF(HUAWEI製ＰＣＳ接続枚数計算ツール!$G$107/AM$2&gt;=低温電圧!AM7,1,0)</f>
        <v>0</v>
      </c>
      <c r="AN7">
        <f>IF(HUAWEI製ＰＣＳ接続枚数計算ツール!$G$107/AN$2&gt;=低温電圧!AN7,1,0)</f>
        <v>0</v>
      </c>
      <c r="AO7">
        <f>IF(HUAWEI製ＰＣＳ接続枚数計算ツール!$G$107/AO$2&gt;=低温電圧!AO7,1,0)</f>
        <v>0</v>
      </c>
    </row>
    <row r="8" spans="1:41">
      <c r="A8">
        <v>6</v>
      </c>
      <c r="B8">
        <f>IF(HUAWEI製ＰＣＳ接続枚数計算ツール!$G$107/B$2&gt;=低温電圧!B8,1,0)</f>
        <v>1</v>
      </c>
      <c r="C8">
        <f>IF(HUAWEI製ＰＣＳ接続枚数計算ツール!$G$107/C$2&gt;=低温電圧!C8,1,0)</f>
        <v>1</v>
      </c>
      <c r="D8">
        <f>IF(HUAWEI製ＰＣＳ接続枚数計算ツール!$G$107/D$2&gt;=低温電圧!D8,1,0)</f>
        <v>1</v>
      </c>
      <c r="E8">
        <f>IF(HUAWEI製ＰＣＳ接続枚数計算ツール!$G$107/E$2&gt;=低温電圧!E8,1,0)</f>
        <v>1</v>
      </c>
      <c r="F8">
        <f>IF(HUAWEI製ＰＣＳ接続枚数計算ツール!$G$107/F$2&gt;=低温電圧!F8,1,0)</f>
        <v>1</v>
      </c>
      <c r="G8">
        <f>IF(HUAWEI製ＰＣＳ接続枚数計算ツール!$G$107/G$2&gt;=低温電圧!G8,1,0)</f>
        <v>1</v>
      </c>
      <c r="H8">
        <f>IF(HUAWEI製ＰＣＳ接続枚数計算ツール!$G$107/H$2&gt;=低温電圧!H8,1,0)</f>
        <v>1</v>
      </c>
      <c r="I8">
        <f>IF(HUAWEI製ＰＣＳ接続枚数計算ツール!$G$107/I$2&gt;=低温電圧!I8,1,0)</f>
        <v>1</v>
      </c>
      <c r="J8">
        <f>IF(HUAWEI製ＰＣＳ接続枚数計算ツール!$G$107/J$2&gt;=低温電圧!J8,1,0)</f>
        <v>1</v>
      </c>
      <c r="K8">
        <f>IF(HUAWEI製ＰＣＳ接続枚数計算ツール!$G$107/K$2&gt;=低温電圧!K8,1,0)</f>
        <v>1</v>
      </c>
      <c r="L8">
        <f>IF(HUAWEI製ＰＣＳ接続枚数計算ツール!$G$107/L$2&gt;=低温電圧!L8,1,0)</f>
        <v>1</v>
      </c>
      <c r="M8">
        <f>IF(HUAWEI製ＰＣＳ接続枚数計算ツール!$G$107/M$2&gt;=低温電圧!M8,1,0)</f>
        <v>1</v>
      </c>
      <c r="N8">
        <f>IF(HUAWEI製ＰＣＳ接続枚数計算ツール!$G$107/N$2&gt;=低温電圧!N8,1,0)</f>
        <v>1</v>
      </c>
      <c r="O8">
        <f>IF(HUAWEI製ＰＣＳ接続枚数計算ツール!$G$107/O$2&gt;=低温電圧!O8,1,0)</f>
        <v>1</v>
      </c>
      <c r="P8">
        <f>IF(HUAWEI製ＰＣＳ接続枚数計算ツール!$G$107/P$2&gt;=低温電圧!P8,1,0)</f>
        <v>1</v>
      </c>
      <c r="Q8">
        <f>IF(HUAWEI製ＰＣＳ接続枚数計算ツール!$G$107/Q$2&gt;=低温電圧!Q8,1,0)</f>
        <v>1</v>
      </c>
      <c r="R8">
        <f>IF(HUAWEI製ＰＣＳ接続枚数計算ツール!$G$107/R$2&gt;=低温電圧!R8,1,0)</f>
        <v>1</v>
      </c>
      <c r="S8">
        <f>IF(HUAWEI製ＰＣＳ接続枚数計算ツール!$G$107/S$2&gt;=低温電圧!S8,1,0)</f>
        <v>1</v>
      </c>
      <c r="T8">
        <f>IF(HUAWEI製ＰＣＳ接続枚数計算ツール!$G$107/T$2&gt;=低温電圧!T8,1,0)</f>
        <v>1</v>
      </c>
      <c r="U8">
        <f>IF(HUAWEI製ＰＣＳ接続枚数計算ツール!$G$107/U$2&gt;=低温電圧!U8,1,0)</f>
        <v>1</v>
      </c>
      <c r="V8">
        <f>IF(HUAWEI製ＰＣＳ接続枚数計算ツール!$G$107/V$2&gt;=低温電圧!V8,1,0)</f>
        <v>1</v>
      </c>
      <c r="W8">
        <f>IF(HUAWEI製ＰＣＳ接続枚数計算ツール!$G$107/W$2&gt;=低温電圧!W8,1,0)</f>
        <v>1</v>
      </c>
      <c r="X8">
        <f>IF(HUAWEI製ＰＣＳ接続枚数計算ツール!$G$107/X$2&gt;=低温電圧!X8,1,0)</f>
        <v>1</v>
      </c>
      <c r="Y8">
        <f>IF(HUAWEI製ＰＣＳ接続枚数計算ツール!$G$107/Y$2&gt;=低温電圧!Y8,1,0)</f>
        <v>1</v>
      </c>
      <c r="Z8">
        <f>IF(HUAWEI製ＰＣＳ接続枚数計算ツール!$G$107/Z$2&gt;=低温電圧!Z8,1,0)</f>
        <v>1</v>
      </c>
      <c r="AA8">
        <f>IF(HUAWEI製ＰＣＳ接続枚数計算ツール!$G$107/AA$2&gt;=低温電圧!AA8,1,0)</f>
        <v>1</v>
      </c>
      <c r="AB8">
        <f>IF(HUAWEI製ＰＣＳ接続枚数計算ツール!$G$107/AB$2&gt;=低温電圧!AB8,1,0)</f>
        <v>0</v>
      </c>
      <c r="AC8">
        <f>IF(HUAWEI製ＰＣＳ接続枚数計算ツール!$G$107/AC$2&gt;=低温電圧!AC8,1,0)</f>
        <v>0</v>
      </c>
      <c r="AD8">
        <f>IF(HUAWEI製ＰＣＳ接続枚数計算ツール!$G$107/AD$2&gt;=低温電圧!AD8,1,0)</f>
        <v>0</v>
      </c>
      <c r="AE8">
        <f>IF(HUAWEI製ＰＣＳ接続枚数計算ツール!$G$107/AE$2&gt;=低温電圧!AE8,1,0)</f>
        <v>0</v>
      </c>
      <c r="AF8">
        <f>IF(HUAWEI製ＰＣＳ接続枚数計算ツール!$G$107/AF$2&gt;=低温電圧!AF8,1,0)</f>
        <v>0</v>
      </c>
      <c r="AG8">
        <f>IF(HUAWEI製ＰＣＳ接続枚数計算ツール!$G$107/AG$2&gt;=低温電圧!AG8,1,0)</f>
        <v>0</v>
      </c>
      <c r="AH8">
        <f>IF(HUAWEI製ＰＣＳ接続枚数計算ツール!$G$107/AH$2&gt;=低温電圧!AH8,1,0)</f>
        <v>0</v>
      </c>
      <c r="AI8">
        <f>IF(HUAWEI製ＰＣＳ接続枚数計算ツール!$G$107/AI$2&gt;=低温電圧!AI8,1,0)</f>
        <v>0</v>
      </c>
      <c r="AJ8">
        <f>IF(HUAWEI製ＰＣＳ接続枚数計算ツール!$G$107/AJ$2&gt;=低温電圧!AJ8,1,0)</f>
        <v>0</v>
      </c>
      <c r="AK8">
        <f>IF(HUAWEI製ＰＣＳ接続枚数計算ツール!$G$107/AK$2&gt;=低温電圧!AK8,1,0)</f>
        <v>0</v>
      </c>
      <c r="AL8">
        <f>IF(HUAWEI製ＰＣＳ接続枚数計算ツール!$G$107/AL$2&gt;=低温電圧!AL8,1,0)</f>
        <v>0</v>
      </c>
      <c r="AM8">
        <f>IF(HUAWEI製ＰＣＳ接続枚数計算ツール!$G$107/AM$2&gt;=低温電圧!AM8,1,0)</f>
        <v>0</v>
      </c>
      <c r="AN8">
        <f>IF(HUAWEI製ＰＣＳ接続枚数計算ツール!$G$107/AN$2&gt;=低温電圧!AN8,1,0)</f>
        <v>0</v>
      </c>
      <c r="AO8">
        <f>IF(HUAWEI製ＰＣＳ接続枚数計算ツール!$G$107/AO$2&gt;=低温電圧!AO8,1,0)</f>
        <v>0</v>
      </c>
    </row>
    <row r="9" spans="1:41">
      <c r="A9">
        <v>7</v>
      </c>
      <c r="B9">
        <f>IF(HUAWEI製ＰＣＳ接続枚数計算ツール!$G$107/B$2&gt;=低温電圧!B9,1,0)</f>
        <v>1</v>
      </c>
      <c r="C9">
        <f>IF(HUAWEI製ＰＣＳ接続枚数計算ツール!$G$107/C$2&gt;=低温電圧!C9,1,0)</f>
        <v>1</v>
      </c>
      <c r="D9">
        <f>IF(HUAWEI製ＰＣＳ接続枚数計算ツール!$G$107/D$2&gt;=低温電圧!D9,1,0)</f>
        <v>1</v>
      </c>
      <c r="E9">
        <f>IF(HUAWEI製ＰＣＳ接続枚数計算ツール!$G$107/E$2&gt;=低温電圧!E9,1,0)</f>
        <v>1</v>
      </c>
      <c r="F9">
        <f>IF(HUAWEI製ＰＣＳ接続枚数計算ツール!$G$107/F$2&gt;=低温電圧!F9,1,0)</f>
        <v>1</v>
      </c>
      <c r="G9">
        <f>IF(HUAWEI製ＰＣＳ接続枚数計算ツール!$G$107/G$2&gt;=低温電圧!G9,1,0)</f>
        <v>1</v>
      </c>
      <c r="H9">
        <f>IF(HUAWEI製ＰＣＳ接続枚数計算ツール!$G$107/H$2&gt;=低温電圧!H9,1,0)</f>
        <v>1</v>
      </c>
      <c r="I9">
        <f>IF(HUAWEI製ＰＣＳ接続枚数計算ツール!$G$107/I$2&gt;=低温電圧!I9,1,0)</f>
        <v>1</v>
      </c>
      <c r="J9">
        <f>IF(HUAWEI製ＰＣＳ接続枚数計算ツール!$G$107/J$2&gt;=低温電圧!J9,1,0)</f>
        <v>1</v>
      </c>
      <c r="K9">
        <f>IF(HUAWEI製ＰＣＳ接続枚数計算ツール!$G$107/K$2&gt;=低温電圧!K9,1,0)</f>
        <v>1</v>
      </c>
      <c r="L9">
        <f>IF(HUAWEI製ＰＣＳ接続枚数計算ツール!$G$107/L$2&gt;=低温電圧!L9,1,0)</f>
        <v>1</v>
      </c>
      <c r="M9">
        <f>IF(HUAWEI製ＰＣＳ接続枚数計算ツール!$G$107/M$2&gt;=低温電圧!M9,1,0)</f>
        <v>1</v>
      </c>
      <c r="N9">
        <f>IF(HUAWEI製ＰＣＳ接続枚数計算ツール!$G$107/N$2&gt;=低温電圧!N9,1,0)</f>
        <v>1</v>
      </c>
      <c r="O9">
        <f>IF(HUAWEI製ＰＣＳ接続枚数計算ツール!$G$107/O$2&gt;=低温電圧!O9,1,0)</f>
        <v>1</v>
      </c>
      <c r="P9">
        <f>IF(HUAWEI製ＰＣＳ接続枚数計算ツール!$G$107/P$2&gt;=低温電圧!P9,1,0)</f>
        <v>1</v>
      </c>
      <c r="Q9">
        <f>IF(HUAWEI製ＰＣＳ接続枚数計算ツール!$G$107/Q$2&gt;=低温電圧!Q9,1,0)</f>
        <v>1</v>
      </c>
      <c r="R9">
        <f>IF(HUAWEI製ＰＣＳ接続枚数計算ツール!$G$107/R$2&gt;=低温電圧!R9,1,0)</f>
        <v>1</v>
      </c>
      <c r="S9">
        <f>IF(HUAWEI製ＰＣＳ接続枚数計算ツール!$G$107/S$2&gt;=低温電圧!S9,1,0)</f>
        <v>1</v>
      </c>
      <c r="T9">
        <f>IF(HUAWEI製ＰＣＳ接続枚数計算ツール!$G$107/T$2&gt;=低温電圧!T9,1,0)</f>
        <v>1</v>
      </c>
      <c r="U9">
        <f>IF(HUAWEI製ＰＣＳ接続枚数計算ツール!$G$107/U$2&gt;=低温電圧!U9,1,0)</f>
        <v>1</v>
      </c>
      <c r="V9">
        <f>IF(HUAWEI製ＰＣＳ接続枚数計算ツール!$G$107/V$2&gt;=低温電圧!V9,1,0)</f>
        <v>1</v>
      </c>
      <c r="W9">
        <f>IF(HUAWEI製ＰＣＳ接続枚数計算ツール!$G$107/W$2&gt;=低温電圧!W9,1,0)</f>
        <v>1</v>
      </c>
      <c r="X9">
        <f>IF(HUAWEI製ＰＣＳ接続枚数計算ツール!$G$107/X$2&gt;=低温電圧!X9,1,0)</f>
        <v>1</v>
      </c>
      <c r="Y9">
        <f>IF(HUAWEI製ＰＣＳ接続枚数計算ツール!$G$107/Y$2&gt;=低温電圧!Y9,1,0)</f>
        <v>1</v>
      </c>
      <c r="Z9">
        <f>IF(HUAWEI製ＰＣＳ接続枚数計算ツール!$G$107/Z$2&gt;=低温電圧!Z9,1,0)</f>
        <v>1</v>
      </c>
      <c r="AA9">
        <f>IF(HUAWEI製ＰＣＳ接続枚数計算ツール!$G$107/AA$2&gt;=低温電圧!AA9,1,0)</f>
        <v>1</v>
      </c>
      <c r="AB9">
        <f>IF(HUAWEI製ＰＣＳ接続枚数計算ツール!$G$107/AB$2&gt;=低温電圧!AB9,1,0)</f>
        <v>0</v>
      </c>
      <c r="AC9">
        <f>IF(HUAWEI製ＰＣＳ接続枚数計算ツール!$G$107/AC$2&gt;=低温電圧!AC9,1,0)</f>
        <v>0</v>
      </c>
      <c r="AD9">
        <f>IF(HUAWEI製ＰＣＳ接続枚数計算ツール!$G$107/AD$2&gt;=低温電圧!AD9,1,0)</f>
        <v>0</v>
      </c>
      <c r="AE9">
        <f>IF(HUAWEI製ＰＣＳ接続枚数計算ツール!$G$107/AE$2&gt;=低温電圧!AE9,1,0)</f>
        <v>0</v>
      </c>
      <c r="AF9">
        <f>IF(HUAWEI製ＰＣＳ接続枚数計算ツール!$G$107/AF$2&gt;=低温電圧!AF9,1,0)</f>
        <v>0</v>
      </c>
      <c r="AG9">
        <f>IF(HUAWEI製ＰＣＳ接続枚数計算ツール!$G$107/AG$2&gt;=低温電圧!AG9,1,0)</f>
        <v>0</v>
      </c>
      <c r="AH9">
        <f>IF(HUAWEI製ＰＣＳ接続枚数計算ツール!$G$107/AH$2&gt;=低温電圧!AH9,1,0)</f>
        <v>0</v>
      </c>
      <c r="AI9">
        <f>IF(HUAWEI製ＰＣＳ接続枚数計算ツール!$G$107/AI$2&gt;=低温電圧!AI9,1,0)</f>
        <v>0</v>
      </c>
      <c r="AJ9">
        <f>IF(HUAWEI製ＰＣＳ接続枚数計算ツール!$G$107/AJ$2&gt;=低温電圧!AJ9,1,0)</f>
        <v>0</v>
      </c>
      <c r="AK9">
        <f>IF(HUAWEI製ＰＣＳ接続枚数計算ツール!$G$107/AK$2&gt;=低温電圧!AK9,1,0)</f>
        <v>0</v>
      </c>
      <c r="AL9">
        <f>IF(HUAWEI製ＰＣＳ接続枚数計算ツール!$G$107/AL$2&gt;=低温電圧!AL9,1,0)</f>
        <v>0</v>
      </c>
      <c r="AM9">
        <f>IF(HUAWEI製ＰＣＳ接続枚数計算ツール!$G$107/AM$2&gt;=低温電圧!AM9,1,0)</f>
        <v>0</v>
      </c>
      <c r="AN9">
        <f>IF(HUAWEI製ＰＣＳ接続枚数計算ツール!$G$107/AN$2&gt;=低温電圧!AN9,1,0)</f>
        <v>0</v>
      </c>
      <c r="AO9">
        <f>IF(HUAWEI製ＰＣＳ接続枚数計算ツール!$G$107/AO$2&gt;=低温電圧!AO9,1,0)</f>
        <v>0</v>
      </c>
    </row>
    <row r="10" spans="1:41">
      <c r="A10">
        <v>8</v>
      </c>
      <c r="B10">
        <f>IF(HUAWEI製ＰＣＳ接続枚数計算ツール!$G$107/B$2&gt;=低温電圧!B10,1,0)</f>
        <v>1</v>
      </c>
      <c r="C10">
        <f>IF(HUAWEI製ＰＣＳ接続枚数計算ツール!$G$107/C$2&gt;=低温電圧!C10,1,0)</f>
        <v>1</v>
      </c>
      <c r="D10">
        <f>IF(HUAWEI製ＰＣＳ接続枚数計算ツール!$G$107/D$2&gt;=低温電圧!D10,1,0)</f>
        <v>1</v>
      </c>
      <c r="E10">
        <f>IF(HUAWEI製ＰＣＳ接続枚数計算ツール!$G$107/E$2&gt;=低温電圧!E10,1,0)</f>
        <v>1</v>
      </c>
      <c r="F10">
        <f>IF(HUAWEI製ＰＣＳ接続枚数計算ツール!$G$107/F$2&gt;=低温電圧!F10,1,0)</f>
        <v>1</v>
      </c>
      <c r="G10">
        <f>IF(HUAWEI製ＰＣＳ接続枚数計算ツール!$G$107/G$2&gt;=低温電圧!G10,1,0)</f>
        <v>1</v>
      </c>
      <c r="H10">
        <f>IF(HUAWEI製ＰＣＳ接続枚数計算ツール!$G$107/H$2&gt;=低温電圧!H10,1,0)</f>
        <v>1</v>
      </c>
      <c r="I10">
        <f>IF(HUAWEI製ＰＣＳ接続枚数計算ツール!$G$107/I$2&gt;=低温電圧!I10,1,0)</f>
        <v>1</v>
      </c>
      <c r="J10">
        <f>IF(HUAWEI製ＰＣＳ接続枚数計算ツール!$G$107/J$2&gt;=低温電圧!J10,1,0)</f>
        <v>1</v>
      </c>
      <c r="K10">
        <f>IF(HUAWEI製ＰＣＳ接続枚数計算ツール!$G$107/K$2&gt;=低温電圧!K10,1,0)</f>
        <v>1</v>
      </c>
      <c r="L10">
        <f>IF(HUAWEI製ＰＣＳ接続枚数計算ツール!$G$107/L$2&gt;=低温電圧!L10,1,0)</f>
        <v>1</v>
      </c>
      <c r="M10">
        <f>IF(HUAWEI製ＰＣＳ接続枚数計算ツール!$G$107/M$2&gt;=低温電圧!M10,1,0)</f>
        <v>1</v>
      </c>
      <c r="N10">
        <f>IF(HUAWEI製ＰＣＳ接続枚数計算ツール!$G$107/N$2&gt;=低温電圧!N10,1,0)</f>
        <v>1</v>
      </c>
      <c r="O10">
        <f>IF(HUAWEI製ＰＣＳ接続枚数計算ツール!$G$107/O$2&gt;=低温電圧!O10,1,0)</f>
        <v>1</v>
      </c>
      <c r="P10">
        <f>IF(HUAWEI製ＰＣＳ接続枚数計算ツール!$G$107/P$2&gt;=低温電圧!P10,1,0)</f>
        <v>1</v>
      </c>
      <c r="Q10">
        <f>IF(HUAWEI製ＰＣＳ接続枚数計算ツール!$G$107/Q$2&gt;=低温電圧!Q10,1,0)</f>
        <v>1</v>
      </c>
      <c r="R10">
        <f>IF(HUAWEI製ＰＣＳ接続枚数計算ツール!$G$107/R$2&gt;=低温電圧!R10,1,0)</f>
        <v>1</v>
      </c>
      <c r="S10">
        <f>IF(HUAWEI製ＰＣＳ接続枚数計算ツール!$G$107/S$2&gt;=低温電圧!S10,1,0)</f>
        <v>1</v>
      </c>
      <c r="T10">
        <f>IF(HUAWEI製ＰＣＳ接続枚数計算ツール!$G$107/T$2&gt;=低温電圧!T10,1,0)</f>
        <v>1</v>
      </c>
      <c r="U10">
        <f>IF(HUAWEI製ＰＣＳ接続枚数計算ツール!$G$107/U$2&gt;=低温電圧!U10,1,0)</f>
        <v>1</v>
      </c>
      <c r="V10">
        <f>IF(HUAWEI製ＰＣＳ接続枚数計算ツール!$G$107/V$2&gt;=低温電圧!V10,1,0)</f>
        <v>1</v>
      </c>
      <c r="W10">
        <f>IF(HUAWEI製ＰＣＳ接続枚数計算ツール!$G$107/W$2&gt;=低温電圧!W10,1,0)</f>
        <v>1</v>
      </c>
      <c r="X10">
        <f>IF(HUAWEI製ＰＣＳ接続枚数計算ツール!$G$107/X$2&gt;=低温電圧!X10,1,0)</f>
        <v>1</v>
      </c>
      <c r="Y10">
        <f>IF(HUAWEI製ＰＣＳ接続枚数計算ツール!$G$107/Y$2&gt;=低温電圧!Y10,1,0)</f>
        <v>1</v>
      </c>
      <c r="Z10">
        <f>IF(HUAWEI製ＰＣＳ接続枚数計算ツール!$G$107/Z$2&gt;=低温電圧!Z10,1,0)</f>
        <v>1</v>
      </c>
      <c r="AA10">
        <f>IF(HUAWEI製ＰＣＳ接続枚数計算ツール!$G$107/AA$2&gt;=低温電圧!AA10,1,0)</f>
        <v>1</v>
      </c>
      <c r="AB10">
        <f>IF(HUAWEI製ＰＣＳ接続枚数計算ツール!$G$107/AB$2&gt;=低温電圧!AB10,1,0)</f>
        <v>0</v>
      </c>
      <c r="AC10">
        <f>IF(HUAWEI製ＰＣＳ接続枚数計算ツール!$G$107/AC$2&gt;=低温電圧!AC10,1,0)</f>
        <v>0</v>
      </c>
      <c r="AD10">
        <f>IF(HUAWEI製ＰＣＳ接続枚数計算ツール!$G$107/AD$2&gt;=低温電圧!AD10,1,0)</f>
        <v>0</v>
      </c>
      <c r="AE10">
        <f>IF(HUAWEI製ＰＣＳ接続枚数計算ツール!$G$107/AE$2&gt;=低温電圧!AE10,1,0)</f>
        <v>0</v>
      </c>
      <c r="AF10">
        <f>IF(HUAWEI製ＰＣＳ接続枚数計算ツール!$G$107/AF$2&gt;=低温電圧!AF10,1,0)</f>
        <v>0</v>
      </c>
      <c r="AG10">
        <f>IF(HUAWEI製ＰＣＳ接続枚数計算ツール!$G$107/AG$2&gt;=低温電圧!AG10,1,0)</f>
        <v>0</v>
      </c>
      <c r="AH10">
        <f>IF(HUAWEI製ＰＣＳ接続枚数計算ツール!$G$107/AH$2&gt;=低温電圧!AH10,1,0)</f>
        <v>0</v>
      </c>
      <c r="AI10">
        <f>IF(HUAWEI製ＰＣＳ接続枚数計算ツール!$G$107/AI$2&gt;=低温電圧!AI10,1,0)</f>
        <v>0</v>
      </c>
      <c r="AJ10">
        <f>IF(HUAWEI製ＰＣＳ接続枚数計算ツール!$G$107/AJ$2&gt;=低温電圧!AJ10,1,0)</f>
        <v>0</v>
      </c>
      <c r="AK10">
        <f>IF(HUAWEI製ＰＣＳ接続枚数計算ツール!$G$107/AK$2&gt;=低温電圧!AK10,1,0)</f>
        <v>0</v>
      </c>
      <c r="AL10">
        <f>IF(HUAWEI製ＰＣＳ接続枚数計算ツール!$G$107/AL$2&gt;=低温電圧!AL10,1,0)</f>
        <v>0</v>
      </c>
      <c r="AM10">
        <f>IF(HUAWEI製ＰＣＳ接続枚数計算ツール!$G$107/AM$2&gt;=低温電圧!AM10,1,0)</f>
        <v>0</v>
      </c>
      <c r="AN10">
        <f>IF(HUAWEI製ＰＣＳ接続枚数計算ツール!$G$107/AN$2&gt;=低温電圧!AN10,1,0)</f>
        <v>0</v>
      </c>
      <c r="AO10">
        <f>IF(HUAWEI製ＰＣＳ接続枚数計算ツール!$G$107/AO$2&gt;=低温電圧!AO10,1,0)</f>
        <v>0</v>
      </c>
    </row>
    <row r="11" spans="1:41">
      <c r="A11">
        <v>9</v>
      </c>
      <c r="B11">
        <f>IF(HUAWEI製ＰＣＳ接続枚数計算ツール!$G$107/B$2&gt;=低温電圧!B11,1,0)</f>
        <v>1</v>
      </c>
      <c r="C11">
        <f>IF(HUAWEI製ＰＣＳ接続枚数計算ツール!$G$107/C$2&gt;=低温電圧!C11,1,0)</f>
        <v>1</v>
      </c>
      <c r="D11">
        <f>IF(HUAWEI製ＰＣＳ接続枚数計算ツール!$G$107/D$2&gt;=低温電圧!D11,1,0)</f>
        <v>1</v>
      </c>
      <c r="E11">
        <f>IF(HUAWEI製ＰＣＳ接続枚数計算ツール!$G$107/E$2&gt;=低温電圧!E11,1,0)</f>
        <v>1</v>
      </c>
      <c r="F11">
        <f>IF(HUAWEI製ＰＣＳ接続枚数計算ツール!$G$107/F$2&gt;=低温電圧!F11,1,0)</f>
        <v>1</v>
      </c>
      <c r="G11">
        <f>IF(HUAWEI製ＰＣＳ接続枚数計算ツール!$G$107/G$2&gt;=低温電圧!G11,1,0)</f>
        <v>1</v>
      </c>
      <c r="H11">
        <f>IF(HUAWEI製ＰＣＳ接続枚数計算ツール!$G$107/H$2&gt;=低温電圧!H11,1,0)</f>
        <v>1</v>
      </c>
      <c r="I11">
        <f>IF(HUAWEI製ＰＣＳ接続枚数計算ツール!$G$107/I$2&gt;=低温電圧!I11,1,0)</f>
        <v>1</v>
      </c>
      <c r="J11">
        <f>IF(HUAWEI製ＰＣＳ接続枚数計算ツール!$G$107/J$2&gt;=低温電圧!J11,1,0)</f>
        <v>1</v>
      </c>
      <c r="K11">
        <f>IF(HUAWEI製ＰＣＳ接続枚数計算ツール!$G$107/K$2&gt;=低温電圧!K11,1,0)</f>
        <v>1</v>
      </c>
      <c r="L11">
        <f>IF(HUAWEI製ＰＣＳ接続枚数計算ツール!$G$107/L$2&gt;=低温電圧!L11,1,0)</f>
        <v>1</v>
      </c>
      <c r="M11">
        <f>IF(HUAWEI製ＰＣＳ接続枚数計算ツール!$G$107/M$2&gt;=低温電圧!M11,1,0)</f>
        <v>1</v>
      </c>
      <c r="N11">
        <f>IF(HUAWEI製ＰＣＳ接続枚数計算ツール!$G$107/N$2&gt;=低温電圧!N11,1,0)</f>
        <v>1</v>
      </c>
      <c r="O11">
        <f>IF(HUAWEI製ＰＣＳ接続枚数計算ツール!$G$107/O$2&gt;=低温電圧!O11,1,0)</f>
        <v>1</v>
      </c>
      <c r="P11">
        <f>IF(HUAWEI製ＰＣＳ接続枚数計算ツール!$G$107/P$2&gt;=低温電圧!P11,1,0)</f>
        <v>1</v>
      </c>
      <c r="Q11">
        <f>IF(HUAWEI製ＰＣＳ接続枚数計算ツール!$G$107/Q$2&gt;=低温電圧!Q11,1,0)</f>
        <v>1</v>
      </c>
      <c r="R11">
        <f>IF(HUAWEI製ＰＣＳ接続枚数計算ツール!$G$107/R$2&gt;=低温電圧!R11,1,0)</f>
        <v>1</v>
      </c>
      <c r="S11">
        <f>IF(HUAWEI製ＰＣＳ接続枚数計算ツール!$G$107/S$2&gt;=低温電圧!S11,1,0)</f>
        <v>1</v>
      </c>
      <c r="T11">
        <f>IF(HUAWEI製ＰＣＳ接続枚数計算ツール!$G$107/T$2&gt;=低温電圧!T11,1,0)</f>
        <v>1</v>
      </c>
      <c r="U11">
        <f>IF(HUAWEI製ＰＣＳ接続枚数計算ツール!$G$107/U$2&gt;=低温電圧!U11,1,0)</f>
        <v>1</v>
      </c>
      <c r="V11">
        <f>IF(HUAWEI製ＰＣＳ接続枚数計算ツール!$G$107/V$2&gt;=低温電圧!V11,1,0)</f>
        <v>1</v>
      </c>
      <c r="W11">
        <f>IF(HUAWEI製ＰＣＳ接続枚数計算ツール!$G$107/W$2&gt;=低温電圧!W11,1,0)</f>
        <v>1</v>
      </c>
      <c r="X11">
        <f>IF(HUAWEI製ＰＣＳ接続枚数計算ツール!$G$107/X$2&gt;=低温電圧!X11,1,0)</f>
        <v>1</v>
      </c>
      <c r="Y11">
        <f>IF(HUAWEI製ＰＣＳ接続枚数計算ツール!$G$107/Y$2&gt;=低温電圧!Y11,1,0)</f>
        <v>1</v>
      </c>
      <c r="Z11">
        <f>IF(HUAWEI製ＰＣＳ接続枚数計算ツール!$G$107/Z$2&gt;=低温電圧!Z11,1,0)</f>
        <v>1</v>
      </c>
      <c r="AA11">
        <f>IF(HUAWEI製ＰＣＳ接続枚数計算ツール!$G$107/AA$2&gt;=低温電圧!AA11,1,0)</f>
        <v>0</v>
      </c>
      <c r="AB11">
        <f>IF(HUAWEI製ＰＣＳ接続枚数計算ツール!$G$107/AB$2&gt;=低温電圧!AB11,1,0)</f>
        <v>0</v>
      </c>
      <c r="AC11">
        <f>IF(HUAWEI製ＰＣＳ接続枚数計算ツール!$G$107/AC$2&gt;=低温電圧!AC11,1,0)</f>
        <v>0</v>
      </c>
      <c r="AD11">
        <f>IF(HUAWEI製ＰＣＳ接続枚数計算ツール!$G$107/AD$2&gt;=低温電圧!AD11,1,0)</f>
        <v>0</v>
      </c>
      <c r="AE11">
        <f>IF(HUAWEI製ＰＣＳ接続枚数計算ツール!$G$107/AE$2&gt;=低温電圧!AE11,1,0)</f>
        <v>0</v>
      </c>
      <c r="AF11">
        <f>IF(HUAWEI製ＰＣＳ接続枚数計算ツール!$G$107/AF$2&gt;=低温電圧!AF11,1,0)</f>
        <v>0</v>
      </c>
      <c r="AG11">
        <f>IF(HUAWEI製ＰＣＳ接続枚数計算ツール!$G$107/AG$2&gt;=低温電圧!AG11,1,0)</f>
        <v>0</v>
      </c>
      <c r="AH11">
        <f>IF(HUAWEI製ＰＣＳ接続枚数計算ツール!$G$107/AH$2&gt;=低温電圧!AH11,1,0)</f>
        <v>0</v>
      </c>
      <c r="AI11">
        <f>IF(HUAWEI製ＰＣＳ接続枚数計算ツール!$G$107/AI$2&gt;=低温電圧!AI11,1,0)</f>
        <v>0</v>
      </c>
      <c r="AJ11">
        <f>IF(HUAWEI製ＰＣＳ接続枚数計算ツール!$G$107/AJ$2&gt;=低温電圧!AJ11,1,0)</f>
        <v>0</v>
      </c>
      <c r="AK11">
        <f>IF(HUAWEI製ＰＣＳ接続枚数計算ツール!$G$107/AK$2&gt;=低温電圧!AK11,1,0)</f>
        <v>0</v>
      </c>
      <c r="AL11">
        <f>IF(HUAWEI製ＰＣＳ接続枚数計算ツール!$G$107/AL$2&gt;=低温電圧!AL11,1,0)</f>
        <v>0</v>
      </c>
      <c r="AM11">
        <f>IF(HUAWEI製ＰＣＳ接続枚数計算ツール!$G$107/AM$2&gt;=低温電圧!AM11,1,0)</f>
        <v>0</v>
      </c>
      <c r="AN11">
        <f>IF(HUAWEI製ＰＣＳ接続枚数計算ツール!$G$107/AN$2&gt;=低温電圧!AN11,1,0)</f>
        <v>0</v>
      </c>
      <c r="AO11">
        <f>IF(HUAWEI製ＰＣＳ接続枚数計算ツール!$G$107/AO$2&gt;=低温電圧!AO11,1,0)</f>
        <v>0</v>
      </c>
    </row>
    <row r="12" spans="1:41">
      <c r="A12">
        <v>10</v>
      </c>
      <c r="B12">
        <f>IF(HUAWEI製ＰＣＳ接続枚数計算ツール!$G$107/B$2&gt;=低温電圧!B12,1,0)</f>
        <v>1</v>
      </c>
      <c r="C12">
        <f>IF(HUAWEI製ＰＣＳ接続枚数計算ツール!$G$107/C$2&gt;=低温電圧!C12,1,0)</f>
        <v>1</v>
      </c>
      <c r="D12">
        <f>IF(HUAWEI製ＰＣＳ接続枚数計算ツール!$G$107/D$2&gt;=低温電圧!D12,1,0)</f>
        <v>1</v>
      </c>
      <c r="E12">
        <f>IF(HUAWEI製ＰＣＳ接続枚数計算ツール!$G$107/E$2&gt;=低温電圧!E12,1,0)</f>
        <v>1</v>
      </c>
      <c r="F12">
        <f>IF(HUAWEI製ＰＣＳ接続枚数計算ツール!$G$107/F$2&gt;=低温電圧!F12,1,0)</f>
        <v>1</v>
      </c>
      <c r="G12">
        <f>IF(HUAWEI製ＰＣＳ接続枚数計算ツール!$G$107/G$2&gt;=低温電圧!G12,1,0)</f>
        <v>1</v>
      </c>
      <c r="H12">
        <f>IF(HUAWEI製ＰＣＳ接続枚数計算ツール!$G$107/H$2&gt;=低温電圧!H12,1,0)</f>
        <v>1</v>
      </c>
      <c r="I12">
        <f>IF(HUAWEI製ＰＣＳ接続枚数計算ツール!$G$107/I$2&gt;=低温電圧!I12,1,0)</f>
        <v>1</v>
      </c>
      <c r="J12">
        <f>IF(HUAWEI製ＰＣＳ接続枚数計算ツール!$G$107/J$2&gt;=低温電圧!J12,1,0)</f>
        <v>1</v>
      </c>
      <c r="K12">
        <f>IF(HUAWEI製ＰＣＳ接続枚数計算ツール!$G$107/K$2&gt;=低温電圧!K12,1,0)</f>
        <v>1</v>
      </c>
      <c r="L12">
        <f>IF(HUAWEI製ＰＣＳ接続枚数計算ツール!$G$107/L$2&gt;=低温電圧!L12,1,0)</f>
        <v>1</v>
      </c>
      <c r="M12">
        <f>IF(HUAWEI製ＰＣＳ接続枚数計算ツール!$G$107/M$2&gt;=低温電圧!M12,1,0)</f>
        <v>1</v>
      </c>
      <c r="N12">
        <f>IF(HUAWEI製ＰＣＳ接続枚数計算ツール!$G$107/N$2&gt;=低温電圧!N12,1,0)</f>
        <v>1</v>
      </c>
      <c r="O12">
        <f>IF(HUAWEI製ＰＣＳ接続枚数計算ツール!$G$107/O$2&gt;=低温電圧!O12,1,0)</f>
        <v>1</v>
      </c>
      <c r="P12">
        <f>IF(HUAWEI製ＰＣＳ接続枚数計算ツール!$G$107/P$2&gt;=低温電圧!P12,1,0)</f>
        <v>1</v>
      </c>
      <c r="Q12">
        <f>IF(HUAWEI製ＰＣＳ接続枚数計算ツール!$G$107/Q$2&gt;=低温電圧!Q12,1,0)</f>
        <v>1</v>
      </c>
      <c r="R12">
        <f>IF(HUAWEI製ＰＣＳ接続枚数計算ツール!$G$107/R$2&gt;=低温電圧!R12,1,0)</f>
        <v>1</v>
      </c>
      <c r="S12">
        <f>IF(HUAWEI製ＰＣＳ接続枚数計算ツール!$G$107/S$2&gt;=低温電圧!S12,1,0)</f>
        <v>1</v>
      </c>
      <c r="T12">
        <f>IF(HUAWEI製ＰＣＳ接続枚数計算ツール!$G$107/T$2&gt;=低温電圧!T12,1,0)</f>
        <v>1</v>
      </c>
      <c r="U12">
        <f>IF(HUAWEI製ＰＣＳ接続枚数計算ツール!$G$107/U$2&gt;=低温電圧!U12,1,0)</f>
        <v>1</v>
      </c>
      <c r="V12">
        <f>IF(HUAWEI製ＰＣＳ接続枚数計算ツール!$G$107/V$2&gt;=低温電圧!V12,1,0)</f>
        <v>1</v>
      </c>
      <c r="W12">
        <f>IF(HUAWEI製ＰＣＳ接続枚数計算ツール!$G$107/W$2&gt;=低温電圧!W12,1,0)</f>
        <v>1</v>
      </c>
      <c r="X12">
        <f>IF(HUAWEI製ＰＣＳ接続枚数計算ツール!$G$107/X$2&gt;=低温電圧!X12,1,0)</f>
        <v>1</v>
      </c>
      <c r="Y12">
        <f>IF(HUAWEI製ＰＣＳ接続枚数計算ツール!$G$107/Y$2&gt;=低温電圧!Y12,1,0)</f>
        <v>1</v>
      </c>
      <c r="Z12">
        <f>IF(HUAWEI製ＰＣＳ接続枚数計算ツール!$G$107/Z$2&gt;=低温電圧!Z12,1,0)</f>
        <v>0</v>
      </c>
      <c r="AA12">
        <f>IF(HUAWEI製ＰＣＳ接続枚数計算ツール!$G$107/AA$2&gt;=低温電圧!AA12,1,0)</f>
        <v>0</v>
      </c>
      <c r="AB12">
        <f>IF(HUAWEI製ＰＣＳ接続枚数計算ツール!$G$107/AB$2&gt;=低温電圧!AB12,1,0)</f>
        <v>0</v>
      </c>
      <c r="AC12">
        <f>IF(HUAWEI製ＰＣＳ接続枚数計算ツール!$G$107/AC$2&gt;=低温電圧!AC12,1,0)</f>
        <v>0</v>
      </c>
      <c r="AD12">
        <f>IF(HUAWEI製ＰＣＳ接続枚数計算ツール!$G$107/AD$2&gt;=低温電圧!AD12,1,0)</f>
        <v>0</v>
      </c>
      <c r="AE12">
        <f>IF(HUAWEI製ＰＣＳ接続枚数計算ツール!$G$107/AE$2&gt;=低温電圧!AE12,1,0)</f>
        <v>0</v>
      </c>
      <c r="AF12">
        <f>IF(HUAWEI製ＰＣＳ接続枚数計算ツール!$G$107/AF$2&gt;=低温電圧!AF12,1,0)</f>
        <v>0</v>
      </c>
      <c r="AG12">
        <f>IF(HUAWEI製ＰＣＳ接続枚数計算ツール!$G$107/AG$2&gt;=低温電圧!AG12,1,0)</f>
        <v>0</v>
      </c>
      <c r="AH12">
        <f>IF(HUAWEI製ＰＣＳ接続枚数計算ツール!$G$107/AH$2&gt;=低温電圧!AH12,1,0)</f>
        <v>0</v>
      </c>
      <c r="AI12">
        <f>IF(HUAWEI製ＰＣＳ接続枚数計算ツール!$G$107/AI$2&gt;=低温電圧!AI12,1,0)</f>
        <v>0</v>
      </c>
      <c r="AJ12">
        <f>IF(HUAWEI製ＰＣＳ接続枚数計算ツール!$G$107/AJ$2&gt;=低温電圧!AJ12,1,0)</f>
        <v>0</v>
      </c>
      <c r="AK12">
        <f>IF(HUAWEI製ＰＣＳ接続枚数計算ツール!$G$107/AK$2&gt;=低温電圧!AK12,1,0)</f>
        <v>0</v>
      </c>
      <c r="AL12">
        <f>IF(HUAWEI製ＰＣＳ接続枚数計算ツール!$G$107/AL$2&gt;=低温電圧!AL12,1,0)</f>
        <v>0</v>
      </c>
      <c r="AM12">
        <f>IF(HUAWEI製ＰＣＳ接続枚数計算ツール!$G$107/AM$2&gt;=低温電圧!AM12,1,0)</f>
        <v>0</v>
      </c>
      <c r="AN12">
        <f>IF(HUAWEI製ＰＣＳ接続枚数計算ツール!$G$107/AN$2&gt;=低温電圧!AN12,1,0)</f>
        <v>0</v>
      </c>
      <c r="AO12">
        <f>IF(HUAWEI製ＰＣＳ接続枚数計算ツール!$G$107/AO$2&gt;=低温電圧!AO12,1,0)</f>
        <v>0</v>
      </c>
    </row>
    <row r="13" spans="1:41">
      <c r="A13">
        <v>11</v>
      </c>
      <c r="B13">
        <f>IF(HUAWEI製ＰＣＳ接続枚数計算ツール!$G$107/B$2&gt;=低温電圧!B13,1,0)</f>
        <v>1</v>
      </c>
      <c r="C13">
        <f>IF(HUAWEI製ＰＣＳ接続枚数計算ツール!$G$107/C$2&gt;=低温電圧!C13,1,0)</f>
        <v>1</v>
      </c>
      <c r="D13">
        <f>IF(HUAWEI製ＰＣＳ接続枚数計算ツール!$G$107/D$2&gt;=低温電圧!D13,1,0)</f>
        <v>1</v>
      </c>
      <c r="E13">
        <f>IF(HUAWEI製ＰＣＳ接続枚数計算ツール!$G$107/E$2&gt;=低温電圧!E13,1,0)</f>
        <v>1</v>
      </c>
      <c r="F13">
        <f>IF(HUAWEI製ＰＣＳ接続枚数計算ツール!$G$107/F$2&gt;=低温電圧!F13,1,0)</f>
        <v>1</v>
      </c>
      <c r="G13">
        <f>IF(HUAWEI製ＰＣＳ接続枚数計算ツール!$G$107/G$2&gt;=低温電圧!G13,1,0)</f>
        <v>1</v>
      </c>
      <c r="H13">
        <f>IF(HUAWEI製ＰＣＳ接続枚数計算ツール!$G$107/H$2&gt;=低温電圧!H13,1,0)</f>
        <v>1</v>
      </c>
      <c r="I13">
        <f>IF(HUAWEI製ＰＣＳ接続枚数計算ツール!$G$107/I$2&gt;=低温電圧!I13,1,0)</f>
        <v>1</v>
      </c>
      <c r="J13">
        <f>IF(HUAWEI製ＰＣＳ接続枚数計算ツール!$G$107/J$2&gt;=低温電圧!J13,1,0)</f>
        <v>1</v>
      </c>
      <c r="K13">
        <f>IF(HUAWEI製ＰＣＳ接続枚数計算ツール!$G$107/K$2&gt;=低温電圧!K13,1,0)</f>
        <v>1</v>
      </c>
      <c r="L13">
        <f>IF(HUAWEI製ＰＣＳ接続枚数計算ツール!$G$107/L$2&gt;=低温電圧!L13,1,0)</f>
        <v>1</v>
      </c>
      <c r="M13">
        <f>IF(HUAWEI製ＰＣＳ接続枚数計算ツール!$G$107/M$2&gt;=低温電圧!M13,1,0)</f>
        <v>1</v>
      </c>
      <c r="N13">
        <f>IF(HUAWEI製ＰＣＳ接続枚数計算ツール!$G$107/N$2&gt;=低温電圧!N13,1,0)</f>
        <v>1</v>
      </c>
      <c r="O13">
        <f>IF(HUAWEI製ＰＣＳ接続枚数計算ツール!$G$107/O$2&gt;=低温電圧!O13,1,0)</f>
        <v>1</v>
      </c>
      <c r="P13">
        <f>IF(HUAWEI製ＰＣＳ接続枚数計算ツール!$G$107/P$2&gt;=低温電圧!P13,1,0)</f>
        <v>1</v>
      </c>
      <c r="Q13">
        <f>IF(HUAWEI製ＰＣＳ接続枚数計算ツール!$G$107/Q$2&gt;=低温電圧!Q13,1,0)</f>
        <v>1</v>
      </c>
      <c r="R13">
        <f>IF(HUAWEI製ＰＣＳ接続枚数計算ツール!$G$107/R$2&gt;=低温電圧!R13,1,0)</f>
        <v>1</v>
      </c>
      <c r="S13">
        <f>IF(HUAWEI製ＰＣＳ接続枚数計算ツール!$G$107/S$2&gt;=低温電圧!S13,1,0)</f>
        <v>1</v>
      </c>
      <c r="T13">
        <f>IF(HUAWEI製ＰＣＳ接続枚数計算ツール!$G$107/T$2&gt;=低温電圧!T13,1,0)</f>
        <v>1</v>
      </c>
      <c r="U13">
        <f>IF(HUAWEI製ＰＣＳ接続枚数計算ツール!$G$107/U$2&gt;=低温電圧!U13,1,0)</f>
        <v>1</v>
      </c>
      <c r="V13">
        <f>IF(HUAWEI製ＰＣＳ接続枚数計算ツール!$G$107/V$2&gt;=低温電圧!V13,1,0)</f>
        <v>1</v>
      </c>
      <c r="W13">
        <f>IF(HUAWEI製ＰＣＳ接続枚数計算ツール!$G$107/W$2&gt;=低温電圧!W13,1,0)</f>
        <v>1</v>
      </c>
      <c r="X13">
        <f>IF(HUAWEI製ＰＣＳ接続枚数計算ツール!$G$107/X$2&gt;=低温電圧!X13,1,0)</f>
        <v>1</v>
      </c>
      <c r="Y13">
        <f>IF(HUAWEI製ＰＣＳ接続枚数計算ツール!$G$107/Y$2&gt;=低温電圧!Y13,1,0)</f>
        <v>1</v>
      </c>
      <c r="Z13">
        <f>IF(HUAWEI製ＰＣＳ接続枚数計算ツール!$G$107/Z$2&gt;=低温電圧!Z13,1,0)</f>
        <v>0</v>
      </c>
      <c r="AA13">
        <f>IF(HUAWEI製ＰＣＳ接続枚数計算ツール!$G$107/AA$2&gt;=低温電圧!AA13,1,0)</f>
        <v>0</v>
      </c>
      <c r="AB13">
        <f>IF(HUAWEI製ＰＣＳ接続枚数計算ツール!$G$107/AB$2&gt;=低温電圧!AB13,1,0)</f>
        <v>0</v>
      </c>
      <c r="AC13">
        <f>IF(HUAWEI製ＰＣＳ接続枚数計算ツール!$G$107/AC$2&gt;=低温電圧!AC13,1,0)</f>
        <v>0</v>
      </c>
      <c r="AD13">
        <f>IF(HUAWEI製ＰＣＳ接続枚数計算ツール!$G$107/AD$2&gt;=低温電圧!AD13,1,0)</f>
        <v>0</v>
      </c>
      <c r="AE13">
        <f>IF(HUAWEI製ＰＣＳ接続枚数計算ツール!$G$107/AE$2&gt;=低温電圧!AE13,1,0)</f>
        <v>0</v>
      </c>
      <c r="AF13">
        <f>IF(HUAWEI製ＰＣＳ接続枚数計算ツール!$G$107/AF$2&gt;=低温電圧!AF13,1,0)</f>
        <v>0</v>
      </c>
      <c r="AG13">
        <f>IF(HUAWEI製ＰＣＳ接続枚数計算ツール!$G$107/AG$2&gt;=低温電圧!AG13,1,0)</f>
        <v>0</v>
      </c>
      <c r="AH13">
        <f>IF(HUAWEI製ＰＣＳ接続枚数計算ツール!$G$107/AH$2&gt;=低温電圧!AH13,1,0)</f>
        <v>0</v>
      </c>
      <c r="AI13">
        <f>IF(HUAWEI製ＰＣＳ接続枚数計算ツール!$G$107/AI$2&gt;=低温電圧!AI13,1,0)</f>
        <v>0</v>
      </c>
      <c r="AJ13">
        <f>IF(HUAWEI製ＰＣＳ接続枚数計算ツール!$G$107/AJ$2&gt;=低温電圧!AJ13,1,0)</f>
        <v>0</v>
      </c>
      <c r="AK13">
        <f>IF(HUAWEI製ＰＣＳ接続枚数計算ツール!$G$107/AK$2&gt;=低温電圧!AK13,1,0)</f>
        <v>0</v>
      </c>
      <c r="AL13">
        <f>IF(HUAWEI製ＰＣＳ接続枚数計算ツール!$G$107/AL$2&gt;=低温電圧!AL13,1,0)</f>
        <v>0</v>
      </c>
      <c r="AM13">
        <f>IF(HUAWEI製ＰＣＳ接続枚数計算ツール!$G$107/AM$2&gt;=低温電圧!AM13,1,0)</f>
        <v>0</v>
      </c>
      <c r="AN13">
        <f>IF(HUAWEI製ＰＣＳ接続枚数計算ツール!$G$107/AN$2&gt;=低温電圧!AN13,1,0)</f>
        <v>0</v>
      </c>
      <c r="AO13">
        <f>IF(HUAWEI製ＰＣＳ接続枚数計算ツール!$G$107/AO$2&gt;=低温電圧!AO13,1,0)</f>
        <v>0</v>
      </c>
    </row>
    <row r="14" spans="1:41">
      <c r="A14">
        <v>12</v>
      </c>
      <c r="B14">
        <f>IF(HUAWEI製ＰＣＳ接続枚数計算ツール!$G$107/B$2&gt;=低温電圧!B14,1,0)</f>
        <v>1</v>
      </c>
      <c r="C14">
        <f>IF(HUAWEI製ＰＣＳ接続枚数計算ツール!$G$107/C$2&gt;=低温電圧!C14,1,0)</f>
        <v>1</v>
      </c>
      <c r="D14">
        <f>IF(HUAWEI製ＰＣＳ接続枚数計算ツール!$G$107/D$2&gt;=低温電圧!D14,1,0)</f>
        <v>1</v>
      </c>
      <c r="E14">
        <f>IF(HUAWEI製ＰＣＳ接続枚数計算ツール!$G$107/E$2&gt;=低温電圧!E14,1,0)</f>
        <v>1</v>
      </c>
      <c r="F14">
        <f>IF(HUAWEI製ＰＣＳ接続枚数計算ツール!$G$107/F$2&gt;=低温電圧!F14,1,0)</f>
        <v>1</v>
      </c>
      <c r="G14">
        <f>IF(HUAWEI製ＰＣＳ接続枚数計算ツール!$G$107/G$2&gt;=低温電圧!G14,1,0)</f>
        <v>1</v>
      </c>
      <c r="H14">
        <f>IF(HUAWEI製ＰＣＳ接続枚数計算ツール!$G$107/H$2&gt;=低温電圧!H14,1,0)</f>
        <v>1</v>
      </c>
      <c r="I14">
        <f>IF(HUAWEI製ＰＣＳ接続枚数計算ツール!$G$107/I$2&gt;=低温電圧!I14,1,0)</f>
        <v>1</v>
      </c>
      <c r="J14">
        <f>IF(HUAWEI製ＰＣＳ接続枚数計算ツール!$G$107/J$2&gt;=低温電圧!J14,1,0)</f>
        <v>1</v>
      </c>
      <c r="K14">
        <f>IF(HUAWEI製ＰＣＳ接続枚数計算ツール!$G$107/K$2&gt;=低温電圧!K14,1,0)</f>
        <v>1</v>
      </c>
      <c r="L14">
        <f>IF(HUAWEI製ＰＣＳ接続枚数計算ツール!$G$107/L$2&gt;=低温電圧!L14,1,0)</f>
        <v>1</v>
      </c>
      <c r="M14">
        <f>IF(HUAWEI製ＰＣＳ接続枚数計算ツール!$G$107/M$2&gt;=低温電圧!M14,1,0)</f>
        <v>1</v>
      </c>
      <c r="N14">
        <f>IF(HUAWEI製ＰＣＳ接続枚数計算ツール!$G$107/N$2&gt;=低温電圧!N14,1,0)</f>
        <v>1</v>
      </c>
      <c r="O14">
        <f>IF(HUAWEI製ＰＣＳ接続枚数計算ツール!$G$107/O$2&gt;=低温電圧!O14,1,0)</f>
        <v>1</v>
      </c>
      <c r="P14">
        <f>IF(HUAWEI製ＰＣＳ接続枚数計算ツール!$G$107/P$2&gt;=低温電圧!P14,1,0)</f>
        <v>1</v>
      </c>
      <c r="Q14">
        <f>IF(HUAWEI製ＰＣＳ接続枚数計算ツール!$G$107/Q$2&gt;=低温電圧!Q14,1,0)</f>
        <v>1</v>
      </c>
      <c r="R14">
        <f>IF(HUAWEI製ＰＣＳ接続枚数計算ツール!$G$107/R$2&gt;=低温電圧!R14,1,0)</f>
        <v>1</v>
      </c>
      <c r="S14">
        <f>IF(HUAWEI製ＰＣＳ接続枚数計算ツール!$G$107/S$2&gt;=低温電圧!S14,1,0)</f>
        <v>1</v>
      </c>
      <c r="T14">
        <f>IF(HUAWEI製ＰＣＳ接続枚数計算ツール!$G$107/T$2&gt;=低温電圧!T14,1,0)</f>
        <v>1</v>
      </c>
      <c r="U14">
        <f>IF(HUAWEI製ＰＣＳ接続枚数計算ツール!$G$107/U$2&gt;=低温電圧!U14,1,0)</f>
        <v>1</v>
      </c>
      <c r="V14">
        <f>IF(HUAWEI製ＰＣＳ接続枚数計算ツール!$G$107/V$2&gt;=低温電圧!V14,1,0)</f>
        <v>1</v>
      </c>
      <c r="W14">
        <f>IF(HUAWEI製ＰＣＳ接続枚数計算ツール!$G$107/W$2&gt;=低温電圧!W14,1,0)</f>
        <v>1</v>
      </c>
      <c r="X14">
        <f>IF(HUAWEI製ＰＣＳ接続枚数計算ツール!$G$107/X$2&gt;=低温電圧!X14,1,0)</f>
        <v>1</v>
      </c>
      <c r="Y14">
        <f>IF(HUAWEI製ＰＣＳ接続枚数計算ツール!$G$107/Y$2&gt;=低温電圧!Y14,1,0)</f>
        <v>1</v>
      </c>
      <c r="Z14">
        <f>IF(HUAWEI製ＰＣＳ接続枚数計算ツール!$G$107/Z$2&gt;=低温電圧!Z14,1,0)</f>
        <v>0</v>
      </c>
      <c r="AA14">
        <f>IF(HUAWEI製ＰＣＳ接続枚数計算ツール!$G$107/AA$2&gt;=低温電圧!AA14,1,0)</f>
        <v>0</v>
      </c>
      <c r="AB14">
        <f>IF(HUAWEI製ＰＣＳ接続枚数計算ツール!$G$107/AB$2&gt;=低温電圧!AB14,1,0)</f>
        <v>0</v>
      </c>
      <c r="AC14">
        <f>IF(HUAWEI製ＰＣＳ接続枚数計算ツール!$G$107/AC$2&gt;=低温電圧!AC14,1,0)</f>
        <v>0</v>
      </c>
      <c r="AD14">
        <f>IF(HUAWEI製ＰＣＳ接続枚数計算ツール!$G$107/AD$2&gt;=低温電圧!AD14,1,0)</f>
        <v>0</v>
      </c>
      <c r="AE14">
        <f>IF(HUAWEI製ＰＣＳ接続枚数計算ツール!$G$107/AE$2&gt;=低温電圧!AE14,1,0)</f>
        <v>0</v>
      </c>
      <c r="AF14">
        <f>IF(HUAWEI製ＰＣＳ接続枚数計算ツール!$G$107/AF$2&gt;=低温電圧!AF14,1,0)</f>
        <v>0</v>
      </c>
      <c r="AG14">
        <f>IF(HUAWEI製ＰＣＳ接続枚数計算ツール!$G$107/AG$2&gt;=低温電圧!AG14,1,0)</f>
        <v>0</v>
      </c>
      <c r="AH14">
        <f>IF(HUAWEI製ＰＣＳ接続枚数計算ツール!$G$107/AH$2&gt;=低温電圧!AH14,1,0)</f>
        <v>0</v>
      </c>
      <c r="AI14">
        <f>IF(HUAWEI製ＰＣＳ接続枚数計算ツール!$G$107/AI$2&gt;=低温電圧!AI14,1,0)</f>
        <v>0</v>
      </c>
      <c r="AJ14">
        <f>IF(HUAWEI製ＰＣＳ接続枚数計算ツール!$G$107/AJ$2&gt;=低温電圧!AJ14,1,0)</f>
        <v>0</v>
      </c>
      <c r="AK14">
        <f>IF(HUAWEI製ＰＣＳ接続枚数計算ツール!$G$107/AK$2&gt;=低温電圧!AK14,1,0)</f>
        <v>0</v>
      </c>
      <c r="AL14">
        <f>IF(HUAWEI製ＰＣＳ接続枚数計算ツール!$G$107/AL$2&gt;=低温電圧!AL14,1,0)</f>
        <v>0</v>
      </c>
      <c r="AM14">
        <f>IF(HUAWEI製ＰＣＳ接続枚数計算ツール!$G$107/AM$2&gt;=低温電圧!AM14,1,0)</f>
        <v>0</v>
      </c>
      <c r="AN14">
        <f>IF(HUAWEI製ＰＣＳ接続枚数計算ツール!$G$107/AN$2&gt;=低温電圧!AN14,1,0)</f>
        <v>0</v>
      </c>
      <c r="AO14">
        <f>IF(HUAWEI製ＰＣＳ接続枚数計算ツール!$G$107/AO$2&gt;=低温電圧!AO14,1,0)</f>
        <v>0</v>
      </c>
    </row>
    <row r="15" spans="1:41">
      <c r="A15">
        <v>13</v>
      </c>
      <c r="B15">
        <f>IF(HUAWEI製ＰＣＳ接続枚数計算ツール!$G$107/B$2&gt;=低温電圧!B15,1,0)</f>
        <v>1</v>
      </c>
      <c r="C15">
        <f>IF(HUAWEI製ＰＣＳ接続枚数計算ツール!$G$107/C$2&gt;=低温電圧!C15,1,0)</f>
        <v>1</v>
      </c>
      <c r="D15">
        <f>IF(HUAWEI製ＰＣＳ接続枚数計算ツール!$G$107/D$2&gt;=低温電圧!D15,1,0)</f>
        <v>1</v>
      </c>
      <c r="E15">
        <f>IF(HUAWEI製ＰＣＳ接続枚数計算ツール!$G$107/E$2&gt;=低温電圧!E15,1,0)</f>
        <v>1</v>
      </c>
      <c r="F15">
        <f>IF(HUAWEI製ＰＣＳ接続枚数計算ツール!$G$107/F$2&gt;=低温電圧!F15,1,0)</f>
        <v>1</v>
      </c>
      <c r="G15">
        <f>IF(HUAWEI製ＰＣＳ接続枚数計算ツール!$G$107/G$2&gt;=低温電圧!G15,1,0)</f>
        <v>1</v>
      </c>
      <c r="H15">
        <f>IF(HUAWEI製ＰＣＳ接続枚数計算ツール!$G$107/H$2&gt;=低温電圧!H15,1,0)</f>
        <v>1</v>
      </c>
      <c r="I15">
        <f>IF(HUAWEI製ＰＣＳ接続枚数計算ツール!$G$107/I$2&gt;=低温電圧!I15,1,0)</f>
        <v>1</v>
      </c>
      <c r="J15">
        <f>IF(HUAWEI製ＰＣＳ接続枚数計算ツール!$G$107/J$2&gt;=低温電圧!J15,1,0)</f>
        <v>1</v>
      </c>
      <c r="K15">
        <f>IF(HUAWEI製ＰＣＳ接続枚数計算ツール!$G$107/K$2&gt;=低温電圧!K15,1,0)</f>
        <v>1</v>
      </c>
      <c r="L15">
        <f>IF(HUAWEI製ＰＣＳ接続枚数計算ツール!$G$107/L$2&gt;=低温電圧!L15,1,0)</f>
        <v>1</v>
      </c>
      <c r="M15">
        <f>IF(HUAWEI製ＰＣＳ接続枚数計算ツール!$G$107/M$2&gt;=低温電圧!M15,1,0)</f>
        <v>1</v>
      </c>
      <c r="N15">
        <f>IF(HUAWEI製ＰＣＳ接続枚数計算ツール!$G$107/N$2&gt;=低温電圧!N15,1,0)</f>
        <v>1</v>
      </c>
      <c r="O15">
        <f>IF(HUAWEI製ＰＣＳ接続枚数計算ツール!$G$107/O$2&gt;=低温電圧!O15,1,0)</f>
        <v>1</v>
      </c>
      <c r="P15">
        <f>IF(HUAWEI製ＰＣＳ接続枚数計算ツール!$G$107/P$2&gt;=低温電圧!P15,1,0)</f>
        <v>1</v>
      </c>
      <c r="Q15">
        <f>IF(HUAWEI製ＰＣＳ接続枚数計算ツール!$G$107/Q$2&gt;=低温電圧!Q15,1,0)</f>
        <v>1</v>
      </c>
      <c r="R15">
        <f>IF(HUAWEI製ＰＣＳ接続枚数計算ツール!$G$107/R$2&gt;=低温電圧!R15,1,0)</f>
        <v>1</v>
      </c>
      <c r="S15">
        <f>IF(HUAWEI製ＰＣＳ接続枚数計算ツール!$G$107/S$2&gt;=低温電圧!S15,1,0)</f>
        <v>1</v>
      </c>
      <c r="T15">
        <f>IF(HUAWEI製ＰＣＳ接続枚数計算ツール!$G$107/T$2&gt;=低温電圧!T15,1,0)</f>
        <v>1</v>
      </c>
      <c r="U15">
        <f>IF(HUAWEI製ＰＣＳ接続枚数計算ツール!$G$107/U$2&gt;=低温電圧!U15,1,0)</f>
        <v>1</v>
      </c>
      <c r="V15">
        <f>IF(HUAWEI製ＰＣＳ接続枚数計算ツール!$G$107/V$2&gt;=低温電圧!V15,1,0)</f>
        <v>1</v>
      </c>
      <c r="W15">
        <f>IF(HUAWEI製ＰＣＳ接続枚数計算ツール!$G$107/W$2&gt;=低温電圧!W15,1,0)</f>
        <v>1</v>
      </c>
      <c r="X15">
        <f>IF(HUAWEI製ＰＣＳ接続枚数計算ツール!$G$107/X$2&gt;=低温電圧!X15,1,0)</f>
        <v>1</v>
      </c>
      <c r="Y15">
        <f>IF(HUAWEI製ＰＣＳ接続枚数計算ツール!$G$107/Y$2&gt;=低温電圧!Y15,1,0)</f>
        <v>0</v>
      </c>
      <c r="Z15">
        <f>IF(HUAWEI製ＰＣＳ接続枚数計算ツール!$G$107/Z$2&gt;=低温電圧!Z15,1,0)</f>
        <v>0</v>
      </c>
      <c r="AA15">
        <f>IF(HUAWEI製ＰＣＳ接続枚数計算ツール!$G$107/AA$2&gt;=低温電圧!AA15,1,0)</f>
        <v>0</v>
      </c>
      <c r="AB15">
        <f>IF(HUAWEI製ＰＣＳ接続枚数計算ツール!$G$107/AB$2&gt;=低温電圧!AB15,1,0)</f>
        <v>0</v>
      </c>
      <c r="AC15">
        <f>IF(HUAWEI製ＰＣＳ接続枚数計算ツール!$G$107/AC$2&gt;=低温電圧!AC15,1,0)</f>
        <v>0</v>
      </c>
      <c r="AD15">
        <f>IF(HUAWEI製ＰＣＳ接続枚数計算ツール!$G$107/AD$2&gt;=低温電圧!AD15,1,0)</f>
        <v>0</v>
      </c>
      <c r="AE15">
        <f>IF(HUAWEI製ＰＣＳ接続枚数計算ツール!$G$107/AE$2&gt;=低温電圧!AE15,1,0)</f>
        <v>0</v>
      </c>
      <c r="AF15">
        <f>IF(HUAWEI製ＰＣＳ接続枚数計算ツール!$G$107/AF$2&gt;=低温電圧!AF15,1,0)</f>
        <v>0</v>
      </c>
      <c r="AG15">
        <f>IF(HUAWEI製ＰＣＳ接続枚数計算ツール!$G$107/AG$2&gt;=低温電圧!AG15,1,0)</f>
        <v>0</v>
      </c>
      <c r="AH15">
        <f>IF(HUAWEI製ＰＣＳ接続枚数計算ツール!$G$107/AH$2&gt;=低温電圧!AH15,1,0)</f>
        <v>0</v>
      </c>
      <c r="AI15">
        <f>IF(HUAWEI製ＰＣＳ接続枚数計算ツール!$G$107/AI$2&gt;=低温電圧!AI15,1,0)</f>
        <v>0</v>
      </c>
      <c r="AJ15">
        <f>IF(HUAWEI製ＰＣＳ接続枚数計算ツール!$G$107/AJ$2&gt;=低温電圧!AJ15,1,0)</f>
        <v>0</v>
      </c>
      <c r="AK15">
        <f>IF(HUAWEI製ＰＣＳ接続枚数計算ツール!$G$107/AK$2&gt;=低温電圧!AK15,1,0)</f>
        <v>0</v>
      </c>
      <c r="AL15">
        <f>IF(HUAWEI製ＰＣＳ接続枚数計算ツール!$G$107/AL$2&gt;=低温電圧!AL15,1,0)</f>
        <v>0</v>
      </c>
      <c r="AM15">
        <f>IF(HUAWEI製ＰＣＳ接続枚数計算ツール!$G$107/AM$2&gt;=低温電圧!AM15,1,0)</f>
        <v>0</v>
      </c>
      <c r="AN15">
        <f>IF(HUAWEI製ＰＣＳ接続枚数計算ツール!$G$107/AN$2&gt;=低温電圧!AN15,1,0)</f>
        <v>0</v>
      </c>
      <c r="AO15">
        <f>IF(HUAWEI製ＰＣＳ接続枚数計算ツール!$G$107/AO$2&gt;=低温電圧!AO15,1,0)</f>
        <v>0</v>
      </c>
    </row>
    <row r="16" spans="1:41">
      <c r="A16">
        <v>14</v>
      </c>
      <c r="B16">
        <f>IF(HUAWEI製ＰＣＳ接続枚数計算ツール!$G$107/B$2&gt;=低温電圧!B16,1,0)</f>
        <v>1</v>
      </c>
      <c r="C16">
        <f>IF(HUAWEI製ＰＣＳ接続枚数計算ツール!$G$107/C$2&gt;=低温電圧!C16,1,0)</f>
        <v>1</v>
      </c>
      <c r="D16">
        <f>IF(HUAWEI製ＰＣＳ接続枚数計算ツール!$G$107/D$2&gt;=低温電圧!D16,1,0)</f>
        <v>1</v>
      </c>
      <c r="E16">
        <f>IF(HUAWEI製ＰＣＳ接続枚数計算ツール!$G$107/E$2&gt;=低温電圧!E16,1,0)</f>
        <v>1</v>
      </c>
      <c r="F16">
        <f>IF(HUAWEI製ＰＣＳ接続枚数計算ツール!$G$107/F$2&gt;=低温電圧!F16,1,0)</f>
        <v>1</v>
      </c>
      <c r="G16">
        <f>IF(HUAWEI製ＰＣＳ接続枚数計算ツール!$G$107/G$2&gt;=低温電圧!G16,1,0)</f>
        <v>1</v>
      </c>
      <c r="H16">
        <f>IF(HUAWEI製ＰＣＳ接続枚数計算ツール!$G$107/H$2&gt;=低温電圧!H16,1,0)</f>
        <v>1</v>
      </c>
      <c r="I16">
        <f>IF(HUAWEI製ＰＣＳ接続枚数計算ツール!$G$107/I$2&gt;=低温電圧!I16,1,0)</f>
        <v>1</v>
      </c>
      <c r="J16">
        <f>IF(HUAWEI製ＰＣＳ接続枚数計算ツール!$G$107/J$2&gt;=低温電圧!J16,1,0)</f>
        <v>1</v>
      </c>
      <c r="K16">
        <f>IF(HUAWEI製ＰＣＳ接続枚数計算ツール!$G$107/K$2&gt;=低温電圧!K16,1,0)</f>
        <v>1</v>
      </c>
      <c r="L16">
        <f>IF(HUAWEI製ＰＣＳ接続枚数計算ツール!$G$107/L$2&gt;=低温電圧!L16,1,0)</f>
        <v>1</v>
      </c>
      <c r="M16">
        <f>IF(HUAWEI製ＰＣＳ接続枚数計算ツール!$G$107/M$2&gt;=低温電圧!M16,1,0)</f>
        <v>1</v>
      </c>
      <c r="N16">
        <f>IF(HUAWEI製ＰＣＳ接続枚数計算ツール!$G$107/N$2&gt;=低温電圧!N16,1,0)</f>
        <v>1</v>
      </c>
      <c r="O16">
        <f>IF(HUAWEI製ＰＣＳ接続枚数計算ツール!$G$107/O$2&gt;=低温電圧!O16,1,0)</f>
        <v>1</v>
      </c>
      <c r="P16">
        <f>IF(HUAWEI製ＰＣＳ接続枚数計算ツール!$G$107/P$2&gt;=低温電圧!P16,1,0)</f>
        <v>1</v>
      </c>
      <c r="Q16">
        <f>IF(HUAWEI製ＰＣＳ接続枚数計算ツール!$G$107/Q$2&gt;=低温電圧!Q16,1,0)</f>
        <v>1</v>
      </c>
      <c r="R16">
        <f>IF(HUAWEI製ＰＣＳ接続枚数計算ツール!$G$107/R$2&gt;=低温電圧!R16,1,0)</f>
        <v>1</v>
      </c>
      <c r="S16">
        <f>IF(HUAWEI製ＰＣＳ接続枚数計算ツール!$G$107/S$2&gt;=低温電圧!S16,1,0)</f>
        <v>1</v>
      </c>
      <c r="T16">
        <f>IF(HUAWEI製ＰＣＳ接続枚数計算ツール!$G$107/T$2&gt;=低温電圧!T16,1,0)</f>
        <v>1</v>
      </c>
      <c r="U16">
        <f>IF(HUAWEI製ＰＣＳ接続枚数計算ツール!$G$107/U$2&gt;=低温電圧!U16,1,0)</f>
        <v>1</v>
      </c>
      <c r="V16">
        <f>IF(HUAWEI製ＰＣＳ接続枚数計算ツール!$G$107/V$2&gt;=低温電圧!V16,1,0)</f>
        <v>1</v>
      </c>
      <c r="W16">
        <f>IF(HUAWEI製ＰＣＳ接続枚数計算ツール!$G$107/W$2&gt;=低温電圧!W16,1,0)</f>
        <v>1</v>
      </c>
      <c r="X16">
        <f>IF(HUAWEI製ＰＣＳ接続枚数計算ツール!$G$107/X$2&gt;=低温電圧!X16,1,0)</f>
        <v>1</v>
      </c>
      <c r="Y16">
        <f>IF(HUAWEI製ＰＣＳ接続枚数計算ツール!$G$107/Y$2&gt;=低温電圧!Y16,1,0)</f>
        <v>0</v>
      </c>
      <c r="Z16">
        <f>IF(HUAWEI製ＰＣＳ接続枚数計算ツール!$G$107/Z$2&gt;=低温電圧!Z16,1,0)</f>
        <v>0</v>
      </c>
      <c r="AA16">
        <f>IF(HUAWEI製ＰＣＳ接続枚数計算ツール!$G$107/AA$2&gt;=低温電圧!AA16,1,0)</f>
        <v>0</v>
      </c>
      <c r="AB16">
        <f>IF(HUAWEI製ＰＣＳ接続枚数計算ツール!$G$107/AB$2&gt;=低温電圧!AB16,1,0)</f>
        <v>0</v>
      </c>
      <c r="AC16">
        <f>IF(HUAWEI製ＰＣＳ接続枚数計算ツール!$G$107/AC$2&gt;=低温電圧!AC16,1,0)</f>
        <v>0</v>
      </c>
      <c r="AD16">
        <f>IF(HUAWEI製ＰＣＳ接続枚数計算ツール!$G$107/AD$2&gt;=低温電圧!AD16,1,0)</f>
        <v>0</v>
      </c>
      <c r="AE16">
        <f>IF(HUAWEI製ＰＣＳ接続枚数計算ツール!$G$107/AE$2&gt;=低温電圧!AE16,1,0)</f>
        <v>0</v>
      </c>
      <c r="AF16">
        <f>IF(HUAWEI製ＰＣＳ接続枚数計算ツール!$G$107/AF$2&gt;=低温電圧!AF16,1,0)</f>
        <v>0</v>
      </c>
      <c r="AG16">
        <f>IF(HUAWEI製ＰＣＳ接続枚数計算ツール!$G$107/AG$2&gt;=低温電圧!AG16,1,0)</f>
        <v>0</v>
      </c>
      <c r="AH16">
        <f>IF(HUAWEI製ＰＣＳ接続枚数計算ツール!$G$107/AH$2&gt;=低温電圧!AH16,1,0)</f>
        <v>0</v>
      </c>
      <c r="AI16">
        <f>IF(HUAWEI製ＰＣＳ接続枚数計算ツール!$G$107/AI$2&gt;=低温電圧!AI16,1,0)</f>
        <v>0</v>
      </c>
      <c r="AJ16">
        <f>IF(HUAWEI製ＰＣＳ接続枚数計算ツール!$G$107/AJ$2&gt;=低温電圧!AJ16,1,0)</f>
        <v>0</v>
      </c>
      <c r="AK16">
        <f>IF(HUAWEI製ＰＣＳ接続枚数計算ツール!$G$107/AK$2&gt;=低温電圧!AK16,1,0)</f>
        <v>0</v>
      </c>
      <c r="AL16">
        <f>IF(HUAWEI製ＰＣＳ接続枚数計算ツール!$G$107/AL$2&gt;=低温電圧!AL16,1,0)</f>
        <v>0</v>
      </c>
      <c r="AM16">
        <f>IF(HUAWEI製ＰＣＳ接続枚数計算ツール!$G$107/AM$2&gt;=低温電圧!AM16,1,0)</f>
        <v>0</v>
      </c>
      <c r="AN16">
        <f>IF(HUAWEI製ＰＣＳ接続枚数計算ツール!$G$107/AN$2&gt;=低温電圧!AN16,1,0)</f>
        <v>0</v>
      </c>
      <c r="AO16">
        <f>IF(HUAWEI製ＰＣＳ接続枚数計算ツール!$G$107/AO$2&gt;=低温電圧!AO16,1,0)</f>
        <v>0</v>
      </c>
    </row>
    <row r="17" spans="1:41">
      <c r="A17">
        <v>15</v>
      </c>
      <c r="B17">
        <f>IF(HUAWEI製ＰＣＳ接続枚数計算ツール!$G$107/B$2&gt;=低温電圧!B17,1,0)</f>
        <v>1</v>
      </c>
      <c r="C17">
        <f>IF(HUAWEI製ＰＣＳ接続枚数計算ツール!$G$107/C$2&gt;=低温電圧!C17,1,0)</f>
        <v>1</v>
      </c>
      <c r="D17">
        <f>IF(HUAWEI製ＰＣＳ接続枚数計算ツール!$G$107/D$2&gt;=低温電圧!D17,1,0)</f>
        <v>1</v>
      </c>
      <c r="E17">
        <f>IF(HUAWEI製ＰＣＳ接続枚数計算ツール!$G$107/E$2&gt;=低温電圧!E17,1,0)</f>
        <v>1</v>
      </c>
      <c r="F17">
        <f>IF(HUAWEI製ＰＣＳ接続枚数計算ツール!$G$107/F$2&gt;=低温電圧!F17,1,0)</f>
        <v>1</v>
      </c>
      <c r="G17">
        <f>IF(HUAWEI製ＰＣＳ接続枚数計算ツール!$G$107/G$2&gt;=低温電圧!G17,1,0)</f>
        <v>1</v>
      </c>
      <c r="H17">
        <f>IF(HUAWEI製ＰＣＳ接続枚数計算ツール!$G$107/H$2&gt;=低温電圧!H17,1,0)</f>
        <v>1</v>
      </c>
      <c r="I17">
        <f>IF(HUAWEI製ＰＣＳ接続枚数計算ツール!$G$107/I$2&gt;=低温電圧!I17,1,0)</f>
        <v>1</v>
      </c>
      <c r="J17">
        <f>IF(HUAWEI製ＰＣＳ接続枚数計算ツール!$G$107/J$2&gt;=低温電圧!J17,1,0)</f>
        <v>1</v>
      </c>
      <c r="K17">
        <f>IF(HUAWEI製ＰＣＳ接続枚数計算ツール!$G$107/K$2&gt;=低温電圧!K17,1,0)</f>
        <v>1</v>
      </c>
      <c r="L17">
        <f>IF(HUAWEI製ＰＣＳ接続枚数計算ツール!$G$107/L$2&gt;=低温電圧!L17,1,0)</f>
        <v>1</v>
      </c>
      <c r="M17">
        <f>IF(HUAWEI製ＰＣＳ接続枚数計算ツール!$G$107/M$2&gt;=低温電圧!M17,1,0)</f>
        <v>1</v>
      </c>
      <c r="N17">
        <f>IF(HUAWEI製ＰＣＳ接続枚数計算ツール!$G$107/N$2&gt;=低温電圧!N17,1,0)</f>
        <v>1</v>
      </c>
      <c r="O17">
        <f>IF(HUAWEI製ＰＣＳ接続枚数計算ツール!$G$107/O$2&gt;=低温電圧!O17,1,0)</f>
        <v>1</v>
      </c>
      <c r="P17">
        <f>IF(HUAWEI製ＰＣＳ接続枚数計算ツール!$G$107/P$2&gt;=低温電圧!P17,1,0)</f>
        <v>1</v>
      </c>
      <c r="Q17">
        <f>IF(HUAWEI製ＰＣＳ接続枚数計算ツール!$G$107/Q$2&gt;=低温電圧!Q17,1,0)</f>
        <v>1</v>
      </c>
      <c r="R17">
        <f>IF(HUAWEI製ＰＣＳ接続枚数計算ツール!$G$107/R$2&gt;=低温電圧!R17,1,0)</f>
        <v>1</v>
      </c>
      <c r="S17">
        <f>IF(HUAWEI製ＰＣＳ接続枚数計算ツール!$G$107/S$2&gt;=低温電圧!S17,1,0)</f>
        <v>1</v>
      </c>
      <c r="T17">
        <f>IF(HUAWEI製ＰＣＳ接続枚数計算ツール!$G$107/T$2&gt;=低温電圧!T17,1,0)</f>
        <v>1</v>
      </c>
      <c r="U17">
        <f>IF(HUAWEI製ＰＣＳ接続枚数計算ツール!$G$107/U$2&gt;=低温電圧!U17,1,0)</f>
        <v>1</v>
      </c>
      <c r="V17">
        <f>IF(HUAWEI製ＰＣＳ接続枚数計算ツール!$G$107/V$2&gt;=低温電圧!V17,1,0)</f>
        <v>1</v>
      </c>
      <c r="W17">
        <f>IF(HUAWEI製ＰＣＳ接続枚数計算ツール!$G$107/W$2&gt;=低温電圧!W17,1,0)</f>
        <v>1</v>
      </c>
      <c r="X17">
        <f>IF(HUAWEI製ＰＣＳ接続枚数計算ツール!$G$107/X$2&gt;=低温電圧!X17,1,0)</f>
        <v>1</v>
      </c>
      <c r="Y17">
        <f>IF(HUAWEI製ＰＣＳ接続枚数計算ツール!$G$107/Y$2&gt;=低温電圧!Y17,1,0)</f>
        <v>0</v>
      </c>
      <c r="Z17">
        <f>IF(HUAWEI製ＰＣＳ接続枚数計算ツール!$G$107/Z$2&gt;=低温電圧!Z17,1,0)</f>
        <v>0</v>
      </c>
      <c r="AA17">
        <f>IF(HUAWEI製ＰＣＳ接続枚数計算ツール!$G$107/AA$2&gt;=低温電圧!AA17,1,0)</f>
        <v>0</v>
      </c>
      <c r="AB17">
        <f>IF(HUAWEI製ＰＣＳ接続枚数計算ツール!$G$107/AB$2&gt;=低温電圧!AB17,1,0)</f>
        <v>0</v>
      </c>
      <c r="AC17">
        <f>IF(HUAWEI製ＰＣＳ接続枚数計算ツール!$G$107/AC$2&gt;=低温電圧!AC17,1,0)</f>
        <v>0</v>
      </c>
      <c r="AD17">
        <f>IF(HUAWEI製ＰＣＳ接続枚数計算ツール!$G$107/AD$2&gt;=低温電圧!AD17,1,0)</f>
        <v>0</v>
      </c>
      <c r="AE17">
        <f>IF(HUAWEI製ＰＣＳ接続枚数計算ツール!$G$107/AE$2&gt;=低温電圧!AE17,1,0)</f>
        <v>0</v>
      </c>
      <c r="AF17">
        <f>IF(HUAWEI製ＰＣＳ接続枚数計算ツール!$G$107/AF$2&gt;=低温電圧!AF17,1,0)</f>
        <v>0</v>
      </c>
      <c r="AG17">
        <f>IF(HUAWEI製ＰＣＳ接続枚数計算ツール!$G$107/AG$2&gt;=低温電圧!AG17,1,0)</f>
        <v>0</v>
      </c>
      <c r="AH17">
        <f>IF(HUAWEI製ＰＣＳ接続枚数計算ツール!$G$107/AH$2&gt;=低温電圧!AH17,1,0)</f>
        <v>0</v>
      </c>
      <c r="AI17">
        <f>IF(HUAWEI製ＰＣＳ接続枚数計算ツール!$G$107/AI$2&gt;=低温電圧!AI17,1,0)</f>
        <v>0</v>
      </c>
      <c r="AJ17">
        <f>IF(HUAWEI製ＰＣＳ接続枚数計算ツール!$G$107/AJ$2&gt;=低温電圧!AJ17,1,0)</f>
        <v>0</v>
      </c>
      <c r="AK17">
        <f>IF(HUAWEI製ＰＣＳ接続枚数計算ツール!$G$107/AK$2&gt;=低温電圧!AK17,1,0)</f>
        <v>0</v>
      </c>
      <c r="AL17">
        <f>IF(HUAWEI製ＰＣＳ接続枚数計算ツール!$G$107/AL$2&gt;=低温電圧!AL17,1,0)</f>
        <v>0</v>
      </c>
      <c r="AM17">
        <f>IF(HUAWEI製ＰＣＳ接続枚数計算ツール!$G$107/AM$2&gt;=低温電圧!AM17,1,0)</f>
        <v>0</v>
      </c>
      <c r="AN17">
        <f>IF(HUAWEI製ＰＣＳ接続枚数計算ツール!$G$107/AN$2&gt;=低温電圧!AN17,1,0)</f>
        <v>0</v>
      </c>
      <c r="AO17">
        <f>IF(HUAWEI製ＰＣＳ接続枚数計算ツール!$G$107/AO$2&gt;=低温電圧!AO17,1,0)</f>
        <v>0</v>
      </c>
    </row>
    <row r="18" spans="1:41">
      <c r="A18">
        <v>16</v>
      </c>
      <c r="B18">
        <f>IF(HUAWEI製ＰＣＳ接続枚数計算ツール!$G$107/B$2&gt;=低温電圧!B18,1,0)</f>
        <v>1</v>
      </c>
      <c r="C18">
        <f>IF(HUAWEI製ＰＣＳ接続枚数計算ツール!$G$107/C$2&gt;=低温電圧!C18,1,0)</f>
        <v>1</v>
      </c>
      <c r="D18">
        <f>IF(HUAWEI製ＰＣＳ接続枚数計算ツール!$G$107/D$2&gt;=低温電圧!D18,1,0)</f>
        <v>1</v>
      </c>
      <c r="E18">
        <f>IF(HUAWEI製ＰＣＳ接続枚数計算ツール!$G$107/E$2&gt;=低温電圧!E18,1,0)</f>
        <v>1</v>
      </c>
      <c r="F18">
        <f>IF(HUAWEI製ＰＣＳ接続枚数計算ツール!$G$107/F$2&gt;=低温電圧!F18,1,0)</f>
        <v>1</v>
      </c>
      <c r="G18">
        <f>IF(HUAWEI製ＰＣＳ接続枚数計算ツール!$G$107/G$2&gt;=低温電圧!G18,1,0)</f>
        <v>1</v>
      </c>
      <c r="H18">
        <f>IF(HUAWEI製ＰＣＳ接続枚数計算ツール!$G$107/H$2&gt;=低温電圧!H18,1,0)</f>
        <v>1</v>
      </c>
      <c r="I18">
        <f>IF(HUAWEI製ＰＣＳ接続枚数計算ツール!$G$107/I$2&gt;=低温電圧!I18,1,0)</f>
        <v>1</v>
      </c>
      <c r="J18">
        <f>IF(HUAWEI製ＰＣＳ接続枚数計算ツール!$G$107/J$2&gt;=低温電圧!J18,1,0)</f>
        <v>1</v>
      </c>
      <c r="K18">
        <f>IF(HUAWEI製ＰＣＳ接続枚数計算ツール!$G$107/K$2&gt;=低温電圧!K18,1,0)</f>
        <v>1</v>
      </c>
      <c r="L18">
        <f>IF(HUAWEI製ＰＣＳ接続枚数計算ツール!$G$107/L$2&gt;=低温電圧!L18,1,0)</f>
        <v>1</v>
      </c>
      <c r="M18">
        <f>IF(HUAWEI製ＰＣＳ接続枚数計算ツール!$G$107/M$2&gt;=低温電圧!M18,1,0)</f>
        <v>1</v>
      </c>
      <c r="N18">
        <f>IF(HUAWEI製ＰＣＳ接続枚数計算ツール!$G$107/N$2&gt;=低温電圧!N18,1,0)</f>
        <v>1</v>
      </c>
      <c r="O18">
        <f>IF(HUAWEI製ＰＣＳ接続枚数計算ツール!$G$107/O$2&gt;=低温電圧!O18,1,0)</f>
        <v>1</v>
      </c>
      <c r="P18">
        <f>IF(HUAWEI製ＰＣＳ接続枚数計算ツール!$G$107/P$2&gt;=低温電圧!P18,1,0)</f>
        <v>1</v>
      </c>
      <c r="Q18">
        <f>IF(HUAWEI製ＰＣＳ接続枚数計算ツール!$G$107/Q$2&gt;=低温電圧!Q18,1,0)</f>
        <v>1</v>
      </c>
      <c r="R18">
        <f>IF(HUAWEI製ＰＣＳ接続枚数計算ツール!$G$107/R$2&gt;=低温電圧!R18,1,0)</f>
        <v>1</v>
      </c>
      <c r="S18">
        <f>IF(HUAWEI製ＰＣＳ接続枚数計算ツール!$G$107/S$2&gt;=低温電圧!S18,1,0)</f>
        <v>1</v>
      </c>
      <c r="T18">
        <f>IF(HUAWEI製ＰＣＳ接続枚数計算ツール!$G$107/T$2&gt;=低温電圧!T18,1,0)</f>
        <v>1</v>
      </c>
      <c r="U18">
        <f>IF(HUAWEI製ＰＣＳ接続枚数計算ツール!$G$107/U$2&gt;=低温電圧!U18,1,0)</f>
        <v>1</v>
      </c>
      <c r="V18">
        <f>IF(HUAWEI製ＰＣＳ接続枚数計算ツール!$G$107/V$2&gt;=低温電圧!V18,1,0)</f>
        <v>1</v>
      </c>
      <c r="W18">
        <f>IF(HUAWEI製ＰＣＳ接続枚数計算ツール!$G$107/W$2&gt;=低温電圧!W18,1,0)</f>
        <v>1</v>
      </c>
      <c r="X18">
        <f>IF(HUAWEI製ＰＣＳ接続枚数計算ツール!$G$107/X$2&gt;=低温電圧!X18,1,0)</f>
        <v>1</v>
      </c>
      <c r="Y18">
        <f>IF(HUAWEI製ＰＣＳ接続枚数計算ツール!$G$107/Y$2&gt;=低温電圧!Y18,1,0)</f>
        <v>0</v>
      </c>
      <c r="Z18">
        <f>IF(HUAWEI製ＰＣＳ接続枚数計算ツール!$G$107/Z$2&gt;=低温電圧!Z18,1,0)</f>
        <v>0</v>
      </c>
      <c r="AA18">
        <f>IF(HUAWEI製ＰＣＳ接続枚数計算ツール!$G$107/AA$2&gt;=低温電圧!AA18,1,0)</f>
        <v>0</v>
      </c>
      <c r="AB18">
        <f>IF(HUAWEI製ＰＣＳ接続枚数計算ツール!$G$107/AB$2&gt;=低温電圧!AB18,1,0)</f>
        <v>0</v>
      </c>
      <c r="AC18">
        <f>IF(HUAWEI製ＰＣＳ接続枚数計算ツール!$G$107/AC$2&gt;=低温電圧!AC18,1,0)</f>
        <v>0</v>
      </c>
      <c r="AD18">
        <f>IF(HUAWEI製ＰＣＳ接続枚数計算ツール!$G$107/AD$2&gt;=低温電圧!AD18,1,0)</f>
        <v>0</v>
      </c>
      <c r="AE18">
        <f>IF(HUAWEI製ＰＣＳ接続枚数計算ツール!$G$107/AE$2&gt;=低温電圧!AE18,1,0)</f>
        <v>0</v>
      </c>
      <c r="AF18">
        <f>IF(HUAWEI製ＰＣＳ接続枚数計算ツール!$G$107/AF$2&gt;=低温電圧!AF18,1,0)</f>
        <v>0</v>
      </c>
      <c r="AG18">
        <f>IF(HUAWEI製ＰＣＳ接続枚数計算ツール!$G$107/AG$2&gt;=低温電圧!AG18,1,0)</f>
        <v>0</v>
      </c>
      <c r="AH18">
        <f>IF(HUAWEI製ＰＣＳ接続枚数計算ツール!$G$107/AH$2&gt;=低温電圧!AH18,1,0)</f>
        <v>0</v>
      </c>
      <c r="AI18">
        <f>IF(HUAWEI製ＰＣＳ接続枚数計算ツール!$G$107/AI$2&gt;=低温電圧!AI18,1,0)</f>
        <v>0</v>
      </c>
      <c r="AJ18">
        <f>IF(HUAWEI製ＰＣＳ接続枚数計算ツール!$G$107/AJ$2&gt;=低温電圧!AJ18,1,0)</f>
        <v>0</v>
      </c>
      <c r="AK18">
        <f>IF(HUAWEI製ＰＣＳ接続枚数計算ツール!$G$107/AK$2&gt;=低温電圧!AK18,1,0)</f>
        <v>0</v>
      </c>
      <c r="AL18">
        <f>IF(HUAWEI製ＰＣＳ接続枚数計算ツール!$G$107/AL$2&gt;=低温電圧!AL18,1,0)</f>
        <v>0</v>
      </c>
      <c r="AM18">
        <f>IF(HUAWEI製ＰＣＳ接続枚数計算ツール!$G$107/AM$2&gt;=低温電圧!AM18,1,0)</f>
        <v>0</v>
      </c>
      <c r="AN18">
        <f>IF(HUAWEI製ＰＣＳ接続枚数計算ツール!$G$107/AN$2&gt;=低温電圧!AN18,1,0)</f>
        <v>0</v>
      </c>
      <c r="AO18">
        <f>IF(HUAWEI製ＰＣＳ接続枚数計算ツール!$G$107/AO$2&gt;=低温電圧!AO18,1,0)</f>
        <v>0</v>
      </c>
    </row>
    <row r="19" spans="1:41">
      <c r="A19">
        <v>17</v>
      </c>
      <c r="B19">
        <f>IF(HUAWEI製ＰＣＳ接続枚数計算ツール!$G$107/B$2&gt;=低温電圧!B19,1,0)</f>
        <v>1</v>
      </c>
      <c r="C19">
        <f>IF(HUAWEI製ＰＣＳ接続枚数計算ツール!$G$107/C$2&gt;=低温電圧!C19,1,0)</f>
        <v>1</v>
      </c>
      <c r="D19">
        <f>IF(HUAWEI製ＰＣＳ接続枚数計算ツール!$G$107/D$2&gt;=低温電圧!D19,1,0)</f>
        <v>1</v>
      </c>
      <c r="E19">
        <f>IF(HUAWEI製ＰＣＳ接続枚数計算ツール!$G$107/E$2&gt;=低温電圧!E19,1,0)</f>
        <v>1</v>
      </c>
      <c r="F19">
        <f>IF(HUAWEI製ＰＣＳ接続枚数計算ツール!$G$107/F$2&gt;=低温電圧!F19,1,0)</f>
        <v>1</v>
      </c>
      <c r="G19">
        <f>IF(HUAWEI製ＰＣＳ接続枚数計算ツール!$G$107/G$2&gt;=低温電圧!G19,1,0)</f>
        <v>1</v>
      </c>
      <c r="H19">
        <f>IF(HUAWEI製ＰＣＳ接続枚数計算ツール!$G$107/H$2&gt;=低温電圧!H19,1,0)</f>
        <v>1</v>
      </c>
      <c r="I19">
        <f>IF(HUAWEI製ＰＣＳ接続枚数計算ツール!$G$107/I$2&gt;=低温電圧!I19,1,0)</f>
        <v>1</v>
      </c>
      <c r="J19">
        <f>IF(HUAWEI製ＰＣＳ接続枚数計算ツール!$G$107/J$2&gt;=低温電圧!J19,1,0)</f>
        <v>1</v>
      </c>
      <c r="K19">
        <f>IF(HUAWEI製ＰＣＳ接続枚数計算ツール!$G$107/K$2&gt;=低温電圧!K19,1,0)</f>
        <v>1</v>
      </c>
      <c r="L19">
        <f>IF(HUAWEI製ＰＣＳ接続枚数計算ツール!$G$107/L$2&gt;=低温電圧!L19,1,0)</f>
        <v>1</v>
      </c>
      <c r="M19">
        <f>IF(HUAWEI製ＰＣＳ接続枚数計算ツール!$G$107/M$2&gt;=低温電圧!M19,1,0)</f>
        <v>1</v>
      </c>
      <c r="N19">
        <f>IF(HUAWEI製ＰＣＳ接続枚数計算ツール!$G$107/N$2&gt;=低温電圧!N19,1,0)</f>
        <v>1</v>
      </c>
      <c r="O19">
        <f>IF(HUAWEI製ＰＣＳ接続枚数計算ツール!$G$107/O$2&gt;=低温電圧!O19,1,0)</f>
        <v>1</v>
      </c>
      <c r="P19">
        <f>IF(HUAWEI製ＰＣＳ接続枚数計算ツール!$G$107/P$2&gt;=低温電圧!P19,1,0)</f>
        <v>1</v>
      </c>
      <c r="Q19">
        <f>IF(HUAWEI製ＰＣＳ接続枚数計算ツール!$G$107/Q$2&gt;=低温電圧!Q19,1,0)</f>
        <v>1</v>
      </c>
      <c r="R19">
        <f>IF(HUAWEI製ＰＣＳ接続枚数計算ツール!$G$107/R$2&gt;=低温電圧!R19,1,0)</f>
        <v>1</v>
      </c>
      <c r="S19">
        <f>IF(HUAWEI製ＰＣＳ接続枚数計算ツール!$G$107/S$2&gt;=低温電圧!S19,1,0)</f>
        <v>1</v>
      </c>
      <c r="T19">
        <f>IF(HUAWEI製ＰＣＳ接続枚数計算ツール!$G$107/T$2&gt;=低温電圧!T19,1,0)</f>
        <v>1</v>
      </c>
      <c r="U19">
        <f>IF(HUAWEI製ＰＣＳ接続枚数計算ツール!$G$107/U$2&gt;=低温電圧!U19,1,0)</f>
        <v>1</v>
      </c>
      <c r="V19">
        <f>IF(HUAWEI製ＰＣＳ接続枚数計算ツール!$G$107/V$2&gt;=低温電圧!V19,1,0)</f>
        <v>1</v>
      </c>
      <c r="W19">
        <f>IF(HUAWEI製ＰＣＳ接続枚数計算ツール!$G$107/W$2&gt;=低温電圧!W19,1,0)</f>
        <v>1</v>
      </c>
      <c r="X19">
        <f>IF(HUAWEI製ＰＣＳ接続枚数計算ツール!$G$107/X$2&gt;=低温電圧!X19,1,0)</f>
        <v>1</v>
      </c>
      <c r="Y19">
        <f>IF(HUAWEI製ＰＣＳ接続枚数計算ツール!$G$107/Y$2&gt;=低温電圧!Y19,1,0)</f>
        <v>0</v>
      </c>
      <c r="Z19">
        <f>IF(HUAWEI製ＰＣＳ接続枚数計算ツール!$G$107/Z$2&gt;=低温電圧!Z19,1,0)</f>
        <v>0</v>
      </c>
      <c r="AA19">
        <f>IF(HUAWEI製ＰＣＳ接続枚数計算ツール!$G$107/AA$2&gt;=低温電圧!AA19,1,0)</f>
        <v>0</v>
      </c>
      <c r="AB19">
        <f>IF(HUAWEI製ＰＣＳ接続枚数計算ツール!$G$107/AB$2&gt;=低温電圧!AB19,1,0)</f>
        <v>0</v>
      </c>
      <c r="AC19">
        <f>IF(HUAWEI製ＰＣＳ接続枚数計算ツール!$G$107/AC$2&gt;=低温電圧!AC19,1,0)</f>
        <v>0</v>
      </c>
      <c r="AD19">
        <f>IF(HUAWEI製ＰＣＳ接続枚数計算ツール!$G$107/AD$2&gt;=低温電圧!AD19,1,0)</f>
        <v>0</v>
      </c>
      <c r="AE19">
        <f>IF(HUAWEI製ＰＣＳ接続枚数計算ツール!$G$107/AE$2&gt;=低温電圧!AE19,1,0)</f>
        <v>0</v>
      </c>
      <c r="AF19">
        <f>IF(HUAWEI製ＰＣＳ接続枚数計算ツール!$G$107/AF$2&gt;=低温電圧!AF19,1,0)</f>
        <v>0</v>
      </c>
      <c r="AG19">
        <f>IF(HUAWEI製ＰＣＳ接続枚数計算ツール!$G$107/AG$2&gt;=低温電圧!AG19,1,0)</f>
        <v>0</v>
      </c>
      <c r="AH19">
        <f>IF(HUAWEI製ＰＣＳ接続枚数計算ツール!$G$107/AH$2&gt;=低温電圧!AH19,1,0)</f>
        <v>0</v>
      </c>
      <c r="AI19">
        <f>IF(HUAWEI製ＰＣＳ接続枚数計算ツール!$G$107/AI$2&gt;=低温電圧!AI19,1,0)</f>
        <v>0</v>
      </c>
      <c r="AJ19">
        <f>IF(HUAWEI製ＰＣＳ接続枚数計算ツール!$G$107/AJ$2&gt;=低温電圧!AJ19,1,0)</f>
        <v>0</v>
      </c>
      <c r="AK19">
        <f>IF(HUAWEI製ＰＣＳ接続枚数計算ツール!$G$107/AK$2&gt;=低温電圧!AK19,1,0)</f>
        <v>0</v>
      </c>
      <c r="AL19">
        <f>IF(HUAWEI製ＰＣＳ接続枚数計算ツール!$G$107/AL$2&gt;=低温電圧!AL19,1,0)</f>
        <v>0</v>
      </c>
      <c r="AM19">
        <f>IF(HUAWEI製ＰＣＳ接続枚数計算ツール!$G$107/AM$2&gt;=低温電圧!AM19,1,0)</f>
        <v>0</v>
      </c>
      <c r="AN19">
        <f>IF(HUAWEI製ＰＣＳ接続枚数計算ツール!$G$107/AN$2&gt;=低温電圧!AN19,1,0)</f>
        <v>0</v>
      </c>
      <c r="AO19">
        <f>IF(HUAWEI製ＰＣＳ接続枚数計算ツール!$G$107/AO$2&gt;=低温電圧!AO19,1,0)</f>
        <v>0</v>
      </c>
    </row>
    <row r="20" spans="1:41">
      <c r="A20">
        <v>18</v>
      </c>
      <c r="B20">
        <f>IF(HUAWEI製ＰＣＳ接続枚数計算ツール!$G$107/B$2&gt;=低温電圧!B20,1,0)</f>
        <v>1</v>
      </c>
      <c r="C20">
        <f>IF(HUAWEI製ＰＣＳ接続枚数計算ツール!$G$107/C$2&gt;=低温電圧!C20,1,0)</f>
        <v>1</v>
      </c>
      <c r="D20">
        <f>IF(HUAWEI製ＰＣＳ接続枚数計算ツール!$G$107/D$2&gt;=低温電圧!D20,1,0)</f>
        <v>1</v>
      </c>
      <c r="E20">
        <f>IF(HUAWEI製ＰＣＳ接続枚数計算ツール!$G$107/E$2&gt;=低温電圧!E20,1,0)</f>
        <v>1</v>
      </c>
      <c r="F20">
        <f>IF(HUAWEI製ＰＣＳ接続枚数計算ツール!$G$107/F$2&gt;=低温電圧!F20,1,0)</f>
        <v>1</v>
      </c>
      <c r="G20">
        <f>IF(HUAWEI製ＰＣＳ接続枚数計算ツール!$G$107/G$2&gt;=低温電圧!G20,1,0)</f>
        <v>1</v>
      </c>
      <c r="H20">
        <f>IF(HUAWEI製ＰＣＳ接続枚数計算ツール!$G$107/H$2&gt;=低温電圧!H20,1,0)</f>
        <v>1</v>
      </c>
      <c r="I20">
        <f>IF(HUAWEI製ＰＣＳ接続枚数計算ツール!$G$107/I$2&gt;=低温電圧!I20,1,0)</f>
        <v>1</v>
      </c>
      <c r="J20">
        <f>IF(HUAWEI製ＰＣＳ接続枚数計算ツール!$G$107/J$2&gt;=低温電圧!J20,1,0)</f>
        <v>1</v>
      </c>
      <c r="K20">
        <f>IF(HUAWEI製ＰＣＳ接続枚数計算ツール!$G$107/K$2&gt;=低温電圧!K20,1,0)</f>
        <v>1</v>
      </c>
      <c r="L20">
        <f>IF(HUAWEI製ＰＣＳ接続枚数計算ツール!$G$107/L$2&gt;=低温電圧!L20,1,0)</f>
        <v>1</v>
      </c>
      <c r="M20">
        <f>IF(HUAWEI製ＰＣＳ接続枚数計算ツール!$G$107/M$2&gt;=低温電圧!M20,1,0)</f>
        <v>1</v>
      </c>
      <c r="N20">
        <f>IF(HUAWEI製ＰＣＳ接続枚数計算ツール!$G$107/N$2&gt;=低温電圧!N20,1,0)</f>
        <v>1</v>
      </c>
      <c r="O20">
        <f>IF(HUAWEI製ＰＣＳ接続枚数計算ツール!$G$107/O$2&gt;=低温電圧!O20,1,0)</f>
        <v>1</v>
      </c>
      <c r="P20">
        <f>IF(HUAWEI製ＰＣＳ接続枚数計算ツール!$G$107/P$2&gt;=低温電圧!P20,1,0)</f>
        <v>1</v>
      </c>
      <c r="Q20">
        <f>IF(HUAWEI製ＰＣＳ接続枚数計算ツール!$G$107/Q$2&gt;=低温電圧!Q20,1,0)</f>
        <v>1</v>
      </c>
      <c r="R20">
        <f>IF(HUAWEI製ＰＣＳ接続枚数計算ツール!$G$107/R$2&gt;=低温電圧!R20,1,0)</f>
        <v>1</v>
      </c>
      <c r="S20">
        <f>IF(HUAWEI製ＰＣＳ接続枚数計算ツール!$G$107/S$2&gt;=低温電圧!S20,1,0)</f>
        <v>1</v>
      </c>
      <c r="T20">
        <f>IF(HUAWEI製ＰＣＳ接続枚数計算ツール!$G$107/T$2&gt;=低温電圧!T20,1,0)</f>
        <v>1</v>
      </c>
      <c r="U20">
        <f>IF(HUAWEI製ＰＣＳ接続枚数計算ツール!$G$107/U$2&gt;=低温電圧!U20,1,0)</f>
        <v>1</v>
      </c>
      <c r="V20">
        <f>IF(HUAWEI製ＰＣＳ接続枚数計算ツール!$G$107/V$2&gt;=低温電圧!V20,1,0)</f>
        <v>1</v>
      </c>
      <c r="W20">
        <f>IF(HUAWEI製ＰＣＳ接続枚数計算ツール!$G$107/W$2&gt;=低温電圧!W20,1,0)</f>
        <v>1</v>
      </c>
      <c r="X20">
        <f>IF(HUAWEI製ＰＣＳ接続枚数計算ツール!$G$107/X$2&gt;=低温電圧!X20,1,0)</f>
        <v>1</v>
      </c>
      <c r="Y20">
        <f>IF(HUAWEI製ＰＣＳ接続枚数計算ツール!$G$107/Y$2&gt;=低温電圧!Y20,1,0)</f>
        <v>0</v>
      </c>
      <c r="Z20">
        <f>IF(HUAWEI製ＰＣＳ接続枚数計算ツール!$G$107/Z$2&gt;=低温電圧!Z20,1,0)</f>
        <v>0</v>
      </c>
      <c r="AA20">
        <f>IF(HUAWEI製ＰＣＳ接続枚数計算ツール!$G$107/AA$2&gt;=低温電圧!AA20,1,0)</f>
        <v>0</v>
      </c>
      <c r="AB20">
        <f>IF(HUAWEI製ＰＣＳ接続枚数計算ツール!$G$107/AB$2&gt;=低温電圧!AB20,1,0)</f>
        <v>0</v>
      </c>
      <c r="AC20">
        <f>IF(HUAWEI製ＰＣＳ接続枚数計算ツール!$G$107/AC$2&gt;=低温電圧!AC20,1,0)</f>
        <v>0</v>
      </c>
      <c r="AD20">
        <f>IF(HUAWEI製ＰＣＳ接続枚数計算ツール!$G$107/AD$2&gt;=低温電圧!AD20,1,0)</f>
        <v>0</v>
      </c>
      <c r="AE20">
        <f>IF(HUAWEI製ＰＣＳ接続枚数計算ツール!$G$107/AE$2&gt;=低温電圧!AE20,1,0)</f>
        <v>0</v>
      </c>
      <c r="AF20">
        <f>IF(HUAWEI製ＰＣＳ接続枚数計算ツール!$G$107/AF$2&gt;=低温電圧!AF20,1,0)</f>
        <v>0</v>
      </c>
      <c r="AG20">
        <f>IF(HUAWEI製ＰＣＳ接続枚数計算ツール!$G$107/AG$2&gt;=低温電圧!AG20,1,0)</f>
        <v>0</v>
      </c>
      <c r="AH20">
        <f>IF(HUAWEI製ＰＣＳ接続枚数計算ツール!$G$107/AH$2&gt;=低温電圧!AH20,1,0)</f>
        <v>0</v>
      </c>
      <c r="AI20">
        <f>IF(HUAWEI製ＰＣＳ接続枚数計算ツール!$G$107/AI$2&gt;=低温電圧!AI20,1,0)</f>
        <v>0</v>
      </c>
      <c r="AJ20">
        <f>IF(HUAWEI製ＰＣＳ接続枚数計算ツール!$G$107/AJ$2&gt;=低温電圧!AJ20,1,0)</f>
        <v>0</v>
      </c>
      <c r="AK20">
        <f>IF(HUAWEI製ＰＣＳ接続枚数計算ツール!$G$107/AK$2&gt;=低温電圧!AK20,1,0)</f>
        <v>0</v>
      </c>
      <c r="AL20">
        <f>IF(HUAWEI製ＰＣＳ接続枚数計算ツール!$G$107/AL$2&gt;=低温電圧!AL20,1,0)</f>
        <v>0</v>
      </c>
      <c r="AM20">
        <f>IF(HUAWEI製ＰＣＳ接続枚数計算ツール!$G$107/AM$2&gt;=低温電圧!AM20,1,0)</f>
        <v>0</v>
      </c>
      <c r="AN20">
        <f>IF(HUAWEI製ＰＣＳ接続枚数計算ツール!$G$107/AN$2&gt;=低温電圧!AN20,1,0)</f>
        <v>0</v>
      </c>
      <c r="AO20">
        <f>IF(HUAWEI製ＰＣＳ接続枚数計算ツール!$G$107/AO$2&gt;=低温電圧!AO20,1,0)</f>
        <v>0</v>
      </c>
    </row>
    <row r="21" spans="1:41">
      <c r="A21">
        <v>19</v>
      </c>
      <c r="B21">
        <f>IF(HUAWEI製ＰＣＳ接続枚数計算ツール!$G$107/B$2&gt;=低温電圧!B21,1,0)</f>
        <v>1</v>
      </c>
      <c r="C21">
        <f>IF(HUAWEI製ＰＣＳ接続枚数計算ツール!$G$107/C$2&gt;=低温電圧!C21,1,0)</f>
        <v>1</v>
      </c>
      <c r="D21">
        <f>IF(HUAWEI製ＰＣＳ接続枚数計算ツール!$G$107/D$2&gt;=低温電圧!D21,1,0)</f>
        <v>1</v>
      </c>
      <c r="E21">
        <f>IF(HUAWEI製ＰＣＳ接続枚数計算ツール!$G$107/E$2&gt;=低温電圧!E21,1,0)</f>
        <v>1</v>
      </c>
      <c r="F21">
        <f>IF(HUAWEI製ＰＣＳ接続枚数計算ツール!$G$107/F$2&gt;=低温電圧!F21,1,0)</f>
        <v>1</v>
      </c>
      <c r="G21">
        <f>IF(HUAWEI製ＰＣＳ接続枚数計算ツール!$G$107/G$2&gt;=低温電圧!G21,1,0)</f>
        <v>1</v>
      </c>
      <c r="H21">
        <f>IF(HUAWEI製ＰＣＳ接続枚数計算ツール!$G$107/H$2&gt;=低温電圧!H21,1,0)</f>
        <v>1</v>
      </c>
      <c r="I21">
        <f>IF(HUAWEI製ＰＣＳ接続枚数計算ツール!$G$107/I$2&gt;=低温電圧!I21,1,0)</f>
        <v>1</v>
      </c>
      <c r="J21">
        <f>IF(HUAWEI製ＰＣＳ接続枚数計算ツール!$G$107/J$2&gt;=低温電圧!J21,1,0)</f>
        <v>1</v>
      </c>
      <c r="K21">
        <f>IF(HUAWEI製ＰＣＳ接続枚数計算ツール!$G$107/K$2&gt;=低温電圧!K21,1,0)</f>
        <v>1</v>
      </c>
      <c r="L21">
        <f>IF(HUAWEI製ＰＣＳ接続枚数計算ツール!$G$107/L$2&gt;=低温電圧!L21,1,0)</f>
        <v>1</v>
      </c>
      <c r="M21">
        <f>IF(HUAWEI製ＰＣＳ接続枚数計算ツール!$G$107/M$2&gt;=低温電圧!M21,1,0)</f>
        <v>1</v>
      </c>
      <c r="N21">
        <f>IF(HUAWEI製ＰＣＳ接続枚数計算ツール!$G$107/N$2&gt;=低温電圧!N21,1,0)</f>
        <v>1</v>
      </c>
      <c r="O21">
        <f>IF(HUAWEI製ＰＣＳ接続枚数計算ツール!$G$107/O$2&gt;=低温電圧!O21,1,0)</f>
        <v>1</v>
      </c>
      <c r="P21">
        <f>IF(HUAWEI製ＰＣＳ接続枚数計算ツール!$G$107/P$2&gt;=低温電圧!P21,1,0)</f>
        <v>1</v>
      </c>
      <c r="Q21">
        <f>IF(HUAWEI製ＰＣＳ接続枚数計算ツール!$G$107/Q$2&gt;=低温電圧!Q21,1,0)</f>
        <v>1</v>
      </c>
      <c r="R21">
        <f>IF(HUAWEI製ＰＣＳ接続枚数計算ツール!$G$107/R$2&gt;=低温電圧!R21,1,0)</f>
        <v>1</v>
      </c>
      <c r="S21">
        <f>IF(HUAWEI製ＰＣＳ接続枚数計算ツール!$G$107/S$2&gt;=低温電圧!S21,1,0)</f>
        <v>1</v>
      </c>
      <c r="T21">
        <f>IF(HUAWEI製ＰＣＳ接続枚数計算ツール!$G$107/T$2&gt;=低温電圧!T21,1,0)</f>
        <v>1</v>
      </c>
      <c r="U21">
        <f>IF(HUAWEI製ＰＣＳ接続枚数計算ツール!$G$107/U$2&gt;=低温電圧!U21,1,0)</f>
        <v>1</v>
      </c>
      <c r="V21">
        <f>IF(HUAWEI製ＰＣＳ接続枚数計算ツール!$G$107/V$2&gt;=低温電圧!V21,1,0)</f>
        <v>1</v>
      </c>
      <c r="W21">
        <f>IF(HUAWEI製ＰＣＳ接続枚数計算ツール!$G$107/W$2&gt;=低温電圧!W21,1,0)</f>
        <v>1</v>
      </c>
      <c r="X21">
        <f>IF(HUAWEI製ＰＣＳ接続枚数計算ツール!$G$107/X$2&gt;=低温電圧!X21,1,0)</f>
        <v>1</v>
      </c>
      <c r="Y21">
        <f>IF(HUAWEI製ＰＣＳ接続枚数計算ツール!$G$107/Y$2&gt;=低温電圧!Y21,1,0)</f>
        <v>1</v>
      </c>
      <c r="Z21">
        <f>IF(HUAWEI製ＰＣＳ接続枚数計算ツール!$G$107/Z$2&gt;=低温電圧!Z21,1,0)</f>
        <v>1</v>
      </c>
      <c r="AA21">
        <f>IF(HUAWEI製ＰＣＳ接続枚数計算ツール!$G$107/AA$2&gt;=低温電圧!AA21,1,0)</f>
        <v>1</v>
      </c>
      <c r="AB21">
        <f>IF(HUAWEI製ＰＣＳ接続枚数計算ツール!$G$107/AB$2&gt;=低温電圧!AB21,1,0)</f>
        <v>0</v>
      </c>
      <c r="AC21">
        <f>IF(HUAWEI製ＰＣＳ接続枚数計算ツール!$G$107/AC$2&gt;=低温電圧!AC21,1,0)</f>
        <v>0</v>
      </c>
      <c r="AD21">
        <f>IF(HUAWEI製ＰＣＳ接続枚数計算ツール!$G$107/AD$2&gt;=低温電圧!AD21,1,0)</f>
        <v>0</v>
      </c>
      <c r="AE21">
        <f>IF(HUAWEI製ＰＣＳ接続枚数計算ツール!$G$107/AE$2&gt;=低温電圧!AE21,1,0)</f>
        <v>0</v>
      </c>
      <c r="AF21">
        <f>IF(HUAWEI製ＰＣＳ接続枚数計算ツール!$G$107/AF$2&gt;=低温電圧!AF21,1,0)</f>
        <v>0</v>
      </c>
      <c r="AG21">
        <f>IF(HUAWEI製ＰＣＳ接続枚数計算ツール!$G$107/AG$2&gt;=低温電圧!AG21,1,0)</f>
        <v>0</v>
      </c>
      <c r="AH21">
        <f>IF(HUAWEI製ＰＣＳ接続枚数計算ツール!$G$107/AH$2&gt;=低温電圧!AH21,1,0)</f>
        <v>0</v>
      </c>
      <c r="AI21">
        <f>IF(HUAWEI製ＰＣＳ接続枚数計算ツール!$G$107/AI$2&gt;=低温電圧!AI21,1,0)</f>
        <v>0</v>
      </c>
      <c r="AJ21">
        <f>IF(HUAWEI製ＰＣＳ接続枚数計算ツール!$G$107/AJ$2&gt;=低温電圧!AJ21,1,0)</f>
        <v>0</v>
      </c>
      <c r="AK21">
        <f>IF(HUAWEI製ＰＣＳ接続枚数計算ツール!$G$107/AK$2&gt;=低温電圧!AK21,1,0)</f>
        <v>0</v>
      </c>
      <c r="AL21">
        <f>IF(HUAWEI製ＰＣＳ接続枚数計算ツール!$G$107/AL$2&gt;=低温電圧!AL21,1,0)</f>
        <v>0</v>
      </c>
      <c r="AM21">
        <f>IF(HUAWEI製ＰＣＳ接続枚数計算ツール!$G$107/AM$2&gt;=低温電圧!AM21,1,0)</f>
        <v>0</v>
      </c>
      <c r="AN21">
        <f>IF(HUAWEI製ＰＣＳ接続枚数計算ツール!$G$107/AN$2&gt;=低温電圧!AN21,1,0)</f>
        <v>0</v>
      </c>
      <c r="AO21">
        <f>IF(HUAWEI製ＰＣＳ接続枚数計算ツール!$G$107/AO$2&gt;=低温電圧!AO21,1,0)</f>
        <v>0</v>
      </c>
    </row>
    <row r="22" spans="1:41">
      <c r="A22">
        <v>20</v>
      </c>
      <c r="B22">
        <f>IF(HUAWEI製ＰＣＳ接続枚数計算ツール!$G$107/B$2&gt;=低温電圧!B22,1,0)</f>
        <v>1</v>
      </c>
      <c r="C22">
        <f>IF(HUAWEI製ＰＣＳ接続枚数計算ツール!$G$107/C$2&gt;=低温電圧!C22,1,0)</f>
        <v>1</v>
      </c>
      <c r="D22">
        <f>IF(HUAWEI製ＰＣＳ接続枚数計算ツール!$G$107/D$2&gt;=低温電圧!D22,1,0)</f>
        <v>1</v>
      </c>
      <c r="E22">
        <f>IF(HUAWEI製ＰＣＳ接続枚数計算ツール!$G$107/E$2&gt;=低温電圧!E22,1,0)</f>
        <v>1</v>
      </c>
      <c r="F22">
        <f>IF(HUAWEI製ＰＣＳ接続枚数計算ツール!$G$107/F$2&gt;=低温電圧!F22,1,0)</f>
        <v>1</v>
      </c>
      <c r="G22">
        <f>IF(HUAWEI製ＰＣＳ接続枚数計算ツール!$G$107/G$2&gt;=低温電圧!G22,1,0)</f>
        <v>1</v>
      </c>
      <c r="H22">
        <f>IF(HUAWEI製ＰＣＳ接続枚数計算ツール!$G$107/H$2&gt;=低温電圧!H22,1,0)</f>
        <v>1</v>
      </c>
      <c r="I22">
        <f>IF(HUAWEI製ＰＣＳ接続枚数計算ツール!$G$107/I$2&gt;=低温電圧!I22,1,0)</f>
        <v>1</v>
      </c>
      <c r="J22">
        <f>IF(HUAWEI製ＰＣＳ接続枚数計算ツール!$G$107/J$2&gt;=低温電圧!J22,1,0)</f>
        <v>1</v>
      </c>
      <c r="K22">
        <f>IF(HUAWEI製ＰＣＳ接続枚数計算ツール!$G$107/K$2&gt;=低温電圧!K22,1,0)</f>
        <v>1</v>
      </c>
      <c r="L22">
        <f>IF(HUAWEI製ＰＣＳ接続枚数計算ツール!$G$107/L$2&gt;=低温電圧!L22,1,0)</f>
        <v>1</v>
      </c>
      <c r="M22">
        <f>IF(HUAWEI製ＰＣＳ接続枚数計算ツール!$G$107/M$2&gt;=低温電圧!M22,1,0)</f>
        <v>1</v>
      </c>
      <c r="N22">
        <f>IF(HUAWEI製ＰＣＳ接続枚数計算ツール!$G$107/N$2&gt;=低温電圧!N22,1,0)</f>
        <v>1</v>
      </c>
      <c r="O22">
        <f>IF(HUAWEI製ＰＣＳ接続枚数計算ツール!$G$107/O$2&gt;=低温電圧!O22,1,0)</f>
        <v>1</v>
      </c>
      <c r="P22">
        <f>IF(HUAWEI製ＰＣＳ接続枚数計算ツール!$G$107/P$2&gt;=低温電圧!P22,1,0)</f>
        <v>1</v>
      </c>
      <c r="Q22">
        <f>IF(HUAWEI製ＰＣＳ接続枚数計算ツール!$G$107/Q$2&gt;=低温電圧!Q22,1,0)</f>
        <v>1</v>
      </c>
      <c r="R22">
        <f>IF(HUAWEI製ＰＣＳ接続枚数計算ツール!$G$107/R$2&gt;=低温電圧!R22,1,0)</f>
        <v>1</v>
      </c>
      <c r="S22">
        <f>IF(HUAWEI製ＰＣＳ接続枚数計算ツール!$G$107/S$2&gt;=低温電圧!S22,1,0)</f>
        <v>1</v>
      </c>
      <c r="T22">
        <f>IF(HUAWEI製ＰＣＳ接続枚数計算ツール!$G$107/T$2&gt;=低温電圧!T22,1,0)</f>
        <v>1</v>
      </c>
      <c r="U22">
        <f>IF(HUAWEI製ＰＣＳ接続枚数計算ツール!$G$107/U$2&gt;=低温電圧!U22,1,0)</f>
        <v>1</v>
      </c>
      <c r="V22">
        <f>IF(HUAWEI製ＰＣＳ接続枚数計算ツール!$G$107/V$2&gt;=低温電圧!V22,1,0)</f>
        <v>1</v>
      </c>
      <c r="W22">
        <f>IF(HUAWEI製ＰＣＳ接続枚数計算ツール!$G$107/W$2&gt;=低温電圧!W22,1,0)</f>
        <v>1</v>
      </c>
      <c r="X22">
        <f>IF(HUAWEI製ＰＣＳ接続枚数計算ツール!$G$107/X$2&gt;=低温電圧!X22,1,0)</f>
        <v>1</v>
      </c>
      <c r="Y22">
        <f>IF(HUAWEI製ＰＣＳ接続枚数計算ツール!$G$107/Y$2&gt;=低温電圧!Y22,1,0)</f>
        <v>1</v>
      </c>
      <c r="Z22">
        <f>IF(HUAWEI製ＰＣＳ接続枚数計算ツール!$G$107/Z$2&gt;=低温電圧!Z22,1,0)</f>
        <v>1</v>
      </c>
      <c r="AA22">
        <f>IF(HUAWEI製ＰＣＳ接続枚数計算ツール!$G$107/AA$2&gt;=低温電圧!AA22,1,0)</f>
        <v>1</v>
      </c>
      <c r="AB22">
        <f>IF(HUAWEI製ＰＣＳ接続枚数計算ツール!$G$107/AB$2&gt;=低温電圧!AB22,1,0)</f>
        <v>0</v>
      </c>
      <c r="AC22">
        <f>IF(HUAWEI製ＰＣＳ接続枚数計算ツール!$G$107/AC$2&gt;=低温電圧!AC22,1,0)</f>
        <v>0</v>
      </c>
      <c r="AD22">
        <f>IF(HUAWEI製ＰＣＳ接続枚数計算ツール!$G$107/AD$2&gt;=低温電圧!AD22,1,0)</f>
        <v>0</v>
      </c>
      <c r="AE22">
        <f>IF(HUAWEI製ＰＣＳ接続枚数計算ツール!$G$107/AE$2&gt;=低温電圧!AE22,1,0)</f>
        <v>0</v>
      </c>
      <c r="AF22">
        <f>IF(HUAWEI製ＰＣＳ接続枚数計算ツール!$G$107/AF$2&gt;=低温電圧!AF22,1,0)</f>
        <v>0</v>
      </c>
      <c r="AG22">
        <f>IF(HUAWEI製ＰＣＳ接続枚数計算ツール!$G$107/AG$2&gt;=低温電圧!AG22,1,0)</f>
        <v>0</v>
      </c>
      <c r="AH22">
        <f>IF(HUAWEI製ＰＣＳ接続枚数計算ツール!$G$107/AH$2&gt;=低温電圧!AH22,1,0)</f>
        <v>0</v>
      </c>
      <c r="AI22">
        <f>IF(HUAWEI製ＰＣＳ接続枚数計算ツール!$G$107/AI$2&gt;=低温電圧!AI22,1,0)</f>
        <v>0</v>
      </c>
      <c r="AJ22">
        <f>IF(HUAWEI製ＰＣＳ接続枚数計算ツール!$G$107/AJ$2&gt;=低温電圧!AJ22,1,0)</f>
        <v>0</v>
      </c>
      <c r="AK22">
        <f>IF(HUAWEI製ＰＣＳ接続枚数計算ツール!$G$107/AK$2&gt;=低温電圧!AK22,1,0)</f>
        <v>0</v>
      </c>
      <c r="AL22">
        <f>IF(HUAWEI製ＰＣＳ接続枚数計算ツール!$G$107/AL$2&gt;=低温電圧!AL22,1,0)</f>
        <v>0</v>
      </c>
      <c r="AM22">
        <f>IF(HUAWEI製ＰＣＳ接続枚数計算ツール!$G$107/AM$2&gt;=低温電圧!AM22,1,0)</f>
        <v>0</v>
      </c>
      <c r="AN22">
        <f>IF(HUAWEI製ＰＣＳ接続枚数計算ツール!$G$107/AN$2&gt;=低温電圧!AN22,1,0)</f>
        <v>0</v>
      </c>
      <c r="AO22">
        <f>IF(HUAWEI製ＰＣＳ接続枚数計算ツール!$G$107/AO$2&gt;=低温電圧!AO22,1,0)</f>
        <v>0</v>
      </c>
    </row>
    <row r="23" spans="1:41">
      <c r="A23">
        <v>21</v>
      </c>
      <c r="B23">
        <f>IF(HUAWEI製ＰＣＳ接続枚数計算ツール!$G$107/B$2&gt;=低温電圧!B23,1,0)</f>
        <v>1</v>
      </c>
      <c r="C23">
        <f>IF(HUAWEI製ＰＣＳ接続枚数計算ツール!$G$107/C$2&gt;=低温電圧!C23,1,0)</f>
        <v>1</v>
      </c>
      <c r="D23">
        <f>IF(HUAWEI製ＰＣＳ接続枚数計算ツール!$G$107/D$2&gt;=低温電圧!D23,1,0)</f>
        <v>1</v>
      </c>
      <c r="E23">
        <f>IF(HUAWEI製ＰＣＳ接続枚数計算ツール!$G$107/E$2&gt;=低温電圧!E23,1,0)</f>
        <v>1</v>
      </c>
      <c r="F23">
        <f>IF(HUAWEI製ＰＣＳ接続枚数計算ツール!$G$107/F$2&gt;=低温電圧!F23,1,0)</f>
        <v>1</v>
      </c>
      <c r="G23">
        <f>IF(HUAWEI製ＰＣＳ接続枚数計算ツール!$G$107/G$2&gt;=低温電圧!G23,1,0)</f>
        <v>1</v>
      </c>
      <c r="H23">
        <f>IF(HUAWEI製ＰＣＳ接続枚数計算ツール!$G$107/H$2&gt;=低温電圧!H23,1,0)</f>
        <v>1</v>
      </c>
      <c r="I23">
        <f>IF(HUAWEI製ＰＣＳ接続枚数計算ツール!$G$107/I$2&gt;=低温電圧!I23,1,0)</f>
        <v>1</v>
      </c>
      <c r="J23">
        <f>IF(HUAWEI製ＰＣＳ接続枚数計算ツール!$G$107/J$2&gt;=低温電圧!J23,1,0)</f>
        <v>1</v>
      </c>
      <c r="K23">
        <f>IF(HUAWEI製ＰＣＳ接続枚数計算ツール!$G$107/K$2&gt;=低温電圧!K23,1,0)</f>
        <v>1</v>
      </c>
      <c r="L23">
        <f>IF(HUAWEI製ＰＣＳ接続枚数計算ツール!$G$107/L$2&gt;=低温電圧!L23,1,0)</f>
        <v>1</v>
      </c>
      <c r="M23">
        <f>IF(HUAWEI製ＰＣＳ接続枚数計算ツール!$G$107/M$2&gt;=低温電圧!M23,1,0)</f>
        <v>1</v>
      </c>
      <c r="N23">
        <f>IF(HUAWEI製ＰＣＳ接続枚数計算ツール!$G$107/N$2&gt;=低温電圧!N23,1,0)</f>
        <v>1</v>
      </c>
      <c r="O23">
        <f>IF(HUAWEI製ＰＣＳ接続枚数計算ツール!$G$107/O$2&gt;=低温電圧!O23,1,0)</f>
        <v>1</v>
      </c>
      <c r="P23">
        <f>IF(HUAWEI製ＰＣＳ接続枚数計算ツール!$G$107/P$2&gt;=低温電圧!P23,1,0)</f>
        <v>1</v>
      </c>
      <c r="Q23">
        <f>IF(HUAWEI製ＰＣＳ接続枚数計算ツール!$G$107/Q$2&gt;=低温電圧!Q23,1,0)</f>
        <v>1</v>
      </c>
      <c r="R23">
        <f>IF(HUAWEI製ＰＣＳ接続枚数計算ツール!$G$107/R$2&gt;=低温電圧!R23,1,0)</f>
        <v>1</v>
      </c>
      <c r="S23">
        <f>IF(HUAWEI製ＰＣＳ接続枚数計算ツール!$G$107/S$2&gt;=低温電圧!S23,1,0)</f>
        <v>1</v>
      </c>
      <c r="T23">
        <f>IF(HUAWEI製ＰＣＳ接続枚数計算ツール!$G$107/T$2&gt;=低温電圧!T23,1,0)</f>
        <v>1</v>
      </c>
      <c r="U23">
        <f>IF(HUAWEI製ＰＣＳ接続枚数計算ツール!$G$107/U$2&gt;=低温電圧!U23,1,0)</f>
        <v>1</v>
      </c>
      <c r="V23">
        <f>IF(HUAWEI製ＰＣＳ接続枚数計算ツール!$G$107/V$2&gt;=低温電圧!V23,1,0)</f>
        <v>1</v>
      </c>
      <c r="W23">
        <f>IF(HUAWEI製ＰＣＳ接続枚数計算ツール!$G$107/W$2&gt;=低温電圧!W23,1,0)</f>
        <v>1</v>
      </c>
      <c r="X23">
        <f>IF(HUAWEI製ＰＣＳ接続枚数計算ツール!$G$107/X$2&gt;=低温電圧!X23,1,0)</f>
        <v>1</v>
      </c>
      <c r="Y23">
        <f>IF(HUAWEI製ＰＣＳ接続枚数計算ツール!$G$107/Y$2&gt;=低温電圧!Y23,1,0)</f>
        <v>1</v>
      </c>
      <c r="Z23">
        <f>IF(HUAWEI製ＰＣＳ接続枚数計算ツール!$G$107/Z$2&gt;=低温電圧!Z23,1,0)</f>
        <v>1</v>
      </c>
      <c r="AA23">
        <f>IF(HUAWEI製ＰＣＳ接続枚数計算ツール!$G$107/AA$2&gt;=低温電圧!AA23,1,0)</f>
        <v>1</v>
      </c>
      <c r="AB23">
        <f>IF(HUAWEI製ＰＣＳ接続枚数計算ツール!$G$107/AB$2&gt;=低温電圧!AB23,1,0)</f>
        <v>0</v>
      </c>
      <c r="AC23">
        <f>IF(HUAWEI製ＰＣＳ接続枚数計算ツール!$G$107/AC$2&gt;=低温電圧!AC23,1,0)</f>
        <v>0</v>
      </c>
      <c r="AD23">
        <f>IF(HUAWEI製ＰＣＳ接続枚数計算ツール!$G$107/AD$2&gt;=低温電圧!AD23,1,0)</f>
        <v>0</v>
      </c>
      <c r="AE23">
        <f>IF(HUAWEI製ＰＣＳ接続枚数計算ツール!$G$107/AE$2&gt;=低温電圧!AE23,1,0)</f>
        <v>0</v>
      </c>
      <c r="AF23">
        <f>IF(HUAWEI製ＰＣＳ接続枚数計算ツール!$G$107/AF$2&gt;=低温電圧!AF23,1,0)</f>
        <v>0</v>
      </c>
      <c r="AG23">
        <f>IF(HUAWEI製ＰＣＳ接続枚数計算ツール!$G$107/AG$2&gt;=低温電圧!AG23,1,0)</f>
        <v>0</v>
      </c>
      <c r="AH23">
        <f>IF(HUAWEI製ＰＣＳ接続枚数計算ツール!$G$107/AH$2&gt;=低温電圧!AH23,1,0)</f>
        <v>0</v>
      </c>
      <c r="AI23">
        <f>IF(HUAWEI製ＰＣＳ接続枚数計算ツール!$G$107/AI$2&gt;=低温電圧!AI23,1,0)</f>
        <v>0</v>
      </c>
      <c r="AJ23">
        <f>IF(HUAWEI製ＰＣＳ接続枚数計算ツール!$G$107/AJ$2&gt;=低温電圧!AJ23,1,0)</f>
        <v>0</v>
      </c>
      <c r="AK23">
        <f>IF(HUAWEI製ＰＣＳ接続枚数計算ツール!$G$107/AK$2&gt;=低温電圧!AK23,1,0)</f>
        <v>0</v>
      </c>
      <c r="AL23">
        <f>IF(HUAWEI製ＰＣＳ接続枚数計算ツール!$G$107/AL$2&gt;=低温電圧!AL23,1,0)</f>
        <v>0</v>
      </c>
      <c r="AM23">
        <f>IF(HUAWEI製ＰＣＳ接続枚数計算ツール!$G$107/AM$2&gt;=低温電圧!AM23,1,0)</f>
        <v>0</v>
      </c>
      <c r="AN23">
        <f>IF(HUAWEI製ＰＣＳ接続枚数計算ツール!$G$107/AN$2&gt;=低温電圧!AN23,1,0)</f>
        <v>0</v>
      </c>
      <c r="AO23">
        <f>IF(HUAWEI製ＰＣＳ接続枚数計算ツール!$G$107/AO$2&gt;=低温電圧!AO23,1,0)</f>
        <v>0</v>
      </c>
    </row>
    <row r="24" spans="1:41">
      <c r="A24">
        <v>22</v>
      </c>
      <c r="B24">
        <f>IF(HUAWEI製ＰＣＳ接続枚数計算ツール!$G$107/B$2&gt;=低温電圧!B24,1,0)</f>
        <v>1</v>
      </c>
      <c r="C24">
        <f>IF(HUAWEI製ＰＣＳ接続枚数計算ツール!$G$107/C$2&gt;=低温電圧!C24,1,0)</f>
        <v>1</v>
      </c>
      <c r="D24">
        <f>IF(HUAWEI製ＰＣＳ接続枚数計算ツール!$G$107/D$2&gt;=低温電圧!D24,1,0)</f>
        <v>1</v>
      </c>
      <c r="E24">
        <f>IF(HUAWEI製ＰＣＳ接続枚数計算ツール!$G$107/E$2&gt;=低温電圧!E24,1,0)</f>
        <v>1</v>
      </c>
      <c r="F24">
        <f>IF(HUAWEI製ＰＣＳ接続枚数計算ツール!$G$107/F$2&gt;=低温電圧!F24,1,0)</f>
        <v>1</v>
      </c>
      <c r="G24">
        <f>IF(HUAWEI製ＰＣＳ接続枚数計算ツール!$G$107/G$2&gt;=低温電圧!G24,1,0)</f>
        <v>1</v>
      </c>
      <c r="H24">
        <f>IF(HUAWEI製ＰＣＳ接続枚数計算ツール!$G$107/H$2&gt;=低温電圧!H24,1,0)</f>
        <v>1</v>
      </c>
      <c r="I24">
        <f>IF(HUAWEI製ＰＣＳ接続枚数計算ツール!$G$107/I$2&gt;=低温電圧!I24,1,0)</f>
        <v>1</v>
      </c>
      <c r="J24">
        <f>IF(HUAWEI製ＰＣＳ接続枚数計算ツール!$G$107/J$2&gt;=低温電圧!J24,1,0)</f>
        <v>1</v>
      </c>
      <c r="K24">
        <f>IF(HUAWEI製ＰＣＳ接続枚数計算ツール!$G$107/K$2&gt;=低温電圧!K24,1,0)</f>
        <v>1</v>
      </c>
      <c r="L24">
        <f>IF(HUAWEI製ＰＣＳ接続枚数計算ツール!$G$107/L$2&gt;=低温電圧!L24,1,0)</f>
        <v>1</v>
      </c>
      <c r="M24">
        <f>IF(HUAWEI製ＰＣＳ接続枚数計算ツール!$G$107/M$2&gt;=低温電圧!M24,1,0)</f>
        <v>1</v>
      </c>
      <c r="N24">
        <f>IF(HUAWEI製ＰＣＳ接続枚数計算ツール!$G$107/N$2&gt;=低温電圧!N24,1,0)</f>
        <v>1</v>
      </c>
      <c r="O24">
        <f>IF(HUAWEI製ＰＣＳ接続枚数計算ツール!$G$107/O$2&gt;=低温電圧!O24,1,0)</f>
        <v>1</v>
      </c>
      <c r="P24">
        <f>IF(HUAWEI製ＰＣＳ接続枚数計算ツール!$G$107/P$2&gt;=低温電圧!P24,1,0)</f>
        <v>1</v>
      </c>
      <c r="Q24">
        <f>IF(HUAWEI製ＰＣＳ接続枚数計算ツール!$G$107/Q$2&gt;=低温電圧!Q24,1,0)</f>
        <v>1</v>
      </c>
      <c r="R24">
        <f>IF(HUAWEI製ＰＣＳ接続枚数計算ツール!$G$107/R$2&gt;=低温電圧!R24,1,0)</f>
        <v>1</v>
      </c>
      <c r="S24">
        <f>IF(HUAWEI製ＰＣＳ接続枚数計算ツール!$G$107/S$2&gt;=低温電圧!S24,1,0)</f>
        <v>1</v>
      </c>
      <c r="T24">
        <f>IF(HUAWEI製ＰＣＳ接続枚数計算ツール!$G$107/T$2&gt;=低温電圧!T24,1,0)</f>
        <v>1</v>
      </c>
      <c r="U24">
        <f>IF(HUAWEI製ＰＣＳ接続枚数計算ツール!$G$107/U$2&gt;=低温電圧!U24,1,0)</f>
        <v>1</v>
      </c>
      <c r="V24">
        <f>IF(HUAWEI製ＰＣＳ接続枚数計算ツール!$G$107/V$2&gt;=低温電圧!V24,1,0)</f>
        <v>1</v>
      </c>
      <c r="W24">
        <f>IF(HUAWEI製ＰＣＳ接続枚数計算ツール!$G$107/W$2&gt;=低温電圧!W24,1,0)</f>
        <v>1</v>
      </c>
      <c r="X24">
        <f>IF(HUAWEI製ＰＣＳ接続枚数計算ツール!$G$107/X$2&gt;=低温電圧!X24,1,0)</f>
        <v>1</v>
      </c>
      <c r="Y24">
        <f>IF(HUAWEI製ＰＣＳ接続枚数計算ツール!$G$107/Y$2&gt;=低温電圧!Y24,1,0)</f>
        <v>1</v>
      </c>
      <c r="Z24">
        <f>IF(HUAWEI製ＰＣＳ接続枚数計算ツール!$G$107/Z$2&gt;=低温電圧!Z24,1,0)</f>
        <v>1</v>
      </c>
      <c r="AA24">
        <f>IF(HUAWEI製ＰＣＳ接続枚数計算ツール!$G$107/AA$2&gt;=低温電圧!AA24,1,0)</f>
        <v>1</v>
      </c>
      <c r="AB24">
        <f>IF(HUAWEI製ＰＣＳ接続枚数計算ツール!$G$107/AB$2&gt;=低温電圧!AB24,1,0)</f>
        <v>0</v>
      </c>
      <c r="AC24">
        <f>IF(HUAWEI製ＰＣＳ接続枚数計算ツール!$G$107/AC$2&gt;=低温電圧!AC24,1,0)</f>
        <v>0</v>
      </c>
      <c r="AD24">
        <f>IF(HUAWEI製ＰＣＳ接続枚数計算ツール!$G$107/AD$2&gt;=低温電圧!AD24,1,0)</f>
        <v>0</v>
      </c>
      <c r="AE24">
        <f>IF(HUAWEI製ＰＣＳ接続枚数計算ツール!$G$107/AE$2&gt;=低温電圧!AE24,1,0)</f>
        <v>0</v>
      </c>
      <c r="AF24">
        <f>IF(HUAWEI製ＰＣＳ接続枚数計算ツール!$G$107/AF$2&gt;=低温電圧!AF24,1,0)</f>
        <v>0</v>
      </c>
      <c r="AG24">
        <f>IF(HUAWEI製ＰＣＳ接続枚数計算ツール!$G$107/AG$2&gt;=低温電圧!AG24,1,0)</f>
        <v>0</v>
      </c>
      <c r="AH24">
        <f>IF(HUAWEI製ＰＣＳ接続枚数計算ツール!$G$107/AH$2&gt;=低温電圧!AH24,1,0)</f>
        <v>0</v>
      </c>
      <c r="AI24">
        <f>IF(HUAWEI製ＰＣＳ接続枚数計算ツール!$G$107/AI$2&gt;=低温電圧!AI24,1,0)</f>
        <v>0</v>
      </c>
      <c r="AJ24">
        <f>IF(HUAWEI製ＰＣＳ接続枚数計算ツール!$G$107/AJ$2&gt;=低温電圧!AJ24,1,0)</f>
        <v>0</v>
      </c>
      <c r="AK24">
        <f>IF(HUAWEI製ＰＣＳ接続枚数計算ツール!$G$107/AK$2&gt;=低温電圧!AK24,1,0)</f>
        <v>0</v>
      </c>
      <c r="AL24">
        <f>IF(HUAWEI製ＰＣＳ接続枚数計算ツール!$G$107/AL$2&gt;=低温電圧!AL24,1,0)</f>
        <v>0</v>
      </c>
      <c r="AM24">
        <f>IF(HUAWEI製ＰＣＳ接続枚数計算ツール!$G$107/AM$2&gt;=低温電圧!AM24,1,0)</f>
        <v>0</v>
      </c>
      <c r="AN24">
        <f>IF(HUAWEI製ＰＣＳ接続枚数計算ツール!$G$107/AN$2&gt;=低温電圧!AN24,1,0)</f>
        <v>0</v>
      </c>
      <c r="AO24">
        <f>IF(HUAWEI製ＰＣＳ接続枚数計算ツール!$G$107/AO$2&gt;=低温電圧!AO24,1,0)</f>
        <v>0</v>
      </c>
    </row>
    <row r="25" spans="1:41">
      <c r="A25">
        <v>23</v>
      </c>
      <c r="B25">
        <f>IF(HUAWEI製ＰＣＳ接続枚数計算ツール!$G$107/B$2&gt;=低温電圧!B25,1,0)</f>
        <v>1</v>
      </c>
      <c r="C25">
        <f>IF(HUAWEI製ＰＣＳ接続枚数計算ツール!$G$107/C$2&gt;=低温電圧!C25,1,0)</f>
        <v>1</v>
      </c>
      <c r="D25">
        <f>IF(HUAWEI製ＰＣＳ接続枚数計算ツール!$G$107/D$2&gt;=低温電圧!D25,1,0)</f>
        <v>1</v>
      </c>
      <c r="E25">
        <f>IF(HUAWEI製ＰＣＳ接続枚数計算ツール!$G$107/E$2&gt;=低温電圧!E25,1,0)</f>
        <v>1</v>
      </c>
      <c r="F25">
        <f>IF(HUAWEI製ＰＣＳ接続枚数計算ツール!$G$107/F$2&gt;=低温電圧!F25,1,0)</f>
        <v>1</v>
      </c>
      <c r="G25">
        <f>IF(HUAWEI製ＰＣＳ接続枚数計算ツール!$G$107/G$2&gt;=低温電圧!G25,1,0)</f>
        <v>1</v>
      </c>
      <c r="H25">
        <f>IF(HUAWEI製ＰＣＳ接続枚数計算ツール!$G$107/H$2&gt;=低温電圧!H25,1,0)</f>
        <v>1</v>
      </c>
      <c r="I25">
        <f>IF(HUAWEI製ＰＣＳ接続枚数計算ツール!$G$107/I$2&gt;=低温電圧!I25,1,0)</f>
        <v>1</v>
      </c>
      <c r="J25">
        <f>IF(HUAWEI製ＰＣＳ接続枚数計算ツール!$G$107/J$2&gt;=低温電圧!J25,1,0)</f>
        <v>1</v>
      </c>
      <c r="K25">
        <f>IF(HUAWEI製ＰＣＳ接続枚数計算ツール!$G$107/K$2&gt;=低温電圧!K25,1,0)</f>
        <v>1</v>
      </c>
      <c r="L25">
        <f>IF(HUAWEI製ＰＣＳ接続枚数計算ツール!$G$107/L$2&gt;=低温電圧!L25,1,0)</f>
        <v>1</v>
      </c>
      <c r="M25">
        <f>IF(HUAWEI製ＰＣＳ接続枚数計算ツール!$G$107/M$2&gt;=低温電圧!M25,1,0)</f>
        <v>1</v>
      </c>
      <c r="N25">
        <f>IF(HUAWEI製ＰＣＳ接続枚数計算ツール!$G$107/N$2&gt;=低温電圧!N25,1,0)</f>
        <v>1</v>
      </c>
      <c r="O25">
        <f>IF(HUAWEI製ＰＣＳ接続枚数計算ツール!$G$107/O$2&gt;=低温電圧!O25,1,0)</f>
        <v>1</v>
      </c>
      <c r="P25">
        <f>IF(HUAWEI製ＰＣＳ接続枚数計算ツール!$G$107/P$2&gt;=低温電圧!P25,1,0)</f>
        <v>1</v>
      </c>
      <c r="Q25">
        <f>IF(HUAWEI製ＰＣＳ接続枚数計算ツール!$G$107/Q$2&gt;=低温電圧!Q25,1,0)</f>
        <v>1</v>
      </c>
      <c r="R25">
        <f>IF(HUAWEI製ＰＣＳ接続枚数計算ツール!$G$107/R$2&gt;=低温電圧!R25,1,0)</f>
        <v>1</v>
      </c>
      <c r="S25">
        <f>IF(HUAWEI製ＰＣＳ接続枚数計算ツール!$G$107/S$2&gt;=低温電圧!S25,1,0)</f>
        <v>1</v>
      </c>
      <c r="T25">
        <f>IF(HUAWEI製ＰＣＳ接続枚数計算ツール!$G$107/T$2&gt;=低温電圧!T25,1,0)</f>
        <v>1</v>
      </c>
      <c r="U25">
        <f>IF(HUAWEI製ＰＣＳ接続枚数計算ツール!$G$107/U$2&gt;=低温電圧!U25,1,0)</f>
        <v>1</v>
      </c>
      <c r="V25">
        <f>IF(HUAWEI製ＰＣＳ接続枚数計算ツール!$G$107/V$2&gt;=低温電圧!V25,1,0)</f>
        <v>1</v>
      </c>
      <c r="W25">
        <f>IF(HUAWEI製ＰＣＳ接続枚数計算ツール!$G$107/W$2&gt;=低温電圧!W25,1,0)</f>
        <v>1</v>
      </c>
      <c r="X25">
        <f>IF(HUAWEI製ＰＣＳ接続枚数計算ツール!$G$107/X$2&gt;=低温電圧!X25,1,0)</f>
        <v>1</v>
      </c>
      <c r="Y25">
        <f>IF(HUAWEI製ＰＣＳ接続枚数計算ツール!$G$107/Y$2&gt;=低温電圧!Y25,1,0)</f>
        <v>1</v>
      </c>
      <c r="Z25">
        <f>IF(HUAWEI製ＰＣＳ接続枚数計算ツール!$G$107/Z$2&gt;=低温電圧!Z25,1,0)</f>
        <v>1</v>
      </c>
      <c r="AA25">
        <f>IF(HUAWEI製ＰＣＳ接続枚数計算ツール!$G$107/AA$2&gt;=低温電圧!AA25,1,0)</f>
        <v>1</v>
      </c>
      <c r="AB25">
        <f>IF(HUAWEI製ＰＣＳ接続枚数計算ツール!$G$107/AB$2&gt;=低温電圧!AB25,1,0)</f>
        <v>0</v>
      </c>
      <c r="AC25">
        <f>IF(HUAWEI製ＰＣＳ接続枚数計算ツール!$G$107/AC$2&gt;=低温電圧!AC25,1,0)</f>
        <v>0</v>
      </c>
      <c r="AD25">
        <f>IF(HUAWEI製ＰＣＳ接続枚数計算ツール!$G$107/AD$2&gt;=低温電圧!AD25,1,0)</f>
        <v>0</v>
      </c>
      <c r="AE25">
        <f>IF(HUAWEI製ＰＣＳ接続枚数計算ツール!$G$107/AE$2&gt;=低温電圧!AE25,1,0)</f>
        <v>0</v>
      </c>
      <c r="AF25">
        <f>IF(HUAWEI製ＰＣＳ接続枚数計算ツール!$G$107/AF$2&gt;=低温電圧!AF25,1,0)</f>
        <v>0</v>
      </c>
      <c r="AG25">
        <f>IF(HUAWEI製ＰＣＳ接続枚数計算ツール!$G$107/AG$2&gt;=低温電圧!AG25,1,0)</f>
        <v>0</v>
      </c>
      <c r="AH25">
        <f>IF(HUAWEI製ＰＣＳ接続枚数計算ツール!$G$107/AH$2&gt;=低温電圧!AH25,1,0)</f>
        <v>0</v>
      </c>
      <c r="AI25">
        <f>IF(HUAWEI製ＰＣＳ接続枚数計算ツール!$G$107/AI$2&gt;=低温電圧!AI25,1,0)</f>
        <v>0</v>
      </c>
      <c r="AJ25">
        <f>IF(HUAWEI製ＰＣＳ接続枚数計算ツール!$G$107/AJ$2&gt;=低温電圧!AJ25,1,0)</f>
        <v>0</v>
      </c>
      <c r="AK25">
        <f>IF(HUAWEI製ＰＣＳ接続枚数計算ツール!$G$107/AK$2&gt;=低温電圧!AK25,1,0)</f>
        <v>0</v>
      </c>
      <c r="AL25">
        <f>IF(HUAWEI製ＰＣＳ接続枚数計算ツール!$G$107/AL$2&gt;=低温電圧!AL25,1,0)</f>
        <v>0</v>
      </c>
      <c r="AM25">
        <f>IF(HUAWEI製ＰＣＳ接続枚数計算ツール!$G$107/AM$2&gt;=低温電圧!AM25,1,0)</f>
        <v>0</v>
      </c>
      <c r="AN25">
        <f>IF(HUAWEI製ＰＣＳ接続枚数計算ツール!$G$107/AN$2&gt;=低温電圧!AN25,1,0)</f>
        <v>0</v>
      </c>
      <c r="AO25">
        <f>IF(HUAWEI製ＰＣＳ接続枚数計算ツール!$G$107/AO$2&gt;=低温電圧!AO25,1,0)</f>
        <v>0</v>
      </c>
    </row>
    <row r="26" spans="1:41">
      <c r="A26">
        <v>24</v>
      </c>
      <c r="B26">
        <f>IF(HUAWEI製ＰＣＳ接続枚数計算ツール!$G$107/B$2&gt;=低温電圧!B26,1,0)</f>
        <v>1</v>
      </c>
      <c r="C26">
        <f>IF(HUAWEI製ＰＣＳ接続枚数計算ツール!$G$107/C$2&gt;=低温電圧!C26,1,0)</f>
        <v>1</v>
      </c>
      <c r="D26">
        <f>IF(HUAWEI製ＰＣＳ接続枚数計算ツール!$G$107/D$2&gt;=低温電圧!D26,1,0)</f>
        <v>1</v>
      </c>
      <c r="E26">
        <f>IF(HUAWEI製ＰＣＳ接続枚数計算ツール!$G$107/E$2&gt;=低温電圧!E26,1,0)</f>
        <v>1</v>
      </c>
      <c r="F26">
        <f>IF(HUAWEI製ＰＣＳ接続枚数計算ツール!$G$107/F$2&gt;=低温電圧!F26,1,0)</f>
        <v>1</v>
      </c>
      <c r="G26">
        <f>IF(HUAWEI製ＰＣＳ接続枚数計算ツール!$G$107/G$2&gt;=低温電圧!G26,1,0)</f>
        <v>1</v>
      </c>
      <c r="H26">
        <f>IF(HUAWEI製ＰＣＳ接続枚数計算ツール!$G$107/H$2&gt;=低温電圧!H26,1,0)</f>
        <v>1</v>
      </c>
      <c r="I26">
        <f>IF(HUAWEI製ＰＣＳ接続枚数計算ツール!$G$107/I$2&gt;=低温電圧!I26,1,0)</f>
        <v>1</v>
      </c>
      <c r="J26">
        <f>IF(HUAWEI製ＰＣＳ接続枚数計算ツール!$G$107/J$2&gt;=低温電圧!J26,1,0)</f>
        <v>1</v>
      </c>
      <c r="K26">
        <f>IF(HUAWEI製ＰＣＳ接続枚数計算ツール!$G$107/K$2&gt;=低温電圧!K26,1,0)</f>
        <v>1</v>
      </c>
      <c r="L26">
        <f>IF(HUAWEI製ＰＣＳ接続枚数計算ツール!$G$107/L$2&gt;=低温電圧!L26,1,0)</f>
        <v>1</v>
      </c>
      <c r="M26">
        <f>IF(HUAWEI製ＰＣＳ接続枚数計算ツール!$G$107/M$2&gt;=低温電圧!M26,1,0)</f>
        <v>1</v>
      </c>
      <c r="N26">
        <f>IF(HUAWEI製ＰＣＳ接続枚数計算ツール!$G$107/N$2&gt;=低温電圧!N26,1,0)</f>
        <v>1</v>
      </c>
      <c r="O26">
        <f>IF(HUAWEI製ＰＣＳ接続枚数計算ツール!$G$107/O$2&gt;=低温電圧!O26,1,0)</f>
        <v>1</v>
      </c>
      <c r="P26">
        <f>IF(HUAWEI製ＰＣＳ接続枚数計算ツール!$G$107/P$2&gt;=低温電圧!P26,1,0)</f>
        <v>1</v>
      </c>
      <c r="Q26">
        <f>IF(HUAWEI製ＰＣＳ接続枚数計算ツール!$G$107/Q$2&gt;=低温電圧!Q26,1,0)</f>
        <v>1</v>
      </c>
      <c r="R26">
        <f>IF(HUAWEI製ＰＣＳ接続枚数計算ツール!$G$107/R$2&gt;=低温電圧!R26,1,0)</f>
        <v>1</v>
      </c>
      <c r="S26">
        <f>IF(HUAWEI製ＰＣＳ接続枚数計算ツール!$G$107/S$2&gt;=低温電圧!S26,1,0)</f>
        <v>1</v>
      </c>
      <c r="T26">
        <f>IF(HUAWEI製ＰＣＳ接続枚数計算ツール!$G$107/T$2&gt;=低温電圧!T26,1,0)</f>
        <v>1</v>
      </c>
      <c r="U26">
        <f>IF(HUAWEI製ＰＣＳ接続枚数計算ツール!$G$107/U$2&gt;=低温電圧!U26,1,0)</f>
        <v>1</v>
      </c>
      <c r="V26">
        <f>IF(HUAWEI製ＰＣＳ接続枚数計算ツール!$G$107/V$2&gt;=低温電圧!V26,1,0)</f>
        <v>1</v>
      </c>
      <c r="W26">
        <f>IF(HUAWEI製ＰＣＳ接続枚数計算ツール!$G$107/W$2&gt;=低温電圧!W26,1,0)</f>
        <v>1</v>
      </c>
      <c r="X26">
        <f>IF(HUAWEI製ＰＣＳ接続枚数計算ツール!$G$107/X$2&gt;=低温電圧!X26,1,0)</f>
        <v>1</v>
      </c>
      <c r="Y26">
        <f>IF(HUAWEI製ＰＣＳ接続枚数計算ツール!$G$107/Y$2&gt;=低温電圧!Y26,1,0)</f>
        <v>1</v>
      </c>
      <c r="Z26">
        <f>IF(HUAWEI製ＰＣＳ接続枚数計算ツール!$G$107/Z$2&gt;=低温電圧!Z26,1,0)</f>
        <v>1</v>
      </c>
      <c r="AA26">
        <f>IF(HUAWEI製ＰＣＳ接続枚数計算ツール!$G$107/AA$2&gt;=低温電圧!AA26,1,0)</f>
        <v>1</v>
      </c>
      <c r="AB26">
        <f>IF(HUAWEI製ＰＣＳ接続枚数計算ツール!$G$107/AB$2&gt;=低温電圧!AB26,1,0)</f>
        <v>0</v>
      </c>
      <c r="AC26">
        <f>IF(HUAWEI製ＰＣＳ接続枚数計算ツール!$G$107/AC$2&gt;=低温電圧!AC26,1,0)</f>
        <v>0</v>
      </c>
      <c r="AD26">
        <f>IF(HUAWEI製ＰＣＳ接続枚数計算ツール!$G$107/AD$2&gt;=低温電圧!AD26,1,0)</f>
        <v>0</v>
      </c>
      <c r="AE26">
        <f>IF(HUAWEI製ＰＣＳ接続枚数計算ツール!$G$107/AE$2&gt;=低温電圧!AE26,1,0)</f>
        <v>0</v>
      </c>
      <c r="AF26">
        <f>IF(HUAWEI製ＰＣＳ接続枚数計算ツール!$G$107/AF$2&gt;=低温電圧!AF26,1,0)</f>
        <v>0</v>
      </c>
      <c r="AG26">
        <f>IF(HUAWEI製ＰＣＳ接続枚数計算ツール!$G$107/AG$2&gt;=低温電圧!AG26,1,0)</f>
        <v>0</v>
      </c>
      <c r="AH26">
        <f>IF(HUAWEI製ＰＣＳ接続枚数計算ツール!$G$107/AH$2&gt;=低温電圧!AH26,1,0)</f>
        <v>0</v>
      </c>
      <c r="AI26">
        <f>IF(HUAWEI製ＰＣＳ接続枚数計算ツール!$G$107/AI$2&gt;=低温電圧!AI26,1,0)</f>
        <v>0</v>
      </c>
      <c r="AJ26">
        <f>IF(HUAWEI製ＰＣＳ接続枚数計算ツール!$G$107/AJ$2&gt;=低温電圧!AJ26,1,0)</f>
        <v>0</v>
      </c>
      <c r="AK26">
        <f>IF(HUAWEI製ＰＣＳ接続枚数計算ツール!$G$107/AK$2&gt;=低温電圧!AK26,1,0)</f>
        <v>0</v>
      </c>
      <c r="AL26">
        <f>IF(HUAWEI製ＰＣＳ接続枚数計算ツール!$G$107/AL$2&gt;=低温電圧!AL26,1,0)</f>
        <v>0</v>
      </c>
      <c r="AM26">
        <f>IF(HUAWEI製ＰＣＳ接続枚数計算ツール!$G$107/AM$2&gt;=低温電圧!AM26,1,0)</f>
        <v>0</v>
      </c>
      <c r="AN26">
        <f>IF(HUAWEI製ＰＣＳ接続枚数計算ツール!$G$107/AN$2&gt;=低温電圧!AN26,1,0)</f>
        <v>0</v>
      </c>
      <c r="AO26">
        <f>IF(HUAWEI製ＰＣＳ接続枚数計算ツール!$G$107/AO$2&gt;=低温電圧!AO26,1,0)</f>
        <v>0</v>
      </c>
    </row>
    <row r="27" spans="1:41">
      <c r="A27">
        <v>25</v>
      </c>
      <c r="B27">
        <f>IF(HUAWEI製ＰＣＳ接続枚数計算ツール!$G$107/B$2&gt;=低温電圧!B27,1,0)</f>
        <v>1</v>
      </c>
      <c r="C27">
        <f>IF(HUAWEI製ＰＣＳ接続枚数計算ツール!$G$107/C$2&gt;=低温電圧!C27,1,0)</f>
        <v>1</v>
      </c>
      <c r="D27">
        <f>IF(HUAWEI製ＰＣＳ接続枚数計算ツール!$G$107/D$2&gt;=低温電圧!D27,1,0)</f>
        <v>1</v>
      </c>
      <c r="E27">
        <f>IF(HUAWEI製ＰＣＳ接続枚数計算ツール!$G$107/E$2&gt;=低温電圧!E27,1,0)</f>
        <v>1</v>
      </c>
      <c r="F27">
        <f>IF(HUAWEI製ＰＣＳ接続枚数計算ツール!$G$107/F$2&gt;=低温電圧!F27,1,0)</f>
        <v>1</v>
      </c>
      <c r="G27">
        <f>IF(HUAWEI製ＰＣＳ接続枚数計算ツール!$G$107/G$2&gt;=低温電圧!G27,1,0)</f>
        <v>1</v>
      </c>
      <c r="H27">
        <f>IF(HUAWEI製ＰＣＳ接続枚数計算ツール!$G$107/H$2&gt;=低温電圧!H27,1,0)</f>
        <v>1</v>
      </c>
      <c r="I27">
        <f>IF(HUAWEI製ＰＣＳ接続枚数計算ツール!$G$107/I$2&gt;=低温電圧!I27,1,0)</f>
        <v>1</v>
      </c>
      <c r="J27">
        <f>IF(HUAWEI製ＰＣＳ接続枚数計算ツール!$G$107/J$2&gt;=低温電圧!J27,1,0)</f>
        <v>1</v>
      </c>
      <c r="K27">
        <f>IF(HUAWEI製ＰＣＳ接続枚数計算ツール!$G$107/K$2&gt;=低温電圧!K27,1,0)</f>
        <v>1</v>
      </c>
      <c r="L27">
        <f>IF(HUAWEI製ＰＣＳ接続枚数計算ツール!$G$107/L$2&gt;=低温電圧!L27,1,0)</f>
        <v>1</v>
      </c>
      <c r="M27">
        <f>IF(HUAWEI製ＰＣＳ接続枚数計算ツール!$G$107/M$2&gt;=低温電圧!M27,1,0)</f>
        <v>1</v>
      </c>
      <c r="N27">
        <f>IF(HUAWEI製ＰＣＳ接続枚数計算ツール!$G$107/N$2&gt;=低温電圧!N27,1,0)</f>
        <v>1</v>
      </c>
      <c r="O27">
        <f>IF(HUAWEI製ＰＣＳ接続枚数計算ツール!$G$107/O$2&gt;=低温電圧!O27,1,0)</f>
        <v>1</v>
      </c>
      <c r="P27">
        <f>IF(HUAWEI製ＰＣＳ接続枚数計算ツール!$G$107/P$2&gt;=低温電圧!P27,1,0)</f>
        <v>1</v>
      </c>
      <c r="Q27">
        <f>IF(HUAWEI製ＰＣＳ接続枚数計算ツール!$G$107/Q$2&gt;=低温電圧!Q27,1,0)</f>
        <v>1</v>
      </c>
      <c r="R27">
        <f>IF(HUAWEI製ＰＣＳ接続枚数計算ツール!$G$107/R$2&gt;=低温電圧!R27,1,0)</f>
        <v>1</v>
      </c>
      <c r="S27">
        <f>IF(HUAWEI製ＰＣＳ接続枚数計算ツール!$G$107/S$2&gt;=低温電圧!S27,1,0)</f>
        <v>1</v>
      </c>
      <c r="T27">
        <f>IF(HUAWEI製ＰＣＳ接続枚数計算ツール!$G$107/T$2&gt;=低温電圧!T27,1,0)</f>
        <v>1</v>
      </c>
      <c r="U27">
        <f>IF(HUAWEI製ＰＣＳ接続枚数計算ツール!$G$107/U$2&gt;=低温電圧!U27,1,0)</f>
        <v>1</v>
      </c>
      <c r="V27">
        <f>IF(HUAWEI製ＰＣＳ接続枚数計算ツール!$G$107/V$2&gt;=低温電圧!V27,1,0)</f>
        <v>1</v>
      </c>
      <c r="W27">
        <f>IF(HUAWEI製ＰＣＳ接続枚数計算ツール!$G$107/W$2&gt;=低温電圧!W27,1,0)</f>
        <v>1</v>
      </c>
      <c r="X27">
        <f>IF(HUAWEI製ＰＣＳ接続枚数計算ツール!$G$107/X$2&gt;=低温電圧!X27,1,0)</f>
        <v>1</v>
      </c>
      <c r="Y27">
        <f>IF(HUAWEI製ＰＣＳ接続枚数計算ツール!$G$107/Y$2&gt;=低温電圧!Y27,1,0)</f>
        <v>1</v>
      </c>
      <c r="Z27">
        <f>IF(HUAWEI製ＰＣＳ接続枚数計算ツール!$G$107/Z$2&gt;=低温電圧!Z27,1,0)</f>
        <v>1</v>
      </c>
      <c r="AA27">
        <f>IF(HUAWEI製ＰＣＳ接続枚数計算ツール!$G$107/AA$2&gt;=低温電圧!AA27,1,0)</f>
        <v>1</v>
      </c>
      <c r="AB27">
        <f>IF(HUAWEI製ＰＣＳ接続枚数計算ツール!$G$107/AB$2&gt;=低温電圧!AB27,1,0)</f>
        <v>0</v>
      </c>
      <c r="AC27">
        <f>IF(HUAWEI製ＰＣＳ接続枚数計算ツール!$G$107/AC$2&gt;=低温電圧!AC27,1,0)</f>
        <v>0</v>
      </c>
      <c r="AD27">
        <f>IF(HUAWEI製ＰＣＳ接続枚数計算ツール!$G$107/AD$2&gt;=低温電圧!AD27,1,0)</f>
        <v>0</v>
      </c>
      <c r="AE27">
        <f>IF(HUAWEI製ＰＣＳ接続枚数計算ツール!$G$107/AE$2&gt;=低温電圧!AE27,1,0)</f>
        <v>0</v>
      </c>
      <c r="AF27">
        <f>IF(HUAWEI製ＰＣＳ接続枚数計算ツール!$G$107/AF$2&gt;=低温電圧!AF27,1,0)</f>
        <v>0</v>
      </c>
      <c r="AG27">
        <f>IF(HUAWEI製ＰＣＳ接続枚数計算ツール!$G$107/AG$2&gt;=低温電圧!AG27,1,0)</f>
        <v>0</v>
      </c>
      <c r="AH27">
        <f>IF(HUAWEI製ＰＣＳ接続枚数計算ツール!$G$107/AH$2&gt;=低温電圧!AH27,1,0)</f>
        <v>0</v>
      </c>
      <c r="AI27">
        <f>IF(HUAWEI製ＰＣＳ接続枚数計算ツール!$G$107/AI$2&gt;=低温電圧!AI27,1,0)</f>
        <v>0</v>
      </c>
      <c r="AJ27">
        <f>IF(HUAWEI製ＰＣＳ接続枚数計算ツール!$G$107/AJ$2&gt;=低温電圧!AJ27,1,0)</f>
        <v>0</v>
      </c>
      <c r="AK27">
        <f>IF(HUAWEI製ＰＣＳ接続枚数計算ツール!$G$107/AK$2&gt;=低温電圧!AK27,1,0)</f>
        <v>0</v>
      </c>
      <c r="AL27">
        <f>IF(HUAWEI製ＰＣＳ接続枚数計算ツール!$G$107/AL$2&gt;=低温電圧!AL27,1,0)</f>
        <v>0</v>
      </c>
      <c r="AM27">
        <f>IF(HUAWEI製ＰＣＳ接続枚数計算ツール!$G$107/AM$2&gt;=低温電圧!AM27,1,0)</f>
        <v>0</v>
      </c>
      <c r="AN27">
        <f>IF(HUAWEI製ＰＣＳ接続枚数計算ツール!$G$107/AN$2&gt;=低温電圧!AN27,1,0)</f>
        <v>0</v>
      </c>
      <c r="AO27">
        <f>IF(HUAWEI製ＰＣＳ接続枚数計算ツール!$G$107/AO$2&gt;=低温電圧!AO27,1,0)</f>
        <v>0</v>
      </c>
    </row>
    <row r="28" spans="1:41">
      <c r="A28">
        <v>26</v>
      </c>
      <c r="B28">
        <f>IF(HUAWEI製ＰＣＳ接続枚数計算ツール!$G$107/B$2&gt;=低温電圧!B28,1,0)</f>
        <v>1</v>
      </c>
      <c r="C28">
        <f>IF(HUAWEI製ＰＣＳ接続枚数計算ツール!$G$107/C$2&gt;=低温電圧!C28,1,0)</f>
        <v>1</v>
      </c>
      <c r="D28">
        <f>IF(HUAWEI製ＰＣＳ接続枚数計算ツール!$G$107/D$2&gt;=低温電圧!D28,1,0)</f>
        <v>1</v>
      </c>
      <c r="E28">
        <f>IF(HUAWEI製ＰＣＳ接続枚数計算ツール!$G$107/E$2&gt;=低温電圧!E28,1,0)</f>
        <v>1</v>
      </c>
      <c r="F28">
        <f>IF(HUAWEI製ＰＣＳ接続枚数計算ツール!$G$107/F$2&gt;=低温電圧!F28,1,0)</f>
        <v>1</v>
      </c>
      <c r="G28">
        <f>IF(HUAWEI製ＰＣＳ接続枚数計算ツール!$G$107/G$2&gt;=低温電圧!G28,1,0)</f>
        <v>1</v>
      </c>
      <c r="H28">
        <f>IF(HUAWEI製ＰＣＳ接続枚数計算ツール!$G$107/H$2&gt;=低温電圧!H28,1,0)</f>
        <v>1</v>
      </c>
      <c r="I28">
        <f>IF(HUAWEI製ＰＣＳ接続枚数計算ツール!$G$107/I$2&gt;=低温電圧!I28,1,0)</f>
        <v>1</v>
      </c>
      <c r="J28">
        <f>IF(HUAWEI製ＰＣＳ接続枚数計算ツール!$G$107/J$2&gt;=低温電圧!J28,1,0)</f>
        <v>1</v>
      </c>
      <c r="K28">
        <f>IF(HUAWEI製ＰＣＳ接続枚数計算ツール!$G$107/K$2&gt;=低温電圧!K28,1,0)</f>
        <v>1</v>
      </c>
      <c r="L28">
        <f>IF(HUAWEI製ＰＣＳ接続枚数計算ツール!$G$107/L$2&gt;=低温電圧!L28,1,0)</f>
        <v>1</v>
      </c>
      <c r="M28">
        <f>IF(HUAWEI製ＰＣＳ接続枚数計算ツール!$G$107/M$2&gt;=低温電圧!M28,1,0)</f>
        <v>1</v>
      </c>
      <c r="N28">
        <f>IF(HUAWEI製ＰＣＳ接続枚数計算ツール!$G$107/N$2&gt;=低温電圧!N28,1,0)</f>
        <v>1</v>
      </c>
      <c r="O28">
        <f>IF(HUAWEI製ＰＣＳ接続枚数計算ツール!$G$107/O$2&gt;=低温電圧!O28,1,0)</f>
        <v>1</v>
      </c>
      <c r="P28">
        <f>IF(HUAWEI製ＰＣＳ接続枚数計算ツール!$G$107/P$2&gt;=低温電圧!P28,1,0)</f>
        <v>1</v>
      </c>
      <c r="Q28">
        <f>IF(HUAWEI製ＰＣＳ接続枚数計算ツール!$G$107/Q$2&gt;=低温電圧!Q28,1,0)</f>
        <v>1</v>
      </c>
      <c r="R28">
        <f>IF(HUAWEI製ＰＣＳ接続枚数計算ツール!$G$107/R$2&gt;=低温電圧!R28,1,0)</f>
        <v>1</v>
      </c>
      <c r="S28">
        <f>IF(HUAWEI製ＰＣＳ接続枚数計算ツール!$G$107/S$2&gt;=低温電圧!S28,1,0)</f>
        <v>1</v>
      </c>
      <c r="T28">
        <f>IF(HUAWEI製ＰＣＳ接続枚数計算ツール!$G$107/T$2&gt;=低温電圧!T28,1,0)</f>
        <v>1</v>
      </c>
      <c r="U28">
        <f>IF(HUAWEI製ＰＣＳ接続枚数計算ツール!$G$107/U$2&gt;=低温電圧!U28,1,0)</f>
        <v>1</v>
      </c>
      <c r="V28">
        <f>IF(HUAWEI製ＰＣＳ接続枚数計算ツール!$G$107/V$2&gt;=低温電圧!V28,1,0)</f>
        <v>1</v>
      </c>
      <c r="W28">
        <f>IF(HUAWEI製ＰＣＳ接続枚数計算ツール!$G$107/W$2&gt;=低温電圧!W28,1,0)</f>
        <v>1</v>
      </c>
      <c r="X28">
        <f>IF(HUAWEI製ＰＣＳ接続枚数計算ツール!$G$107/X$2&gt;=低温電圧!X28,1,0)</f>
        <v>1</v>
      </c>
      <c r="Y28">
        <f>IF(HUAWEI製ＰＣＳ接続枚数計算ツール!$G$107/Y$2&gt;=低温電圧!Y28,1,0)</f>
        <v>1</v>
      </c>
      <c r="Z28">
        <f>IF(HUAWEI製ＰＣＳ接続枚数計算ツール!$G$107/Z$2&gt;=低温電圧!Z28,1,0)</f>
        <v>1</v>
      </c>
      <c r="AA28">
        <f>IF(HUAWEI製ＰＣＳ接続枚数計算ツール!$G$107/AA$2&gt;=低温電圧!AA28,1,0)</f>
        <v>1</v>
      </c>
      <c r="AB28">
        <f>IF(HUAWEI製ＰＣＳ接続枚数計算ツール!$G$107/AB$2&gt;=低温電圧!AB28,1,0)</f>
        <v>0</v>
      </c>
      <c r="AC28">
        <f>IF(HUAWEI製ＰＣＳ接続枚数計算ツール!$G$107/AC$2&gt;=低温電圧!AC28,1,0)</f>
        <v>0</v>
      </c>
      <c r="AD28">
        <f>IF(HUAWEI製ＰＣＳ接続枚数計算ツール!$G$107/AD$2&gt;=低温電圧!AD28,1,0)</f>
        <v>0</v>
      </c>
      <c r="AE28">
        <f>IF(HUAWEI製ＰＣＳ接続枚数計算ツール!$G$107/AE$2&gt;=低温電圧!AE28,1,0)</f>
        <v>0</v>
      </c>
      <c r="AF28">
        <f>IF(HUAWEI製ＰＣＳ接続枚数計算ツール!$G$107/AF$2&gt;=低温電圧!AF28,1,0)</f>
        <v>0</v>
      </c>
      <c r="AG28">
        <f>IF(HUAWEI製ＰＣＳ接続枚数計算ツール!$G$107/AG$2&gt;=低温電圧!AG28,1,0)</f>
        <v>0</v>
      </c>
      <c r="AH28">
        <f>IF(HUAWEI製ＰＣＳ接続枚数計算ツール!$G$107/AH$2&gt;=低温電圧!AH28,1,0)</f>
        <v>0</v>
      </c>
      <c r="AI28">
        <f>IF(HUAWEI製ＰＣＳ接続枚数計算ツール!$G$107/AI$2&gt;=低温電圧!AI28,1,0)</f>
        <v>0</v>
      </c>
      <c r="AJ28">
        <f>IF(HUAWEI製ＰＣＳ接続枚数計算ツール!$G$107/AJ$2&gt;=低温電圧!AJ28,1,0)</f>
        <v>0</v>
      </c>
      <c r="AK28">
        <f>IF(HUAWEI製ＰＣＳ接続枚数計算ツール!$G$107/AK$2&gt;=低温電圧!AK28,1,0)</f>
        <v>0</v>
      </c>
      <c r="AL28">
        <f>IF(HUAWEI製ＰＣＳ接続枚数計算ツール!$G$107/AL$2&gt;=低温電圧!AL28,1,0)</f>
        <v>0</v>
      </c>
      <c r="AM28">
        <f>IF(HUAWEI製ＰＣＳ接続枚数計算ツール!$G$107/AM$2&gt;=低温電圧!AM28,1,0)</f>
        <v>0</v>
      </c>
      <c r="AN28">
        <f>IF(HUAWEI製ＰＣＳ接続枚数計算ツール!$G$107/AN$2&gt;=低温電圧!AN28,1,0)</f>
        <v>0</v>
      </c>
      <c r="AO28">
        <f>IF(HUAWEI製ＰＣＳ接続枚数計算ツール!$G$107/AO$2&gt;=低温電圧!AO28,1,0)</f>
        <v>0</v>
      </c>
    </row>
    <row r="29" spans="1:41">
      <c r="A29">
        <v>27</v>
      </c>
      <c r="B29">
        <f>IF(HUAWEI製ＰＣＳ接続枚数計算ツール!$G$107/B$2&gt;=低温電圧!B29,1,0)</f>
        <v>1</v>
      </c>
      <c r="C29">
        <f>IF(HUAWEI製ＰＣＳ接続枚数計算ツール!$G$107/C$2&gt;=低温電圧!C29,1,0)</f>
        <v>1</v>
      </c>
      <c r="D29">
        <f>IF(HUAWEI製ＰＣＳ接続枚数計算ツール!$G$107/D$2&gt;=低温電圧!D29,1,0)</f>
        <v>1</v>
      </c>
      <c r="E29">
        <f>IF(HUAWEI製ＰＣＳ接続枚数計算ツール!$G$107/E$2&gt;=低温電圧!E29,1,0)</f>
        <v>1</v>
      </c>
      <c r="F29">
        <f>IF(HUAWEI製ＰＣＳ接続枚数計算ツール!$G$107/F$2&gt;=低温電圧!F29,1,0)</f>
        <v>1</v>
      </c>
      <c r="G29">
        <f>IF(HUAWEI製ＰＣＳ接続枚数計算ツール!$G$107/G$2&gt;=低温電圧!G29,1,0)</f>
        <v>1</v>
      </c>
      <c r="H29">
        <f>IF(HUAWEI製ＰＣＳ接続枚数計算ツール!$G$107/H$2&gt;=低温電圧!H29,1,0)</f>
        <v>1</v>
      </c>
      <c r="I29">
        <f>IF(HUAWEI製ＰＣＳ接続枚数計算ツール!$G$107/I$2&gt;=低温電圧!I29,1,0)</f>
        <v>1</v>
      </c>
      <c r="J29">
        <f>IF(HUAWEI製ＰＣＳ接続枚数計算ツール!$G$107/J$2&gt;=低温電圧!J29,1,0)</f>
        <v>1</v>
      </c>
      <c r="K29">
        <f>IF(HUAWEI製ＰＣＳ接続枚数計算ツール!$G$107/K$2&gt;=低温電圧!K29,1,0)</f>
        <v>1</v>
      </c>
      <c r="L29">
        <f>IF(HUAWEI製ＰＣＳ接続枚数計算ツール!$G$107/L$2&gt;=低温電圧!L29,1,0)</f>
        <v>1</v>
      </c>
      <c r="M29">
        <f>IF(HUAWEI製ＰＣＳ接続枚数計算ツール!$G$107/M$2&gt;=低温電圧!M29,1,0)</f>
        <v>1</v>
      </c>
      <c r="N29">
        <f>IF(HUAWEI製ＰＣＳ接続枚数計算ツール!$G$107/N$2&gt;=低温電圧!N29,1,0)</f>
        <v>1</v>
      </c>
      <c r="O29">
        <f>IF(HUAWEI製ＰＣＳ接続枚数計算ツール!$G$107/O$2&gt;=低温電圧!O29,1,0)</f>
        <v>1</v>
      </c>
      <c r="P29">
        <f>IF(HUAWEI製ＰＣＳ接続枚数計算ツール!$G$107/P$2&gt;=低温電圧!P29,1,0)</f>
        <v>1</v>
      </c>
      <c r="Q29">
        <f>IF(HUAWEI製ＰＣＳ接続枚数計算ツール!$G$107/Q$2&gt;=低温電圧!Q29,1,0)</f>
        <v>1</v>
      </c>
      <c r="R29">
        <f>IF(HUAWEI製ＰＣＳ接続枚数計算ツール!$G$107/R$2&gt;=低温電圧!R29,1,0)</f>
        <v>1</v>
      </c>
      <c r="S29">
        <f>IF(HUAWEI製ＰＣＳ接続枚数計算ツール!$G$107/S$2&gt;=低温電圧!S29,1,0)</f>
        <v>1</v>
      </c>
      <c r="T29">
        <f>IF(HUAWEI製ＰＣＳ接続枚数計算ツール!$G$107/T$2&gt;=低温電圧!T29,1,0)</f>
        <v>1</v>
      </c>
      <c r="U29">
        <f>IF(HUAWEI製ＰＣＳ接続枚数計算ツール!$G$107/U$2&gt;=低温電圧!U29,1,0)</f>
        <v>1</v>
      </c>
      <c r="V29">
        <f>IF(HUAWEI製ＰＣＳ接続枚数計算ツール!$G$107/V$2&gt;=低温電圧!V29,1,0)</f>
        <v>1</v>
      </c>
      <c r="W29">
        <f>IF(HUAWEI製ＰＣＳ接続枚数計算ツール!$G$107/W$2&gt;=低温電圧!W29,1,0)</f>
        <v>1</v>
      </c>
      <c r="X29">
        <f>IF(HUAWEI製ＰＣＳ接続枚数計算ツール!$G$107/X$2&gt;=低温電圧!X29,1,0)</f>
        <v>1</v>
      </c>
      <c r="Y29">
        <f>IF(HUAWEI製ＰＣＳ接続枚数計算ツール!$G$107/Y$2&gt;=低温電圧!Y29,1,0)</f>
        <v>1</v>
      </c>
      <c r="Z29">
        <f>IF(HUAWEI製ＰＣＳ接続枚数計算ツール!$G$107/Z$2&gt;=低温電圧!Z29,1,0)</f>
        <v>1</v>
      </c>
      <c r="AA29">
        <f>IF(HUAWEI製ＰＣＳ接続枚数計算ツール!$G$107/AA$2&gt;=低温電圧!AA29,1,0)</f>
        <v>1</v>
      </c>
      <c r="AB29">
        <f>IF(HUAWEI製ＰＣＳ接続枚数計算ツール!$G$107/AB$2&gt;=低温電圧!AB29,1,0)</f>
        <v>0</v>
      </c>
      <c r="AC29">
        <f>IF(HUAWEI製ＰＣＳ接続枚数計算ツール!$G$107/AC$2&gt;=低温電圧!AC29,1,0)</f>
        <v>0</v>
      </c>
      <c r="AD29">
        <f>IF(HUAWEI製ＰＣＳ接続枚数計算ツール!$G$107/AD$2&gt;=低温電圧!AD29,1,0)</f>
        <v>0</v>
      </c>
      <c r="AE29">
        <f>IF(HUAWEI製ＰＣＳ接続枚数計算ツール!$G$107/AE$2&gt;=低温電圧!AE29,1,0)</f>
        <v>0</v>
      </c>
      <c r="AF29">
        <f>IF(HUAWEI製ＰＣＳ接続枚数計算ツール!$G$107/AF$2&gt;=低温電圧!AF29,1,0)</f>
        <v>0</v>
      </c>
      <c r="AG29">
        <f>IF(HUAWEI製ＰＣＳ接続枚数計算ツール!$G$107/AG$2&gt;=低温電圧!AG29,1,0)</f>
        <v>0</v>
      </c>
      <c r="AH29">
        <f>IF(HUAWEI製ＰＣＳ接続枚数計算ツール!$G$107/AH$2&gt;=低温電圧!AH29,1,0)</f>
        <v>0</v>
      </c>
      <c r="AI29">
        <f>IF(HUAWEI製ＰＣＳ接続枚数計算ツール!$G$107/AI$2&gt;=低温電圧!AI29,1,0)</f>
        <v>0</v>
      </c>
      <c r="AJ29">
        <f>IF(HUAWEI製ＰＣＳ接続枚数計算ツール!$G$107/AJ$2&gt;=低温電圧!AJ29,1,0)</f>
        <v>0</v>
      </c>
      <c r="AK29">
        <f>IF(HUAWEI製ＰＣＳ接続枚数計算ツール!$G$107/AK$2&gt;=低温電圧!AK29,1,0)</f>
        <v>0</v>
      </c>
      <c r="AL29">
        <f>IF(HUAWEI製ＰＣＳ接続枚数計算ツール!$G$107/AL$2&gt;=低温電圧!AL29,1,0)</f>
        <v>0</v>
      </c>
      <c r="AM29">
        <f>IF(HUAWEI製ＰＣＳ接続枚数計算ツール!$G$107/AM$2&gt;=低温電圧!AM29,1,0)</f>
        <v>0</v>
      </c>
      <c r="AN29">
        <f>IF(HUAWEI製ＰＣＳ接続枚数計算ツール!$G$107/AN$2&gt;=低温電圧!AN29,1,0)</f>
        <v>0</v>
      </c>
      <c r="AO29">
        <f>IF(HUAWEI製ＰＣＳ接続枚数計算ツール!$G$107/AO$2&gt;=低温電圧!AO29,1,0)</f>
        <v>0</v>
      </c>
    </row>
    <row r="30" spans="1:41">
      <c r="A30">
        <v>28</v>
      </c>
      <c r="B30">
        <f>IF(HUAWEI製ＰＣＳ接続枚数計算ツール!$G$107/B$2&gt;=低温電圧!B30,1,0)</f>
        <v>1</v>
      </c>
      <c r="C30">
        <f>IF(HUAWEI製ＰＣＳ接続枚数計算ツール!$G$107/C$2&gt;=低温電圧!C30,1,0)</f>
        <v>1</v>
      </c>
      <c r="D30">
        <f>IF(HUAWEI製ＰＣＳ接続枚数計算ツール!$G$107/D$2&gt;=低温電圧!D30,1,0)</f>
        <v>1</v>
      </c>
      <c r="E30">
        <f>IF(HUAWEI製ＰＣＳ接続枚数計算ツール!$G$107/E$2&gt;=低温電圧!E30,1,0)</f>
        <v>1</v>
      </c>
      <c r="F30">
        <f>IF(HUAWEI製ＰＣＳ接続枚数計算ツール!$G$107/F$2&gt;=低温電圧!F30,1,0)</f>
        <v>1</v>
      </c>
      <c r="G30">
        <f>IF(HUAWEI製ＰＣＳ接続枚数計算ツール!$G$107/G$2&gt;=低温電圧!G30,1,0)</f>
        <v>1</v>
      </c>
      <c r="H30">
        <f>IF(HUAWEI製ＰＣＳ接続枚数計算ツール!$G$107/H$2&gt;=低温電圧!H30,1,0)</f>
        <v>1</v>
      </c>
      <c r="I30">
        <f>IF(HUAWEI製ＰＣＳ接続枚数計算ツール!$G$107/I$2&gt;=低温電圧!I30,1,0)</f>
        <v>1</v>
      </c>
      <c r="J30">
        <f>IF(HUAWEI製ＰＣＳ接続枚数計算ツール!$G$107/J$2&gt;=低温電圧!J30,1,0)</f>
        <v>1</v>
      </c>
      <c r="K30">
        <f>IF(HUAWEI製ＰＣＳ接続枚数計算ツール!$G$107/K$2&gt;=低温電圧!K30,1,0)</f>
        <v>1</v>
      </c>
      <c r="L30">
        <f>IF(HUAWEI製ＰＣＳ接続枚数計算ツール!$G$107/L$2&gt;=低温電圧!L30,1,0)</f>
        <v>1</v>
      </c>
      <c r="M30">
        <f>IF(HUAWEI製ＰＣＳ接続枚数計算ツール!$G$107/M$2&gt;=低温電圧!M30,1,0)</f>
        <v>1</v>
      </c>
      <c r="N30">
        <f>IF(HUAWEI製ＰＣＳ接続枚数計算ツール!$G$107/N$2&gt;=低温電圧!N30,1,0)</f>
        <v>1</v>
      </c>
      <c r="O30">
        <f>IF(HUAWEI製ＰＣＳ接続枚数計算ツール!$G$107/O$2&gt;=低温電圧!O30,1,0)</f>
        <v>1</v>
      </c>
      <c r="P30">
        <f>IF(HUAWEI製ＰＣＳ接続枚数計算ツール!$G$107/P$2&gt;=低温電圧!P30,1,0)</f>
        <v>1</v>
      </c>
      <c r="Q30">
        <f>IF(HUAWEI製ＰＣＳ接続枚数計算ツール!$G$107/Q$2&gt;=低温電圧!Q30,1,0)</f>
        <v>1</v>
      </c>
      <c r="R30">
        <f>IF(HUAWEI製ＰＣＳ接続枚数計算ツール!$G$107/R$2&gt;=低温電圧!R30,1,0)</f>
        <v>1</v>
      </c>
      <c r="S30">
        <f>IF(HUAWEI製ＰＣＳ接続枚数計算ツール!$G$107/S$2&gt;=低温電圧!S30,1,0)</f>
        <v>1</v>
      </c>
      <c r="T30">
        <f>IF(HUAWEI製ＰＣＳ接続枚数計算ツール!$G$107/T$2&gt;=低温電圧!T30,1,0)</f>
        <v>1</v>
      </c>
      <c r="U30">
        <f>IF(HUAWEI製ＰＣＳ接続枚数計算ツール!$G$107/U$2&gt;=低温電圧!U30,1,0)</f>
        <v>1</v>
      </c>
      <c r="V30">
        <f>IF(HUAWEI製ＰＣＳ接続枚数計算ツール!$G$107/V$2&gt;=低温電圧!V30,1,0)</f>
        <v>1</v>
      </c>
      <c r="W30">
        <f>IF(HUAWEI製ＰＣＳ接続枚数計算ツール!$G$107/W$2&gt;=低温電圧!W30,1,0)</f>
        <v>1</v>
      </c>
      <c r="X30">
        <f>IF(HUAWEI製ＰＣＳ接続枚数計算ツール!$G$107/X$2&gt;=低温電圧!X30,1,0)</f>
        <v>1</v>
      </c>
      <c r="Y30">
        <f>IF(HUAWEI製ＰＣＳ接続枚数計算ツール!$G$107/Y$2&gt;=低温電圧!Y30,1,0)</f>
        <v>1</v>
      </c>
      <c r="Z30">
        <f>IF(HUAWEI製ＰＣＳ接続枚数計算ツール!$G$107/Z$2&gt;=低温電圧!Z30,1,0)</f>
        <v>1</v>
      </c>
      <c r="AA30">
        <f>IF(HUAWEI製ＰＣＳ接続枚数計算ツール!$G$107/AA$2&gt;=低温電圧!AA30,1,0)</f>
        <v>1</v>
      </c>
      <c r="AB30">
        <f>IF(HUAWEI製ＰＣＳ接続枚数計算ツール!$G$107/AB$2&gt;=低温電圧!AB30,1,0)</f>
        <v>0</v>
      </c>
      <c r="AC30">
        <f>IF(HUAWEI製ＰＣＳ接続枚数計算ツール!$G$107/AC$2&gt;=低温電圧!AC30,1,0)</f>
        <v>0</v>
      </c>
      <c r="AD30">
        <f>IF(HUAWEI製ＰＣＳ接続枚数計算ツール!$G$107/AD$2&gt;=低温電圧!AD30,1,0)</f>
        <v>0</v>
      </c>
      <c r="AE30">
        <f>IF(HUAWEI製ＰＣＳ接続枚数計算ツール!$G$107/AE$2&gt;=低温電圧!AE30,1,0)</f>
        <v>0</v>
      </c>
      <c r="AF30">
        <f>IF(HUAWEI製ＰＣＳ接続枚数計算ツール!$G$107/AF$2&gt;=低温電圧!AF30,1,0)</f>
        <v>0</v>
      </c>
      <c r="AG30">
        <f>IF(HUAWEI製ＰＣＳ接続枚数計算ツール!$G$107/AG$2&gt;=低温電圧!AG30,1,0)</f>
        <v>0</v>
      </c>
      <c r="AH30">
        <f>IF(HUAWEI製ＰＣＳ接続枚数計算ツール!$G$107/AH$2&gt;=低温電圧!AH30,1,0)</f>
        <v>0</v>
      </c>
      <c r="AI30">
        <f>IF(HUAWEI製ＰＣＳ接続枚数計算ツール!$G$107/AI$2&gt;=低温電圧!AI30,1,0)</f>
        <v>0</v>
      </c>
      <c r="AJ30">
        <f>IF(HUAWEI製ＰＣＳ接続枚数計算ツール!$G$107/AJ$2&gt;=低温電圧!AJ30,1,0)</f>
        <v>0</v>
      </c>
      <c r="AK30">
        <f>IF(HUAWEI製ＰＣＳ接続枚数計算ツール!$G$107/AK$2&gt;=低温電圧!AK30,1,0)</f>
        <v>0</v>
      </c>
      <c r="AL30">
        <f>IF(HUAWEI製ＰＣＳ接続枚数計算ツール!$G$107/AL$2&gt;=低温電圧!AL30,1,0)</f>
        <v>0</v>
      </c>
      <c r="AM30">
        <f>IF(HUAWEI製ＰＣＳ接続枚数計算ツール!$G$107/AM$2&gt;=低温電圧!AM30,1,0)</f>
        <v>0</v>
      </c>
      <c r="AN30">
        <f>IF(HUAWEI製ＰＣＳ接続枚数計算ツール!$G$107/AN$2&gt;=低温電圧!AN30,1,0)</f>
        <v>0</v>
      </c>
      <c r="AO30">
        <f>IF(HUAWEI製ＰＣＳ接続枚数計算ツール!$G$107/AO$2&gt;=低温電圧!AO30,1,0)</f>
        <v>0</v>
      </c>
    </row>
    <row r="31" spans="1:41">
      <c r="A31">
        <v>29</v>
      </c>
      <c r="B31">
        <f>IF(HUAWEI製ＰＣＳ接続枚数計算ツール!$G$107/B$2&gt;=低温電圧!B31,1,0)</f>
        <v>1</v>
      </c>
      <c r="C31">
        <f>IF(HUAWEI製ＰＣＳ接続枚数計算ツール!$G$107/C$2&gt;=低温電圧!C31,1,0)</f>
        <v>1</v>
      </c>
      <c r="D31">
        <f>IF(HUAWEI製ＰＣＳ接続枚数計算ツール!$G$107/D$2&gt;=低温電圧!D31,1,0)</f>
        <v>1</v>
      </c>
      <c r="E31">
        <f>IF(HUAWEI製ＰＣＳ接続枚数計算ツール!$G$107/E$2&gt;=低温電圧!E31,1,0)</f>
        <v>1</v>
      </c>
      <c r="F31">
        <f>IF(HUAWEI製ＰＣＳ接続枚数計算ツール!$G$107/F$2&gt;=低温電圧!F31,1,0)</f>
        <v>1</v>
      </c>
      <c r="G31">
        <f>IF(HUAWEI製ＰＣＳ接続枚数計算ツール!$G$107/G$2&gt;=低温電圧!G31,1,0)</f>
        <v>1</v>
      </c>
      <c r="H31">
        <f>IF(HUAWEI製ＰＣＳ接続枚数計算ツール!$G$107/H$2&gt;=低温電圧!H31,1,0)</f>
        <v>1</v>
      </c>
      <c r="I31">
        <f>IF(HUAWEI製ＰＣＳ接続枚数計算ツール!$G$107/I$2&gt;=低温電圧!I31,1,0)</f>
        <v>1</v>
      </c>
      <c r="J31">
        <f>IF(HUAWEI製ＰＣＳ接続枚数計算ツール!$G$107/J$2&gt;=低温電圧!J31,1,0)</f>
        <v>1</v>
      </c>
      <c r="K31">
        <f>IF(HUAWEI製ＰＣＳ接続枚数計算ツール!$G$107/K$2&gt;=低温電圧!K31,1,0)</f>
        <v>1</v>
      </c>
      <c r="L31">
        <f>IF(HUAWEI製ＰＣＳ接続枚数計算ツール!$G$107/L$2&gt;=低温電圧!L31,1,0)</f>
        <v>1</v>
      </c>
      <c r="M31">
        <f>IF(HUAWEI製ＰＣＳ接続枚数計算ツール!$G$107/M$2&gt;=低温電圧!M31,1,0)</f>
        <v>1</v>
      </c>
      <c r="N31">
        <f>IF(HUAWEI製ＰＣＳ接続枚数計算ツール!$G$107/N$2&gt;=低温電圧!N31,1,0)</f>
        <v>1</v>
      </c>
      <c r="O31">
        <f>IF(HUAWEI製ＰＣＳ接続枚数計算ツール!$G$107/O$2&gt;=低温電圧!O31,1,0)</f>
        <v>1</v>
      </c>
      <c r="P31">
        <f>IF(HUAWEI製ＰＣＳ接続枚数計算ツール!$G$107/P$2&gt;=低温電圧!P31,1,0)</f>
        <v>1</v>
      </c>
      <c r="Q31">
        <f>IF(HUAWEI製ＰＣＳ接続枚数計算ツール!$G$107/Q$2&gt;=低温電圧!Q31,1,0)</f>
        <v>1</v>
      </c>
      <c r="R31">
        <f>IF(HUAWEI製ＰＣＳ接続枚数計算ツール!$G$107/R$2&gt;=低温電圧!R31,1,0)</f>
        <v>1</v>
      </c>
      <c r="S31">
        <f>IF(HUAWEI製ＰＣＳ接続枚数計算ツール!$G$107/S$2&gt;=低温電圧!S31,1,0)</f>
        <v>1</v>
      </c>
      <c r="T31">
        <f>IF(HUAWEI製ＰＣＳ接続枚数計算ツール!$G$107/T$2&gt;=低温電圧!T31,1,0)</f>
        <v>1</v>
      </c>
      <c r="U31">
        <f>IF(HUAWEI製ＰＣＳ接続枚数計算ツール!$G$107/U$2&gt;=低温電圧!U31,1,0)</f>
        <v>1</v>
      </c>
      <c r="V31">
        <f>IF(HUAWEI製ＰＣＳ接続枚数計算ツール!$G$107/V$2&gt;=低温電圧!V31,1,0)</f>
        <v>1</v>
      </c>
      <c r="W31">
        <f>IF(HUAWEI製ＰＣＳ接続枚数計算ツール!$G$107/W$2&gt;=低温電圧!W31,1,0)</f>
        <v>1</v>
      </c>
      <c r="X31">
        <f>IF(HUAWEI製ＰＣＳ接続枚数計算ツール!$G$107/X$2&gt;=低温電圧!X31,1,0)</f>
        <v>1</v>
      </c>
      <c r="Y31">
        <f>IF(HUAWEI製ＰＣＳ接続枚数計算ツール!$G$107/Y$2&gt;=低温電圧!Y31,1,0)</f>
        <v>1</v>
      </c>
      <c r="Z31">
        <f>IF(HUAWEI製ＰＣＳ接続枚数計算ツール!$G$107/Z$2&gt;=低温電圧!Z31,1,0)</f>
        <v>1</v>
      </c>
      <c r="AA31">
        <f>IF(HUAWEI製ＰＣＳ接続枚数計算ツール!$G$107/AA$2&gt;=低温電圧!AA31,1,0)</f>
        <v>1</v>
      </c>
      <c r="AB31">
        <f>IF(HUAWEI製ＰＣＳ接続枚数計算ツール!$G$107/AB$2&gt;=低温電圧!AB31,1,0)</f>
        <v>0</v>
      </c>
      <c r="AC31">
        <f>IF(HUAWEI製ＰＣＳ接続枚数計算ツール!$G$107/AC$2&gt;=低温電圧!AC31,1,0)</f>
        <v>0</v>
      </c>
      <c r="AD31">
        <f>IF(HUAWEI製ＰＣＳ接続枚数計算ツール!$G$107/AD$2&gt;=低温電圧!AD31,1,0)</f>
        <v>0</v>
      </c>
      <c r="AE31">
        <f>IF(HUAWEI製ＰＣＳ接続枚数計算ツール!$G$107/AE$2&gt;=低温電圧!AE31,1,0)</f>
        <v>0</v>
      </c>
      <c r="AF31">
        <f>IF(HUAWEI製ＰＣＳ接続枚数計算ツール!$G$107/AF$2&gt;=低温電圧!AF31,1,0)</f>
        <v>0</v>
      </c>
      <c r="AG31">
        <f>IF(HUAWEI製ＰＣＳ接続枚数計算ツール!$G$107/AG$2&gt;=低温電圧!AG31,1,0)</f>
        <v>0</v>
      </c>
      <c r="AH31">
        <f>IF(HUAWEI製ＰＣＳ接続枚数計算ツール!$G$107/AH$2&gt;=低温電圧!AH31,1,0)</f>
        <v>0</v>
      </c>
      <c r="AI31">
        <f>IF(HUAWEI製ＰＣＳ接続枚数計算ツール!$G$107/AI$2&gt;=低温電圧!AI31,1,0)</f>
        <v>0</v>
      </c>
      <c r="AJ31">
        <f>IF(HUAWEI製ＰＣＳ接続枚数計算ツール!$G$107/AJ$2&gt;=低温電圧!AJ31,1,0)</f>
        <v>0</v>
      </c>
      <c r="AK31">
        <f>IF(HUAWEI製ＰＣＳ接続枚数計算ツール!$G$107/AK$2&gt;=低温電圧!AK31,1,0)</f>
        <v>0</v>
      </c>
      <c r="AL31">
        <f>IF(HUAWEI製ＰＣＳ接続枚数計算ツール!$G$107/AL$2&gt;=低温電圧!AL31,1,0)</f>
        <v>0</v>
      </c>
      <c r="AM31">
        <f>IF(HUAWEI製ＰＣＳ接続枚数計算ツール!$G$107/AM$2&gt;=低温電圧!AM31,1,0)</f>
        <v>0</v>
      </c>
      <c r="AN31">
        <f>IF(HUAWEI製ＰＣＳ接続枚数計算ツール!$G$107/AN$2&gt;=低温電圧!AN31,1,0)</f>
        <v>0</v>
      </c>
      <c r="AO31">
        <f>IF(HUAWEI製ＰＣＳ接続枚数計算ツール!$G$107/AO$2&gt;=低温電圧!AO31,1,0)</f>
        <v>0</v>
      </c>
    </row>
    <row r="32" spans="1:41">
      <c r="A32">
        <v>30</v>
      </c>
      <c r="B32">
        <f>IF(HUAWEI製ＰＣＳ接続枚数計算ツール!$G$107/B$2&gt;=低温電圧!B32,1,0)</f>
        <v>1</v>
      </c>
      <c r="C32">
        <f>IF(HUAWEI製ＰＣＳ接続枚数計算ツール!$G$107/C$2&gt;=低温電圧!C32,1,0)</f>
        <v>1</v>
      </c>
      <c r="D32">
        <f>IF(HUAWEI製ＰＣＳ接続枚数計算ツール!$G$107/D$2&gt;=低温電圧!D32,1,0)</f>
        <v>1</v>
      </c>
      <c r="E32">
        <f>IF(HUAWEI製ＰＣＳ接続枚数計算ツール!$G$107/E$2&gt;=低温電圧!E32,1,0)</f>
        <v>1</v>
      </c>
      <c r="F32">
        <f>IF(HUAWEI製ＰＣＳ接続枚数計算ツール!$G$107/F$2&gt;=低温電圧!F32,1,0)</f>
        <v>1</v>
      </c>
      <c r="G32">
        <f>IF(HUAWEI製ＰＣＳ接続枚数計算ツール!$G$107/G$2&gt;=低温電圧!G32,1,0)</f>
        <v>1</v>
      </c>
      <c r="H32">
        <f>IF(HUAWEI製ＰＣＳ接続枚数計算ツール!$G$107/H$2&gt;=低温電圧!H32,1,0)</f>
        <v>1</v>
      </c>
      <c r="I32">
        <f>IF(HUAWEI製ＰＣＳ接続枚数計算ツール!$G$107/I$2&gt;=低温電圧!I32,1,0)</f>
        <v>1</v>
      </c>
      <c r="J32">
        <f>IF(HUAWEI製ＰＣＳ接続枚数計算ツール!$G$107/J$2&gt;=低温電圧!J32,1,0)</f>
        <v>1</v>
      </c>
      <c r="K32">
        <f>IF(HUAWEI製ＰＣＳ接続枚数計算ツール!$G$107/K$2&gt;=低温電圧!K32,1,0)</f>
        <v>1</v>
      </c>
      <c r="L32">
        <f>IF(HUAWEI製ＰＣＳ接続枚数計算ツール!$G$107/L$2&gt;=低温電圧!L32,1,0)</f>
        <v>1</v>
      </c>
      <c r="M32">
        <f>IF(HUAWEI製ＰＣＳ接続枚数計算ツール!$G$107/M$2&gt;=低温電圧!M32,1,0)</f>
        <v>1</v>
      </c>
      <c r="N32">
        <f>IF(HUAWEI製ＰＣＳ接続枚数計算ツール!$G$107/N$2&gt;=低温電圧!N32,1,0)</f>
        <v>1</v>
      </c>
      <c r="O32">
        <f>IF(HUAWEI製ＰＣＳ接続枚数計算ツール!$G$107/O$2&gt;=低温電圧!O32,1,0)</f>
        <v>1</v>
      </c>
      <c r="P32">
        <f>IF(HUAWEI製ＰＣＳ接続枚数計算ツール!$G$107/P$2&gt;=低温電圧!P32,1,0)</f>
        <v>1</v>
      </c>
      <c r="Q32">
        <f>IF(HUAWEI製ＰＣＳ接続枚数計算ツール!$G$107/Q$2&gt;=低温電圧!Q32,1,0)</f>
        <v>1</v>
      </c>
      <c r="R32">
        <f>IF(HUAWEI製ＰＣＳ接続枚数計算ツール!$G$107/R$2&gt;=低温電圧!R32,1,0)</f>
        <v>1</v>
      </c>
      <c r="S32">
        <f>IF(HUAWEI製ＰＣＳ接続枚数計算ツール!$G$107/S$2&gt;=低温電圧!S32,1,0)</f>
        <v>1</v>
      </c>
      <c r="T32">
        <f>IF(HUAWEI製ＰＣＳ接続枚数計算ツール!$G$107/T$2&gt;=低温電圧!T32,1,0)</f>
        <v>1</v>
      </c>
      <c r="U32">
        <f>IF(HUAWEI製ＰＣＳ接続枚数計算ツール!$G$107/U$2&gt;=低温電圧!U32,1,0)</f>
        <v>1</v>
      </c>
      <c r="V32">
        <f>IF(HUAWEI製ＰＣＳ接続枚数計算ツール!$G$107/V$2&gt;=低温電圧!V32,1,0)</f>
        <v>1</v>
      </c>
      <c r="W32">
        <f>IF(HUAWEI製ＰＣＳ接続枚数計算ツール!$G$107/W$2&gt;=低温電圧!W32,1,0)</f>
        <v>1</v>
      </c>
      <c r="X32">
        <f>IF(HUAWEI製ＰＣＳ接続枚数計算ツール!$G$107/X$2&gt;=低温電圧!X32,1,0)</f>
        <v>1</v>
      </c>
      <c r="Y32">
        <f>IF(HUAWEI製ＰＣＳ接続枚数計算ツール!$G$107/Y$2&gt;=低温電圧!Y32,1,0)</f>
        <v>1</v>
      </c>
      <c r="Z32">
        <f>IF(HUAWEI製ＰＣＳ接続枚数計算ツール!$G$107/Z$2&gt;=低温電圧!Z32,1,0)</f>
        <v>1</v>
      </c>
      <c r="AA32">
        <f>IF(HUAWEI製ＰＣＳ接続枚数計算ツール!$G$107/AA$2&gt;=低温電圧!AA32,1,0)</f>
        <v>1</v>
      </c>
      <c r="AB32">
        <f>IF(HUAWEI製ＰＣＳ接続枚数計算ツール!$G$107/AB$2&gt;=低温電圧!AB32,1,0)</f>
        <v>1</v>
      </c>
      <c r="AC32">
        <f>IF(HUAWEI製ＰＣＳ接続枚数計算ツール!$G$107/AC$2&gt;=低温電圧!AC32,1,0)</f>
        <v>1</v>
      </c>
      <c r="AD32">
        <f>IF(HUAWEI製ＰＣＳ接続枚数計算ツール!$G$107/AD$2&gt;=低温電圧!AD32,1,0)</f>
        <v>1</v>
      </c>
      <c r="AE32">
        <f>IF(HUAWEI製ＰＣＳ接続枚数計算ツール!$G$107/AE$2&gt;=低温電圧!AE32,1,0)</f>
        <v>1</v>
      </c>
      <c r="AF32">
        <f>IF(HUAWEI製ＰＣＳ接続枚数計算ツール!$G$107/AF$2&gt;=低温電圧!AF32,1,0)</f>
        <v>1</v>
      </c>
      <c r="AG32">
        <f>IF(HUAWEI製ＰＣＳ接続枚数計算ツール!$G$107/AG$2&gt;=低温電圧!AG32,1,0)</f>
        <v>1</v>
      </c>
      <c r="AH32">
        <f>IF(HUAWEI製ＰＣＳ接続枚数計算ツール!$G$107/AH$2&gt;=低温電圧!AH32,1,0)</f>
        <v>1</v>
      </c>
      <c r="AI32">
        <f>IF(HUAWEI製ＰＣＳ接続枚数計算ツール!$G$107/AI$2&gt;=低温電圧!AI32,1,0)</f>
        <v>1</v>
      </c>
      <c r="AJ32">
        <f>IF(HUAWEI製ＰＣＳ接続枚数計算ツール!$G$107/AJ$2&gt;=低温電圧!AJ32,1,0)</f>
        <v>1</v>
      </c>
      <c r="AK32">
        <f>IF(HUAWEI製ＰＣＳ接続枚数計算ツール!$G$107/AK$2&gt;=低温電圧!AK32,1,0)</f>
        <v>1</v>
      </c>
      <c r="AL32">
        <f>IF(HUAWEI製ＰＣＳ接続枚数計算ツール!$G$107/AL$2&gt;=低温電圧!AL32,1,0)</f>
        <v>1</v>
      </c>
      <c r="AM32">
        <f>IF(HUAWEI製ＰＣＳ接続枚数計算ツール!$G$107/AM$2&gt;=低温電圧!AM32,1,0)</f>
        <v>1</v>
      </c>
      <c r="AN32">
        <f>IF(HUAWEI製ＰＣＳ接続枚数計算ツール!$G$107/AN$2&gt;=低温電圧!AN32,1,0)</f>
        <v>1</v>
      </c>
      <c r="AO32">
        <f>IF(HUAWEI製ＰＣＳ接続枚数計算ツール!$G$107/AO$2&gt;=低温電圧!AO32,1,0)</f>
        <v>1</v>
      </c>
    </row>
  </sheetData>
  <phoneticPr fontId="21"/>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dimension ref="A1:AO30"/>
  <sheetViews>
    <sheetView zoomScale="70" zoomScaleNormal="70" workbookViewId="0">
      <selection activeCell="AI30" sqref="AI30"/>
    </sheetView>
  </sheetViews>
  <sheetFormatPr defaultRowHeight="14.1"/>
  <cols>
    <col min="1" max="1" width="14.5" customWidth="1"/>
    <col min="2" max="41" width="5.5" customWidth="1"/>
    <col min="42" max="51" width="4.375" customWidth="1"/>
  </cols>
  <sheetData>
    <row r="1" spans="1:41">
      <c r="A1" t="s">
        <v>2039</v>
      </c>
    </row>
    <row r="2" spans="1:41">
      <c r="A2" s="109" t="s">
        <v>2040</v>
      </c>
      <c r="B2" s="117">
        <v>1</v>
      </c>
      <c r="C2" s="118">
        <v>2</v>
      </c>
      <c r="D2" s="117">
        <v>3</v>
      </c>
      <c r="E2" s="118">
        <v>4</v>
      </c>
      <c r="F2" s="117">
        <v>5</v>
      </c>
      <c r="G2" s="118">
        <v>6</v>
      </c>
      <c r="H2" s="117">
        <v>7</v>
      </c>
      <c r="I2" s="118">
        <v>8</v>
      </c>
      <c r="J2" s="117">
        <v>9</v>
      </c>
      <c r="K2" s="118">
        <v>10</v>
      </c>
      <c r="L2" s="117">
        <v>11</v>
      </c>
      <c r="M2" s="118">
        <v>12</v>
      </c>
      <c r="N2" s="117">
        <v>13</v>
      </c>
      <c r="O2" s="118">
        <v>14</v>
      </c>
      <c r="P2" s="117">
        <v>15</v>
      </c>
      <c r="Q2" s="118">
        <v>16</v>
      </c>
      <c r="R2" s="117">
        <v>17</v>
      </c>
      <c r="S2" s="118">
        <v>18</v>
      </c>
      <c r="T2" s="117">
        <v>19</v>
      </c>
      <c r="U2" s="118">
        <v>20</v>
      </c>
      <c r="V2" s="117">
        <v>21</v>
      </c>
      <c r="W2" s="118">
        <v>22</v>
      </c>
      <c r="X2" s="117">
        <v>23</v>
      </c>
      <c r="Y2" s="118">
        <v>24</v>
      </c>
      <c r="Z2" s="117">
        <v>25</v>
      </c>
      <c r="AA2" s="118">
        <v>26</v>
      </c>
      <c r="AB2" s="117">
        <v>27</v>
      </c>
      <c r="AC2" s="118">
        <v>28</v>
      </c>
      <c r="AD2" s="117">
        <v>29</v>
      </c>
      <c r="AE2" s="118">
        <v>30</v>
      </c>
      <c r="AF2" s="117">
        <v>31</v>
      </c>
      <c r="AG2" s="118">
        <v>32</v>
      </c>
      <c r="AH2" s="117">
        <v>33</v>
      </c>
      <c r="AI2" s="118">
        <v>34</v>
      </c>
      <c r="AJ2" s="117">
        <v>35</v>
      </c>
      <c r="AK2" s="118">
        <v>36</v>
      </c>
      <c r="AL2" s="117">
        <v>37</v>
      </c>
      <c r="AM2" s="118">
        <v>38</v>
      </c>
      <c r="AN2" s="117">
        <v>39</v>
      </c>
      <c r="AO2" s="119">
        <v>40</v>
      </c>
    </row>
    <row r="3" spans="1:41">
      <c r="A3" s="114">
        <v>1</v>
      </c>
      <c r="B3" s="121" t="str">
        <f>IF(AND(高温可否!B3=1,低温可否!B3=1,標準可否!B3=1,HUAWEI製ＰＣＳ接続枚数計算ツール!$C$108&gt;=B$2,HUAWEI製ＰＣＳ接続枚数計算ツール!$E$108&lt;=B$2,枚数!B3&gt;0),枚数!B3,IF(AND(標準可否!B3=1,低温可否!B3=1,HUAWEI製ＰＣＳ接続枚数計算ツール!$C$108&gt;=B$2,枚数!B3&gt;0,低電圧接続!B3&gt;0),枚数!B3,"-"))</f>
        <v>-</v>
      </c>
      <c r="C3" s="108" t="str">
        <f>IF(AND(高温可否!C3=1,低温可否!C3=1,標準可否!C3=1,HUAWEI製ＰＣＳ接続枚数計算ツール!$C$108&gt;=C$2,HUAWEI製ＰＣＳ接続枚数計算ツール!$E$108&lt;=C$2,枚数!C3&gt;0),枚数!C3,IF(AND(標準可否!C3=1,低温可否!C3=1,HUAWEI製ＰＣＳ接続枚数計算ツール!$C$108&gt;=C$2,枚数!C3&gt;0,低電圧接続!C3&gt;0),枚数!C3,"-"))</f>
        <v>-</v>
      </c>
      <c r="D3" s="107" t="str">
        <f>IF(AND(高温可否!D3=1,低温可否!D3=1,標準可否!D3=1,HUAWEI製ＰＣＳ接続枚数計算ツール!$C$108&gt;=D$2,HUAWEI製ＰＣＳ接続枚数計算ツール!$E$108&lt;=D$2,枚数!D3&gt;0),枚数!D3,IF(AND(標準可否!D3=1,低温可否!D3=1,HUAWEI製ＰＣＳ接続枚数計算ツール!$C$108&gt;=D$2,枚数!D3&gt;0,低電圧接続!D3&gt;0),枚数!D3,"-"))</f>
        <v>-</v>
      </c>
      <c r="E3" s="108" t="str">
        <f>IF(AND(高温可否!E3=1,低温可否!E3=1,標準可否!E3=1,HUAWEI製ＰＣＳ接続枚数計算ツール!$C$108&gt;=E$2,HUAWEI製ＰＣＳ接続枚数計算ツール!$E$108&lt;=E$2,枚数!E3&gt;0),枚数!E3,IF(AND(標準可否!E3=1,低温可否!E3=1,HUAWEI製ＰＣＳ接続枚数計算ツール!$C$108&gt;=E$2,枚数!E3&gt;0,低電圧接続!E3&gt;0),枚数!E3,"-"))</f>
        <v>-</v>
      </c>
      <c r="F3" s="107" t="str">
        <f>IF(AND(高温可否!F3=1,低温可否!F3=1,標準可否!F3=1,HUAWEI製ＰＣＳ接続枚数計算ツール!$C$108&gt;=F$2,HUAWEI製ＰＣＳ接続枚数計算ツール!$E$108&lt;=F$2,枚数!F3&gt;0),枚数!F3,IF(AND(標準可否!F3=1,低温可否!F3=1,HUAWEI製ＰＣＳ接続枚数計算ツール!$C$108&gt;=F$2,枚数!F3&gt;0,低電圧接続!F3&gt;0),枚数!F3,"-"))</f>
        <v>-</v>
      </c>
      <c r="G3" s="108" t="str">
        <f>IF(AND(高温可否!G3=1,低温可否!G3=1,標準可否!G3=1,HUAWEI製ＰＣＳ接続枚数計算ツール!$C$108&gt;=G$2,HUAWEI製ＰＣＳ接続枚数計算ツール!$E$108&lt;=G$2,枚数!G3&gt;0),枚数!G3,IF(AND(標準可否!G3=1,低温可否!G3=1,HUAWEI製ＰＣＳ接続枚数計算ツール!$C$108&gt;=G$2,枚数!G3&gt;0,低電圧接続!G3&gt;0),枚数!G3,"-"))</f>
        <v>-</v>
      </c>
      <c r="H3" s="107" t="str">
        <f>IF(AND(高温可否!H3=1,低温可否!H3=1,標準可否!H3=1,HUAWEI製ＰＣＳ接続枚数計算ツール!$C$108&gt;=H$2,HUAWEI製ＰＣＳ接続枚数計算ツール!$E$108&lt;=H$2,枚数!H3&gt;0),枚数!H3,IF(AND(標準可否!H3=1,低温可否!H3=1,HUAWEI製ＰＣＳ接続枚数計算ツール!$C$108&gt;=H$2,枚数!H3&gt;0,低電圧接続!H3&gt;0),枚数!H3,"-"))</f>
        <v>-</v>
      </c>
      <c r="I3" s="108" t="str">
        <f>IF(AND(高温可否!I3=1,低温可否!I3=1,標準可否!I3=1,HUAWEI製ＰＣＳ接続枚数計算ツール!$C$108&gt;=I$2,HUAWEI製ＰＣＳ接続枚数計算ツール!$E$108&lt;=I$2,枚数!I3&gt;0),枚数!I3,IF(AND(標準可否!I3=1,低温可否!I3=1,HUAWEI製ＰＣＳ接続枚数計算ツール!$C$108&gt;=I$2,枚数!I3&gt;0,低電圧接続!I3&gt;0),枚数!I3,"-"))</f>
        <v>-</v>
      </c>
      <c r="J3" s="107" t="str">
        <f>IF(AND(高温可否!J3=1,低温可否!J3=1,標準可否!J3=1,HUAWEI製ＰＣＳ接続枚数計算ツール!$C$108&gt;=J$2,HUAWEI製ＰＣＳ接続枚数計算ツール!$E$108&lt;=J$2,枚数!J3&gt;0),枚数!J3,IF(AND(標準可否!J3=1,低温可否!J3=1,HUAWEI製ＰＣＳ接続枚数計算ツール!$C$108&gt;=J$2,枚数!J3&gt;0,低電圧接続!J3&gt;0),枚数!J3,"-"))</f>
        <v>-</v>
      </c>
      <c r="K3" s="108" t="str">
        <f>IF(AND(高温可否!K3=1,低温可否!K3=1,標準可否!K3=1,HUAWEI製ＰＣＳ接続枚数計算ツール!$C$108&gt;=K$2,HUAWEI製ＰＣＳ接続枚数計算ツール!$E$108&lt;=K$2,枚数!K3&gt;0),枚数!K3,IF(AND(標準可否!K3=1,低温可否!K3=1,HUAWEI製ＰＣＳ接続枚数計算ツール!$C$108&gt;=K$2,枚数!K3&gt;0,低電圧接続!K3&gt;0),枚数!K3,"-"))</f>
        <v>-</v>
      </c>
      <c r="L3" s="107" t="str">
        <f>IF(AND(高温可否!L3=1,低温可否!L3=1,標準可否!L3=1,HUAWEI製ＰＣＳ接続枚数計算ツール!$C$108&gt;=L$2,HUAWEI製ＰＣＳ接続枚数計算ツール!$E$108&lt;=L$2,枚数!L3&gt;0),枚数!L3,IF(AND(標準可否!L3=1,低温可否!L3=1,HUAWEI製ＰＣＳ接続枚数計算ツール!$C$108&gt;=L$2,枚数!L3&gt;0,低電圧接続!L3&gt;0),枚数!L3,"-"))</f>
        <v>-</v>
      </c>
      <c r="M3" s="108" t="str">
        <f>IF(AND(高温可否!M3=1,低温可否!M3=1,標準可否!M3=1,HUAWEI製ＰＣＳ接続枚数計算ツール!$C$108&gt;=M$2,HUAWEI製ＰＣＳ接続枚数計算ツール!$E$108&lt;=M$2,枚数!M3&gt;0),枚数!M3,IF(AND(標準可否!M3=1,低温可否!M3=1,HUAWEI製ＰＣＳ接続枚数計算ツール!$C$108&gt;=M$2,枚数!M3&gt;0,低電圧接続!M3&gt;0),枚数!M3,"-"))</f>
        <v>-</v>
      </c>
      <c r="N3" s="107" t="str">
        <f>IF(AND(高温可否!N3=1,低温可否!N3=1,標準可否!N3=1,HUAWEI製ＰＣＳ接続枚数計算ツール!$C$108&gt;=N$2,HUAWEI製ＰＣＳ接続枚数計算ツール!$E$108&lt;=N$2,枚数!N3&gt;0),枚数!N3,IF(AND(標準可否!N3=1,低温可否!N3=1,HUAWEI製ＰＣＳ接続枚数計算ツール!$C$108&gt;=N$2,枚数!N3&gt;0,低電圧接続!N3&gt;0),枚数!N3,"-"))</f>
        <v>-</v>
      </c>
      <c r="O3" s="108">
        <f>IF(AND(高温可否!O3=1,低温可否!O3=1,標準可否!O3=1,HUAWEI製ＰＣＳ接続枚数計算ツール!$C$108&gt;=O$2,HUAWEI製ＰＣＳ接続枚数計算ツール!$E$108&lt;=O$2,枚数!O3&gt;0),枚数!O3,IF(AND(標準可否!O3=1,低温可否!O3=1,HUAWEI製ＰＣＳ接続枚数計算ツール!$C$108&gt;=O$2,枚数!O3&gt;0,低電圧接続!O3&gt;0),枚数!O3,"-"))</f>
        <v>14</v>
      </c>
      <c r="P3" s="107">
        <f>IF(AND(高温可否!P3=1,低温可否!P3=1,標準可否!P3=1,HUAWEI製ＰＣＳ接続枚数計算ツール!$C$108&gt;=P$2,HUAWEI製ＰＣＳ接続枚数計算ツール!$E$108&lt;=P$2,枚数!P3&gt;0),枚数!P3,IF(AND(標準可否!P3=1,低温可否!P3=1,HUAWEI製ＰＣＳ接続枚数計算ツール!$C$108&gt;=P$2,枚数!P3&gt;0,低電圧接続!P3&gt;0),枚数!P3,"-"))</f>
        <v>15</v>
      </c>
      <c r="Q3" s="108">
        <f>IF(AND(高温可否!Q3=1,低温可否!Q3=1,標準可否!Q3=1,HUAWEI製ＰＣＳ接続枚数計算ツール!$C$108&gt;=Q$2,HUAWEI製ＰＣＳ接続枚数計算ツール!$E$108&lt;=Q$2,枚数!Q3&gt;0),枚数!Q3,IF(AND(標準可否!Q3=1,低温可否!Q3=1,HUAWEI製ＰＣＳ接続枚数計算ツール!$C$108&gt;=Q$2,枚数!Q3&gt;0,低電圧接続!Q3&gt;0),枚数!Q3,"-"))</f>
        <v>16</v>
      </c>
      <c r="R3" s="107">
        <f>IF(AND(高温可否!R3=1,低温可否!R3=1,標準可否!R3=1,HUAWEI製ＰＣＳ接続枚数計算ツール!$C$108&gt;=R$2,HUAWEI製ＰＣＳ接続枚数計算ツール!$E$108&lt;=R$2,枚数!R3&gt;0),枚数!R3,IF(AND(標準可否!R3=1,低温可否!R3=1,HUAWEI製ＰＣＳ接続枚数計算ツール!$C$108&gt;=R$2,枚数!R3&gt;0,低電圧接続!R3&gt;0),枚数!R3,"-"))</f>
        <v>17</v>
      </c>
      <c r="S3" s="108">
        <f>IF(AND(高温可否!S3=1,低温可否!S3=1,標準可否!S3=1,HUAWEI製ＰＣＳ接続枚数計算ツール!$C$108&gt;=S$2,HUAWEI製ＰＣＳ接続枚数計算ツール!$E$108&lt;=S$2,枚数!S3&gt;0),枚数!S3,IF(AND(標準可否!S3=1,低温可否!S3=1,HUAWEI製ＰＣＳ接続枚数計算ツール!$C$108&gt;=S$2,枚数!S3&gt;0,低電圧接続!S3&gt;0),枚数!S3,"-"))</f>
        <v>18</v>
      </c>
      <c r="T3" s="107">
        <f>IF(AND(高温可否!T3=1,低温可否!T3=1,標準可否!T3=1,HUAWEI製ＰＣＳ接続枚数計算ツール!$C$108&gt;=T$2,HUAWEI製ＰＣＳ接続枚数計算ツール!$E$108&lt;=T$2,枚数!T3&gt;0),枚数!T3,IF(AND(標準可否!T3=1,低温可否!T3=1,HUAWEI製ＰＣＳ接続枚数計算ツール!$C$108&gt;=T$2,枚数!T3&gt;0,低電圧接続!T3&gt;0),枚数!T3,"-"))</f>
        <v>19</v>
      </c>
      <c r="U3" s="108">
        <f>IF(AND(高温可否!U3=1,低温可否!U3=1,標準可否!U3=1,HUAWEI製ＰＣＳ接続枚数計算ツール!$C$108&gt;=U$2,HUAWEI製ＰＣＳ接続枚数計算ツール!$E$108&lt;=U$2,枚数!U3&gt;0),枚数!U3,IF(AND(標準可否!U3=1,低温可否!U3=1,HUAWEI製ＰＣＳ接続枚数計算ツール!$C$108&gt;=U$2,枚数!U3&gt;0,低電圧接続!U3&gt;0),枚数!U3,"-"))</f>
        <v>20</v>
      </c>
      <c r="V3" s="107">
        <f>IF(AND(高温可否!V3=1,低温可否!V3=1,標準可否!V3=1,HUAWEI製ＰＣＳ接続枚数計算ツール!$C$108&gt;=V$2,HUAWEI製ＰＣＳ接続枚数計算ツール!$E$108&lt;=V$2,枚数!V3&gt;0),枚数!V3,IF(AND(標準可否!V3=1,低温可否!V3=1,HUAWEI製ＰＣＳ接続枚数計算ツール!$C$108&gt;=V$2,枚数!V3&gt;0,低電圧接続!V3&gt;0),枚数!V3,"-"))</f>
        <v>21</v>
      </c>
      <c r="W3" s="108">
        <f>IF(AND(高温可否!W3=1,低温可否!W3=1,標準可否!W3=1,HUAWEI製ＰＣＳ接続枚数計算ツール!$C$108&gt;=W$2,HUAWEI製ＰＣＳ接続枚数計算ツール!$E$108&lt;=W$2,枚数!W3&gt;0),枚数!W3,IF(AND(標準可否!W3=1,低温可否!W3=1,HUAWEI製ＰＣＳ接続枚数計算ツール!$C$108&gt;=W$2,枚数!W3&gt;0,低電圧接続!W3&gt;0),枚数!W3,"-"))</f>
        <v>22</v>
      </c>
      <c r="X3" s="107">
        <f>IF(AND(高温可否!X3=1,低温可否!X3=1,標準可否!X3=1,HUAWEI製ＰＣＳ接続枚数計算ツール!$C$108&gt;=X$2,HUAWEI製ＰＣＳ接続枚数計算ツール!$E$108&lt;=X$2,枚数!X3&gt;0),枚数!X3,IF(AND(標準可否!X3=1,低温可否!X3=1,HUAWEI製ＰＣＳ接続枚数計算ツール!$C$108&gt;=X$2,枚数!X3&gt;0,低電圧接続!X3&gt;0),枚数!X3,"-"))</f>
        <v>23</v>
      </c>
      <c r="Y3" s="108">
        <f>IF(AND(高温可否!Y3=1,低温可否!Y3=1,標準可否!Y3=1,HUAWEI製ＰＣＳ接続枚数計算ツール!$C$108&gt;=Y$2,HUAWEI製ＰＣＳ接続枚数計算ツール!$E$108&lt;=Y$2,枚数!Y3&gt;0),枚数!Y3,IF(AND(標準可否!Y3=1,低温可否!Y3=1,HUAWEI製ＰＣＳ接続枚数計算ツール!$C$108&gt;=Y$2,枚数!Y3&gt;0,低電圧接続!Y3&gt;0),枚数!Y3,"-"))</f>
        <v>24</v>
      </c>
      <c r="Z3" s="107">
        <f>IF(AND(高温可否!Z3=1,低温可否!Z3=1,標準可否!Z3=1,HUAWEI製ＰＣＳ接続枚数計算ツール!$C$108&gt;=Z$2,HUAWEI製ＰＣＳ接続枚数計算ツール!$E$108&lt;=Z$2,枚数!Z3&gt;0),枚数!Z3,IF(AND(標準可否!Z3=1,低温可否!Z3=1,HUAWEI製ＰＣＳ接続枚数計算ツール!$C$108&gt;=Z$2,枚数!Z3&gt;0,低電圧接続!Z3&gt;0),枚数!Z3,"-"))</f>
        <v>25</v>
      </c>
      <c r="AA3" s="108" t="str">
        <f>IF(AND(高温可否!AA3=1,低温可否!AA3=1,標準可否!AA3=1,HUAWEI製ＰＣＳ接続枚数計算ツール!$C$108&gt;=AA$2,HUAWEI製ＰＣＳ接続枚数計算ツール!$E$108&lt;=AA$2,枚数!AA3&gt;0),枚数!AA3,IF(AND(標準可否!AA3=1,低温可否!AA3=1,HUAWEI製ＰＣＳ接続枚数計算ツール!$C$108&gt;=AA$2,枚数!AA3&gt;0,低電圧接続!AA3&gt;0),枚数!AA3,"-"))</f>
        <v>-</v>
      </c>
      <c r="AB3" s="107" t="str">
        <f>IF(AND(高温可否!AB3=1,低温可否!AB3=1,標準可否!AB3=1,HUAWEI製ＰＣＳ接続枚数計算ツール!$C$108&gt;=AB$2,HUAWEI製ＰＣＳ接続枚数計算ツール!$E$108&lt;=AB$2,枚数!AB3&gt;0),枚数!AB3,IF(AND(標準可否!AB3=1,低温可否!AB3=1,HUAWEI製ＰＣＳ接続枚数計算ツール!$C$108&gt;=AB$2,枚数!AB3&gt;0,低電圧接続!AB3&gt;0),枚数!AB3,"-"))</f>
        <v>-</v>
      </c>
      <c r="AC3" s="108" t="str">
        <f>IF(AND(高温可否!AC3=1,低温可否!AC3=1,標準可否!AC3=1,HUAWEI製ＰＣＳ接続枚数計算ツール!$C$108&gt;=AC$2,HUAWEI製ＰＣＳ接続枚数計算ツール!$E$108&lt;=AC$2,枚数!AC3&gt;0),枚数!AC3,IF(AND(標準可否!AC3=1,低温可否!AC3=1,HUAWEI製ＰＣＳ接続枚数計算ツール!$C$108&gt;=AC$2,枚数!AC3&gt;0,低電圧接続!AC3&gt;0),枚数!AC3,"-"))</f>
        <v>-</v>
      </c>
      <c r="AD3" s="107" t="str">
        <f>IF(AND(高温可否!AD3=1,低温可否!AD3=1,標準可否!AD3=1,HUAWEI製ＰＣＳ接続枚数計算ツール!$C$108&gt;=AD$2,HUAWEI製ＰＣＳ接続枚数計算ツール!$E$108&lt;=AD$2,枚数!AD3&gt;0),枚数!AD3,IF(AND(標準可否!AD3=1,低温可否!AD3=1,HUAWEI製ＰＣＳ接続枚数計算ツール!$C$108&gt;=AD$2,枚数!AD3&gt;0,低電圧接続!AD3&gt;0),枚数!AD3,"-"))</f>
        <v>-</v>
      </c>
      <c r="AE3" s="108" t="str">
        <f>IF(AND(高温可否!AE3=1,低温可否!AE3=1,標準可否!AE3=1,HUAWEI製ＰＣＳ接続枚数計算ツール!$C$108&gt;=AE$2,HUAWEI製ＰＣＳ接続枚数計算ツール!$E$108&lt;=AE$2,枚数!AE3&gt;0),枚数!AE3,IF(AND(標準可否!AE3=1,低温可否!AE3=1,HUAWEI製ＰＣＳ接続枚数計算ツール!$C$108&gt;=AE$2,枚数!AE3&gt;0,低電圧接続!AE3&gt;0),枚数!AE3,"-"))</f>
        <v>-</v>
      </c>
      <c r="AF3" s="107" t="str">
        <f>IF(AND(高温可否!AF3=1,低温可否!AF3=1,標準可否!AF3=1,HUAWEI製ＰＣＳ接続枚数計算ツール!$C$108&gt;=AF$2,HUAWEI製ＰＣＳ接続枚数計算ツール!$E$108&lt;=AF$2,枚数!AF3&gt;0),枚数!AF3,IF(AND(標準可否!AF3=1,低温可否!AF3=1,HUAWEI製ＰＣＳ接続枚数計算ツール!$C$108&gt;=AF$2,枚数!AF3&gt;0,低電圧接続!AF3&gt;0),枚数!AF3,"-"))</f>
        <v>-</v>
      </c>
      <c r="AG3" s="108" t="str">
        <f>IF(AND(高温可否!AG3=1,低温可否!AG3=1,標準可否!AG3=1,HUAWEI製ＰＣＳ接続枚数計算ツール!$C$108&gt;=AG$2,HUAWEI製ＰＣＳ接続枚数計算ツール!$E$108&lt;=AG$2,枚数!AG3&gt;0),枚数!AG3,IF(AND(標準可否!AG3=1,低温可否!AG3=1,HUAWEI製ＰＣＳ接続枚数計算ツール!$C$108&gt;=AG$2,枚数!AG3&gt;0,低電圧接続!AG3&gt;0),枚数!AG3,"-"))</f>
        <v>-</v>
      </c>
      <c r="AH3" s="107" t="str">
        <f>IF(AND(高温可否!AH3=1,低温可否!AH3=1,標準可否!AH3=1,HUAWEI製ＰＣＳ接続枚数計算ツール!$C$108&gt;=AH$2,HUAWEI製ＰＣＳ接続枚数計算ツール!$E$108&lt;=AH$2,枚数!AH3&gt;0),枚数!AH3,IF(AND(標準可否!AH3=1,低温可否!AH3=1,HUAWEI製ＰＣＳ接続枚数計算ツール!$C$108&gt;=AH$2,枚数!AH3&gt;0,低電圧接続!AH3&gt;0),枚数!AH3,"-"))</f>
        <v>-</v>
      </c>
      <c r="AI3" s="108" t="str">
        <f>IF(AND(高温可否!AI3=1,低温可否!AI3=1,標準可否!AI3=1,HUAWEI製ＰＣＳ接続枚数計算ツール!$C$108&gt;=AI$2,HUAWEI製ＰＣＳ接続枚数計算ツール!$E$108&lt;=AI$2,枚数!AI3&gt;0),枚数!AI3,IF(AND(標準可否!AI3=1,低温可否!AI3=1,HUAWEI製ＰＣＳ接続枚数計算ツール!$C$108&gt;=AI$2,枚数!AI3&gt;0,低電圧接続!AI3&gt;0),枚数!AI3,"-"))</f>
        <v>-</v>
      </c>
      <c r="AJ3" s="107" t="str">
        <f>IF(AND(高温可否!AJ3=1,低温可否!AJ3=1,標準可否!AJ3=1,HUAWEI製ＰＣＳ接続枚数計算ツール!$C$108&gt;=AJ$2,HUAWEI製ＰＣＳ接続枚数計算ツール!$E$108&lt;=AJ$2,枚数!AJ3&gt;0),枚数!AJ3,IF(AND(標準可否!AJ3=1,低温可否!AJ3=1,HUAWEI製ＰＣＳ接続枚数計算ツール!$C$108&gt;=AJ$2,枚数!AJ3&gt;0,低電圧接続!AJ3&gt;0),枚数!AJ3,"-"))</f>
        <v>-</v>
      </c>
      <c r="AK3" s="108" t="str">
        <f>IF(AND(高温可否!AK3=1,低温可否!AK3=1,標準可否!AK3=1,HUAWEI製ＰＣＳ接続枚数計算ツール!$C$108&gt;=AK$2,HUAWEI製ＰＣＳ接続枚数計算ツール!$E$108&lt;=AK$2,枚数!AK3&gt;0),枚数!AK3,IF(AND(標準可否!AK3=1,低温可否!AK3=1,HUAWEI製ＰＣＳ接続枚数計算ツール!$C$108&gt;=AK$2,枚数!AK3&gt;0,低電圧接続!AK3&gt;0),枚数!AK3,"-"))</f>
        <v>-</v>
      </c>
      <c r="AL3" s="107" t="str">
        <f>IF(AND(高温可否!AL3=1,低温可否!AL3=1,標準可否!AL3=1,HUAWEI製ＰＣＳ接続枚数計算ツール!$C$108&gt;=AL$2,HUAWEI製ＰＣＳ接続枚数計算ツール!$E$108&lt;=AL$2,枚数!AL3&gt;0),枚数!AL3,IF(AND(標準可否!AL3=1,低温可否!AL3=1,HUAWEI製ＰＣＳ接続枚数計算ツール!$C$108&gt;=AL$2,枚数!AL3&gt;0,低電圧接続!AL3&gt;0),枚数!AL3,"-"))</f>
        <v>-</v>
      </c>
      <c r="AM3" s="108" t="str">
        <f>IF(AND(高温可否!AM3=1,低温可否!AM3=1,標準可否!AM3=1,HUAWEI製ＰＣＳ接続枚数計算ツール!$C$108&gt;=AM$2,HUAWEI製ＰＣＳ接続枚数計算ツール!$E$108&lt;=AM$2,枚数!AM3&gt;0),枚数!AM3,IF(AND(標準可否!AM3=1,低温可否!AM3=1,HUAWEI製ＰＣＳ接続枚数計算ツール!$C$108&gt;=AM$2,枚数!AM3&gt;0,低電圧接続!AM3&gt;0),枚数!AM3,"-"))</f>
        <v>-</v>
      </c>
      <c r="AN3" s="107" t="str">
        <f>IF(AND(高温可否!AN3=1,低温可否!AN3=1,標準可否!AN3=1,HUAWEI製ＰＣＳ接続枚数計算ツール!$C$108&gt;=AN$2,HUAWEI製ＰＣＳ接続枚数計算ツール!$E$108&lt;=AN$2,枚数!AN3&gt;0),枚数!AN3,IF(AND(標準可否!AN3=1,低温可否!AN3=1,HUAWEI製ＰＣＳ接続枚数計算ツール!$C$108&gt;=AN$2,枚数!AN3&gt;0,低電圧接続!AN3&gt;0),枚数!AN3,"-"))</f>
        <v>-</v>
      </c>
      <c r="AO3" s="110" t="str">
        <f>IF(AND(高温可否!AO3=1,低温可否!AO3=1,標準可否!AO3=1,HUAWEI製ＰＣＳ接続枚数計算ツール!$C$108&gt;=AO$2,HUAWEI製ＰＣＳ接続枚数計算ツール!$E$108&lt;=AO$2,枚数!AO3&gt;0),枚数!AO3,IF(AND(標準可否!AO3=1,低温可否!AO3=1,HUAWEI製ＰＣＳ接続枚数計算ツール!$C$108&gt;=AO$2,枚数!AO3&gt;0,低電圧接続!AO3&gt;0),枚数!AO3,"-"))</f>
        <v>-</v>
      </c>
    </row>
    <row r="4" spans="1:41">
      <c r="A4" s="115">
        <v>2</v>
      </c>
      <c r="B4" s="126" t="str">
        <f>IF(AND(高温可否!B4=1,低温可否!B4=1,標準可否!B4=1,HUAWEI製ＰＣＳ接続枚数計算ツール!$C$108&gt;=B$2,HUAWEI製ＰＣＳ接続枚数計算ツール!$E$108&lt;=B$2,枚数!B4&gt;0),枚数!B4,IF(AND(標準可否!B4=1,低温可否!B4=1,HUAWEI製ＰＣＳ接続枚数計算ツール!$C$108&gt;=B$2,枚数!B4&gt;0,低電圧接続!B4&gt;0),枚数!B4,"-"))</f>
        <v>-</v>
      </c>
      <c r="C4" s="127" t="str">
        <f>IF(AND(高温可否!C4=1,低温可否!C4=1,標準可否!C4=1,HUAWEI製ＰＣＳ接続枚数計算ツール!$C$108&gt;=C$2,HUAWEI製ＰＣＳ接続枚数計算ツール!$E$108&lt;=C$2,枚数!C4&gt;0),枚数!C4,IF(AND(標準可否!C4=1,低温可否!C4=1,HUAWEI製ＰＣＳ接続枚数計算ツール!$C$108&gt;=C$2,枚数!C4&gt;0,低電圧接続!C4&gt;0),枚数!C4,"-"))</f>
        <v>-</v>
      </c>
      <c r="D4" s="128" t="str">
        <f>IF(AND(高温可否!D4=1,低温可否!D4=1,標準可否!D4=1,HUAWEI製ＰＣＳ接続枚数計算ツール!$C$108&gt;=D$2,HUAWEI製ＰＣＳ接続枚数計算ツール!$E$108&lt;=D$2,枚数!D4&gt;0),枚数!D4,IF(AND(標準可否!D4=1,低温可否!D4=1,HUAWEI製ＰＣＳ接続枚数計算ツール!$C$108&gt;=D$2,枚数!D4&gt;0,低電圧接続!D4&gt;0),枚数!D4,"-"))</f>
        <v>-</v>
      </c>
      <c r="E4" s="127" t="str">
        <f>IF(AND(高温可否!E4=1,低温可否!E4=1,標準可否!E4=1,HUAWEI製ＰＣＳ接続枚数計算ツール!$C$108&gt;=E$2,HUAWEI製ＰＣＳ接続枚数計算ツール!$E$108&lt;=E$2,枚数!E4&gt;0),枚数!E4,IF(AND(標準可否!E4=1,低温可否!E4=1,HUAWEI製ＰＣＳ接続枚数計算ツール!$C$108&gt;=E$2,枚数!E4&gt;0,低電圧接続!E4&gt;0),枚数!E4,"-"))</f>
        <v>-</v>
      </c>
      <c r="F4" s="128" t="str">
        <f>IF(AND(高温可否!F4=1,低温可否!F4=1,標準可否!F4=1,HUAWEI製ＰＣＳ接続枚数計算ツール!$C$108&gt;=F$2,HUAWEI製ＰＣＳ接続枚数計算ツール!$E$108&lt;=F$2,枚数!F4&gt;0),枚数!F4,IF(AND(標準可否!F4=1,低温可否!F4=1,HUAWEI製ＰＣＳ接続枚数計算ツール!$C$108&gt;=F$2,枚数!F4&gt;0,低電圧接続!F4&gt;0),枚数!F4,"-"))</f>
        <v>-</v>
      </c>
      <c r="G4" s="127" t="str">
        <f>IF(AND(高温可否!G4=1,低温可否!G4=1,標準可否!G4=1,HUAWEI製ＰＣＳ接続枚数計算ツール!$C$108&gt;=G$2,HUAWEI製ＰＣＳ接続枚数計算ツール!$E$108&lt;=G$2,枚数!G4&gt;0),枚数!G4,IF(AND(標準可否!G4=1,低温可否!G4=1,HUAWEI製ＰＣＳ接続枚数計算ツール!$C$108&gt;=G$2,枚数!G4&gt;0,低電圧接続!G4&gt;0),枚数!G4,"-"))</f>
        <v>-</v>
      </c>
      <c r="H4" s="128" t="str">
        <f>IF(AND(高温可否!H4=1,低温可否!H4=1,標準可否!H4=1,HUAWEI製ＰＣＳ接続枚数計算ツール!$C$108&gt;=H$2,HUAWEI製ＰＣＳ接続枚数計算ツール!$E$108&lt;=H$2,枚数!H4&gt;0),枚数!H4,IF(AND(標準可否!H4=1,低温可否!H4=1,HUAWEI製ＰＣＳ接続枚数計算ツール!$C$108&gt;=H$2,枚数!H4&gt;0,低電圧接続!H4&gt;0),枚数!H4,"-"))</f>
        <v>-</v>
      </c>
      <c r="I4" s="127" t="str">
        <f>IF(AND(高温可否!I4=1,低温可否!I4=1,標準可否!I4=1,HUAWEI製ＰＣＳ接続枚数計算ツール!$C$108&gt;=I$2,HUAWEI製ＰＣＳ接続枚数計算ツール!$E$108&lt;=I$2,枚数!I4&gt;0),枚数!I4,IF(AND(標準可否!I4=1,低温可否!I4=1,HUAWEI製ＰＣＳ接続枚数計算ツール!$C$108&gt;=I$2,枚数!I4&gt;0,低電圧接続!I4&gt;0),枚数!I4,"-"))</f>
        <v>-</v>
      </c>
      <c r="J4" s="128" t="str">
        <f>IF(AND(高温可否!J4=1,低温可否!J4=1,標準可否!J4=1,HUAWEI製ＰＣＳ接続枚数計算ツール!$C$108&gt;=J$2,HUAWEI製ＰＣＳ接続枚数計算ツール!$E$108&lt;=J$2,枚数!J4&gt;0),枚数!J4,IF(AND(標準可否!J4=1,低温可否!J4=1,HUAWEI製ＰＣＳ接続枚数計算ツール!$C$108&gt;=J$2,枚数!J4&gt;0,低電圧接続!J4&gt;0),枚数!J4,"-"))</f>
        <v>-</v>
      </c>
      <c r="K4" s="127" t="str">
        <f>IF(AND(高温可否!K4=1,低温可否!K4=1,標準可否!K4=1,HUAWEI製ＰＣＳ接続枚数計算ツール!$C$108&gt;=K$2,HUAWEI製ＰＣＳ接続枚数計算ツール!$E$108&lt;=K$2,枚数!K4&gt;0),枚数!K4,IF(AND(標準可否!K4=1,低温可否!K4=1,HUAWEI製ＰＣＳ接続枚数計算ツール!$C$108&gt;=K$2,枚数!K4&gt;0,低電圧接続!K4&gt;0),枚数!K4,"-"))</f>
        <v>-</v>
      </c>
      <c r="L4" s="128" t="str">
        <f>IF(AND(高温可否!L4=1,低温可否!L4=1,標準可否!L4=1,HUAWEI製ＰＣＳ接続枚数計算ツール!$C$108&gt;=L$2,HUAWEI製ＰＣＳ接続枚数計算ツール!$E$108&lt;=L$2,枚数!L4&gt;0),枚数!L4,IF(AND(標準可否!L4=1,低温可否!L4=1,HUAWEI製ＰＣＳ接続枚数計算ツール!$C$108&gt;=L$2,枚数!L4&gt;0,低電圧接続!L4&gt;0),枚数!L4,"-"))</f>
        <v>-</v>
      </c>
      <c r="M4" s="127" t="str">
        <f>IF(AND(高温可否!M4=1,低温可否!M4=1,標準可否!M4=1,HUAWEI製ＰＣＳ接続枚数計算ツール!$C$108&gt;=M$2,HUAWEI製ＰＣＳ接続枚数計算ツール!$E$108&lt;=M$2,枚数!M4&gt;0),枚数!M4,IF(AND(標準可否!M4=1,低温可否!M4=1,HUAWEI製ＰＣＳ接続枚数計算ツール!$C$108&gt;=M$2,枚数!M4&gt;0,低電圧接続!M4&gt;0),枚数!M4,"-"))</f>
        <v>-</v>
      </c>
      <c r="N4" s="128" t="str">
        <f>IF(AND(高温可否!N4=1,低温可否!N4=1,標準可否!N4=1,HUAWEI製ＰＣＳ接続枚数計算ツール!$C$108&gt;=N$2,HUAWEI製ＰＣＳ接続枚数計算ツール!$E$108&lt;=N$2,枚数!N4&gt;0),枚数!N4,IF(AND(標準可否!N4=1,低温可否!N4=1,HUAWEI製ＰＣＳ接続枚数計算ツール!$C$108&gt;=N$2,枚数!N4&gt;0,低電圧接続!N4&gt;0),枚数!N4,"-"))</f>
        <v>-</v>
      </c>
      <c r="O4" s="127">
        <f>IF(AND(高温可否!O4=1,低温可否!O4=1,標準可否!O4=1,HUAWEI製ＰＣＳ接続枚数計算ツール!$C$108&gt;=O$2,HUAWEI製ＰＣＳ接続枚数計算ツール!$E$108&lt;=O$2,枚数!O4&gt;0),枚数!O4,IF(AND(標準可否!O4=1,低温可否!O4=1,HUAWEI製ＰＣＳ接続枚数計算ツール!$C$108&gt;=O$2,枚数!O4&gt;0,低電圧接続!O4&gt;0),枚数!O4,"-"))</f>
        <v>28</v>
      </c>
      <c r="P4" s="128">
        <f>IF(AND(高温可否!P4=1,低温可否!P4=1,標準可否!P4=1,HUAWEI製ＰＣＳ接続枚数計算ツール!$C$108&gt;=P$2,HUAWEI製ＰＣＳ接続枚数計算ツール!$E$108&lt;=P$2,枚数!P4&gt;0),枚数!P4,IF(AND(標準可否!P4=1,低温可否!P4=1,HUAWEI製ＰＣＳ接続枚数計算ツール!$C$108&gt;=P$2,枚数!P4&gt;0,低電圧接続!P4&gt;0),枚数!P4,"-"))</f>
        <v>30</v>
      </c>
      <c r="Q4" s="127">
        <f>IF(AND(高温可否!Q4=1,低温可否!Q4=1,標準可否!Q4=1,HUAWEI製ＰＣＳ接続枚数計算ツール!$C$108&gt;=Q$2,HUAWEI製ＰＣＳ接続枚数計算ツール!$E$108&lt;=Q$2,枚数!Q4&gt;0),枚数!Q4,IF(AND(標準可否!Q4=1,低温可否!Q4=1,HUAWEI製ＰＣＳ接続枚数計算ツール!$C$108&gt;=Q$2,枚数!Q4&gt;0,低電圧接続!Q4&gt;0),枚数!Q4,"-"))</f>
        <v>32</v>
      </c>
      <c r="R4" s="128">
        <f>IF(AND(高温可否!R4=1,低温可否!R4=1,標準可否!R4=1,HUAWEI製ＰＣＳ接続枚数計算ツール!$C$108&gt;=R$2,HUAWEI製ＰＣＳ接続枚数計算ツール!$E$108&lt;=R$2,枚数!R4&gt;0),枚数!R4,IF(AND(標準可否!R4=1,低温可否!R4=1,HUAWEI製ＰＣＳ接続枚数計算ツール!$C$108&gt;=R$2,枚数!R4&gt;0,低電圧接続!R4&gt;0),枚数!R4,"-"))</f>
        <v>34</v>
      </c>
      <c r="S4" s="127">
        <f>IF(AND(高温可否!S4=1,低温可否!S4=1,標準可否!S4=1,HUAWEI製ＰＣＳ接続枚数計算ツール!$C$108&gt;=S$2,HUAWEI製ＰＣＳ接続枚数計算ツール!$E$108&lt;=S$2,枚数!S4&gt;0),枚数!S4,IF(AND(標準可否!S4=1,低温可否!S4=1,HUAWEI製ＰＣＳ接続枚数計算ツール!$C$108&gt;=S$2,枚数!S4&gt;0,低電圧接続!S4&gt;0),枚数!S4,"-"))</f>
        <v>36</v>
      </c>
      <c r="T4" s="128">
        <f>IF(AND(高温可否!T4=1,低温可否!T4=1,標準可否!T4=1,HUAWEI製ＰＣＳ接続枚数計算ツール!$C$108&gt;=T$2,HUAWEI製ＰＣＳ接続枚数計算ツール!$E$108&lt;=T$2,枚数!T4&gt;0),枚数!T4,IF(AND(標準可否!T4=1,低温可否!T4=1,HUAWEI製ＰＣＳ接続枚数計算ツール!$C$108&gt;=T$2,枚数!T4&gt;0,低電圧接続!T4&gt;0),枚数!T4,"-"))</f>
        <v>38</v>
      </c>
      <c r="U4" s="127">
        <f>IF(AND(高温可否!U4=1,低温可否!U4=1,標準可否!U4=1,HUAWEI製ＰＣＳ接続枚数計算ツール!$C$108&gt;=U$2,HUAWEI製ＰＣＳ接続枚数計算ツール!$E$108&lt;=U$2,枚数!U4&gt;0),枚数!U4,IF(AND(標準可否!U4=1,低温可否!U4=1,HUAWEI製ＰＣＳ接続枚数計算ツール!$C$108&gt;=U$2,枚数!U4&gt;0,低電圧接続!U4&gt;0),枚数!U4,"-"))</f>
        <v>40</v>
      </c>
      <c r="V4" s="128">
        <f>IF(AND(高温可否!V4=1,低温可否!V4=1,標準可否!V4=1,HUAWEI製ＰＣＳ接続枚数計算ツール!$C$108&gt;=V$2,HUAWEI製ＰＣＳ接続枚数計算ツール!$E$108&lt;=V$2,枚数!V4&gt;0),枚数!V4,IF(AND(標準可否!V4=1,低温可否!V4=1,HUAWEI製ＰＣＳ接続枚数計算ツール!$C$108&gt;=V$2,枚数!V4&gt;0,低電圧接続!V4&gt;0),枚数!V4,"-"))</f>
        <v>42</v>
      </c>
      <c r="W4" s="127">
        <f>IF(AND(高温可否!W4=1,低温可否!W4=1,標準可否!W4=1,HUAWEI製ＰＣＳ接続枚数計算ツール!$C$108&gt;=W$2,HUAWEI製ＰＣＳ接続枚数計算ツール!$E$108&lt;=W$2,枚数!W4&gt;0),枚数!W4,IF(AND(標準可否!W4=1,低温可否!W4=1,HUAWEI製ＰＣＳ接続枚数計算ツール!$C$108&gt;=W$2,枚数!W4&gt;0,低電圧接続!W4&gt;0),枚数!W4,"-"))</f>
        <v>44</v>
      </c>
      <c r="X4" s="128">
        <f>IF(AND(高温可否!X4=1,低温可否!X4=1,標準可否!X4=1,HUAWEI製ＰＣＳ接続枚数計算ツール!$C$108&gt;=X$2,HUAWEI製ＰＣＳ接続枚数計算ツール!$E$108&lt;=X$2,枚数!X4&gt;0),枚数!X4,IF(AND(標準可否!X4=1,低温可否!X4=1,HUAWEI製ＰＣＳ接続枚数計算ツール!$C$108&gt;=X$2,枚数!X4&gt;0,低電圧接続!X4&gt;0),枚数!X4,"-"))</f>
        <v>46</v>
      </c>
      <c r="Y4" s="127">
        <f>IF(AND(高温可否!Y4=1,低温可否!Y4=1,標準可否!Y4=1,HUAWEI製ＰＣＳ接続枚数計算ツール!$C$108&gt;=Y$2,HUAWEI製ＰＣＳ接続枚数計算ツール!$E$108&lt;=Y$2,枚数!Y4&gt;0),枚数!Y4,IF(AND(標準可否!Y4=1,低温可否!Y4=1,HUAWEI製ＰＣＳ接続枚数計算ツール!$C$108&gt;=Y$2,枚数!Y4&gt;0,低電圧接続!Y4&gt;0),枚数!Y4,"-"))</f>
        <v>48</v>
      </c>
      <c r="Z4" s="128">
        <f>IF(AND(高温可否!Z4=1,低温可否!Z4=1,標準可否!Z4=1,HUAWEI製ＰＣＳ接続枚数計算ツール!$C$108&gt;=Z$2,HUAWEI製ＰＣＳ接続枚数計算ツール!$E$108&lt;=Z$2,枚数!Z4&gt;0),枚数!Z4,IF(AND(標準可否!Z4=1,低温可否!Z4=1,HUAWEI製ＰＣＳ接続枚数計算ツール!$C$108&gt;=Z$2,枚数!Z4&gt;0,低電圧接続!Z4&gt;0),枚数!Z4,"-"))</f>
        <v>50</v>
      </c>
      <c r="AA4" s="127" t="str">
        <f>IF(AND(高温可否!AA4=1,低温可否!AA4=1,標準可否!AA4=1,HUAWEI製ＰＣＳ接続枚数計算ツール!$C$108&gt;=AA$2,HUAWEI製ＰＣＳ接続枚数計算ツール!$E$108&lt;=AA$2,枚数!AA4&gt;0),枚数!AA4,IF(AND(標準可否!AA4=1,低温可否!AA4=1,HUAWEI製ＰＣＳ接続枚数計算ツール!$C$108&gt;=AA$2,枚数!AA4&gt;0,低電圧接続!AA4&gt;0),枚数!AA4,"-"))</f>
        <v>-</v>
      </c>
      <c r="AB4" s="128" t="str">
        <f>IF(AND(高温可否!AB4=1,低温可否!AB4=1,標準可否!AB4=1,HUAWEI製ＰＣＳ接続枚数計算ツール!$C$108&gt;=AB$2,HUAWEI製ＰＣＳ接続枚数計算ツール!$E$108&lt;=AB$2,枚数!AB4&gt;0),枚数!AB4,IF(AND(標準可否!AB4=1,低温可否!AB4=1,HUAWEI製ＰＣＳ接続枚数計算ツール!$C$108&gt;=AB$2,枚数!AB4&gt;0,低電圧接続!AB4&gt;0),枚数!AB4,"-"))</f>
        <v>-</v>
      </c>
      <c r="AC4" s="127" t="str">
        <f>IF(AND(高温可否!AC4=1,低温可否!AC4=1,標準可否!AC4=1,HUAWEI製ＰＣＳ接続枚数計算ツール!$C$108&gt;=AC$2,HUAWEI製ＰＣＳ接続枚数計算ツール!$E$108&lt;=AC$2,枚数!AC4&gt;0),枚数!AC4,IF(AND(標準可否!AC4=1,低温可否!AC4=1,HUAWEI製ＰＣＳ接続枚数計算ツール!$C$108&gt;=AC$2,枚数!AC4&gt;0,低電圧接続!AC4&gt;0),枚数!AC4,"-"))</f>
        <v>-</v>
      </c>
      <c r="AD4" s="128" t="str">
        <f>IF(AND(高温可否!AD4=1,低温可否!AD4=1,標準可否!AD4=1,HUAWEI製ＰＣＳ接続枚数計算ツール!$C$108&gt;=AD$2,HUAWEI製ＰＣＳ接続枚数計算ツール!$E$108&lt;=AD$2,枚数!AD4&gt;0),枚数!AD4,IF(AND(標準可否!AD4=1,低温可否!AD4=1,HUAWEI製ＰＣＳ接続枚数計算ツール!$C$108&gt;=AD$2,枚数!AD4&gt;0,低電圧接続!AD4&gt;0),枚数!AD4,"-"))</f>
        <v>-</v>
      </c>
      <c r="AE4" s="127" t="str">
        <f>IF(AND(高温可否!AE4=1,低温可否!AE4=1,標準可否!AE4=1,HUAWEI製ＰＣＳ接続枚数計算ツール!$C$108&gt;=AE$2,HUAWEI製ＰＣＳ接続枚数計算ツール!$E$108&lt;=AE$2,枚数!AE4&gt;0),枚数!AE4,IF(AND(標準可否!AE4=1,低温可否!AE4=1,HUAWEI製ＰＣＳ接続枚数計算ツール!$C$108&gt;=AE$2,枚数!AE4&gt;0,低電圧接続!AE4&gt;0),枚数!AE4,"-"))</f>
        <v>-</v>
      </c>
      <c r="AF4" s="128" t="str">
        <f>IF(AND(高温可否!AF4=1,低温可否!AF4=1,標準可否!AF4=1,HUAWEI製ＰＣＳ接続枚数計算ツール!$C$108&gt;=AF$2,HUAWEI製ＰＣＳ接続枚数計算ツール!$E$108&lt;=AF$2,枚数!AF4&gt;0),枚数!AF4,IF(AND(標準可否!AF4=1,低温可否!AF4=1,HUAWEI製ＰＣＳ接続枚数計算ツール!$C$108&gt;=AF$2,枚数!AF4&gt;0,低電圧接続!AF4&gt;0),枚数!AF4,"-"))</f>
        <v>-</v>
      </c>
      <c r="AG4" s="127" t="str">
        <f>IF(AND(高温可否!AG4=1,低温可否!AG4=1,標準可否!AG4=1,HUAWEI製ＰＣＳ接続枚数計算ツール!$C$108&gt;=AG$2,HUAWEI製ＰＣＳ接続枚数計算ツール!$E$108&lt;=AG$2,枚数!AG4&gt;0),枚数!AG4,IF(AND(標準可否!AG4=1,低温可否!AG4=1,HUAWEI製ＰＣＳ接続枚数計算ツール!$C$108&gt;=AG$2,枚数!AG4&gt;0,低電圧接続!AG4&gt;0),枚数!AG4,"-"))</f>
        <v>-</v>
      </c>
      <c r="AH4" s="128" t="str">
        <f>IF(AND(高温可否!AH4=1,低温可否!AH4=1,標準可否!AH4=1,HUAWEI製ＰＣＳ接続枚数計算ツール!$C$108&gt;=AH$2,HUAWEI製ＰＣＳ接続枚数計算ツール!$E$108&lt;=AH$2,枚数!AH4&gt;0),枚数!AH4,IF(AND(標準可否!AH4=1,低温可否!AH4=1,HUAWEI製ＰＣＳ接続枚数計算ツール!$C$108&gt;=AH$2,枚数!AH4&gt;0,低電圧接続!AH4&gt;0),枚数!AH4,"-"))</f>
        <v>-</v>
      </c>
      <c r="AI4" s="127" t="str">
        <f>IF(AND(高温可否!AI4=1,低温可否!AI4=1,標準可否!AI4=1,HUAWEI製ＰＣＳ接続枚数計算ツール!$C$108&gt;=AI$2,HUAWEI製ＰＣＳ接続枚数計算ツール!$E$108&lt;=AI$2,枚数!AI4&gt;0),枚数!AI4,IF(AND(標準可否!AI4=1,低温可否!AI4=1,HUAWEI製ＰＣＳ接続枚数計算ツール!$C$108&gt;=AI$2,枚数!AI4&gt;0,低電圧接続!AI4&gt;0),枚数!AI4,"-"))</f>
        <v>-</v>
      </c>
      <c r="AJ4" s="128" t="str">
        <f>IF(AND(高温可否!AJ4=1,低温可否!AJ4=1,標準可否!AJ4=1,HUAWEI製ＰＣＳ接続枚数計算ツール!$C$108&gt;=AJ$2,HUAWEI製ＰＣＳ接続枚数計算ツール!$E$108&lt;=AJ$2,枚数!AJ4&gt;0),枚数!AJ4,IF(AND(標準可否!AJ4=1,低温可否!AJ4=1,HUAWEI製ＰＣＳ接続枚数計算ツール!$C$108&gt;=AJ$2,枚数!AJ4&gt;0,低電圧接続!AJ4&gt;0),枚数!AJ4,"-"))</f>
        <v>-</v>
      </c>
      <c r="AK4" s="127" t="str">
        <f>IF(AND(高温可否!AK4=1,低温可否!AK4=1,標準可否!AK4=1,HUAWEI製ＰＣＳ接続枚数計算ツール!$C$108&gt;=AK$2,HUAWEI製ＰＣＳ接続枚数計算ツール!$E$108&lt;=AK$2,枚数!AK4&gt;0),枚数!AK4,IF(AND(標準可否!AK4=1,低温可否!AK4=1,HUAWEI製ＰＣＳ接続枚数計算ツール!$C$108&gt;=AK$2,枚数!AK4&gt;0,低電圧接続!AK4&gt;0),枚数!AK4,"-"))</f>
        <v>-</v>
      </c>
      <c r="AL4" s="128" t="str">
        <f>IF(AND(高温可否!AL4=1,低温可否!AL4=1,標準可否!AL4=1,HUAWEI製ＰＣＳ接続枚数計算ツール!$C$108&gt;=AL$2,HUAWEI製ＰＣＳ接続枚数計算ツール!$E$108&lt;=AL$2,枚数!AL4&gt;0),枚数!AL4,IF(AND(標準可否!AL4=1,低温可否!AL4=1,HUAWEI製ＰＣＳ接続枚数計算ツール!$C$108&gt;=AL$2,枚数!AL4&gt;0,低電圧接続!AL4&gt;0),枚数!AL4,"-"))</f>
        <v>-</v>
      </c>
      <c r="AM4" s="127" t="str">
        <f>IF(AND(高温可否!AM4=1,低温可否!AM4=1,標準可否!AM4=1,HUAWEI製ＰＣＳ接続枚数計算ツール!$C$108&gt;=AM$2,HUAWEI製ＰＣＳ接続枚数計算ツール!$E$108&lt;=AM$2,枚数!AM4&gt;0),枚数!AM4,IF(AND(標準可否!AM4=1,低温可否!AM4=1,HUAWEI製ＰＣＳ接続枚数計算ツール!$C$108&gt;=AM$2,枚数!AM4&gt;0,低電圧接続!AM4&gt;0),枚数!AM4,"-"))</f>
        <v>-</v>
      </c>
      <c r="AN4" s="128" t="str">
        <f>IF(AND(高温可否!AN4=1,低温可否!AN4=1,標準可否!AN4=1,HUAWEI製ＰＣＳ接続枚数計算ツール!$C$108&gt;=AN$2,HUAWEI製ＰＣＳ接続枚数計算ツール!$E$108&lt;=AN$2,枚数!AN4&gt;0),枚数!AN4,IF(AND(標準可否!AN4=1,低温可否!AN4=1,HUAWEI製ＰＣＳ接続枚数計算ツール!$C$108&gt;=AN$2,枚数!AN4&gt;0,低電圧接続!AN4&gt;0),枚数!AN4,"-"))</f>
        <v>-</v>
      </c>
      <c r="AO4" s="129" t="str">
        <f>IF(AND(高温可否!AO4=1,低温可否!AO4=1,標準可否!AO4=1,HUAWEI製ＰＣＳ接続枚数計算ツール!$C$108&gt;=AO$2,HUAWEI製ＰＣＳ接続枚数計算ツール!$E$108&lt;=AO$2,枚数!AO4&gt;0),枚数!AO4,IF(AND(標準可否!AO4=1,低温可否!AO4=1,HUAWEI製ＰＣＳ接続枚数計算ツール!$C$108&gt;=AO$2,枚数!AO4&gt;0,低電圧接続!AO4&gt;0),枚数!AO4,"-"))</f>
        <v>-</v>
      </c>
    </row>
    <row r="5" spans="1:41">
      <c r="A5" s="116">
        <v>3</v>
      </c>
      <c r="B5" s="122" t="str">
        <f>IF(AND(高温可否!B5=1,低温可否!B5=1,標準可否!B5=1,HUAWEI製ＰＣＳ接続枚数計算ツール!$C$108&gt;=B$2,HUAWEI製ＰＣＳ接続枚数計算ツール!$E$108&lt;=B$2,枚数!B5&gt;0),枚数!B5,IF(AND(標準可否!B5=1,低温可否!B5=1,HUAWEI製ＰＣＳ接続枚数計算ツール!$C$108&gt;=B$2,枚数!B5&gt;0,低電圧接続!B5&gt;0),枚数!B5,"-"))</f>
        <v>-</v>
      </c>
      <c r="C5" s="123" t="str">
        <f>IF(AND(高温可否!C5=1,低温可否!C5=1,標準可否!C5=1,HUAWEI製ＰＣＳ接続枚数計算ツール!$C$108&gt;=C$2,HUAWEI製ＰＣＳ接続枚数計算ツール!$E$108&lt;=C$2,枚数!C5&gt;0),枚数!C5,IF(AND(標準可否!C5=1,低温可否!C5=1,HUAWEI製ＰＣＳ接続枚数計算ツール!$C$108&gt;=C$2,枚数!C5&gt;0,低電圧接続!C5&gt;0),枚数!C5,"-"))</f>
        <v>-</v>
      </c>
      <c r="D5" s="124" t="str">
        <f>IF(AND(高温可否!D5=1,低温可否!D5=1,標準可否!D5=1,HUAWEI製ＰＣＳ接続枚数計算ツール!$C$108&gt;=D$2,HUAWEI製ＰＣＳ接続枚数計算ツール!$E$108&lt;=D$2,枚数!D5&gt;0),枚数!D5,IF(AND(標準可否!D5=1,低温可否!D5=1,HUAWEI製ＰＣＳ接続枚数計算ツール!$C$108&gt;=D$2,枚数!D5&gt;0,低電圧接続!D5&gt;0),枚数!D5,"-"))</f>
        <v>-</v>
      </c>
      <c r="E5" s="123" t="str">
        <f>IF(AND(高温可否!E5=1,低温可否!E5=1,標準可否!E5=1,HUAWEI製ＰＣＳ接続枚数計算ツール!$C$108&gt;=E$2,HUAWEI製ＰＣＳ接続枚数計算ツール!$E$108&lt;=E$2,枚数!E5&gt;0),枚数!E5,IF(AND(標準可否!E5=1,低温可否!E5=1,HUAWEI製ＰＣＳ接続枚数計算ツール!$C$108&gt;=E$2,枚数!E5&gt;0,低電圧接続!E5&gt;0),枚数!E5,"-"))</f>
        <v>-</v>
      </c>
      <c r="F5" s="124" t="str">
        <f>IF(AND(高温可否!F5=1,低温可否!F5=1,標準可否!F5=1,HUAWEI製ＰＣＳ接続枚数計算ツール!$C$108&gt;=F$2,HUAWEI製ＰＣＳ接続枚数計算ツール!$E$108&lt;=F$2,枚数!F5&gt;0),枚数!F5,IF(AND(標準可否!F5=1,低温可否!F5=1,HUAWEI製ＰＣＳ接続枚数計算ツール!$C$108&gt;=F$2,枚数!F5&gt;0,低電圧接続!F5&gt;0),枚数!F5,"-"))</f>
        <v>-</v>
      </c>
      <c r="G5" s="123" t="str">
        <f>IF(AND(高温可否!G5=1,低温可否!G5=1,標準可否!G5=1,HUAWEI製ＰＣＳ接続枚数計算ツール!$C$108&gt;=G$2,HUAWEI製ＰＣＳ接続枚数計算ツール!$E$108&lt;=G$2,枚数!G5&gt;0),枚数!G5,IF(AND(標準可否!G5=1,低温可否!G5=1,HUAWEI製ＰＣＳ接続枚数計算ツール!$C$108&gt;=G$2,枚数!G5&gt;0,低電圧接続!G5&gt;0),枚数!G5,"-"))</f>
        <v>-</v>
      </c>
      <c r="H5" s="124" t="str">
        <f>IF(AND(高温可否!H5=1,低温可否!H5=1,標準可否!H5=1,HUAWEI製ＰＣＳ接続枚数計算ツール!$C$108&gt;=H$2,HUAWEI製ＰＣＳ接続枚数計算ツール!$E$108&lt;=H$2,枚数!H5&gt;0),枚数!H5,IF(AND(標準可否!H5=1,低温可否!H5=1,HUAWEI製ＰＣＳ接続枚数計算ツール!$C$108&gt;=H$2,枚数!H5&gt;0,低電圧接続!H5&gt;0),枚数!H5,"-"))</f>
        <v>-</v>
      </c>
      <c r="I5" s="123" t="str">
        <f>IF(AND(高温可否!I5=1,低温可否!I5=1,標準可否!I5=1,HUAWEI製ＰＣＳ接続枚数計算ツール!$C$108&gt;=I$2,HUAWEI製ＰＣＳ接続枚数計算ツール!$E$108&lt;=I$2,枚数!I5&gt;0),枚数!I5,IF(AND(標準可否!I5=1,低温可否!I5=1,HUAWEI製ＰＣＳ接続枚数計算ツール!$C$108&gt;=I$2,枚数!I5&gt;0,低電圧接続!I5&gt;0),枚数!I5,"-"))</f>
        <v>-</v>
      </c>
      <c r="J5" s="124" t="str">
        <f>IF(AND(高温可否!J5=1,低温可否!J5=1,標準可否!J5=1,HUAWEI製ＰＣＳ接続枚数計算ツール!$C$108&gt;=J$2,HUAWEI製ＰＣＳ接続枚数計算ツール!$E$108&lt;=J$2,枚数!J5&gt;0),枚数!J5,IF(AND(標準可否!J5=1,低温可否!J5=1,HUAWEI製ＰＣＳ接続枚数計算ツール!$C$108&gt;=J$2,枚数!J5&gt;0,低電圧接続!J5&gt;0),枚数!J5,"-"))</f>
        <v>-</v>
      </c>
      <c r="K5" s="123" t="str">
        <f>IF(AND(高温可否!K5=1,低温可否!K5=1,標準可否!K5=1,HUAWEI製ＰＣＳ接続枚数計算ツール!$C$108&gt;=K$2,HUAWEI製ＰＣＳ接続枚数計算ツール!$E$108&lt;=K$2,枚数!K5&gt;0),枚数!K5,IF(AND(標準可否!K5=1,低温可否!K5=1,HUAWEI製ＰＣＳ接続枚数計算ツール!$C$108&gt;=K$2,枚数!K5&gt;0,低電圧接続!K5&gt;0),枚数!K5,"-"))</f>
        <v>-</v>
      </c>
      <c r="L5" s="124" t="str">
        <f>IF(AND(高温可否!L5=1,低温可否!L5=1,標準可否!L5=1,HUAWEI製ＰＣＳ接続枚数計算ツール!$C$108&gt;=L$2,HUAWEI製ＰＣＳ接続枚数計算ツール!$E$108&lt;=L$2,枚数!L5&gt;0),枚数!L5,IF(AND(標準可否!L5=1,低温可否!L5=1,HUAWEI製ＰＣＳ接続枚数計算ツール!$C$108&gt;=L$2,枚数!L5&gt;0,低電圧接続!L5&gt;0),枚数!L5,"-"))</f>
        <v>-</v>
      </c>
      <c r="M5" s="123" t="str">
        <f>IF(AND(高温可否!M5=1,低温可否!M5=1,標準可否!M5=1,HUAWEI製ＰＣＳ接続枚数計算ツール!$C$108&gt;=M$2,HUAWEI製ＰＣＳ接続枚数計算ツール!$E$108&lt;=M$2,枚数!M5&gt;0),枚数!M5,IF(AND(標準可否!M5=1,低温可否!M5=1,HUAWEI製ＰＣＳ接続枚数計算ツール!$C$108&gt;=M$2,枚数!M5&gt;0,低電圧接続!M5&gt;0),枚数!M5,"-"))</f>
        <v>-</v>
      </c>
      <c r="N5" s="124" t="str">
        <f>IF(AND(高温可否!N5=1,低温可否!N5=1,標準可否!N5=1,HUAWEI製ＰＣＳ接続枚数計算ツール!$C$108&gt;=N$2,HUAWEI製ＰＣＳ接続枚数計算ツール!$E$108&lt;=N$2,枚数!N5&gt;0),枚数!N5,IF(AND(標準可否!N5=1,低温可否!N5=1,HUAWEI製ＰＣＳ接続枚数計算ツール!$C$108&gt;=N$2,枚数!N5&gt;0,低電圧接続!N5&gt;0),枚数!N5,"-"))</f>
        <v>-</v>
      </c>
      <c r="O5" s="123">
        <f>IF(AND(高温可否!O5=1,低温可否!O5=1,標準可否!O5=1,HUAWEI製ＰＣＳ接続枚数計算ツール!$C$108&gt;=O$2,HUAWEI製ＰＣＳ接続枚数計算ツール!$E$108&lt;=O$2,枚数!O5&gt;0),枚数!O5,IF(AND(標準可否!O5=1,低温可否!O5=1,HUAWEI製ＰＣＳ接続枚数計算ツール!$C$108&gt;=O$2,枚数!O5&gt;0,低電圧接続!O5&gt;0),枚数!O5,"-"))</f>
        <v>42</v>
      </c>
      <c r="P5" s="124">
        <f>IF(AND(高温可否!P5=1,低温可否!P5=1,標準可否!P5=1,HUAWEI製ＰＣＳ接続枚数計算ツール!$C$108&gt;=P$2,HUAWEI製ＰＣＳ接続枚数計算ツール!$E$108&lt;=P$2,枚数!P5&gt;0),枚数!P5,IF(AND(標準可否!P5=1,低温可否!P5=1,HUAWEI製ＰＣＳ接続枚数計算ツール!$C$108&gt;=P$2,枚数!P5&gt;0,低電圧接続!P5&gt;0),枚数!P5,"-"))</f>
        <v>45</v>
      </c>
      <c r="Q5" s="123">
        <f>IF(AND(高温可否!Q5=1,低温可否!Q5=1,標準可否!Q5=1,HUAWEI製ＰＣＳ接続枚数計算ツール!$C$108&gt;=Q$2,HUAWEI製ＰＣＳ接続枚数計算ツール!$E$108&lt;=Q$2,枚数!Q5&gt;0),枚数!Q5,IF(AND(標準可否!Q5=1,低温可否!Q5=1,HUAWEI製ＰＣＳ接続枚数計算ツール!$C$108&gt;=Q$2,枚数!Q5&gt;0,低電圧接続!Q5&gt;0),枚数!Q5,"-"))</f>
        <v>48</v>
      </c>
      <c r="R5" s="124">
        <f>IF(AND(高温可否!R5=1,低温可否!R5=1,標準可否!R5=1,HUAWEI製ＰＣＳ接続枚数計算ツール!$C$108&gt;=R$2,HUAWEI製ＰＣＳ接続枚数計算ツール!$E$108&lt;=R$2,枚数!R5&gt;0),枚数!R5,IF(AND(標準可否!R5=1,低温可否!R5=1,HUAWEI製ＰＣＳ接続枚数計算ツール!$C$108&gt;=R$2,枚数!R5&gt;0,低電圧接続!R5&gt;0),枚数!R5,"-"))</f>
        <v>51</v>
      </c>
      <c r="S5" s="123">
        <f>IF(AND(高温可否!S5=1,低温可否!S5=1,標準可否!S5=1,HUAWEI製ＰＣＳ接続枚数計算ツール!$C$108&gt;=S$2,HUAWEI製ＰＣＳ接続枚数計算ツール!$E$108&lt;=S$2,枚数!S5&gt;0),枚数!S5,IF(AND(標準可否!S5=1,低温可否!S5=1,HUAWEI製ＰＣＳ接続枚数計算ツール!$C$108&gt;=S$2,枚数!S5&gt;0,低電圧接続!S5&gt;0),枚数!S5,"-"))</f>
        <v>54</v>
      </c>
      <c r="T5" s="124">
        <f>IF(AND(高温可否!T5=1,低温可否!T5=1,標準可否!T5=1,HUAWEI製ＰＣＳ接続枚数計算ツール!$C$108&gt;=T$2,HUAWEI製ＰＣＳ接続枚数計算ツール!$E$108&lt;=T$2,枚数!T5&gt;0),枚数!T5,IF(AND(標準可否!T5=1,低温可否!T5=1,HUAWEI製ＰＣＳ接続枚数計算ツール!$C$108&gt;=T$2,枚数!T5&gt;0,低電圧接続!T5&gt;0),枚数!T5,"-"))</f>
        <v>57</v>
      </c>
      <c r="U5" s="123">
        <f>IF(AND(高温可否!U5=1,低温可否!U5=1,標準可否!U5=1,HUAWEI製ＰＣＳ接続枚数計算ツール!$C$108&gt;=U$2,HUAWEI製ＰＣＳ接続枚数計算ツール!$E$108&lt;=U$2,枚数!U5&gt;0),枚数!U5,IF(AND(標準可否!U5=1,低温可否!U5=1,HUAWEI製ＰＣＳ接続枚数計算ツール!$C$108&gt;=U$2,枚数!U5&gt;0,低電圧接続!U5&gt;0),枚数!U5,"-"))</f>
        <v>60</v>
      </c>
      <c r="V5" s="124">
        <f>IF(AND(高温可否!V5=1,低温可否!V5=1,標準可否!V5=1,HUAWEI製ＰＣＳ接続枚数計算ツール!$C$108&gt;=V$2,HUAWEI製ＰＣＳ接続枚数計算ツール!$E$108&lt;=V$2,枚数!V5&gt;0),枚数!V5,IF(AND(標準可否!V5=1,低温可否!V5=1,HUAWEI製ＰＣＳ接続枚数計算ツール!$C$108&gt;=V$2,枚数!V5&gt;0,低電圧接続!V5&gt;0),枚数!V5,"-"))</f>
        <v>63</v>
      </c>
      <c r="W5" s="123">
        <f>IF(AND(高温可否!W5=1,低温可否!W5=1,標準可否!W5=1,HUAWEI製ＰＣＳ接続枚数計算ツール!$C$108&gt;=W$2,HUAWEI製ＰＣＳ接続枚数計算ツール!$E$108&lt;=W$2,枚数!W5&gt;0),枚数!W5,IF(AND(標準可否!W5=1,低温可否!W5=1,HUAWEI製ＰＣＳ接続枚数計算ツール!$C$108&gt;=W$2,枚数!W5&gt;0,低電圧接続!W5&gt;0),枚数!W5,"-"))</f>
        <v>66</v>
      </c>
      <c r="X5" s="124">
        <f>IF(AND(高温可否!X5=1,低温可否!X5=1,標準可否!X5=1,HUAWEI製ＰＣＳ接続枚数計算ツール!$C$108&gt;=X$2,HUAWEI製ＰＣＳ接続枚数計算ツール!$E$108&lt;=X$2,枚数!X5&gt;0),枚数!X5,IF(AND(標準可否!X5=1,低温可否!X5=1,HUAWEI製ＰＣＳ接続枚数計算ツール!$C$108&gt;=X$2,枚数!X5&gt;0,低電圧接続!X5&gt;0),枚数!X5,"-"))</f>
        <v>69</v>
      </c>
      <c r="Y5" s="123">
        <f>IF(AND(高温可否!Y5=1,低温可否!Y5=1,標準可否!Y5=1,HUAWEI製ＰＣＳ接続枚数計算ツール!$C$108&gt;=Y$2,HUAWEI製ＰＣＳ接続枚数計算ツール!$E$108&lt;=Y$2,枚数!Y5&gt;0),枚数!Y5,IF(AND(標準可否!Y5=1,低温可否!Y5=1,HUAWEI製ＰＣＳ接続枚数計算ツール!$C$108&gt;=Y$2,枚数!Y5&gt;0,低電圧接続!Y5&gt;0),枚数!Y5,"-"))</f>
        <v>72</v>
      </c>
      <c r="Z5" s="124">
        <f>IF(AND(高温可否!Z5=1,低温可否!Z5=1,標準可否!Z5=1,HUAWEI製ＰＣＳ接続枚数計算ツール!$C$108&gt;=Z$2,HUAWEI製ＰＣＳ接続枚数計算ツール!$E$108&lt;=Z$2,枚数!Z5&gt;0),枚数!Z5,IF(AND(標準可否!Z5=1,低温可否!Z5=1,HUAWEI製ＰＣＳ接続枚数計算ツール!$C$108&gt;=Z$2,枚数!Z5&gt;0,低電圧接続!Z5&gt;0),枚数!Z5,"-"))</f>
        <v>75</v>
      </c>
      <c r="AA5" s="123" t="str">
        <f>IF(AND(高温可否!AA5=1,低温可否!AA5=1,標準可否!AA5=1,HUAWEI製ＰＣＳ接続枚数計算ツール!$C$108&gt;=AA$2,HUAWEI製ＰＣＳ接続枚数計算ツール!$E$108&lt;=AA$2,枚数!AA5&gt;0),枚数!AA5,IF(AND(標準可否!AA5=1,低温可否!AA5=1,HUAWEI製ＰＣＳ接続枚数計算ツール!$C$108&gt;=AA$2,枚数!AA5&gt;0,低電圧接続!AA5&gt;0),枚数!AA5,"-"))</f>
        <v>-</v>
      </c>
      <c r="AB5" s="124" t="str">
        <f>IF(AND(高温可否!AB5=1,低温可否!AB5=1,標準可否!AB5=1,HUAWEI製ＰＣＳ接続枚数計算ツール!$C$108&gt;=AB$2,HUAWEI製ＰＣＳ接続枚数計算ツール!$E$108&lt;=AB$2,枚数!AB5&gt;0),枚数!AB5,IF(AND(標準可否!AB5=1,低温可否!AB5=1,HUAWEI製ＰＣＳ接続枚数計算ツール!$C$108&gt;=AB$2,枚数!AB5&gt;0,低電圧接続!AB5&gt;0),枚数!AB5,"-"))</f>
        <v>-</v>
      </c>
      <c r="AC5" s="123" t="str">
        <f>IF(AND(高温可否!AC5=1,低温可否!AC5=1,標準可否!AC5=1,HUAWEI製ＰＣＳ接続枚数計算ツール!$C$108&gt;=AC$2,HUAWEI製ＰＣＳ接続枚数計算ツール!$E$108&lt;=AC$2,枚数!AC5&gt;0),枚数!AC5,IF(AND(標準可否!AC5=1,低温可否!AC5=1,HUAWEI製ＰＣＳ接続枚数計算ツール!$C$108&gt;=AC$2,枚数!AC5&gt;0,低電圧接続!AC5&gt;0),枚数!AC5,"-"))</f>
        <v>-</v>
      </c>
      <c r="AD5" s="124" t="str">
        <f>IF(AND(高温可否!AD5=1,低温可否!AD5=1,標準可否!AD5=1,HUAWEI製ＰＣＳ接続枚数計算ツール!$C$108&gt;=AD$2,HUAWEI製ＰＣＳ接続枚数計算ツール!$E$108&lt;=AD$2,枚数!AD5&gt;0),枚数!AD5,IF(AND(標準可否!AD5=1,低温可否!AD5=1,HUAWEI製ＰＣＳ接続枚数計算ツール!$C$108&gt;=AD$2,枚数!AD5&gt;0,低電圧接続!AD5&gt;0),枚数!AD5,"-"))</f>
        <v>-</v>
      </c>
      <c r="AE5" s="123" t="str">
        <f>IF(AND(高温可否!AE5=1,低温可否!AE5=1,標準可否!AE5=1,HUAWEI製ＰＣＳ接続枚数計算ツール!$C$108&gt;=AE$2,HUAWEI製ＰＣＳ接続枚数計算ツール!$E$108&lt;=AE$2,枚数!AE5&gt;0),枚数!AE5,IF(AND(標準可否!AE5=1,低温可否!AE5=1,HUAWEI製ＰＣＳ接続枚数計算ツール!$C$108&gt;=AE$2,枚数!AE5&gt;0,低電圧接続!AE5&gt;0),枚数!AE5,"-"))</f>
        <v>-</v>
      </c>
      <c r="AF5" s="124" t="str">
        <f>IF(AND(高温可否!AF5=1,低温可否!AF5=1,標準可否!AF5=1,HUAWEI製ＰＣＳ接続枚数計算ツール!$C$108&gt;=AF$2,HUAWEI製ＰＣＳ接続枚数計算ツール!$E$108&lt;=AF$2,枚数!AF5&gt;0),枚数!AF5,IF(AND(標準可否!AF5=1,低温可否!AF5=1,HUAWEI製ＰＣＳ接続枚数計算ツール!$C$108&gt;=AF$2,枚数!AF5&gt;0,低電圧接続!AF5&gt;0),枚数!AF5,"-"))</f>
        <v>-</v>
      </c>
      <c r="AG5" s="123" t="str">
        <f>IF(AND(高温可否!AG5=1,低温可否!AG5=1,標準可否!AG5=1,HUAWEI製ＰＣＳ接続枚数計算ツール!$C$108&gt;=AG$2,HUAWEI製ＰＣＳ接続枚数計算ツール!$E$108&lt;=AG$2,枚数!AG5&gt;0),枚数!AG5,IF(AND(標準可否!AG5=1,低温可否!AG5=1,HUAWEI製ＰＣＳ接続枚数計算ツール!$C$108&gt;=AG$2,枚数!AG5&gt;0,低電圧接続!AG5&gt;0),枚数!AG5,"-"))</f>
        <v>-</v>
      </c>
      <c r="AH5" s="124" t="str">
        <f>IF(AND(高温可否!AH5=1,低温可否!AH5=1,標準可否!AH5=1,HUAWEI製ＰＣＳ接続枚数計算ツール!$C$108&gt;=AH$2,HUAWEI製ＰＣＳ接続枚数計算ツール!$E$108&lt;=AH$2,枚数!AH5&gt;0),枚数!AH5,IF(AND(標準可否!AH5=1,低温可否!AH5=1,HUAWEI製ＰＣＳ接続枚数計算ツール!$C$108&gt;=AH$2,枚数!AH5&gt;0,低電圧接続!AH5&gt;0),枚数!AH5,"-"))</f>
        <v>-</v>
      </c>
      <c r="AI5" s="123" t="str">
        <f>IF(AND(高温可否!AI5=1,低温可否!AI5=1,標準可否!AI5=1,HUAWEI製ＰＣＳ接続枚数計算ツール!$C$108&gt;=AI$2,HUAWEI製ＰＣＳ接続枚数計算ツール!$E$108&lt;=AI$2,枚数!AI5&gt;0),枚数!AI5,IF(AND(標準可否!AI5=1,低温可否!AI5=1,HUAWEI製ＰＣＳ接続枚数計算ツール!$C$108&gt;=AI$2,枚数!AI5&gt;0,低電圧接続!AI5&gt;0),枚数!AI5,"-"))</f>
        <v>-</v>
      </c>
      <c r="AJ5" s="124" t="str">
        <f>IF(AND(高温可否!AJ5=1,低温可否!AJ5=1,標準可否!AJ5=1,HUAWEI製ＰＣＳ接続枚数計算ツール!$C$108&gt;=AJ$2,HUAWEI製ＰＣＳ接続枚数計算ツール!$E$108&lt;=AJ$2,枚数!AJ5&gt;0),枚数!AJ5,IF(AND(標準可否!AJ5=1,低温可否!AJ5=1,HUAWEI製ＰＣＳ接続枚数計算ツール!$C$108&gt;=AJ$2,枚数!AJ5&gt;0,低電圧接続!AJ5&gt;0),枚数!AJ5,"-"))</f>
        <v>-</v>
      </c>
      <c r="AK5" s="123" t="str">
        <f>IF(AND(高温可否!AK5=1,低温可否!AK5=1,標準可否!AK5=1,HUAWEI製ＰＣＳ接続枚数計算ツール!$C$108&gt;=AK$2,HUAWEI製ＰＣＳ接続枚数計算ツール!$E$108&lt;=AK$2,枚数!AK5&gt;0),枚数!AK5,IF(AND(標準可否!AK5=1,低温可否!AK5=1,HUAWEI製ＰＣＳ接続枚数計算ツール!$C$108&gt;=AK$2,枚数!AK5&gt;0,低電圧接続!AK5&gt;0),枚数!AK5,"-"))</f>
        <v>-</v>
      </c>
      <c r="AL5" s="124" t="str">
        <f>IF(AND(高温可否!AL5=1,低温可否!AL5=1,標準可否!AL5=1,HUAWEI製ＰＣＳ接続枚数計算ツール!$C$108&gt;=AL$2,HUAWEI製ＰＣＳ接続枚数計算ツール!$E$108&lt;=AL$2,枚数!AL5&gt;0),枚数!AL5,IF(AND(標準可否!AL5=1,低温可否!AL5=1,HUAWEI製ＰＣＳ接続枚数計算ツール!$C$108&gt;=AL$2,枚数!AL5&gt;0,低電圧接続!AL5&gt;0),枚数!AL5,"-"))</f>
        <v>-</v>
      </c>
      <c r="AM5" s="123" t="str">
        <f>IF(AND(高温可否!AM5=1,低温可否!AM5=1,標準可否!AM5=1,HUAWEI製ＰＣＳ接続枚数計算ツール!$C$108&gt;=AM$2,HUAWEI製ＰＣＳ接続枚数計算ツール!$E$108&lt;=AM$2,枚数!AM5&gt;0),枚数!AM5,IF(AND(標準可否!AM5=1,低温可否!AM5=1,HUAWEI製ＰＣＳ接続枚数計算ツール!$C$108&gt;=AM$2,枚数!AM5&gt;0,低電圧接続!AM5&gt;0),枚数!AM5,"-"))</f>
        <v>-</v>
      </c>
      <c r="AN5" s="124" t="str">
        <f>IF(AND(高温可否!AN5=1,低温可否!AN5=1,標準可否!AN5=1,HUAWEI製ＰＣＳ接続枚数計算ツール!$C$108&gt;=AN$2,HUAWEI製ＰＣＳ接続枚数計算ツール!$E$108&lt;=AN$2,枚数!AN5&gt;0),枚数!AN5,IF(AND(標準可否!AN5=1,低温可否!AN5=1,HUAWEI製ＰＣＳ接続枚数計算ツール!$C$108&gt;=AN$2,枚数!AN5&gt;0,低電圧接続!AN5&gt;0),枚数!AN5,"-"))</f>
        <v>-</v>
      </c>
      <c r="AO5" s="125" t="str">
        <f>IF(AND(高温可否!AO5=1,低温可否!AO5=1,標準可否!AO5=1,HUAWEI製ＰＣＳ接続枚数計算ツール!$C$108&gt;=AO$2,HUAWEI製ＰＣＳ接続枚数計算ツール!$E$108&lt;=AO$2,枚数!AO5&gt;0),枚数!AO5,IF(AND(標準可否!AO5=1,低温可否!AO5=1,HUAWEI製ＰＣＳ接続枚数計算ツール!$C$108&gt;=AO$2,枚数!AO5&gt;0,低電圧接続!AO5&gt;0),枚数!AO5,"-"))</f>
        <v>-</v>
      </c>
    </row>
    <row r="6" spans="1:41">
      <c r="A6" s="115">
        <v>4</v>
      </c>
      <c r="B6" s="126" t="str">
        <f>IF(AND(高温可否!B6=1,低温可否!B6=1,標準可否!B6=1,HUAWEI製ＰＣＳ接続枚数計算ツール!$C$108&gt;=B$2,HUAWEI製ＰＣＳ接続枚数計算ツール!$E$108&lt;=B$2,枚数!B6&gt;0),枚数!B6,IF(AND(標準可否!B6=1,低温可否!B6=1,HUAWEI製ＰＣＳ接続枚数計算ツール!$C$108&gt;=B$2,枚数!B6&gt;0,低電圧接続!B6&gt;0),枚数!B6,"-"))</f>
        <v>-</v>
      </c>
      <c r="C6" s="127" t="str">
        <f>IF(AND(高温可否!C6=1,低温可否!C6=1,標準可否!C6=1,HUAWEI製ＰＣＳ接続枚数計算ツール!$C$108&gt;=C$2,HUAWEI製ＰＣＳ接続枚数計算ツール!$E$108&lt;=C$2,枚数!C6&gt;0),枚数!C6,IF(AND(標準可否!C6=1,低温可否!C6=1,HUAWEI製ＰＣＳ接続枚数計算ツール!$C$108&gt;=C$2,枚数!C6&gt;0,低電圧接続!C6&gt;0),枚数!C6,"-"))</f>
        <v>-</v>
      </c>
      <c r="D6" s="128" t="str">
        <f>IF(AND(高温可否!D6=1,低温可否!D6=1,標準可否!D6=1,HUAWEI製ＰＣＳ接続枚数計算ツール!$C$108&gt;=D$2,HUAWEI製ＰＣＳ接続枚数計算ツール!$E$108&lt;=D$2,枚数!D6&gt;0),枚数!D6,IF(AND(標準可否!D6=1,低温可否!D6=1,HUAWEI製ＰＣＳ接続枚数計算ツール!$C$108&gt;=D$2,枚数!D6&gt;0,低電圧接続!D6&gt;0),枚数!D6,"-"))</f>
        <v>-</v>
      </c>
      <c r="E6" s="127" t="str">
        <f>IF(AND(高温可否!E6=1,低温可否!E6=1,標準可否!E6=1,HUAWEI製ＰＣＳ接続枚数計算ツール!$C$108&gt;=E$2,HUAWEI製ＰＣＳ接続枚数計算ツール!$E$108&lt;=E$2,枚数!E6&gt;0),枚数!E6,IF(AND(標準可否!E6=1,低温可否!E6=1,HUAWEI製ＰＣＳ接続枚数計算ツール!$C$108&gt;=E$2,枚数!E6&gt;0,低電圧接続!E6&gt;0),枚数!E6,"-"))</f>
        <v>-</v>
      </c>
      <c r="F6" s="128" t="str">
        <f>IF(AND(高温可否!F6=1,低温可否!F6=1,標準可否!F6=1,HUAWEI製ＰＣＳ接続枚数計算ツール!$C$108&gt;=F$2,HUAWEI製ＰＣＳ接続枚数計算ツール!$E$108&lt;=F$2,枚数!F6&gt;0),枚数!F6,IF(AND(標準可否!F6=1,低温可否!F6=1,HUAWEI製ＰＣＳ接続枚数計算ツール!$C$108&gt;=F$2,枚数!F6&gt;0,低電圧接続!F6&gt;0),枚数!F6,"-"))</f>
        <v>-</v>
      </c>
      <c r="G6" s="127" t="str">
        <f>IF(AND(高温可否!G6=1,低温可否!G6=1,標準可否!G6=1,HUAWEI製ＰＣＳ接続枚数計算ツール!$C$108&gt;=G$2,HUAWEI製ＰＣＳ接続枚数計算ツール!$E$108&lt;=G$2,枚数!G6&gt;0),枚数!G6,IF(AND(標準可否!G6=1,低温可否!G6=1,HUAWEI製ＰＣＳ接続枚数計算ツール!$C$108&gt;=G$2,枚数!G6&gt;0,低電圧接続!G6&gt;0),枚数!G6,"-"))</f>
        <v>-</v>
      </c>
      <c r="H6" s="128" t="str">
        <f>IF(AND(高温可否!H6=1,低温可否!H6=1,標準可否!H6=1,HUAWEI製ＰＣＳ接続枚数計算ツール!$C$108&gt;=H$2,HUAWEI製ＰＣＳ接続枚数計算ツール!$E$108&lt;=H$2,枚数!H6&gt;0),枚数!H6,IF(AND(標準可否!H6=1,低温可否!H6=1,HUAWEI製ＰＣＳ接続枚数計算ツール!$C$108&gt;=H$2,枚数!H6&gt;0,低電圧接続!H6&gt;0),枚数!H6,"-"))</f>
        <v>-</v>
      </c>
      <c r="I6" s="127" t="str">
        <f>IF(AND(高温可否!I6=1,低温可否!I6=1,標準可否!I6=1,HUAWEI製ＰＣＳ接続枚数計算ツール!$C$108&gt;=I$2,HUAWEI製ＰＣＳ接続枚数計算ツール!$E$108&lt;=I$2,枚数!I6&gt;0),枚数!I6,IF(AND(標準可否!I6=1,低温可否!I6=1,HUAWEI製ＰＣＳ接続枚数計算ツール!$C$108&gt;=I$2,枚数!I6&gt;0,低電圧接続!I6&gt;0),枚数!I6,"-"))</f>
        <v>-</v>
      </c>
      <c r="J6" s="128" t="str">
        <f>IF(AND(高温可否!J6=1,低温可否!J6=1,標準可否!J6=1,HUAWEI製ＰＣＳ接続枚数計算ツール!$C$108&gt;=J$2,HUAWEI製ＰＣＳ接続枚数計算ツール!$E$108&lt;=J$2,枚数!J6&gt;0),枚数!J6,IF(AND(標準可否!J6=1,低温可否!J6=1,HUAWEI製ＰＣＳ接続枚数計算ツール!$C$108&gt;=J$2,枚数!J6&gt;0,低電圧接続!J6&gt;0),枚数!J6,"-"))</f>
        <v>-</v>
      </c>
      <c r="K6" s="127" t="str">
        <f>IF(AND(高温可否!K6=1,低温可否!K6=1,標準可否!K6=1,HUAWEI製ＰＣＳ接続枚数計算ツール!$C$108&gt;=K$2,HUAWEI製ＰＣＳ接続枚数計算ツール!$E$108&lt;=K$2,枚数!K6&gt;0),枚数!K6,IF(AND(標準可否!K6=1,低温可否!K6=1,HUAWEI製ＰＣＳ接続枚数計算ツール!$C$108&gt;=K$2,枚数!K6&gt;0,低電圧接続!K6&gt;0),枚数!K6,"-"))</f>
        <v>-</v>
      </c>
      <c r="L6" s="128" t="str">
        <f>IF(AND(高温可否!L6=1,低温可否!L6=1,標準可否!L6=1,HUAWEI製ＰＣＳ接続枚数計算ツール!$C$108&gt;=L$2,HUAWEI製ＰＣＳ接続枚数計算ツール!$E$108&lt;=L$2,枚数!L6&gt;0),枚数!L6,IF(AND(標準可否!L6=1,低温可否!L6=1,HUAWEI製ＰＣＳ接続枚数計算ツール!$C$108&gt;=L$2,枚数!L6&gt;0,低電圧接続!L6&gt;0),枚数!L6,"-"))</f>
        <v>-</v>
      </c>
      <c r="M6" s="127" t="str">
        <f>IF(AND(高温可否!M6=1,低温可否!M6=1,標準可否!M6=1,HUAWEI製ＰＣＳ接続枚数計算ツール!$C$108&gt;=M$2,HUAWEI製ＰＣＳ接続枚数計算ツール!$E$108&lt;=M$2,枚数!M6&gt;0),枚数!M6,IF(AND(標準可否!M6=1,低温可否!M6=1,HUAWEI製ＰＣＳ接続枚数計算ツール!$C$108&gt;=M$2,枚数!M6&gt;0,低電圧接続!M6&gt;0),枚数!M6,"-"))</f>
        <v>-</v>
      </c>
      <c r="N6" s="128" t="str">
        <f>IF(AND(高温可否!N6=1,低温可否!N6=1,標準可否!N6=1,HUAWEI製ＰＣＳ接続枚数計算ツール!$C$108&gt;=N$2,HUAWEI製ＰＣＳ接続枚数計算ツール!$E$108&lt;=N$2,枚数!N6&gt;0),枚数!N6,IF(AND(標準可否!N6=1,低温可否!N6=1,HUAWEI製ＰＣＳ接続枚数計算ツール!$C$108&gt;=N$2,枚数!N6&gt;0,低電圧接続!N6&gt;0),枚数!N6,"-"))</f>
        <v>-</v>
      </c>
      <c r="O6" s="127">
        <f>IF(AND(高温可否!O6=1,低温可否!O6=1,標準可否!O6=1,HUAWEI製ＰＣＳ接続枚数計算ツール!$C$108&gt;=O$2,HUAWEI製ＰＣＳ接続枚数計算ツール!$E$108&lt;=O$2,枚数!O6&gt;0),枚数!O6,IF(AND(標準可否!O6=1,低温可否!O6=1,HUAWEI製ＰＣＳ接続枚数計算ツール!$C$108&gt;=O$2,枚数!O6&gt;0,低電圧接続!O6&gt;0),枚数!O6,"-"))</f>
        <v>56</v>
      </c>
      <c r="P6" s="128">
        <f>IF(AND(高温可否!P6=1,低温可否!P6=1,標準可否!P6=1,HUAWEI製ＰＣＳ接続枚数計算ツール!$C$108&gt;=P$2,HUAWEI製ＰＣＳ接続枚数計算ツール!$E$108&lt;=P$2,枚数!P6&gt;0),枚数!P6,IF(AND(標準可否!P6=1,低温可否!P6=1,HUAWEI製ＰＣＳ接続枚数計算ツール!$C$108&gt;=P$2,枚数!P6&gt;0,低電圧接続!P6&gt;0),枚数!P6,"-"))</f>
        <v>60</v>
      </c>
      <c r="Q6" s="127">
        <f>IF(AND(高温可否!Q6=1,低温可否!Q6=1,標準可否!Q6=1,HUAWEI製ＰＣＳ接続枚数計算ツール!$C$108&gt;=Q$2,HUAWEI製ＰＣＳ接続枚数計算ツール!$E$108&lt;=Q$2,枚数!Q6&gt;0),枚数!Q6,IF(AND(標準可否!Q6=1,低温可否!Q6=1,HUAWEI製ＰＣＳ接続枚数計算ツール!$C$108&gt;=Q$2,枚数!Q6&gt;0,低電圧接続!Q6&gt;0),枚数!Q6,"-"))</f>
        <v>64</v>
      </c>
      <c r="R6" s="128">
        <f>IF(AND(高温可否!R6=1,低温可否!R6=1,標準可否!R6=1,HUAWEI製ＰＣＳ接続枚数計算ツール!$C$108&gt;=R$2,HUAWEI製ＰＣＳ接続枚数計算ツール!$E$108&lt;=R$2,枚数!R6&gt;0),枚数!R6,IF(AND(標準可否!R6=1,低温可否!R6=1,HUAWEI製ＰＣＳ接続枚数計算ツール!$C$108&gt;=R$2,枚数!R6&gt;0,低電圧接続!R6&gt;0),枚数!R6,"-"))</f>
        <v>68</v>
      </c>
      <c r="S6" s="127">
        <f>IF(AND(高温可否!S6=1,低温可否!S6=1,標準可否!S6=1,HUAWEI製ＰＣＳ接続枚数計算ツール!$C$108&gt;=S$2,HUAWEI製ＰＣＳ接続枚数計算ツール!$E$108&lt;=S$2,枚数!S6&gt;0),枚数!S6,IF(AND(標準可否!S6=1,低温可否!S6=1,HUAWEI製ＰＣＳ接続枚数計算ツール!$C$108&gt;=S$2,枚数!S6&gt;0,低電圧接続!S6&gt;0),枚数!S6,"-"))</f>
        <v>72</v>
      </c>
      <c r="T6" s="128">
        <f>IF(AND(高温可否!T6=1,低温可否!T6=1,標準可否!T6=1,HUAWEI製ＰＣＳ接続枚数計算ツール!$C$108&gt;=T$2,HUAWEI製ＰＣＳ接続枚数計算ツール!$E$108&lt;=T$2,枚数!T6&gt;0),枚数!T6,IF(AND(標準可否!T6=1,低温可否!T6=1,HUAWEI製ＰＣＳ接続枚数計算ツール!$C$108&gt;=T$2,枚数!T6&gt;0,低電圧接続!T6&gt;0),枚数!T6,"-"))</f>
        <v>76</v>
      </c>
      <c r="U6" s="127">
        <f>IF(AND(高温可否!U6=1,低温可否!U6=1,標準可否!U6=1,HUAWEI製ＰＣＳ接続枚数計算ツール!$C$108&gt;=U$2,HUAWEI製ＰＣＳ接続枚数計算ツール!$E$108&lt;=U$2,枚数!U6&gt;0),枚数!U6,IF(AND(標準可否!U6=1,低温可否!U6=1,HUAWEI製ＰＣＳ接続枚数計算ツール!$C$108&gt;=U$2,枚数!U6&gt;0,低電圧接続!U6&gt;0),枚数!U6,"-"))</f>
        <v>80</v>
      </c>
      <c r="V6" s="128">
        <f>IF(AND(高温可否!V6=1,低温可否!V6=1,標準可否!V6=1,HUAWEI製ＰＣＳ接続枚数計算ツール!$C$108&gt;=V$2,HUAWEI製ＰＣＳ接続枚数計算ツール!$E$108&lt;=V$2,枚数!V6&gt;0),枚数!V6,IF(AND(標準可否!V6=1,低温可否!V6=1,HUAWEI製ＰＣＳ接続枚数計算ツール!$C$108&gt;=V$2,枚数!V6&gt;0,低電圧接続!V6&gt;0),枚数!V6,"-"))</f>
        <v>84</v>
      </c>
      <c r="W6" s="127">
        <f>IF(AND(高温可否!W6=1,低温可否!W6=1,標準可否!W6=1,HUAWEI製ＰＣＳ接続枚数計算ツール!$C$108&gt;=W$2,HUAWEI製ＰＣＳ接続枚数計算ツール!$E$108&lt;=W$2,枚数!W6&gt;0),枚数!W6,IF(AND(標準可否!W6=1,低温可否!W6=1,HUAWEI製ＰＣＳ接続枚数計算ツール!$C$108&gt;=W$2,枚数!W6&gt;0,低電圧接続!W6&gt;0),枚数!W6,"-"))</f>
        <v>88</v>
      </c>
      <c r="X6" s="128">
        <f>IF(AND(高温可否!X6=1,低温可否!X6=1,標準可否!X6=1,HUAWEI製ＰＣＳ接続枚数計算ツール!$C$108&gt;=X$2,HUAWEI製ＰＣＳ接続枚数計算ツール!$E$108&lt;=X$2,枚数!X6&gt;0),枚数!X6,IF(AND(標準可否!X6=1,低温可否!X6=1,HUAWEI製ＰＣＳ接続枚数計算ツール!$C$108&gt;=X$2,枚数!X6&gt;0,低電圧接続!X6&gt;0),枚数!X6,"-"))</f>
        <v>92</v>
      </c>
      <c r="Y6" s="127">
        <f>IF(AND(高温可否!Y6=1,低温可否!Y6=1,標準可否!Y6=1,HUAWEI製ＰＣＳ接続枚数計算ツール!$C$108&gt;=Y$2,HUAWEI製ＰＣＳ接続枚数計算ツール!$E$108&lt;=Y$2,枚数!Y6&gt;0),枚数!Y6,IF(AND(標準可否!Y6=1,低温可否!Y6=1,HUAWEI製ＰＣＳ接続枚数計算ツール!$C$108&gt;=Y$2,枚数!Y6&gt;0,低電圧接続!Y6&gt;0),枚数!Y6,"-"))</f>
        <v>96</v>
      </c>
      <c r="Z6" s="128">
        <f>IF(AND(高温可否!Z6=1,低温可否!Z6=1,標準可否!Z6=1,HUAWEI製ＰＣＳ接続枚数計算ツール!$C$108&gt;=Z$2,HUAWEI製ＰＣＳ接続枚数計算ツール!$E$108&lt;=Z$2,枚数!Z6&gt;0),枚数!Z6,IF(AND(標準可否!Z6=1,低温可否!Z6=1,HUAWEI製ＰＣＳ接続枚数計算ツール!$C$108&gt;=Z$2,枚数!Z6&gt;0,低電圧接続!Z6&gt;0),枚数!Z6,"-"))</f>
        <v>100</v>
      </c>
      <c r="AA6" s="127" t="str">
        <f>IF(AND(高温可否!AA6=1,低温可否!AA6=1,標準可否!AA6=1,HUAWEI製ＰＣＳ接続枚数計算ツール!$C$108&gt;=AA$2,HUAWEI製ＰＣＳ接続枚数計算ツール!$E$108&lt;=AA$2,枚数!AA6&gt;0),枚数!AA6,IF(AND(標準可否!AA6=1,低温可否!AA6=1,HUAWEI製ＰＣＳ接続枚数計算ツール!$C$108&gt;=AA$2,枚数!AA6&gt;0,低電圧接続!AA6&gt;0),枚数!AA6,"-"))</f>
        <v>-</v>
      </c>
      <c r="AB6" s="128" t="str">
        <f>IF(AND(高温可否!AB6=1,低温可否!AB6=1,標準可否!AB6=1,HUAWEI製ＰＣＳ接続枚数計算ツール!$C$108&gt;=AB$2,HUAWEI製ＰＣＳ接続枚数計算ツール!$E$108&lt;=AB$2,枚数!AB6&gt;0),枚数!AB6,IF(AND(標準可否!AB6=1,低温可否!AB6=1,HUAWEI製ＰＣＳ接続枚数計算ツール!$C$108&gt;=AB$2,枚数!AB6&gt;0,低電圧接続!AB6&gt;0),枚数!AB6,"-"))</f>
        <v>-</v>
      </c>
      <c r="AC6" s="127" t="str">
        <f>IF(AND(高温可否!AC6=1,低温可否!AC6=1,標準可否!AC6=1,HUAWEI製ＰＣＳ接続枚数計算ツール!$C$108&gt;=AC$2,HUAWEI製ＰＣＳ接続枚数計算ツール!$E$108&lt;=AC$2,枚数!AC6&gt;0),枚数!AC6,IF(AND(標準可否!AC6=1,低温可否!AC6=1,HUAWEI製ＰＣＳ接続枚数計算ツール!$C$108&gt;=AC$2,枚数!AC6&gt;0,低電圧接続!AC6&gt;0),枚数!AC6,"-"))</f>
        <v>-</v>
      </c>
      <c r="AD6" s="128" t="str">
        <f>IF(AND(高温可否!AD6=1,低温可否!AD6=1,標準可否!AD6=1,HUAWEI製ＰＣＳ接続枚数計算ツール!$C$108&gt;=AD$2,HUAWEI製ＰＣＳ接続枚数計算ツール!$E$108&lt;=AD$2,枚数!AD6&gt;0),枚数!AD6,IF(AND(標準可否!AD6=1,低温可否!AD6=1,HUAWEI製ＰＣＳ接続枚数計算ツール!$C$108&gt;=AD$2,枚数!AD6&gt;0,低電圧接続!AD6&gt;0),枚数!AD6,"-"))</f>
        <v>-</v>
      </c>
      <c r="AE6" s="127" t="str">
        <f>IF(AND(高温可否!AE6=1,低温可否!AE6=1,標準可否!AE6=1,HUAWEI製ＰＣＳ接続枚数計算ツール!$C$108&gt;=AE$2,HUAWEI製ＰＣＳ接続枚数計算ツール!$E$108&lt;=AE$2,枚数!AE6&gt;0),枚数!AE6,IF(AND(標準可否!AE6=1,低温可否!AE6=1,HUAWEI製ＰＣＳ接続枚数計算ツール!$C$108&gt;=AE$2,枚数!AE6&gt;0,低電圧接続!AE6&gt;0),枚数!AE6,"-"))</f>
        <v>-</v>
      </c>
      <c r="AF6" s="128" t="str">
        <f>IF(AND(高温可否!AF6=1,低温可否!AF6=1,標準可否!AF6=1,HUAWEI製ＰＣＳ接続枚数計算ツール!$C$108&gt;=AF$2,HUAWEI製ＰＣＳ接続枚数計算ツール!$E$108&lt;=AF$2,枚数!AF6&gt;0),枚数!AF6,IF(AND(標準可否!AF6=1,低温可否!AF6=1,HUAWEI製ＰＣＳ接続枚数計算ツール!$C$108&gt;=AF$2,枚数!AF6&gt;0,低電圧接続!AF6&gt;0),枚数!AF6,"-"))</f>
        <v>-</v>
      </c>
      <c r="AG6" s="127" t="str">
        <f>IF(AND(高温可否!AG6=1,低温可否!AG6=1,標準可否!AG6=1,HUAWEI製ＰＣＳ接続枚数計算ツール!$C$108&gt;=AG$2,HUAWEI製ＰＣＳ接続枚数計算ツール!$E$108&lt;=AG$2,枚数!AG6&gt;0),枚数!AG6,IF(AND(標準可否!AG6=1,低温可否!AG6=1,HUAWEI製ＰＣＳ接続枚数計算ツール!$C$108&gt;=AG$2,枚数!AG6&gt;0,低電圧接続!AG6&gt;0),枚数!AG6,"-"))</f>
        <v>-</v>
      </c>
      <c r="AH6" s="128" t="str">
        <f>IF(AND(高温可否!AH6=1,低温可否!AH6=1,標準可否!AH6=1,HUAWEI製ＰＣＳ接続枚数計算ツール!$C$108&gt;=AH$2,HUAWEI製ＰＣＳ接続枚数計算ツール!$E$108&lt;=AH$2,枚数!AH6&gt;0),枚数!AH6,IF(AND(標準可否!AH6=1,低温可否!AH6=1,HUAWEI製ＰＣＳ接続枚数計算ツール!$C$108&gt;=AH$2,枚数!AH6&gt;0,低電圧接続!AH6&gt;0),枚数!AH6,"-"))</f>
        <v>-</v>
      </c>
      <c r="AI6" s="127" t="str">
        <f>IF(AND(高温可否!AI6=1,低温可否!AI6=1,標準可否!AI6=1,HUAWEI製ＰＣＳ接続枚数計算ツール!$C$108&gt;=AI$2,HUAWEI製ＰＣＳ接続枚数計算ツール!$E$108&lt;=AI$2,枚数!AI6&gt;0),枚数!AI6,IF(AND(標準可否!AI6=1,低温可否!AI6=1,HUAWEI製ＰＣＳ接続枚数計算ツール!$C$108&gt;=AI$2,枚数!AI6&gt;0,低電圧接続!AI6&gt;0),枚数!AI6,"-"))</f>
        <v>-</v>
      </c>
      <c r="AJ6" s="128" t="str">
        <f>IF(AND(高温可否!AJ6=1,低温可否!AJ6=1,標準可否!AJ6=1,HUAWEI製ＰＣＳ接続枚数計算ツール!$C$108&gt;=AJ$2,HUAWEI製ＰＣＳ接続枚数計算ツール!$E$108&lt;=AJ$2,枚数!AJ6&gt;0),枚数!AJ6,IF(AND(標準可否!AJ6=1,低温可否!AJ6=1,HUAWEI製ＰＣＳ接続枚数計算ツール!$C$108&gt;=AJ$2,枚数!AJ6&gt;0,低電圧接続!AJ6&gt;0),枚数!AJ6,"-"))</f>
        <v>-</v>
      </c>
      <c r="AK6" s="127" t="str">
        <f>IF(AND(高温可否!AK6=1,低温可否!AK6=1,標準可否!AK6=1,HUAWEI製ＰＣＳ接続枚数計算ツール!$C$108&gt;=AK$2,HUAWEI製ＰＣＳ接続枚数計算ツール!$E$108&lt;=AK$2,枚数!AK6&gt;0),枚数!AK6,IF(AND(標準可否!AK6=1,低温可否!AK6=1,HUAWEI製ＰＣＳ接続枚数計算ツール!$C$108&gt;=AK$2,枚数!AK6&gt;0,低電圧接続!AK6&gt;0),枚数!AK6,"-"))</f>
        <v>-</v>
      </c>
      <c r="AL6" s="128" t="str">
        <f>IF(AND(高温可否!AL6=1,低温可否!AL6=1,標準可否!AL6=1,HUAWEI製ＰＣＳ接続枚数計算ツール!$C$108&gt;=AL$2,HUAWEI製ＰＣＳ接続枚数計算ツール!$E$108&lt;=AL$2,枚数!AL6&gt;0),枚数!AL6,IF(AND(標準可否!AL6=1,低温可否!AL6=1,HUAWEI製ＰＣＳ接続枚数計算ツール!$C$108&gt;=AL$2,枚数!AL6&gt;0,低電圧接続!AL6&gt;0),枚数!AL6,"-"))</f>
        <v>-</v>
      </c>
      <c r="AM6" s="127" t="str">
        <f>IF(AND(高温可否!AM6=1,低温可否!AM6=1,標準可否!AM6=1,HUAWEI製ＰＣＳ接続枚数計算ツール!$C$108&gt;=AM$2,HUAWEI製ＰＣＳ接続枚数計算ツール!$E$108&lt;=AM$2,枚数!AM6&gt;0),枚数!AM6,IF(AND(標準可否!AM6=1,低温可否!AM6=1,HUAWEI製ＰＣＳ接続枚数計算ツール!$C$108&gt;=AM$2,枚数!AM6&gt;0,低電圧接続!AM6&gt;0),枚数!AM6,"-"))</f>
        <v>-</v>
      </c>
      <c r="AN6" s="128" t="str">
        <f>IF(AND(高温可否!AN6=1,低温可否!AN6=1,標準可否!AN6=1,HUAWEI製ＰＣＳ接続枚数計算ツール!$C$108&gt;=AN$2,HUAWEI製ＰＣＳ接続枚数計算ツール!$E$108&lt;=AN$2,枚数!AN6&gt;0),枚数!AN6,IF(AND(標準可否!AN6=1,低温可否!AN6=1,HUAWEI製ＰＣＳ接続枚数計算ツール!$C$108&gt;=AN$2,枚数!AN6&gt;0,低電圧接続!AN6&gt;0),枚数!AN6,"-"))</f>
        <v>-</v>
      </c>
      <c r="AO6" s="129" t="str">
        <f>IF(AND(高温可否!AO6=1,低温可否!AO6=1,標準可否!AO6=1,HUAWEI製ＰＣＳ接続枚数計算ツール!$C$108&gt;=AO$2,HUAWEI製ＰＣＳ接続枚数計算ツール!$E$108&lt;=AO$2,枚数!AO6&gt;0),枚数!AO6,IF(AND(標準可否!AO6=1,低温可否!AO6=1,HUAWEI製ＰＣＳ接続枚数計算ツール!$C$108&gt;=AO$2,枚数!AO6&gt;0,低電圧接続!AO6&gt;0),枚数!AO6,"-"))</f>
        <v>-</v>
      </c>
    </row>
    <row r="7" spans="1:41">
      <c r="A7" s="116">
        <v>5</v>
      </c>
      <c r="B7" s="122" t="str">
        <f>IF(AND(高温可否!B7=1,低温可否!B7=1,標準可否!B7=1,HUAWEI製ＰＣＳ接続枚数計算ツール!$C$108&gt;=B$2,HUAWEI製ＰＣＳ接続枚数計算ツール!$E$108&lt;=B$2,枚数!B7&gt;0),枚数!B7,IF(AND(標準可否!B7=1,低温可否!B7=1,HUAWEI製ＰＣＳ接続枚数計算ツール!$C$108&gt;=B$2,枚数!B7&gt;0,低電圧接続!B7&gt;0),枚数!B7,"-"))</f>
        <v>-</v>
      </c>
      <c r="C7" s="123" t="str">
        <f>IF(AND(高温可否!C7=1,低温可否!C7=1,標準可否!C7=1,HUAWEI製ＰＣＳ接続枚数計算ツール!$C$108&gt;=C$2,HUAWEI製ＰＣＳ接続枚数計算ツール!$E$108&lt;=C$2,枚数!C7&gt;0),枚数!C7,IF(AND(標準可否!C7=1,低温可否!C7=1,HUAWEI製ＰＣＳ接続枚数計算ツール!$C$108&gt;=C$2,枚数!C7&gt;0,低電圧接続!C7&gt;0),枚数!C7,"-"))</f>
        <v>-</v>
      </c>
      <c r="D7" s="124" t="str">
        <f>IF(AND(高温可否!D7=1,低温可否!D7=1,標準可否!D7=1,HUAWEI製ＰＣＳ接続枚数計算ツール!$C$108&gt;=D$2,HUAWEI製ＰＣＳ接続枚数計算ツール!$E$108&lt;=D$2,枚数!D7&gt;0),枚数!D7,IF(AND(標準可否!D7=1,低温可否!D7=1,HUAWEI製ＰＣＳ接続枚数計算ツール!$C$108&gt;=D$2,枚数!D7&gt;0,低電圧接続!D7&gt;0),枚数!D7,"-"))</f>
        <v>-</v>
      </c>
      <c r="E7" s="123" t="str">
        <f>IF(AND(高温可否!E7=1,低温可否!E7=1,標準可否!E7=1,HUAWEI製ＰＣＳ接続枚数計算ツール!$C$108&gt;=E$2,HUAWEI製ＰＣＳ接続枚数計算ツール!$E$108&lt;=E$2,枚数!E7&gt;0),枚数!E7,IF(AND(標準可否!E7=1,低温可否!E7=1,HUAWEI製ＰＣＳ接続枚数計算ツール!$C$108&gt;=E$2,枚数!E7&gt;0,低電圧接続!E7&gt;0),枚数!E7,"-"))</f>
        <v>-</v>
      </c>
      <c r="F7" s="124" t="str">
        <f>IF(AND(高温可否!F7=1,低温可否!F7=1,標準可否!F7=1,HUAWEI製ＰＣＳ接続枚数計算ツール!$C$108&gt;=F$2,HUAWEI製ＰＣＳ接続枚数計算ツール!$E$108&lt;=F$2,枚数!F7&gt;0),枚数!F7,IF(AND(標準可否!F7=1,低温可否!F7=1,HUAWEI製ＰＣＳ接続枚数計算ツール!$C$108&gt;=F$2,枚数!F7&gt;0,低電圧接続!F7&gt;0),枚数!F7,"-"))</f>
        <v>-</v>
      </c>
      <c r="G7" s="123" t="str">
        <f>IF(AND(高温可否!G7=1,低温可否!G7=1,標準可否!G7=1,HUAWEI製ＰＣＳ接続枚数計算ツール!$C$108&gt;=G$2,HUAWEI製ＰＣＳ接続枚数計算ツール!$E$108&lt;=G$2,枚数!G7&gt;0),枚数!G7,IF(AND(標準可否!G7=1,低温可否!G7=1,HUAWEI製ＰＣＳ接続枚数計算ツール!$C$108&gt;=G$2,枚数!G7&gt;0,低電圧接続!G7&gt;0),枚数!G7,"-"))</f>
        <v>-</v>
      </c>
      <c r="H7" s="124" t="str">
        <f>IF(AND(高温可否!H7=1,低温可否!H7=1,標準可否!H7=1,HUAWEI製ＰＣＳ接続枚数計算ツール!$C$108&gt;=H$2,HUAWEI製ＰＣＳ接続枚数計算ツール!$E$108&lt;=H$2,枚数!H7&gt;0),枚数!H7,IF(AND(標準可否!H7=1,低温可否!H7=1,HUAWEI製ＰＣＳ接続枚数計算ツール!$C$108&gt;=H$2,枚数!H7&gt;0,低電圧接続!H7&gt;0),枚数!H7,"-"))</f>
        <v>-</v>
      </c>
      <c r="I7" s="123" t="str">
        <f>IF(AND(高温可否!I7=1,低温可否!I7=1,標準可否!I7=1,HUAWEI製ＰＣＳ接続枚数計算ツール!$C$108&gt;=I$2,HUAWEI製ＰＣＳ接続枚数計算ツール!$E$108&lt;=I$2,枚数!I7&gt;0),枚数!I7,IF(AND(標準可否!I7=1,低温可否!I7=1,HUAWEI製ＰＣＳ接続枚数計算ツール!$C$108&gt;=I$2,枚数!I7&gt;0,低電圧接続!I7&gt;0),枚数!I7,"-"))</f>
        <v>-</v>
      </c>
      <c r="J7" s="124" t="str">
        <f>IF(AND(高温可否!J7=1,低温可否!J7=1,標準可否!J7=1,HUAWEI製ＰＣＳ接続枚数計算ツール!$C$108&gt;=J$2,HUAWEI製ＰＣＳ接続枚数計算ツール!$E$108&lt;=J$2,枚数!J7&gt;0),枚数!J7,IF(AND(標準可否!J7=1,低温可否!J7=1,HUAWEI製ＰＣＳ接続枚数計算ツール!$C$108&gt;=J$2,枚数!J7&gt;0,低電圧接続!J7&gt;0),枚数!J7,"-"))</f>
        <v>-</v>
      </c>
      <c r="K7" s="123" t="str">
        <f>IF(AND(高温可否!K7=1,低温可否!K7=1,標準可否!K7=1,HUAWEI製ＰＣＳ接続枚数計算ツール!$C$108&gt;=K$2,HUAWEI製ＰＣＳ接続枚数計算ツール!$E$108&lt;=K$2,枚数!K7&gt;0),枚数!K7,IF(AND(標準可否!K7=1,低温可否!K7=1,HUAWEI製ＰＣＳ接続枚数計算ツール!$C$108&gt;=K$2,枚数!K7&gt;0,低電圧接続!K7&gt;0),枚数!K7,"-"))</f>
        <v>-</v>
      </c>
      <c r="L7" s="124" t="str">
        <f>IF(AND(高温可否!L7=1,低温可否!L7=1,標準可否!L7=1,HUAWEI製ＰＣＳ接続枚数計算ツール!$C$108&gt;=L$2,HUAWEI製ＰＣＳ接続枚数計算ツール!$E$108&lt;=L$2,枚数!L7&gt;0),枚数!L7,IF(AND(標準可否!L7=1,低温可否!L7=1,HUAWEI製ＰＣＳ接続枚数計算ツール!$C$108&gt;=L$2,枚数!L7&gt;0,低電圧接続!L7&gt;0),枚数!L7,"-"))</f>
        <v>-</v>
      </c>
      <c r="M7" s="123" t="str">
        <f>IF(AND(高温可否!M7=1,低温可否!M7=1,標準可否!M7=1,HUAWEI製ＰＣＳ接続枚数計算ツール!$C$108&gt;=M$2,HUAWEI製ＰＣＳ接続枚数計算ツール!$E$108&lt;=M$2,枚数!M7&gt;0),枚数!M7,IF(AND(標準可否!M7=1,低温可否!M7=1,HUAWEI製ＰＣＳ接続枚数計算ツール!$C$108&gt;=M$2,枚数!M7&gt;0,低電圧接続!M7&gt;0),枚数!M7,"-"))</f>
        <v>-</v>
      </c>
      <c r="N7" s="124" t="str">
        <f>IF(AND(高温可否!N7=1,低温可否!N7=1,標準可否!N7=1,HUAWEI製ＰＣＳ接続枚数計算ツール!$C$108&gt;=N$2,HUAWEI製ＰＣＳ接続枚数計算ツール!$E$108&lt;=N$2,枚数!N7&gt;0),枚数!N7,IF(AND(標準可否!N7=1,低温可否!N7=1,HUAWEI製ＰＣＳ接続枚数計算ツール!$C$108&gt;=N$2,枚数!N7&gt;0,低電圧接続!N7&gt;0),枚数!N7,"-"))</f>
        <v>-</v>
      </c>
      <c r="O7" s="123">
        <f>IF(AND(高温可否!O7=1,低温可否!O7=1,標準可否!O7=1,HUAWEI製ＰＣＳ接続枚数計算ツール!$C$108&gt;=O$2,HUAWEI製ＰＣＳ接続枚数計算ツール!$E$108&lt;=O$2,枚数!O7&gt;0),枚数!O7,IF(AND(標準可否!O7=1,低温可否!O7=1,HUAWEI製ＰＣＳ接続枚数計算ツール!$C$108&gt;=O$2,枚数!O7&gt;0,低電圧接続!O7&gt;0),枚数!O7,"-"))</f>
        <v>70</v>
      </c>
      <c r="P7" s="124">
        <f>IF(AND(高温可否!P7=1,低温可否!P7=1,標準可否!P7=1,HUAWEI製ＰＣＳ接続枚数計算ツール!$C$108&gt;=P$2,HUAWEI製ＰＣＳ接続枚数計算ツール!$E$108&lt;=P$2,枚数!P7&gt;0),枚数!P7,IF(AND(標準可否!P7=1,低温可否!P7=1,HUAWEI製ＰＣＳ接続枚数計算ツール!$C$108&gt;=P$2,枚数!P7&gt;0,低電圧接続!P7&gt;0),枚数!P7,"-"))</f>
        <v>75</v>
      </c>
      <c r="Q7" s="123">
        <f>IF(AND(高温可否!Q7=1,低温可否!Q7=1,標準可否!Q7=1,HUAWEI製ＰＣＳ接続枚数計算ツール!$C$108&gt;=Q$2,HUAWEI製ＰＣＳ接続枚数計算ツール!$E$108&lt;=Q$2,枚数!Q7&gt;0),枚数!Q7,IF(AND(標準可否!Q7=1,低温可否!Q7=1,HUAWEI製ＰＣＳ接続枚数計算ツール!$C$108&gt;=Q$2,枚数!Q7&gt;0,低電圧接続!Q7&gt;0),枚数!Q7,"-"))</f>
        <v>80</v>
      </c>
      <c r="R7" s="124">
        <f>IF(AND(高温可否!R7=1,低温可否!R7=1,標準可否!R7=1,HUAWEI製ＰＣＳ接続枚数計算ツール!$C$108&gt;=R$2,HUAWEI製ＰＣＳ接続枚数計算ツール!$E$108&lt;=R$2,枚数!R7&gt;0),枚数!R7,IF(AND(標準可否!R7=1,低温可否!R7=1,HUAWEI製ＰＣＳ接続枚数計算ツール!$C$108&gt;=R$2,枚数!R7&gt;0,低電圧接続!R7&gt;0),枚数!R7,"-"))</f>
        <v>85</v>
      </c>
      <c r="S7" s="123">
        <f>IF(AND(高温可否!S7=1,低温可否!S7=1,標準可否!S7=1,HUAWEI製ＰＣＳ接続枚数計算ツール!$C$108&gt;=S$2,HUAWEI製ＰＣＳ接続枚数計算ツール!$E$108&lt;=S$2,枚数!S7&gt;0),枚数!S7,IF(AND(標準可否!S7=1,低温可否!S7=1,HUAWEI製ＰＣＳ接続枚数計算ツール!$C$108&gt;=S$2,枚数!S7&gt;0,低電圧接続!S7&gt;0),枚数!S7,"-"))</f>
        <v>90</v>
      </c>
      <c r="T7" s="124">
        <f>IF(AND(高温可否!T7=1,低温可否!T7=1,標準可否!T7=1,HUAWEI製ＰＣＳ接続枚数計算ツール!$C$108&gt;=T$2,HUAWEI製ＰＣＳ接続枚数計算ツール!$E$108&lt;=T$2,枚数!T7&gt;0),枚数!T7,IF(AND(標準可否!T7=1,低温可否!T7=1,HUAWEI製ＰＣＳ接続枚数計算ツール!$C$108&gt;=T$2,枚数!T7&gt;0,低電圧接続!T7&gt;0),枚数!T7,"-"))</f>
        <v>95</v>
      </c>
      <c r="U7" s="123">
        <f>IF(AND(高温可否!U7=1,低温可否!U7=1,標準可否!U7=1,HUAWEI製ＰＣＳ接続枚数計算ツール!$C$108&gt;=U$2,HUAWEI製ＰＣＳ接続枚数計算ツール!$E$108&lt;=U$2,枚数!U7&gt;0),枚数!U7,IF(AND(標準可否!U7=1,低温可否!U7=1,HUAWEI製ＰＣＳ接続枚数計算ツール!$C$108&gt;=U$2,枚数!U7&gt;0,低電圧接続!U7&gt;0),枚数!U7,"-"))</f>
        <v>100</v>
      </c>
      <c r="V7" s="124">
        <f>IF(AND(高温可否!V7=1,低温可否!V7=1,標準可否!V7=1,HUAWEI製ＰＣＳ接続枚数計算ツール!$C$108&gt;=V$2,HUAWEI製ＰＣＳ接続枚数計算ツール!$E$108&lt;=V$2,枚数!V7&gt;0),枚数!V7,IF(AND(標準可否!V7=1,低温可否!V7=1,HUAWEI製ＰＣＳ接続枚数計算ツール!$C$108&gt;=V$2,枚数!V7&gt;0,低電圧接続!V7&gt;0),枚数!V7,"-"))</f>
        <v>105</v>
      </c>
      <c r="W7" s="123">
        <f>IF(AND(高温可否!W7=1,低温可否!W7=1,標準可否!W7=1,HUAWEI製ＰＣＳ接続枚数計算ツール!$C$108&gt;=W$2,HUAWEI製ＰＣＳ接続枚数計算ツール!$E$108&lt;=W$2,枚数!W7&gt;0),枚数!W7,IF(AND(標準可否!W7=1,低温可否!W7=1,HUAWEI製ＰＣＳ接続枚数計算ツール!$C$108&gt;=W$2,枚数!W7&gt;0,低電圧接続!W7&gt;0),枚数!W7,"-"))</f>
        <v>110</v>
      </c>
      <c r="X7" s="124">
        <f>IF(AND(高温可否!X7=1,低温可否!X7=1,標準可否!X7=1,HUAWEI製ＰＣＳ接続枚数計算ツール!$C$108&gt;=X$2,HUAWEI製ＰＣＳ接続枚数計算ツール!$E$108&lt;=X$2,枚数!X7&gt;0),枚数!X7,IF(AND(標準可否!X7=1,低温可否!X7=1,HUAWEI製ＰＣＳ接続枚数計算ツール!$C$108&gt;=X$2,枚数!X7&gt;0,低電圧接続!X7&gt;0),枚数!X7,"-"))</f>
        <v>115</v>
      </c>
      <c r="Y7" s="123">
        <f>IF(AND(高温可否!Y7=1,低温可否!Y7=1,標準可否!Y7=1,HUAWEI製ＰＣＳ接続枚数計算ツール!$C$108&gt;=Y$2,HUAWEI製ＰＣＳ接続枚数計算ツール!$E$108&lt;=Y$2,枚数!Y7&gt;0),枚数!Y7,IF(AND(標準可否!Y7=1,低温可否!Y7=1,HUAWEI製ＰＣＳ接続枚数計算ツール!$C$108&gt;=Y$2,枚数!Y7&gt;0,低電圧接続!Y7&gt;0),枚数!Y7,"-"))</f>
        <v>120</v>
      </c>
      <c r="Z7" s="124">
        <f>IF(AND(高温可否!Z7=1,低温可否!Z7=1,標準可否!Z7=1,HUAWEI製ＰＣＳ接続枚数計算ツール!$C$108&gt;=Z$2,HUAWEI製ＰＣＳ接続枚数計算ツール!$E$108&lt;=Z$2,枚数!Z7&gt;0),枚数!Z7,IF(AND(標準可否!Z7=1,低温可否!Z7=1,HUAWEI製ＰＣＳ接続枚数計算ツール!$C$108&gt;=Z$2,枚数!Z7&gt;0,低電圧接続!Z7&gt;0),枚数!Z7,"-"))</f>
        <v>125</v>
      </c>
      <c r="AA7" s="123" t="str">
        <f>IF(AND(高温可否!AA7=1,低温可否!AA7=1,標準可否!AA7=1,HUAWEI製ＰＣＳ接続枚数計算ツール!$C$108&gt;=AA$2,HUAWEI製ＰＣＳ接続枚数計算ツール!$E$108&lt;=AA$2,枚数!AA7&gt;0),枚数!AA7,IF(AND(標準可否!AA7=1,低温可否!AA7=1,HUAWEI製ＰＣＳ接続枚数計算ツール!$C$108&gt;=AA$2,枚数!AA7&gt;0,低電圧接続!AA7&gt;0),枚数!AA7,"-"))</f>
        <v>-</v>
      </c>
      <c r="AB7" s="124" t="str">
        <f>IF(AND(高温可否!AB7=1,低温可否!AB7=1,標準可否!AB7=1,HUAWEI製ＰＣＳ接続枚数計算ツール!$C$108&gt;=AB$2,HUAWEI製ＰＣＳ接続枚数計算ツール!$E$108&lt;=AB$2,枚数!AB7&gt;0),枚数!AB7,IF(AND(標準可否!AB7=1,低温可否!AB7=1,HUAWEI製ＰＣＳ接続枚数計算ツール!$C$108&gt;=AB$2,枚数!AB7&gt;0,低電圧接続!AB7&gt;0),枚数!AB7,"-"))</f>
        <v>-</v>
      </c>
      <c r="AC7" s="123" t="str">
        <f>IF(AND(高温可否!AC7=1,低温可否!AC7=1,標準可否!AC7=1,HUAWEI製ＰＣＳ接続枚数計算ツール!$C$108&gt;=AC$2,HUAWEI製ＰＣＳ接続枚数計算ツール!$E$108&lt;=AC$2,枚数!AC7&gt;0),枚数!AC7,IF(AND(標準可否!AC7=1,低温可否!AC7=1,HUAWEI製ＰＣＳ接続枚数計算ツール!$C$108&gt;=AC$2,枚数!AC7&gt;0,低電圧接続!AC7&gt;0),枚数!AC7,"-"))</f>
        <v>-</v>
      </c>
      <c r="AD7" s="124" t="str">
        <f>IF(AND(高温可否!AD7=1,低温可否!AD7=1,標準可否!AD7=1,HUAWEI製ＰＣＳ接続枚数計算ツール!$C$108&gt;=AD$2,HUAWEI製ＰＣＳ接続枚数計算ツール!$E$108&lt;=AD$2,枚数!AD7&gt;0),枚数!AD7,IF(AND(標準可否!AD7=1,低温可否!AD7=1,HUAWEI製ＰＣＳ接続枚数計算ツール!$C$108&gt;=AD$2,枚数!AD7&gt;0,低電圧接続!AD7&gt;0),枚数!AD7,"-"))</f>
        <v>-</v>
      </c>
      <c r="AE7" s="123" t="str">
        <f>IF(AND(高温可否!AE7=1,低温可否!AE7=1,標準可否!AE7=1,HUAWEI製ＰＣＳ接続枚数計算ツール!$C$108&gt;=AE$2,HUAWEI製ＰＣＳ接続枚数計算ツール!$E$108&lt;=AE$2,枚数!AE7&gt;0),枚数!AE7,IF(AND(標準可否!AE7=1,低温可否!AE7=1,HUAWEI製ＰＣＳ接続枚数計算ツール!$C$108&gt;=AE$2,枚数!AE7&gt;0,低電圧接続!AE7&gt;0),枚数!AE7,"-"))</f>
        <v>-</v>
      </c>
      <c r="AF7" s="124" t="str">
        <f>IF(AND(高温可否!AF7=1,低温可否!AF7=1,標準可否!AF7=1,HUAWEI製ＰＣＳ接続枚数計算ツール!$C$108&gt;=AF$2,HUAWEI製ＰＣＳ接続枚数計算ツール!$E$108&lt;=AF$2,枚数!AF7&gt;0),枚数!AF7,IF(AND(標準可否!AF7=1,低温可否!AF7=1,HUAWEI製ＰＣＳ接続枚数計算ツール!$C$108&gt;=AF$2,枚数!AF7&gt;0,低電圧接続!AF7&gt;0),枚数!AF7,"-"))</f>
        <v>-</v>
      </c>
      <c r="AG7" s="123" t="str">
        <f>IF(AND(高温可否!AG7=1,低温可否!AG7=1,標準可否!AG7=1,HUAWEI製ＰＣＳ接続枚数計算ツール!$C$108&gt;=AG$2,HUAWEI製ＰＣＳ接続枚数計算ツール!$E$108&lt;=AG$2,枚数!AG7&gt;0),枚数!AG7,IF(AND(標準可否!AG7=1,低温可否!AG7=1,HUAWEI製ＰＣＳ接続枚数計算ツール!$C$108&gt;=AG$2,枚数!AG7&gt;0,低電圧接続!AG7&gt;0),枚数!AG7,"-"))</f>
        <v>-</v>
      </c>
      <c r="AH7" s="124" t="str">
        <f>IF(AND(高温可否!AH7=1,低温可否!AH7=1,標準可否!AH7=1,HUAWEI製ＰＣＳ接続枚数計算ツール!$C$108&gt;=AH$2,HUAWEI製ＰＣＳ接続枚数計算ツール!$E$108&lt;=AH$2,枚数!AH7&gt;0),枚数!AH7,IF(AND(標準可否!AH7=1,低温可否!AH7=1,HUAWEI製ＰＣＳ接続枚数計算ツール!$C$108&gt;=AH$2,枚数!AH7&gt;0,低電圧接続!AH7&gt;0),枚数!AH7,"-"))</f>
        <v>-</v>
      </c>
      <c r="AI7" s="123" t="str">
        <f>IF(AND(高温可否!AI7=1,低温可否!AI7=1,標準可否!AI7=1,HUAWEI製ＰＣＳ接続枚数計算ツール!$C$108&gt;=AI$2,HUAWEI製ＰＣＳ接続枚数計算ツール!$E$108&lt;=AI$2,枚数!AI7&gt;0),枚数!AI7,IF(AND(標準可否!AI7=1,低温可否!AI7=1,HUAWEI製ＰＣＳ接続枚数計算ツール!$C$108&gt;=AI$2,枚数!AI7&gt;0,低電圧接続!AI7&gt;0),枚数!AI7,"-"))</f>
        <v>-</v>
      </c>
      <c r="AJ7" s="124" t="str">
        <f>IF(AND(高温可否!AJ7=1,低温可否!AJ7=1,標準可否!AJ7=1,HUAWEI製ＰＣＳ接続枚数計算ツール!$C$108&gt;=AJ$2,HUAWEI製ＰＣＳ接続枚数計算ツール!$E$108&lt;=AJ$2,枚数!AJ7&gt;0),枚数!AJ7,IF(AND(標準可否!AJ7=1,低温可否!AJ7=1,HUAWEI製ＰＣＳ接続枚数計算ツール!$C$108&gt;=AJ$2,枚数!AJ7&gt;0,低電圧接続!AJ7&gt;0),枚数!AJ7,"-"))</f>
        <v>-</v>
      </c>
      <c r="AK7" s="123" t="str">
        <f>IF(AND(高温可否!AK7=1,低温可否!AK7=1,標準可否!AK7=1,HUAWEI製ＰＣＳ接続枚数計算ツール!$C$108&gt;=AK$2,HUAWEI製ＰＣＳ接続枚数計算ツール!$E$108&lt;=AK$2,枚数!AK7&gt;0),枚数!AK7,IF(AND(標準可否!AK7=1,低温可否!AK7=1,HUAWEI製ＰＣＳ接続枚数計算ツール!$C$108&gt;=AK$2,枚数!AK7&gt;0,低電圧接続!AK7&gt;0),枚数!AK7,"-"))</f>
        <v>-</v>
      </c>
      <c r="AL7" s="124" t="str">
        <f>IF(AND(高温可否!AL7=1,低温可否!AL7=1,標準可否!AL7=1,HUAWEI製ＰＣＳ接続枚数計算ツール!$C$108&gt;=AL$2,HUAWEI製ＰＣＳ接続枚数計算ツール!$E$108&lt;=AL$2,枚数!AL7&gt;0),枚数!AL7,IF(AND(標準可否!AL7=1,低温可否!AL7=1,HUAWEI製ＰＣＳ接続枚数計算ツール!$C$108&gt;=AL$2,枚数!AL7&gt;0,低電圧接続!AL7&gt;0),枚数!AL7,"-"))</f>
        <v>-</v>
      </c>
      <c r="AM7" s="123" t="str">
        <f>IF(AND(高温可否!AM7=1,低温可否!AM7=1,標準可否!AM7=1,HUAWEI製ＰＣＳ接続枚数計算ツール!$C$108&gt;=AM$2,HUAWEI製ＰＣＳ接続枚数計算ツール!$E$108&lt;=AM$2,枚数!AM7&gt;0),枚数!AM7,IF(AND(標準可否!AM7=1,低温可否!AM7=1,HUAWEI製ＰＣＳ接続枚数計算ツール!$C$108&gt;=AM$2,枚数!AM7&gt;0,低電圧接続!AM7&gt;0),枚数!AM7,"-"))</f>
        <v>-</v>
      </c>
      <c r="AN7" s="124" t="str">
        <f>IF(AND(高温可否!AN7=1,低温可否!AN7=1,標準可否!AN7=1,HUAWEI製ＰＣＳ接続枚数計算ツール!$C$108&gt;=AN$2,HUAWEI製ＰＣＳ接続枚数計算ツール!$E$108&lt;=AN$2,枚数!AN7&gt;0),枚数!AN7,IF(AND(標準可否!AN7=1,低温可否!AN7=1,HUAWEI製ＰＣＳ接続枚数計算ツール!$C$108&gt;=AN$2,枚数!AN7&gt;0,低電圧接続!AN7&gt;0),枚数!AN7,"-"))</f>
        <v>-</v>
      </c>
      <c r="AO7" s="125" t="str">
        <f>IF(AND(高温可否!AO7=1,低温可否!AO7=1,標準可否!AO7=1,HUAWEI製ＰＣＳ接続枚数計算ツール!$C$108&gt;=AO$2,HUAWEI製ＰＣＳ接続枚数計算ツール!$E$108&lt;=AO$2,枚数!AO7&gt;0),枚数!AO7,IF(AND(標準可否!AO7=1,低温可否!AO7=1,HUAWEI製ＰＣＳ接続枚数計算ツール!$C$108&gt;=AO$2,枚数!AO7&gt;0,低電圧接続!AO7&gt;0),枚数!AO7,"-"))</f>
        <v>-</v>
      </c>
    </row>
    <row r="8" spans="1:41">
      <c r="A8" s="115">
        <v>6</v>
      </c>
      <c r="B8" s="126" t="str">
        <f>IF(AND(高温可否!B8=1,低温可否!B8=1,標準可否!B8=1,HUAWEI製ＰＣＳ接続枚数計算ツール!$C$108&gt;=B$2,HUAWEI製ＰＣＳ接続枚数計算ツール!$E$108&lt;=B$2,枚数!B8&gt;0),枚数!B8,IF(AND(標準可否!B8=1,低温可否!B8=1,HUAWEI製ＰＣＳ接続枚数計算ツール!$C$108&gt;=B$2,枚数!B8&gt;0,低電圧接続!B8&gt;0),枚数!B8,"-"))</f>
        <v>-</v>
      </c>
      <c r="C8" s="127" t="str">
        <f>IF(AND(高温可否!C8=1,低温可否!C8=1,標準可否!C8=1,HUAWEI製ＰＣＳ接続枚数計算ツール!$C$108&gt;=C$2,HUAWEI製ＰＣＳ接続枚数計算ツール!$E$108&lt;=C$2,枚数!C8&gt;0),枚数!C8,IF(AND(標準可否!C8=1,低温可否!C8=1,HUAWEI製ＰＣＳ接続枚数計算ツール!$C$108&gt;=C$2,枚数!C8&gt;0,低電圧接続!C8&gt;0),枚数!C8,"-"))</f>
        <v>-</v>
      </c>
      <c r="D8" s="128" t="str">
        <f>IF(AND(高温可否!D8=1,低温可否!D8=1,標準可否!D8=1,HUAWEI製ＰＣＳ接続枚数計算ツール!$C$108&gt;=D$2,HUAWEI製ＰＣＳ接続枚数計算ツール!$E$108&lt;=D$2,枚数!D8&gt;0),枚数!D8,IF(AND(標準可否!D8=1,低温可否!D8=1,HUAWEI製ＰＣＳ接続枚数計算ツール!$C$108&gt;=D$2,枚数!D8&gt;0,低電圧接続!D8&gt;0),枚数!D8,"-"))</f>
        <v>-</v>
      </c>
      <c r="E8" s="127" t="str">
        <f>IF(AND(高温可否!E8=1,低温可否!E8=1,標準可否!E8=1,HUAWEI製ＰＣＳ接続枚数計算ツール!$C$108&gt;=E$2,HUAWEI製ＰＣＳ接続枚数計算ツール!$E$108&lt;=E$2,枚数!E8&gt;0),枚数!E8,IF(AND(標準可否!E8=1,低温可否!E8=1,HUAWEI製ＰＣＳ接続枚数計算ツール!$C$108&gt;=E$2,枚数!E8&gt;0,低電圧接続!E8&gt;0),枚数!E8,"-"))</f>
        <v>-</v>
      </c>
      <c r="F8" s="128" t="str">
        <f>IF(AND(高温可否!F8=1,低温可否!F8=1,標準可否!F8=1,HUAWEI製ＰＣＳ接続枚数計算ツール!$C$108&gt;=F$2,HUAWEI製ＰＣＳ接続枚数計算ツール!$E$108&lt;=F$2,枚数!F8&gt;0),枚数!F8,IF(AND(標準可否!F8=1,低温可否!F8=1,HUAWEI製ＰＣＳ接続枚数計算ツール!$C$108&gt;=F$2,枚数!F8&gt;0,低電圧接続!F8&gt;0),枚数!F8,"-"))</f>
        <v>-</v>
      </c>
      <c r="G8" s="127" t="str">
        <f>IF(AND(高温可否!G8=1,低温可否!G8=1,標準可否!G8=1,HUAWEI製ＰＣＳ接続枚数計算ツール!$C$108&gt;=G$2,HUAWEI製ＰＣＳ接続枚数計算ツール!$E$108&lt;=G$2,枚数!G8&gt;0),枚数!G8,IF(AND(標準可否!G8=1,低温可否!G8=1,HUAWEI製ＰＣＳ接続枚数計算ツール!$C$108&gt;=G$2,枚数!G8&gt;0,低電圧接続!G8&gt;0),枚数!G8,"-"))</f>
        <v>-</v>
      </c>
      <c r="H8" s="128" t="str">
        <f>IF(AND(高温可否!H8=1,低温可否!H8=1,標準可否!H8=1,HUAWEI製ＰＣＳ接続枚数計算ツール!$C$108&gt;=H$2,HUAWEI製ＰＣＳ接続枚数計算ツール!$E$108&lt;=H$2,枚数!H8&gt;0),枚数!H8,IF(AND(標準可否!H8=1,低温可否!H8=1,HUAWEI製ＰＣＳ接続枚数計算ツール!$C$108&gt;=H$2,枚数!H8&gt;0,低電圧接続!H8&gt;0),枚数!H8,"-"))</f>
        <v>-</v>
      </c>
      <c r="I8" s="127" t="str">
        <f>IF(AND(高温可否!I8=1,低温可否!I8=1,標準可否!I8=1,HUAWEI製ＰＣＳ接続枚数計算ツール!$C$108&gt;=I$2,HUAWEI製ＰＣＳ接続枚数計算ツール!$E$108&lt;=I$2,枚数!I8&gt;0),枚数!I8,IF(AND(標準可否!I8=1,低温可否!I8=1,HUAWEI製ＰＣＳ接続枚数計算ツール!$C$108&gt;=I$2,枚数!I8&gt;0,低電圧接続!I8&gt;0),枚数!I8,"-"))</f>
        <v>-</v>
      </c>
      <c r="J8" s="128" t="str">
        <f>IF(AND(高温可否!J8=1,低温可否!J8=1,標準可否!J8=1,HUAWEI製ＰＣＳ接続枚数計算ツール!$C$108&gt;=J$2,HUAWEI製ＰＣＳ接続枚数計算ツール!$E$108&lt;=J$2,枚数!J8&gt;0),枚数!J8,IF(AND(標準可否!J8=1,低温可否!J8=1,HUAWEI製ＰＣＳ接続枚数計算ツール!$C$108&gt;=J$2,枚数!J8&gt;0,低電圧接続!J8&gt;0),枚数!J8,"-"))</f>
        <v>-</v>
      </c>
      <c r="K8" s="127" t="str">
        <f>IF(AND(高温可否!K8=1,低温可否!K8=1,標準可否!K8=1,HUAWEI製ＰＣＳ接続枚数計算ツール!$C$108&gt;=K$2,HUAWEI製ＰＣＳ接続枚数計算ツール!$E$108&lt;=K$2,枚数!K8&gt;0),枚数!K8,IF(AND(標準可否!K8=1,低温可否!K8=1,HUAWEI製ＰＣＳ接続枚数計算ツール!$C$108&gt;=K$2,枚数!K8&gt;0,低電圧接続!K8&gt;0),枚数!K8,"-"))</f>
        <v>-</v>
      </c>
      <c r="L8" s="128" t="str">
        <f>IF(AND(高温可否!L8=1,低温可否!L8=1,標準可否!L8=1,HUAWEI製ＰＣＳ接続枚数計算ツール!$C$108&gt;=L$2,HUAWEI製ＰＣＳ接続枚数計算ツール!$E$108&lt;=L$2,枚数!L8&gt;0),枚数!L8,IF(AND(標準可否!L8=1,低温可否!L8=1,HUAWEI製ＰＣＳ接続枚数計算ツール!$C$108&gt;=L$2,枚数!L8&gt;0,低電圧接続!L8&gt;0),枚数!L8,"-"))</f>
        <v>-</v>
      </c>
      <c r="M8" s="127" t="str">
        <f>IF(AND(高温可否!M8=1,低温可否!M8=1,標準可否!M8=1,HUAWEI製ＰＣＳ接続枚数計算ツール!$C$108&gt;=M$2,HUAWEI製ＰＣＳ接続枚数計算ツール!$E$108&lt;=M$2,枚数!M8&gt;0),枚数!M8,IF(AND(標準可否!M8=1,低温可否!M8=1,HUAWEI製ＰＣＳ接続枚数計算ツール!$C$108&gt;=M$2,枚数!M8&gt;0,低電圧接続!M8&gt;0),枚数!M8,"-"))</f>
        <v>-</v>
      </c>
      <c r="N8" s="128" t="str">
        <f>IF(AND(高温可否!N8=1,低温可否!N8=1,標準可否!N8=1,HUAWEI製ＰＣＳ接続枚数計算ツール!$C$108&gt;=N$2,HUAWEI製ＰＣＳ接続枚数計算ツール!$E$108&lt;=N$2,枚数!N8&gt;0),枚数!N8,IF(AND(標準可否!N8=1,低温可否!N8=1,HUAWEI製ＰＣＳ接続枚数計算ツール!$C$108&gt;=N$2,枚数!N8&gt;0,低電圧接続!N8&gt;0),枚数!N8,"-"))</f>
        <v>-</v>
      </c>
      <c r="O8" s="127">
        <f>IF(AND(高温可否!O8=1,低温可否!O8=1,標準可否!O8=1,HUAWEI製ＰＣＳ接続枚数計算ツール!$C$108&gt;=O$2,HUAWEI製ＰＣＳ接続枚数計算ツール!$E$108&lt;=O$2,枚数!O8&gt;0),枚数!O8,IF(AND(標準可否!O8=1,低温可否!O8=1,HUAWEI製ＰＣＳ接続枚数計算ツール!$C$108&gt;=O$2,枚数!O8&gt;0,低電圧接続!O8&gt;0),枚数!O8,"-"))</f>
        <v>84</v>
      </c>
      <c r="P8" s="128">
        <f>IF(AND(高温可否!P8=1,低温可否!P8=1,標準可否!P8=1,HUAWEI製ＰＣＳ接続枚数計算ツール!$C$108&gt;=P$2,HUAWEI製ＰＣＳ接続枚数計算ツール!$E$108&lt;=P$2,枚数!P8&gt;0),枚数!P8,IF(AND(標準可否!P8=1,低温可否!P8=1,HUAWEI製ＰＣＳ接続枚数計算ツール!$C$108&gt;=P$2,枚数!P8&gt;0,低電圧接続!P8&gt;0),枚数!P8,"-"))</f>
        <v>90</v>
      </c>
      <c r="Q8" s="127">
        <f>IF(AND(高温可否!Q8=1,低温可否!Q8=1,標準可否!Q8=1,HUAWEI製ＰＣＳ接続枚数計算ツール!$C$108&gt;=Q$2,HUAWEI製ＰＣＳ接続枚数計算ツール!$E$108&lt;=Q$2,枚数!Q8&gt;0),枚数!Q8,IF(AND(標準可否!Q8=1,低温可否!Q8=1,HUAWEI製ＰＣＳ接続枚数計算ツール!$C$108&gt;=Q$2,枚数!Q8&gt;0,低電圧接続!Q8&gt;0),枚数!Q8,"-"))</f>
        <v>96</v>
      </c>
      <c r="R8" s="128">
        <f>IF(AND(高温可否!R8=1,低温可否!R8=1,標準可否!R8=1,HUAWEI製ＰＣＳ接続枚数計算ツール!$C$108&gt;=R$2,HUAWEI製ＰＣＳ接続枚数計算ツール!$E$108&lt;=R$2,枚数!R8&gt;0),枚数!R8,IF(AND(標準可否!R8=1,低温可否!R8=1,HUAWEI製ＰＣＳ接続枚数計算ツール!$C$108&gt;=R$2,枚数!R8&gt;0,低電圧接続!R8&gt;0),枚数!R8,"-"))</f>
        <v>102</v>
      </c>
      <c r="S8" s="127">
        <f>IF(AND(高温可否!S8=1,低温可否!S8=1,標準可否!S8=1,HUAWEI製ＰＣＳ接続枚数計算ツール!$C$108&gt;=S$2,HUAWEI製ＰＣＳ接続枚数計算ツール!$E$108&lt;=S$2,枚数!S8&gt;0),枚数!S8,IF(AND(標準可否!S8=1,低温可否!S8=1,HUAWEI製ＰＣＳ接続枚数計算ツール!$C$108&gt;=S$2,枚数!S8&gt;0,低電圧接続!S8&gt;0),枚数!S8,"-"))</f>
        <v>108</v>
      </c>
      <c r="T8" s="128">
        <f>IF(AND(高温可否!T8=1,低温可否!T8=1,標準可否!T8=1,HUAWEI製ＰＣＳ接続枚数計算ツール!$C$108&gt;=T$2,HUAWEI製ＰＣＳ接続枚数計算ツール!$E$108&lt;=T$2,枚数!T8&gt;0),枚数!T8,IF(AND(標準可否!T8=1,低温可否!T8=1,HUAWEI製ＰＣＳ接続枚数計算ツール!$C$108&gt;=T$2,枚数!T8&gt;0,低電圧接続!T8&gt;0),枚数!T8,"-"))</f>
        <v>114</v>
      </c>
      <c r="U8" s="127">
        <f>IF(AND(高温可否!U8=1,低温可否!U8=1,標準可否!U8=1,HUAWEI製ＰＣＳ接続枚数計算ツール!$C$108&gt;=U$2,HUAWEI製ＰＣＳ接続枚数計算ツール!$E$108&lt;=U$2,枚数!U8&gt;0),枚数!U8,IF(AND(標準可否!U8=1,低温可否!U8=1,HUAWEI製ＰＣＳ接続枚数計算ツール!$C$108&gt;=U$2,枚数!U8&gt;0,低電圧接続!U8&gt;0),枚数!U8,"-"))</f>
        <v>120</v>
      </c>
      <c r="V8" s="128">
        <f>IF(AND(高温可否!V8=1,低温可否!V8=1,標準可否!V8=1,HUAWEI製ＰＣＳ接続枚数計算ツール!$C$108&gt;=V$2,HUAWEI製ＰＣＳ接続枚数計算ツール!$E$108&lt;=V$2,枚数!V8&gt;0),枚数!V8,IF(AND(標準可否!V8=1,低温可否!V8=1,HUAWEI製ＰＣＳ接続枚数計算ツール!$C$108&gt;=V$2,枚数!V8&gt;0,低電圧接続!V8&gt;0),枚数!V8,"-"))</f>
        <v>126</v>
      </c>
      <c r="W8" s="127">
        <f>IF(AND(高温可否!W8=1,低温可否!W8=1,標準可否!W8=1,HUAWEI製ＰＣＳ接続枚数計算ツール!$C$108&gt;=W$2,HUAWEI製ＰＣＳ接続枚数計算ツール!$E$108&lt;=W$2,枚数!W8&gt;0),枚数!W8,IF(AND(標準可否!W8=1,低温可否!W8=1,HUAWEI製ＰＣＳ接続枚数計算ツール!$C$108&gt;=W$2,枚数!W8&gt;0,低電圧接続!W8&gt;0),枚数!W8,"-"))</f>
        <v>132</v>
      </c>
      <c r="X8" s="128">
        <f>IF(AND(高温可否!X8=1,低温可否!X8=1,標準可否!X8=1,HUAWEI製ＰＣＳ接続枚数計算ツール!$C$108&gt;=X$2,HUAWEI製ＰＣＳ接続枚数計算ツール!$E$108&lt;=X$2,枚数!X8&gt;0),枚数!X8,IF(AND(標準可否!X8=1,低温可否!X8=1,HUAWEI製ＰＣＳ接続枚数計算ツール!$C$108&gt;=X$2,枚数!X8&gt;0,低電圧接続!X8&gt;0),枚数!X8,"-"))</f>
        <v>138</v>
      </c>
      <c r="Y8" s="127">
        <f>IF(AND(高温可否!Y8=1,低温可否!Y8=1,標準可否!Y8=1,HUAWEI製ＰＣＳ接続枚数計算ツール!$C$108&gt;=Y$2,HUAWEI製ＰＣＳ接続枚数計算ツール!$E$108&lt;=Y$2,枚数!Y8&gt;0),枚数!Y8,IF(AND(標準可否!Y8=1,低温可否!Y8=1,HUAWEI製ＰＣＳ接続枚数計算ツール!$C$108&gt;=Y$2,枚数!Y8&gt;0,低電圧接続!Y8&gt;0),枚数!Y8,"-"))</f>
        <v>144</v>
      </c>
      <c r="Z8" s="128">
        <f>IF(AND(高温可否!Z8=1,低温可否!Z8=1,標準可否!Z8=1,HUAWEI製ＰＣＳ接続枚数計算ツール!$C$108&gt;=Z$2,HUAWEI製ＰＣＳ接続枚数計算ツール!$E$108&lt;=Z$2,枚数!Z8&gt;0),枚数!Z8,IF(AND(標準可否!Z8=1,低温可否!Z8=1,HUAWEI製ＰＣＳ接続枚数計算ツール!$C$108&gt;=Z$2,枚数!Z8&gt;0,低電圧接続!Z8&gt;0),枚数!Z8,"-"))</f>
        <v>150</v>
      </c>
      <c r="AA8" s="127" t="str">
        <f>IF(AND(高温可否!AA8=1,低温可否!AA8=1,標準可否!AA8=1,HUAWEI製ＰＣＳ接続枚数計算ツール!$C$108&gt;=AA$2,HUAWEI製ＰＣＳ接続枚数計算ツール!$E$108&lt;=AA$2,枚数!AA8&gt;0),枚数!AA8,IF(AND(標準可否!AA8=1,低温可否!AA8=1,HUAWEI製ＰＣＳ接続枚数計算ツール!$C$108&gt;=AA$2,枚数!AA8&gt;0,低電圧接続!AA8&gt;0),枚数!AA8,"-"))</f>
        <v>-</v>
      </c>
      <c r="AB8" s="128" t="str">
        <f>IF(AND(高温可否!AB8=1,低温可否!AB8=1,標準可否!AB8=1,HUAWEI製ＰＣＳ接続枚数計算ツール!$C$108&gt;=AB$2,HUAWEI製ＰＣＳ接続枚数計算ツール!$E$108&lt;=AB$2,枚数!AB8&gt;0),枚数!AB8,IF(AND(標準可否!AB8=1,低温可否!AB8=1,HUAWEI製ＰＣＳ接続枚数計算ツール!$C$108&gt;=AB$2,枚数!AB8&gt;0,低電圧接続!AB8&gt;0),枚数!AB8,"-"))</f>
        <v>-</v>
      </c>
      <c r="AC8" s="127" t="str">
        <f>IF(AND(高温可否!AC8=1,低温可否!AC8=1,標準可否!AC8=1,HUAWEI製ＰＣＳ接続枚数計算ツール!$C$108&gt;=AC$2,HUAWEI製ＰＣＳ接続枚数計算ツール!$E$108&lt;=AC$2,枚数!AC8&gt;0),枚数!AC8,IF(AND(標準可否!AC8=1,低温可否!AC8=1,HUAWEI製ＰＣＳ接続枚数計算ツール!$C$108&gt;=AC$2,枚数!AC8&gt;0,低電圧接続!AC8&gt;0),枚数!AC8,"-"))</f>
        <v>-</v>
      </c>
      <c r="AD8" s="128" t="str">
        <f>IF(AND(高温可否!AD8=1,低温可否!AD8=1,標準可否!AD8=1,HUAWEI製ＰＣＳ接続枚数計算ツール!$C$108&gt;=AD$2,HUAWEI製ＰＣＳ接続枚数計算ツール!$E$108&lt;=AD$2,枚数!AD8&gt;0),枚数!AD8,IF(AND(標準可否!AD8=1,低温可否!AD8=1,HUAWEI製ＰＣＳ接続枚数計算ツール!$C$108&gt;=AD$2,枚数!AD8&gt;0,低電圧接続!AD8&gt;0),枚数!AD8,"-"))</f>
        <v>-</v>
      </c>
      <c r="AE8" s="127" t="str">
        <f>IF(AND(高温可否!AE8=1,低温可否!AE8=1,標準可否!AE8=1,HUAWEI製ＰＣＳ接続枚数計算ツール!$C$108&gt;=AE$2,HUAWEI製ＰＣＳ接続枚数計算ツール!$E$108&lt;=AE$2,枚数!AE8&gt;0),枚数!AE8,IF(AND(標準可否!AE8=1,低温可否!AE8=1,HUAWEI製ＰＣＳ接続枚数計算ツール!$C$108&gt;=AE$2,枚数!AE8&gt;0,低電圧接続!AE8&gt;0),枚数!AE8,"-"))</f>
        <v>-</v>
      </c>
      <c r="AF8" s="128" t="str">
        <f>IF(AND(高温可否!AF8=1,低温可否!AF8=1,標準可否!AF8=1,HUAWEI製ＰＣＳ接続枚数計算ツール!$C$108&gt;=AF$2,HUAWEI製ＰＣＳ接続枚数計算ツール!$E$108&lt;=AF$2,枚数!AF8&gt;0),枚数!AF8,IF(AND(標準可否!AF8=1,低温可否!AF8=1,HUAWEI製ＰＣＳ接続枚数計算ツール!$C$108&gt;=AF$2,枚数!AF8&gt;0,低電圧接続!AF8&gt;0),枚数!AF8,"-"))</f>
        <v>-</v>
      </c>
      <c r="AG8" s="127" t="str">
        <f>IF(AND(高温可否!AG8=1,低温可否!AG8=1,標準可否!AG8=1,HUAWEI製ＰＣＳ接続枚数計算ツール!$C$108&gt;=AG$2,HUAWEI製ＰＣＳ接続枚数計算ツール!$E$108&lt;=AG$2,枚数!AG8&gt;0),枚数!AG8,IF(AND(標準可否!AG8=1,低温可否!AG8=1,HUAWEI製ＰＣＳ接続枚数計算ツール!$C$108&gt;=AG$2,枚数!AG8&gt;0,低電圧接続!AG8&gt;0),枚数!AG8,"-"))</f>
        <v>-</v>
      </c>
      <c r="AH8" s="128" t="str">
        <f>IF(AND(高温可否!AH8=1,低温可否!AH8=1,標準可否!AH8=1,HUAWEI製ＰＣＳ接続枚数計算ツール!$C$108&gt;=AH$2,HUAWEI製ＰＣＳ接続枚数計算ツール!$E$108&lt;=AH$2,枚数!AH8&gt;0),枚数!AH8,IF(AND(標準可否!AH8=1,低温可否!AH8=1,HUAWEI製ＰＣＳ接続枚数計算ツール!$C$108&gt;=AH$2,枚数!AH8&gt;0,低電圧接続!AH8&gt;0),枚数!AH8,"-"))</f>
        <v>-</v>
      </c>
      <c r="AI8" s="127" t="str">
        <f>IF(AND(高温可否!AI8=1,低温可否!AI8=1,標準可否!AI8=1,HUAWEI製ＰＣＳ接続枚数計算ツール!$C$108&gt;=AI$2,HUAWEI製ＰＣＳ接続枚数計算ツール!$E$108&lt;=AI$2,枚数!AI8&gt;0),枚数!AI8,IF(AND(標準可否!AI8=1,低温可否!AI8=1,HUAWEI製ＰＣＳ接続枚数計算ツール!$C$108&gt;=AI$2,枚数!AI8&gt;0,低電圧接続!AI8&gt;0),枚数!AI8,"-"))</f>
        <v>-</v>
      </c>
      <c r="AJ8" s="128" t="str">
        <f>IF(AND(高温可否!AJ8=1,低温可否!AJ8=1,標準可否!AJ8=1,HUAWEI製ＰＣＳ接続枚数計算ツール!$C$108&gt;=AJ$2,HUAWEI製ＰＣＳ接続枚数計算ツール!$E$108&lt;=AJ$2,枚数!AJ8&gt;0),枚数!AJ8,IF(AND(標準可否!AJ8=1,低温可否!AJ8=1,HUAWEI製ＰＣＳ接続枚数計算ツール!$C$108&gt;=AJ$2,枚数!AJ8&gt;0,低電圧接続!AJ8&gt;0),枚数!AJ8,"-"))</f>
        <v>-</v>
      </c>
      <c r="AK8" s="127" t="str">
        <f>IF(AND(高温可否!AK8=1,低温可否!AK8=1,標準可否!AK8=1,HUAWEI製ＰＣＳ接続枚数計算ツール!$C$108&gt;=AK$2,HUAWEI製ＰＣＳ接続枚数計算ツール!$E$108&lt;=AK$2,枚数!AK8&gt;0),枚数!AK8,IF(AND(標準可否!AK8=1,低温可否!AK8=1,HUAWEI製ＰＣＳ接続枚数計算ツール!$C$108&gt;=AK$2,枚数!AK8&gt;0,低電圧接続!AK8&gt;0),枚数!AK8,"-"))</f>
        <v>-</v>
      </c>
      <c r="AL8" s="128" t="str">
        <f>IF(AND(高温可否!AL8=1,低温可否!AL8=1,標準可否!AL8=1,HUAWEI製ＰＣＳ接続枚数計算ツール!$C$108&gt;=AL$2,HUAWEI製ＰＣＳ接続枚数計算ツール!$E$108&lt;=AL$2,枚数!AL8&gt;0),枚数!AL8,IF(AND(標準可否!AL8=1,低温可否!AL8=1,HUAWEI製ＰＣＳ接続枚数計算ツール!$C$108&gt;=AL$2,枚数!AL8&gt;0,低電圧接続!AL8&gt;0),枚数!AL8,"-"))</f>
        <v>-</v>
      </c>
      <c r="AM8" s="127" t="str">
        <f>IF(AND(高温可否!AM8=1,低温可否!AM8=1,標準可否!AM8=1,HUAWEI製ＰＣＳ接続枚数計算ツール!$C$108&gt;=AM$2,HUAWEI製ＰＣＳ接続枚数計算ツール!$E$108&lt;=AM$2,枚数!AM8&gt;0),枚数!AM8,IF(AND(標準可否!AM8=1,低温可否!AM8=1,HUAWEI製ＰＣＳ接続枚数計算ツール!$C$108&gt;=AM$2,枚数!AM8&gt;0,低電圧接続!AM8&gt;0),枚数!AM8,"-"))</f>
        <v>-</v>
      </c>
      <c r="AN8" s="128" t="str">
        <f>IF(AND(高温可否!AN8=1,低温可否!AN8=1,標準可否!AN8=1,HUAWEI製ＰＣＳ接続枚数計算ツール!$C$108&gt;=AN$2,HUAWEI製ＰＣＳ接続枚数計算ツール!$E$108&lt;=AN$2,枚数!AN8&gt;0),枚数!AN8,IF(AND(標準可否!AN8=1,低温可否!AN8=1,HUAWEI製ＰＣＳ接続枚数計算ツール!$C$108&gt;=AN$2,枚数!AN8&gt;0,低電圧接続!AN8&gt;0),枚数!AN8,"-"))</f>
        <v>-</v>
      </c>
      <c r="AO8" s="129" t="str">
        <f>IF(AND(高温可否!AO8=1,低温可否!AO8=1,標準可否!AO8=1,HUAWEI製ＰＣＳ接続枚数計算ツール!$C$108&gt;=AO$2,HUAWEI製ＰＣＳ接続枚数計算ツール!$E$108&lt;=AO$2,枚数!AO8&gt;0),枚数!AO8,IF(AND(標準可否!AO8=1,低温可否!AO8=1,HUAWEI製ＰＣＳ接続枚数計算ツール!$C$108&gt;=AO$2,枚数!AO8&gt;0,低電圧接続!AO8&gt;0),枚数!AO8,"-"))</f>
        <v>-</v>
      </c>
    </row>
    <row r="9" spans="1:41">
      <c r="A9" s="116">
        <v>7</v>
      </c>
      <c r="B9" s="122" t="str">
        <f>IF(AND(高温可否!B9=1,低温可否!B9=1,標準可否!B9=1,HUAWEI製ＰＣＳ接続枚数計算ツール!$C$108&gt;=B$2,HUAWEI製ＰＣＳ接続枚数計算ツール!$E$108&lt;=B$2,枚数!B9&gt;0),枚数!B9,IF(AND(標準可否!B9=1,低温可否!B9=1,HUAWEI製ＰＣＳ接続枚数計算ツール!$C$108&gt;=B$2,枚数!B9&gt;0,低電圧接続!B9&gt;0),枚数!B9,"-"))</f>
        <v>-</v>
      </c>
      <c r="C9" s="123" t="str">
        <f>IF(AND(高温可否!C9=1,低温可否!C9=1,標準可否!C9=1,HUAWEI製ＰＣＳ接続枚数計算ツール!$C$108&gt;=C$2,HUAWEI製ＰＣＳ接続枚数計算ツール!$E$108&lt;=C$2,枚数!C9&gt;0),枚数!C9,IF(AND(標準可否!C9=1,低温可否!C9=1,HUAWEI製ＰＣＳ接続枚数計算ツール!$C$108&gt;=C$2,枚数!C9&gt;0,低電圧接続!C9&gt;0),枚数!C9,"-"))</f>
        <v>-</v>
      </c>
      <c r="D9" s="124" t="str">
        <f>IF(AND(高温可否!D9=1,低温可否!D9=1,標準可否!D9=1,HUAWEI製ＰＣＳ接続枚数計算ツール!$C$108&gt;=D$2,HUAWEI製ＰＣＳ接続枚数計算ツール!$E$108&lt;=D$2,枚数!D9&gt;0),枚数!D9,IF(AND(標準可否!D9=1,低温可否!D9=1,HUAWEI製ＰＣＳ接続枚数計算ツール!$C$108&gt;=D$2,枚数!D9&gt;0,低電圧接続!D9&gt;0),枚数!D9,"-"))</f>
        <v>-</v>
      </c>
      <c r="E9" s="123" t="str">
        <f>IF(AND(高温可否!E9=1,低温可否!E9=1,標準可否!E9=1,HUAWEI製ＰＣＳ接続枚数計算ツール!$C$108&gt;=E$2,HUAWEI製ＰＣＳ接続枚数計算ツール!$E$108&lt;=E$2,枚数!E9&gt;0),枚数!E9,IF(AND(標準可否!E9=1,低温可否!E9=1,HUAWEI製ＰＣＳ接続枚数計算ツール!$C$108&gt;=E$2,枚数!E9&gt;0,低電圧接続!E9&gt;0),枚数!E9,"-"))</f>
        <v>-</v>
      </c>
      <c r="F9" s="124" t="str">
        <f>IF(AND(高温可否!F9=1,低温可否!F9=1,標準可否!F9=1,HUAWEI製ＰＣＳ接続枚数計算ツール!$C$108&gt;=F$2,HUAWEI製ＰＣＳ接続枚数計算ツール!$E$108&lt;=F$2,枚数!F9&gt;0),枚数!F9,IF(AND(標準可否!F9=1,低温可否!F9=1,HUAWEI製ＰＣＳ接続枚数計算ツール!$C$108&gt;=F$2,枚数!F9&gt;0,低電圧接続!F9&gt;0),枚数!F9,"-"))</f>
        <v>-</v>
      </c>
      <c r="G9" s="123" t="str">
        <f>IF(AND(高温可否!G9=1,低温可否!G9=1,標準可否!G9=1,HUAWEI製ＰＣＳ接続枚数計算ツール!$C$108&gt;=G$2,HUAWEI製ＰＣＳ接続枚数計算ツール!$E$108&lt;=G$2,枚数!G9&gt;0),枚数!G9,IF(AND(標準可否!G9=1,低温可否!G9=1,HUAWEI製ＰＣＳ接続枚数計算ツール!$C$108&gt;=G$2,枚数!G9&gt;0,低電圧接続!G9&gt;0),枚数!G9,"-"))</f>
        <v>-</v>
      </c>
      <c r="H9" s="124" t="str">
        <f>IF(AND(高温可否!H9=1,低温可否!H9=1,標準可否!H9=1,HUAWEI製ＰＣＳ接続枚数計算ツール!$C$108&gt;=H$2,HUAWEI製ＰＣＳ接続枚数計算ツール!$E$108&lt;=H$2,枚数!H9&gt;0),枚数!H9,IF(AND(標準可否!H9=1,低温可否!H9=1,HUAWEI製ＰＣＳ接続枚数計算ツール!$C$108&gt;=H$2,枚数!H9&gt;0,低電圧接続!H9&gt;0),枚数!H9,"-"))</f>
        <v>-</v>
      </c>
      <c r="I9" s="123" t="str">
        <f>IF(AND(高温可否!I9=1,低温可否!I9=1,標準可否!I9=1,HUAWEI製ＰＣＳ接続枚数計算ツール!$C$108&gt;=I$2,HUAWEI製ＰＣＳ接続枚数計算ツール!$E$108&lt;=I$2,枚数!I9&gt;0),枚数!I9,IF(AND(標準可否!I9=1,低温可否!I9=1,HUAWEI製ＰＣＳ接続枚数計算ツール!$C$108&gt;=I$2,枚数!I9&gt;0,低電圧接続!I9&gt;0),枚数!I9,"-"))</f>
        <v>-</v>
      </c>
      <c r="J9" s="124" t="str">
        <f>IF(AND(高温可否!J9=1,低温可否!J9=1,標準可否!J9=1,HUAWEI製ＰＣＳ接続枚数計算ツール!$C$108&gt;=J$2,HUAWEI製ＰＣＳ接続枚数計算ツール!$E$108&lt;=J$2,枚数!J9&gt;0),枚数!J9,IF(AND(標準可否!J9=1,低温可否!J9=1,HUAWEI製ＰＣＳ接続枚数計算ツール!$C$108&gt;=J$2,枚数!J9&gt;0,低電圧接続!J9&gt;0),枚数!J9,"-"))</f>
        <v>-</v>
      </c>
      <c r="K9" s="123" t="str">
        <f>IF(AND(高温可否!K9=1,低温可否!K9=1,標準可否!K9=1,HUAWEI製ＰＣＳ接続枚数計算ツール!$C$108&gt;=K$2,HUAWEI製ＰＣＳ接続枚数計算ツール!$E$108&lt;=K$2,枚数!K9&gt;0),枚数!K9,IF(AND(標準可否!K9=1,低温可否!K9=1,HUAWEI製ＰＣＳ接続枚数計算ツール!$C$108&gt;=K$2,枚数!K9&gt;0,低電圧接続!K9&gt;0),枚数!K9,"-"))</f>
        <v>-</v>
      </c>
      <c r="L9" s="124" t="str">
        <f>IF(AND(高温可否!L9=1,低温可否!L9=1,標準可否!L9=1,HUAWEI製ＰＣＳ接続枚数計算ツール!$C$108&gt;=L$2,HUAWEI製ＰＣＳ接続枚数計算ツール!$E$108&lt;=L$2,枚数!L9&gt;0),枚数!L9,IF(AND(標準可否!L9=1,低温可否!L9=1,HUAWEI製ＰＣＳ接続枚数計算ツール!$C$108&gt;=L$2,枚数!L9&gt;0,低電圧接続!L9&gt;0),枚数!L9,"-"))</f>
        <v>-</v>
      </c>
      <c r="M9" s="123" t="str">
        <f>IF(AND(高温可否!M9=1,低温可否!M9=1,標準可否!M9=1,HUAWEI製ＰＣＳ接続枚数計算ツール!$C$108&gt;=M$2,HUAWEI製ＰＣＳ接続枚数計算ツール!$E$108&lt;=M$2,枚数!M9&gt;0),枚数!M9,IF(AND(標準可否!M9=1,低温可否!M9=1,HUAWEI製ＰＣＳ接続枚数計算ツール!$C$108&gt;=M$2,枚数!M9&gt;0,低電圧接続!M9&gt;0),枚数!M9,"-"))</f>
        <v>-</v>
      </c>
      <c r="N9" s="124" t="str">
        <f>IF(AND(高温可否!N9=1,低温可否!N9=1,標準可否!N9=1,HUAWEI製ＰＣＳ接続枚数計算ツール!$C$108&gt;=N$2,HUAWEI製ＰＣＳ接続枚数計算ツール!$E$108&lt;=N$2,枚数!N9&gt;0),枚数!N9,IF(AND(標準可否!N9=1,低温可否!N9=1,HUAWEI製ＰＣＳ接続枚数計算ツール!$C$108&gt;=N$2,枚数!N9&gt;0,低電圧接続!N9&gt;0),枚数!N9,"-"))</f>
        <v>-</v>
      </c>
      <c r="O9" s="123">
        <f>IF(AND(高温可否!O9=1,低温可否!O9=1,標準可否!O9=1,HUAWEI製ＰＣＳ接続枚数計算ツール!$C$108&gt;=O$2,HUAWEI製ＰＣＳ接続枚数計算ツール!$E$108&lt;=O$2,枚数!O9&gt;0),枚数!O9,IF(AND(標準可否!O9=1,低温可否!O9=1,HUAWEI製ＰＣＳ接続枚数計算ツール!$C$108&gt;=O$2,枚数!O9&gt;0,低電圧接続!O9&gt;0),枚数!O9,"-"))</f>
        <v>98</v>
      </c>
      <c r="P9" s="124">
        <f>IF(AND(高温可否!P9=1,低温可否!P9=1,標準可否!P9=1,HUAWEI製ＰＣＳ接続枚数計算ツール!$C$108&gt;=P$2,HUAWEI製ＰＣＳ接続枚数計算ツール!$E$108&lt;=P$2,枚数!P9&gt;0),枚数!P9,IF(AND(標準可否!P9=1,低温可否!P9=1,HUAWEI製ＰＣＳ接続枚数計算ツール!$C$108&gt;=P$2,枚数!P9&gt;0,低電圧接続!P9&gt;0),枚数!P9,"-"))</f>
        <v>105</v>
      </c>
      <c r="Q9" s="123">
        <f>IF(AND(高温可否!Q9=1,低温可否!Q9=1,標準可否!Q9=1,HUAWEI製ＰＣＳ接続枚数計算ツール!$C$108&gt;=Q$2,HUAWEI製ＰＣＳ接続枚数計算ツール!$E$108&lt;=Q$2,枚数!Q9&gt;0),枚数!Q9,IF(AND(標準可否!Q9=1,低温可否!Q9=1,HUAWEI製ＰＣＳ接続枚数計算ツール!$C$108&gt;=Q$2,枚数!Q9&gt;0,低電圧接続!Q9&gt;0),枚数!Q9,"-"))</f>
        <v>112</v>
      </c>
      <c r="R9" s="124">
        <f>IF(AND(高温可否!R9=1,低温可否!R9=1,標準可否!R9=1,HUAWEI製ＰＣＳ接続枚数計算ツール!$C$108&gt;=R$2,HUAWEI製ＰＣＳ接続枚数計算ツール!$E$108&lt;=R$2,枚数!R9&gt;0),枚数!R9,IF(AND(標準可否!R9=1,低温可否!R9=1,HUAWEI製ＰＣＳ接続枚数計算ツール!$C$108&gt;=R$2,枚数!R9&gt;0,低電圧接続!R9&gt;0),枚数!R9,"-"))</f>
        <v>119</v>
      </c>
      <c r="S9" s="123">
        <f>IF(AND(高温可否!S9=1,低温可否!S9=1,標準可否!S9=1,HUAWEI製ＰＣＳ接続枚数計算ツール!$C$108&gt;=S$2,HUAWEI製ＰＣＳ接続枚数計算ツール!$E$108&lt;=S$2,枚数!S9&gt;0),枚数!S9,IF(AND(標準可否!S9=1,低温可否!S9=1,HUAWEI製ＰＣＳ接続枚数計算ツール!$C$108&gt;=S$2,枚数!S9&gt;0,低電圧接続!S9&gt;0),枚数!S9,"-"))</f>
        <v>126</v>
      </c>
      <c r="T9" s="124">
        <f>IF(AND(高温可否!T9=1,低温可否!T9=1,標準可否!T9=1,HUAWEI製ＰＣＳ接続枚数計算ツール!$C$108&gt;=T$2,HUAWEI製ＰＣＳ接続枚数計算ツール!$E$108&lt;=T$2,枚数!T9&gt;0),枚数!T9,IF(AND(標準可否!T9=1,低温可否!T9=1,HUAWEI製ＰＣＳ接続枚数計算ツール!$C$108&gt;=T$2,枚数!T9&gt;0,低電圧接続!T9&gt;0),枚数!T9,"-"))</f>
        <v>133</v>
      </c>
      <c r="U9" s="123">
        <f>IF(AND(高温可否!U9=1,低温可否!U9=1,標準可否!U9=1,HUAWEI製ＰＣＳ接続枚数計算ツール!$C$108&gt;=U$2,HUAWEI製ＰＣＳ接続枚数計算ツール!$E$108&lt;=U$2,枚数!U9&gt;0),枚数!U9,IF(AND(標準可否!U9=1,低温可否!U9=1,HUAWEI製ＰＣＳ接続枚数計算ツール!$C$108&gt;=U$2,枚数!U9&gt;0,低電圧接続!U9&gt;0),枚数!U9,"-"))</f>
        <v>140</v>
      </c>
      <c r="V9" s="124">
        <f>IF(AND(高温可否!V9=1,低温可否!V9=1,標準可否!V9=1,HUAWEI製ＰＣＳ接続枚数計算ツール!$C$108&gt;=V$2,HUAWEI製ＰＣＳ接続枚数計算ツール!$E$108&lt;=V$2,枚数!V9&gt;0),枚数!V9,IF(AND(標準可否!V9=1,低温可否!V9=1,HUAWEI製ＰＣＳ接続枚数計算ツール!$C$108&gt;=V$2,枚数!V9&gt;0,低電圧接続!V9&gt;0),枚数!V9,"-"))</f>
        <v>147</v>
      </c>
      <c r="W9" s="123">
        <f>IF(AND(高温可否!W9=1,低温可否!W9=1,標準可否!W9=1,HUAWEI製ＰＣＳ接続枚数計算ツール!$C$108&gt;=W$2,HUAWEI製ＰＣＳ接続枚数計算ツール!$E$108&lt;=W$2,枚数!W9&gt;0),枚数!W9,IF(AND(標準可否!W9=1,低温可否!W9=1,HUAWEI製ＰＣＳ接続枚数計算ツール!$C$108&gt;=W$2,枚数!W9&gt;0,低電圧接続!W9&gt;0),枚数!W9,"-"))</f>
        <v>154</v>
      </c>
      <c r="X9" s="124">
        <f>IF(AND(高温可否!X9=1,低温可否!X9=1,標準可否!X9=1,HUAWEI製ＰＣＳ接続枚数計算ツール!$C$108&gt;=X$2,HUAWEI製ＰＣＳ接続枚数計算ツール!$E$108&lt;=X$2,枚数!X9&gt;0),枚数!X9,IF(AND(標準可否!X9=1,低温可否!X9=1,HUAWEI製ＰＣＳ接続枚数計算ツール!$C$108&gt;=X$2,枚数!X9&gt;0,低電圧接続!X9&gt;0),枚数!X9,"-"))</f>
        <v>161</v>
      </c>
      <c r="Y9" s="123">
        <f>IF(AND(高温可否!Y9=1,低温可否!Y9=1,標準可否!Y9=1,HUAWEI製ＰＣＳ接続枚数計算ツール!$C$108&gt;=Y$2,HUAWEI製ＰＣＳ接続枚数計算ツール!$E$108&lt;=Y$2,枚数!Y9&gt;0),枚数!Y9,IF(AND(標準可否!Y9=1,低温可否!Y9=1,HUAWEI製ＰＣＳ接続枚数計算ツール!$C$108&gt;=Y$2,枚数!Y9&gt;0,低電圧接続!Y9&gt;0),枚数!Y9,"-"))</f>
        <v>168</v>
      </c>
      <c r="Z9" s="124">
        <f>IF(AND(高温可否!Z9=1,低温可否!Z9=1,標準可否!Z9=1,HUAWEI製ＰＣＳ接続枚数計算ツール!$C$108&gt;=Z$2,HUAWEI製ＰＣＳ接続枚数計算ツール!$E$108&lt;=Z$2,枚数!Z9&gt;0),枚数!Z9,IF(AND(標準可否!Z9=1,低温可否!Z9=1,HUAWEI製ＰＣＳ接続枚数計算ツール!$C$108&gt;=Z$2,枚数!Z9&gt;0,低電圧接続!Z9&gt;0),枚数!Z9,"-"))</f>
        <v>175</v>
      </c>
      <c r="AA9" s="123" t="str">
        <f>IF(AND(高温可否!AA9=1,低温可否!AA9=1,標準可否!AA9=1,HUAWEI製ＰＣＳ接続枚数計算ツール!$C$108&gt;=AA$2,HUAWEI製ＰＣＳ接続枚数計算ツール!$E$108&lt;=AA$2,枚数!AA9&gt;0),枚数!AA9,IF(AND(標準可否!AA9=1,低温可否!AA9=1,HUAWEI製ＰＣＳ接続枚数計算ツール!$C$108&gt;=AA$2,枚数!AA9&gt;0,低電圧接続!AA9&gt;0),枚数!AA9,"-"))</f>
        <v>-</v>
      </c>
      <c r="AB9" s="124" t="str">
        <f>IF(AND(高温可否!AB9=1,低温可否!AB9=1,標準可否!AB9=1,HUAWEI製ＰＣＳ接続枚数計算ツール!$C$108&gt;=AB$2,HUAWEI製ＰＣＳ接続枚数計算ツール!$E$108&lt;=AB$2,枚数!AB9&gt;0),枚数!AB9,IF(AND(標準可否!AB9=1,低温可否!AB9=1,HUAWEI製ＰＣＳ接続枚数計算ツール!$C$108&gt;=AB$2,枚数!AB9&gt;0,低電圧接続!AB9&gt;0),枚数!AB9,"-"))</f>
        <v>-</v>
      </c>
      <c r="AC9" s="123" t="str">
        <f>IF(AND(高温可否!AC9=1,低温可否!AC9=1,標準可否!AC9=1,HUAWEI製ＰＣＳ接続枚数計算ツール!$C$108&gt;=AC$2,HUAWEI製ＰＣＳ接続枚数計算ツール!$E$108&lt;=AC$2,枚数!AC9&gt;0),枚数!AC9,IF(AND(標準可否!AC9=1,低温可否!AC9=1,HUAWEI製ＰＣＳ接続枚数計算ツール!$C$108&gt;=AC$2,枚数!AC9&gt;0,低電圧接続!AC9&gt;0),枚数!AC9,"-"))</f>
        <v>-</v>
      </c>
      <c r="AD9" s="124" t="str">
        <f>IF(AND(高温可否!AD9=1,低温可否!AD9=1,標準可否!AD9=1,HUAWEI製ＰＣＳ接続枚数計算ツール!$C$108&gt;=AD$2,HUAWEI製ＰＣＳ接続枚数計算ツール!$E$108&lt;=AD$2,枚数!AD9&gt;0),枚数!AD9,IF(AND(標準可否!AD9=1,低温可否!AD9=1,HUAWEI製ＰＣＳ接続枚数計算ツール!$C$108&gt;=AD$2,枚数!AD9&gt;0,低電圧接続!AD9&gt;0),枚数!AD9,"-"))</f>
        <v>-</v>
      </c>
      <c r="AE9" s="123" t="str">
        <f>IF(AND(高温可否!AE9=1,低温可否!AE9=1,標準可否!AE9=1,HUAWEI製ＰＣＳ接続枚数計算ツール!$C$108&gt;=AE$2,HUAWEI製ＰＣＳ接続枚数計算ツール!$E$108&lt;=AE$2,枚数!AE9&gt;0),枚数!AE9,IF(AND(標準可否!AE9=1,低温可否!AE9=1,HUAWEI製ＰＣＳ接続枚数計算ツール!$C$108&gt;=AE$2,枚数!AE9&gt;0,低電圧接続!AE9&gt;0),枚数!AE9,"-"))</f>
        <v>-</v>
      </c>
      <c r="AF9" s="124" t="str">
        <f>IF(AND(高温可否!AF9=1,低温可否!AF9=1,標準可否!AF9=1,HUAWEI製ＰＣＳ接続枚数計算ツール!$C$108&gt;=AF$2,HUAWEI製ＰＣＳ接続枚数計算ツール!$E$108&lt;=AF$2,枚数!AF9&gt;0),枚数!AF9,IF(AND(標準可否!AF9=1,低温可否!AF9=1,HUAWEI製ＰＣＳ接続枚数計算ツール!$C$108&gt;=AF$2,枚数!AF9&gt;0,低電圧接続!AF9&gt;0),枚数!AF9,"-"))</f>
        <v>-</v>
      </c>
      <c r="AG9" s="123" t="str">
        <f>IF(AND(高温可否!AG9=1,低温可否!AG9=1,標準可否!AG9=1,HUAWEI製ＰＣＳ接続枚数計算ツール!$C$108&gt;=AG$2,HUAWEI製ＰＣＳ接続枚数計算ツール!$E$108&lt;=AG$2,枚数!AG9&gt;0),枚数!AG9,IF(AND(標準可否!AG9=1,低温可否!AG9=1,HUAWEI製ＰＣＳ接続枚数計算ツール!$C$108&gt;=AG$2,枚数!AG9&gt;0,低電圧接続!AG9&gt;0),枚数!AG9,"-"))</f>
        <v>-</v>
      </c>
      <c r="AH9" s="124" t="str">
        <f>IF(AND(高温可否!AH9=1,低温可否!AH9=1,標準可否!AH9=1,HUAWEI製ＰＣＳ接続枚数計算ツール!$C$108&gt;=AH$2,HUAWEI製ＰＣＳ接続枚数計算ツール!$E$108&lt;=AH$2,枚数!AH9&gt;0),枚数!AH9,IF(AND(標準可否!AH9=1,低温可否!AH9=1,HUAWEI製ＰＣＳ接続枚数計算ツール!$C$108&gt;=AH$2,枚数!AH9&gt;0,低電圧接続!AH9&gt;0),枚数!AH9,"-"))</f>
        <v>-</v>
      </c>
      <c r="AI9" s="123" t="str">
        <f>IF(AND(高温可否!AI9=1,低温可否!AI9=1,標準可否!AI9=1,HUAWEI製ＰＣＳ接続枚数計算ツール!$C$108&gt;=AI$2,HUAWEI製ＰＣＳ接続枚数計算ツール!$E$108&lt;=AI$2,枚数!AI9&gt;0),枚数!AI9,IF(AND(標準可否!AI9=1,低温可否!AI9=1,HUAWEI製ＰＣＳ接続枚数計算ツール!$C$108&gt;=AI$2,枚数!AI9&gt;0,低電圧接続!AI9&gt;0),枚数!AI9,"-"))</f>
        <v>-</v>
      </c>
      <c r="AJ9" s="124" t="str">
        <f>IF(AND(高温可否!AJ9=1,低温可否!AJ9=1,標準可否!AJ9=1,HUAWEI製ＰＣＳ接続枚数計算ツール!$C$108&gt;=AJ$2,HUAWEI製ＰＣＳ接続枚数計算ツール!$E$108&lt;=AJ$2,枚数!AJ9&gt;0),枚数!AJ9,IF(AND(標準可否!AJ9=1,低温可否!AJ9=1,HUAWEI製ＰＣＳ接続枚数計算ツール!$C$108&gt;=AJ$2,枚数!AJ9&gt;0,低電圧接続!AJ9&gt;0),枚数!AJ9,"-"))</f>
        <v>-</v>
      </c>
      <c r="AK9" s="123" t="str">
        <f>IF(AND(高温可否!AK9=1,低温可否!AK9=1,標準可否!AK9=1,HUAWEI製ＰＣＳ接続枚数計算ツール!$C$108&gt;=AK$2,HUAWEI製ＰＣＳ接続枚数計算ツール!$E$108&lt;=AK$2,枚数!AK9&gt;0),枚数!AK9,IF(AND(標準可否!AK9=1,低温可否!AK9=1,HUAWEI製ＰＣＳ接続枚数計算ツール!$C$108&gt;=AK$2,枚数!AK9&gt;0,低電圧接続!AK9&gt;0),枚数!AK9,"-"))</f>
        <v>-</v>
      </c>
      <c r="AL9" s="124" t="str">
        <f>IF(AND(高温可否!AL9=1,低温可否!AL9=1,標準可否!AL9=1,HUAWEI製ＰＣＳ接続枚数計算ツール!$C$108&gt;=AL$2,HUAWEI製ＰＣＳ接続枚数計算ツール!$E$108&lt;=AL$2,枚数!AL9&gt;0),枚数!AL9,IF(AND(標準可否!AL9=1,低温可否!AL9=1,HUAWEI製ＰＣＳ接続枚数計算ツール!$C$108&gt;=AL$2,枚数!AL9&gt;0,低電圧接続!AL9&gt;0),枚数!AL9,"-"))</f>
        <v>-</v>
      </c>
      <c r="AM9" s="123" t="str">
        <f>IF(AND(高温可否!AM9=1,低温可否!AM9=1,標準可否!AM9=1,HUAWEI製ＰＣＳ接続枚数計算ツール!$C$108&gt;=AM$2,HUAWEI製ＰＣＳ接続枚数計算ツール!$E$108&lt;=AM$2,枚数!AM9&gt;0),枚数!AM9,IF(AND(標準可否!AM9=1,低温可否!AM9=1,HUAWEI製ＰＣＳ接続枚数計算ツール!$C$108&gt;=AM$2,枚数!AM9&gt;0,低電圧接続!AM9&gt;0),枚数!AM9,"-"))</f>
        <v>-</v>
      </c>
      <c r="AN9" s="124" t="str">
        <f>IF(AND(高温可否!AN9=1,低温可否!AN9=1,標準可否!AN9=1,HUAWEI製ＰＣＳ接続枚数計算ツール!$C$108&gt;=AN$2,HUAWEI製ＰＣＳ接続枚数計算ツール!$E$108&lt;=AN$2,枚数!AN9&gt;0),枚数!AN9,IF(AND(標準可否!AN9=1,低温可否!AN9=1,HUAWEI製ＰＣＳ接続枚数計算ツール!$C$108&gt;=AN$2,枚数!AN9&gt;0,低電圧接続!AN9&gt;0),枚数!AN9,"-"))</f>
        <v>-</v>
      </c>
      <c r="AO9" s="125" t="str">
        <f>IF(AND(高温可否!AO9=1,低温可否!AO9=1,標準可否!AO9=1,HUAWEI製ＰＣＳ接続枚数計算ツール!$C$108&gt;=AO$2,HUAWEI製ＰＣＳ接続枚数計算ツール!$E$108&lt;=AO$2,枚数!AO9&gt;0),枚数!AO9,IF(AND(標準可否!AO9=1,低温可否!AO9=1,HUAWEI製ＰＣＳ接続枚数計算ツール!$C$108&gt;=AO$2,枚数!AO9&gt;0,低電圧接続!AO9&gt;0),枚数!AO9,"-"))</f>
        <v>-</v>
      </c>
    </row>
    <row r="10" spans="1:41">
      <c r="A10" s="115">
        <v>8</v>
      </c>
      <c r="B10" s="126" t="str">
        <f>IF(AND(高温可否!B10=1,低温可否!B10=1,標準可否!B10=1,HUAWEI製ＰＣＳ接続枚数計算ツール!$C$108&gt;=B$2,HUAWEI製ＰＣＳ接続枚数計算ツール!$E$108&lt;=B$2,枚数!B10&gt;0),枚数!B10,IF(AND(標準可否!B10=1,低温可否!B10=1,HUAWEI製ＰＣＳ接続枚数計算ツール!$C$108&gt;=B$2,枚数!B10&gt;0,低電圧接続!B10&gt;0),枚数!B10,"-"))</f>
        <v>-</v>
      </c>
      <c r="C10" s="127" t="str">
        <f>IF(AND(高温可否!C10=1,低温可否!C10=1,標準可否!C10=1,HUAWEI製ＰＣＳ接続枚数計算ツール!$C$108&gt;=C$2,HUAWEI製ＰＣＳ接続枚数計算ツール!$E$108&lt;=C$2,枚数!C10&gt;0),枚数!C10,IF(AND(標準可否!C10=1,低温可否!C10=1,HUAWEI製ＰＣＳ接続枚数計算ツール!$C$108&gt;=C$2,枚数!C10&gt;0,低電圧接続!C10&gt;0),枚数!C10,"-"))</f>
        <v>-</v>
      </c>
      <c r="D10" s="128" t="str">
        <f>IF(AND(高温可否!D10=1,低温可否!D10=1,標準可否!D10=1,HUAWEI製ＰＣＳ接続枚数計算ツール!$C$108&gt;=D$2,HUAWEI製ＰＣＳ接続枚数計算ツール!$E$108&lt;=D$2,枚数!D10&gt;0),枚数!D10,IF(AND(標準可否!D10=1,低温可否!D10=1,HUAWEI製ＰＣＳ接続枚数計算ツール!$C$108&gt;=D$2,枚数!D10&gt;0,低電圧接続!D10&gt;0),枚数!D10,"-"))</f>
        <v>-</v>
      </c>
      <c r="E10" s="127" t="str">
        <f>IF(AND(高温可否!E10=1,低温可否!E10=1,標準可否!E10=1,HUAWEI製ＰＣＳ接続枚数計算ツール!$C$108&gt;=E$2,HUAWEI製ＰＣＳ接続枚数計算ツール!$E$108&lt;=E$2,枚数!E10&gt;0),枚数!E10,IF(AND(標準可否!E10=1,低温可否!E10=1,HUAWEI製ＰＣＳ接続枚数計算ツール!$C$108&gt;=E$2,枚数!E10&gt;0,低電圧接続!E10&gt;0),枚数!E10,"-"))</f>
        <v>-</v>
      </c>
      <c r="F10" s="128" t="str">
        <f>IF(AND(高温可否!F10=1,低温可否!F10=1,標準可否!F10=1,HUAWEI製ＰＣＳ接続枚数計算ツール!$C$108&gt;=F$2,HUAWEI製ＰＣＳ接続枚数計算ツール!$E$108&lt;=F$2,枚数!F10&gt;0),枚数!F10,IF(AND(標準可否!F10=1,低温可否!F10=1,HUAWEI製ＰＣＳ接続枚数計算ツール!$C$108&gt;=F$2,枚数!F10&gt;0,低電圧接続!F10&gt;0),枚数!F10,"-"))</f>
        <v>-</v>
      </c>
      <c r="G10" s="127" t="str">
        <f>IF(AND(高温可否!G10=1,低温可否!G10=1,標準可否!G10=1,HUAWEI製ＰＣＳ接続枚数計算ツール!$C$108&gt;=G$2,HUAWEI製ＰＣＳ接続枚数計算ツール!$E$108&lt;=G$2,枚数!G10&gt;0),枚数!G10,IF(AND(標準可否!G10=1,低温可否!G10=1,HUAWEI製ＰＣＳ接続枚数計算ツール!$C$108&gt;=G$2,枚数!G10&gt;0,低電圧接続!G10&gt;0),枚数!G10,"-"))</f>
        <v>-</v>
      </c>
      <c r="H10" s="128" t="str">
        <f>IF(AND(高温可否!H10=1,低温可否!H10=1,標準可否!H10=1,HUAWEI製ＰＣＳ接続枚数計算ツール!$C$108&gt;=H$2,HUAWEI製ＰＣＳ接続枚数計算ツール!$E$108&lt;=H$2,枚数!H10&gt;0),枚数!H10,IF(AND(標準可否!H10=1,低温可否!H10=1,HUAWEI製ＰＣＳ接続枚数計算ツール!$C$108&gt;=H$2,枚数!H10&gt;0,低電圧接続!H10&gt;0),枚数!H10,"-"))</f>
        <v>-</v>
      </c>
      <c r="I10" s="127" t="str">
        <f>IF(AND(高温可否!I10=1,低温可否!I10=1,標準可否!I10=1,HUAWEI製ＰＣＳ接続枚数計算ツール!$C$108&gt;=I$2,HUAWEI製ＰＣＳ接続枚数計算ツール!$E$108&lt;=I$2,枚数!I10&gt;0),枚数!I10,IF(AND(標準可否!I10=1,低温可否!I10=1,HUAWEI製ＰＣＳ接続枚数計算ツール!$C$108&gt;=I$2,枚数!I10&gt;0,低電圧接続!I10&gt;0),枚数!I10,"-"))</f>
        <v>-</v>
      </c>
      <c r="J10" s="128" t="str">
        <f>IF(AND(高温可否!J10=1,低温可否!J10=1,標準可否!J10=1,HUAWEI製ＰＣＳ接続枚数計算ツール!$C$108&gt;=J$2,HUAWEI製ＰＣＳ接続枚数計算ツール!$E$108&lt;=J$2,枚数!J10&gt;0),枚数!J10,IF(AND(標準可否!J10=1,低温可否!J10=1,HUAWEI製ＰＣＳ接続枚数計算ツール!$C$108&gt;=J$2,枚数!J10&gt;0,低電圧接続!J10&gt;0),枚数!J10,"-"))</f>
        <v>-</v>
      </c>
      <c r="K10" s="127" t="str">
        <f>IF(AND(高温可否!K10=1,低温可否!K10=1,標準可否!K10=1,HUAWEI製ＰＣＳ接続枚数計算ツール!$C$108&gt;=K$2,HUAWEI製ＰＣＳ接続枚数計算ツール!$E$108&lt;=K$2,枚数!K10&gt;0),枚数!K10,IF(AND(標準可否!K10=1,低温可否!K10=1,HUAWEI製ＰＣＳ接続枚数計算ツール!$C$108&gt;=K$2,枚数!K10&gt;0,低電圧接続!K10&gt;0),枚数!K10,"-"))</f>
        <v>-</v>
      </c>
      <c r="L10" s="128" t="str">
        <f>IF(AND(高温可否!L10=1,低温可否!L10=1,標準可否!L10=1,HUAWEI製ＰＣＳ接続枚数計算ツール!$C$108&gt;=L$2,HUAWEI製ＰＣＳ接続枚数計算ツール!$E$108&lt;=L$2,枚数!L10&gt;0),枚数!L10,IF(AND(標準可否!L10=1,低温可否!L10=1,HUAWEI製ＰＣＳ接続枚数計算ツール!$C$108&gt;=L$2,枚数!L10&gt;0,低電圧接続!L10&gt;0),枚数!L10,"-"))</f>
        <v>-</v>
      </c>
      <c r="M10" s="127" t="str">
        <f>IF(AND(高温可否!M10=1,低温可否!M10=1,標準可否!M10=1,HUAWEI製ＰＣＳ接続枚数計算ツール!$C$108&gt;=M$2,HUAWEI製ＰＣＳ接続枚数計算ツール!$E$108&lt;=M$2,枚数!M10&gt;0),枚数!M10,IF(AND(標準可否!M10=1,低温可否!M10=1,HUAWEI製ＰＣＳ接続枚数計算ツール!$C$108&gt;=M$2,枚数!M10&gt;0,低電圧接続!M10&gt;0),枚数!M10,"-"))</f>
        <v>-</v>
      </c>
      <c r="N10" s="128" t="str">
        <f>IF(AND(高温可否!N10=1,低温可否!N10=1,標準可否!N10=1,HUAWEI製ＰＣＳ接続枚数計算ツール!$C$108&gt;=N$2,HUAWEI製ＰＣＳ接続枚数計算ツール!$E$108&lt;=N$2,枚数!N10&gt;0),枚数!N10,IF(AND(標準可否!N10=1,低温可否!N10=1,HUAWEI製ＰＣＳ接続枚数計算ツール!$C$108&gt;=N$2,枚数!N10&gt;0,低電圧接続!N10&gt;0),枚数!N10,"-"))</f>
        <v>-</v>
      </c>
      <c r="O10" s="127">
        <f>IF(AND(高温可否!O10=1,低温可否!O10=1,標準可否!O10=1,HUAWEI製ＰＣＳ接続枚数計算ツール!$C$108&gt;=O$2,HUAWEI製ＰＣＳ接続枚数計算ツール!$E$108&lt;=O$2,枚数!O10&gt;0),枚数!O10,IF(AND(標準可否!O10=1,低温可否!O10=1,HUAWEI製ＰＣＳ接続枚数計算ツール!$C$108&gt;=O$2,枚数!O10&gt;0,低電圧接続!O10&gt;0),枚数!O10,"-"))</f>
        <v>112</v>
      </c>
      <c r="P10" s="128">
        <f>IF(AND(高温可否!P10=1,低温可否!P10=1,標準可否!P10=1,HUAWEI製ＰＣＳ接続枚数計算ツール!$C$108&gt;=P$2,HUAWEI製ＰＣＳ接続枚数計算ツール!$E$108&lt;=P$2,枚数!P10&gt;0),枚数!P10,IF(AND(標準可否!P10=1,低温可否!P10=1,HUAWEI製ＰＣＳ接続枚数計算ツール!$C$108&gt;=P$2,枚数!P10&gt;0,低電圧接続!P10&gt;0),枚数!P10,"-"))</f>
        <v>120</v>
      </c>
      <c r="Q10" s="127">
        <f>IF(AND(高温可否!Q10=1,低温可否!Q10=1,標準可否!Q10=1,HUAWEI製ＰＣＳ接続枚数計算ツール!$C$108&gt;=Q$2,HUAWEI製ＰＣＳ接続枚数計算ツール!$E$108&lt;=Q$2,枚数!Q10&gt;0),枚数!Q10,IF(AND(標準可否!Q10=1,低温可否!Q10=1,HUAWEI製ＰＣＳ接続枚数計算ツール!$C$108&gt;=Q$2,枚数!Q10&gt;0,低電圧接続!Q10&gt;0),枚数!Q10,"-"))</f>
        <v>128</v>
      </c>
      <c r="R10" s="128">
        <f>IF(AND(高温可否!R10=1,低温可否!R10=1,標準可否!R10=1,HUAWEI製ＰＣＳ接続枚数計算ツール!$C$108&gt;=R$2,HUAWEI製ＰＣＳ接続枚数計算ツール!$E$108&lt;=R$2,枚数!R10&gt;0),枚数!R10,IF(AND(標準可否!R10=1,低温可否!R10=1,HUAWEI製ＰＣＳ接続枚数計算ツール!$C$108&gt;=R$2,枚数!R10&gt;0,低電圧接続!R10&gt;0),枚数!R10,"-"))</f>
        <v>136</v>
      </c>
      <c r="S10" s="127">
        <f>IF(AND(高温可否!S10=1,低温可否!S10=1,標準可否!S10=1,HUAWEI製ＰＣＳ接続枚数計算ツール!$C$108&gt;=S$2,HUAWEI製ＰＣＳ接続枚数計算ツール!$E$108&lt;=S$2,枚数!S10&gt;0),枚数!S10,IF(AND(標準可否!S10=1,低温可否!S10=1,HUAWEI製ＰＣＳ接続枚数計算ツール!$C$108&gt;=S$2,枚数!S10&gt;0,低電圧接続!S10&gt;0),枚数!S10,"-"))</f>
        <v>144</v>
      </c>
      <c r="T10" s="128">
        <f>IF(AND(高温可否!T10=1,低温可否!T10=1,標準可否!T10=1,HUAWEI製ＰＣＳ接続枚数計算ツール!$C$108&gt;=T$2,HUAWEI製ＰＣＳ接続枚数計算ツール!$E$108&lt;=T$2,枚数!T10&gt;0),枚数!T10,IF(AND(標準可否!T10=1,低温可否!T10=1,HUAWEI製ＰＣＳ接続枚数計算ツール!$C$108&gt;=T$2,枚数!T10&gt;0,低電圧接続!T10&gt;0),枚数!T10,"-"))</f>
        <v>152</v>
      </c>
      <c r="U10" s="127">
        <f>IF(AND(高温可否!U10=1,低温可否!U10=1,標準可否!U10=1,HUAWEI製ＰＣＳ接続枚数計算ツール!$C$108&gt;=U$2,HUAWEI製ＰＣＳ接続枚数計算ツール!$E$108&lt;=U$2,枚数!U10&gt;0),枚数!U10,IF(AND(標準可否!U10=1,低温可否!U10=1,HUAWEI製ＰＣＳ接続枚数計算ツール!$C$108&gt;=U$2,枚数!U10&gt;0,低電圧接続!U10&gt;0),枚数!U10,"-"))</f>
        <v>160</v>
      </c>
      <c r="V10" s="128">
        <f>IF(AND(高温可否!V10=1,低温可否!V10=1,標準可否!V10=1,HUAWEI製ＰＣＳ接続枚数計算ツール!$C$108&gt;=V$2,HUAWEI製ＰＣＳ接続枚数計算ツール!$E$108&lt;=V$2,枚数!V10&gt;0),枚数!V10,IF(AND(標準可否!V10=1,低温可否!V10=1,HUAWEI製ＰＣＳ接続枚数計算ツール!$C$108&gt;=V$2,枚数!V10&gt;0,低電圧接続!V10&gt;0),枚数!V10,"-"))</f>
        <v>168</v>
      </c>
      <c r="W10" s="127">
        <f>IF(AND(高温可否!W10=1,低温可否!W10=1,標準可否!W10=1,HUAWEI製ＰＣＳ接続枚数計算ツール!$C$108&gt;=W$2,HUAWEI製ＰＣＳ接続枚数計算ツール!$E$108&lt;=W$2,枚数!W10&gt;0),枚数!W10,IF(AND(標準可否!W10=1,低温可否!W10=1,HUAWEI製ＰＣＳ接続枚数計算ツール!$C$108&gt;=W$2,枚数!W10&gt;0,低電圧接続!W10&gt;0),枚数!W10,"-"))</f>
        <v>176</v>
      </c>
      <c r="X10" s="128">
        <f>IF(AND(高温可否!X10=1,低温可否!X10=1,標準可否!X10=1,HUAWEI製ＰＣＳ接続枚数計算ツール!$C$108&gt;=X$2,HUAWEI製ＰＣＳ接続枚数計算ツール!$E$108&lt;=X$2,枚数!X10&gt;0),枚数!X10,IF(AND(標準可否!X10=1,低温可否!X10=1,HUAWEI製ＰＣＳ接続枚数計算ツール!$C$108&gt;=X$2,枚数!X10&gt;0,低電圧接続!X10&gt;0),枚数!X10,"-"))</f>
        <v>184</v>
      </c>
      <c r="Y10" s="127">
        <f>IF(AND(高温可否!Y10=1,低温可否!Y10=1,標準可否!Y10=1,HUAWEI製ＰＣＳ接続枚数計算ツール!$C$108&gt;=Y$2,HUAWEI製ＰＣＳ接続枚数計算ツール!$E$108&lt;=Y$2,枚数!Y10&gt;0),枚数!Y10,IF(AND(標準可否!Y10=1,低温可否!Y10=1,HUAWEI製ＰＣＳ接続枚数計算ツール!$C$108&gt;=Y$2,枚数!Y10&gt;0,低電圧接続!Y10&gt;0),枚数!Y10,"-"))</f>
        <v>192</v>
      </c>
      <c r="Z10" s="128">
        <f>IF(AND(高温可否!Z10=1,低温可否!Z10=1,標準可否!Z10=1,HUAWEI製ＰＣＳ接続枚数計算ツール!$C$108&gt;=Z$2,HUAWEI製ＰＣＳ接続枚数計算ツール!$E$108&lt;=Z$2,枚数!Z10&gt;0),枚数!Z10,IF(AND(標準可否!Z10=1,低温可否!Z10=1,HUAWEI製ＰＣＳ接続枚数計算ツール!$C$108&gt;=Z$2,枚数!Z10&gt;0,低電圧接続!Z10&gt;0),枚数!Z10,"-"))</f>
        <v>200</v>
      </c>
      <c r="AA10" s="127" t="str">
        <f>IF(AND(高温可否!AA10=1,低温可否!AA10=1,標準可否!AA10=1,HUAWEI製ＰＣＳ接続枚数計算ツール!$C$108&gt;=AA$2,HUAWEI製ＰＣＳ接続枚数計算ツール!$E$108&lt;=AA$2,枚数!AA10&gt;0),枚数!AA10,IF(AND(標準可否!AA10=1,低温可否!AA10=1,HUAWEI製ＰＣＳ接続枚数計算ツール!$C$108&gt;=AA$2,枚数!AA10&gt;0,低電圧接続!AA10&gt;0),枚数!AA10,"-"))</f>
        <v>-</v>
      </c>
      <c r="AB10" s="128" t="str">
        <f>IF(AND(高温可否!AB10=1,低温可否!AB10=1,標準可否!AB10=1,HUAWEI製ＰＣＳ接続枚数計算ツール!$C$108&gt;=AB$2,HUAWEI製ＰＣＳ接続枚数計算ツール!$E$108&lt;=AB$2,枚数!AB10&gt;0),枚数!AB10,IF(AND(標準可否!AB10=1,低温可否!AB10=1,HUAWEI製ＰＣＳ接続枚数計算ツール!$C$108&gt;=AB$2,枚数!AB10&gt;0,低電圧接続!AB10&gt;0),枚数!AB10,"-"))</f>
        <v>-</v>
      </c>
      <c r="AC10" s="127" t="str">
        <f>IF(AND(高温可否!AC10=1,低温可否!AC10=1,標準可否!AC10=1,HUAWEI製ＰＣＳ接続枚数計算ツール!$C$108&gt;=AC$2,HUAWEI製ＰＣＳ接続枚数計算ツール!$E$108&lt;=AC$2,枚数!AC10&gt;0),枚数!AC10,IF(AND(標準可否!AC10=1,低温可否!AC10=1,HUAWEI製ＰＣＳ接続枚数計算ツール!$C$108&gt;=AC$2,枚数!AC10&gt;0,低電圧接続!AC10&gt;0),枚数!AC10,"-"))</f>
        <v>-</v>
      </c>
      <c r="AD10" s="128" t="str">
        <f>IF(AND(高温可否!AD10=1,低温可否!AD10=1,標準可否!AD10=1,HUAWEI製ＰＣＳ接続枚数計算ツール!$C$108&gt;=AD$2,HUAWEI製ＰＣＳ接続枚数計算ツール!$E$108&lt;=AD$2,枚数!AD10&gt;0),枚数!AD10,IF(AND(標準可否!AD10=1,低温可否!AD10=1,HUAWEI製ＰＣＳ接続枚数計算ツール!$C$108&gt;=AD$2,枚数!AD10&gt;0,低電圧接続!AD10&gt;0),枚数!AD10,"-"))</f>
        <v>-</v>
      </c>
      <c r="AE10" s="127" t="str">
        <f>IF(AND(高温可否!AE10=1,低温可否!AE10=1,標準可否!AE10=1,HUAWEI製ＰＣＳ接続枚数計算ツール!$C$108&gt;=AE$2,HUAWEI製ＰＣＳ接続枚数計算ツール!$E$108&lt;=AE$2,枚数!AE10&gt;0),枚数!AE10,IF(AND(標準可否!AE10=1,低温可否!AE10=1,HUAWEI製ＰＣＳ接続枚数計算ツール!$C$108&gt;=AE$2,枚数!AE10&gt;0,低電圧接続!AE10&gt;0),枚数!AE10,"-"))</f>
        <v>-</v>
      </c>
      <c r="AF10" s="128" t="str">
        <f>IF(AND(高温可否!AF10=1,低温可否!AF10=1,標準可否!AF10=1,HUAWEI製ＰＣＳ接続枚数計算ツール!$C$108&gt;=AF$2,HUAWEI製ＰＣＳ接続枚数計算ツール!$E$108&lt;=AF$2,枚数!AF10&gt;0),枚数!AF10,IF(AND(標準可否!AF10=1,低温可否!AF10=1,HUAWEI製ＰＣＳ接続枚数計算ツール!$C$108&gt;=AF$2,枚数!AF10&gt;0,低電圧接続!AF10&gt;0),枚数!AF10,"-"))</f>
        <v>-</v>
      </c>
      <c r="AG10" s="127" t="str">
        <f>IF(AND(高温可否!AG10=1,低温可否!AG10=1,標準可否!AG10=1,HUAWEI製ＰＣＳ接続枚数計算ツール!$C$108&gt;=AG$2,HUAWEI製ＰＣＳ接続枚数計算ツール!$E$108&lt;=AG$2,枚数!AG10&gt;0),枚数!AG10,IF(AND(標準可否!AG10=1,低温可否!AG10=1,HUAWEI製ＰＣＳ接続枚数計算ツール!$C$108&gt;=AG$2,枚数!AG10&gt;0,低電圧接続!AG10&gt;0),枚数!AG10,"-"))</f>
        <v>-</v>
      </c>
      <c r="AH10" s="128" t="str">
        <f>IF(AND(高温可否!AH10=1,低温可否!AH10=1,標準可否!AH10=1,HUAWEI製ＰＣＳ接続枚数計算ツール!$C$108&gt;=AH$2,HUAWEI製ＰＣＳ接続枚数計算ツール!$E$108&lt;=AH$2,枚数!AH10&gt;0),枚数!AH10,IF(AND(標準可否!AH10=1,低温可否!AH10=1,HUAWEI製ＰＣＳ接続枚数計算ツール!$C$108&gt;=AH$2,枚数!AH10&gt;0,低電圧接続!AH10&gt;0),枚数!AH10,"-"))</f>
        <v>-</v>
      </c>
      <c r="AI10" s="127" t="str">
        <f>IF(AND(高温可否!AI10=1,低温可否!AI10=1,標準可否!AI10=1,HUAWEI製ＰＣＳ接続枚数計算ツール!$C$108&gt;=AI$2,HUAWEI製ＰＣＳ接続枚数計算ツール!$E$108&lt;=AI$2,枚数!AI10&gt;0),枚数!AI10,IF(AND(標準可否!AI10=1,低温可否!AI10=1,HUAWEI製ＰＣＳ接続枚数計算ツール!$C$108&gt;=AI$2,枚数!AI10&gt;0,低電圧接続!AI10&gt;0),枚数!AI10,"-"))</f>
        <v>-</v>
      </c>
      <c r="AJ10" s="128" t="str">
        <f>IF(AND(高温可否!AJ10=1,低温可否!AJ10=1,標準可否!AJ10=1,HUAWEI製ＰＣＳ接続枚数計算ツール!$C$108&gt;=AJ$2,HUAWEI製ＰＣＳ接続枚数計算ツール!$E$108&lt;=AJ$2,枚数!AJ10&gt;0),枚数!AJ10,IF(AND(標準可否!AJ10=1,低温可否!AJ10=1,HUAWEI製ＰＣＳ接続枚数計算ツール!$C$108&gt;=AJ$2,枚数!AJ10&gt;0,低電圧接続!AJ10&gt;0),枚数!AJ10,"-"))</f>
        <v>-</v>
      </c>
      <c r="AK10" s="127" t="str">
        <f>IF(AND(高温可否!AK10=1,低温可否!AK10=1,標準可否!AK10=1,HUAWEI製ＰＣＳ接続枚数計算ツール!$C$108&gt;=AK$2,HUAWEI製ＰＣＳ接続枚数計算ツール!$E$108&lt;=AK$2,枚数!AK10&gt;0),枚数!AK10,IF(AND(標準可否!AK10=1,低温可否!AK10=1,HUAWEI製ＰＣＳ接続枚数計算ツール!$C$108&gt;=AK$2,枚数!AK10&gt;0,低電圧接続!AK10&gt;0),枚数!AK10,"-"))</f>
        <v>-</v>
      </c>
      <c r="AL10" s="128" t="str">
        <f>IF(AND(高温可否!AL10=1,低温可否!AL10=1,標準可否!AL10=1,HUAWEI製ＰＣＳ接続枚数計算ツール!$C$108&gt;=AL$2,HUAWEI製ＰＣＳ接続枚数計算ツール!$E$108&lt;=AL$2,枚数!AL10&gt;0),枚数!AL10,IF(AND(標準可否!AL10=1,低温可否!AL10=1,HUAWEI製ＰＣＳ接続枚数計算ツール!$C$108&gt;=AL$2,枚数!AL10&gt;0,低電圧接続!AL10&gt;0),枚数!AL10,"-"))</f>
        <v>-</v>
      </c>
      <c r="AM10" s="127" t="str">
        <f>IF(AND(高温可否!AM10=1,低温可否!AM10=1,標準可否!AM10=1,HUAWEI製ＰＣＳ接続枚数計算ツール!$C$108&gt;=AM$2,HUAWEI製ＰＣＳ接続枚数計算ツール!$E$108&lt;=AM$2,枚数!AM10&gt;0),枚数!AM10,IF(AND(標準可否!AM10=1,低温可否!AM10=1,HUAWEI製ＰＣＳ接続枚数計算ツール!$C$108&gt;=AM$2,枚数!AM10&gt;0,低電圧接続!AM10&gt;0),枚数!AM10,"-"))</f>
        <v>-</v>
      </c>
      <c r="AN10" s="128" t="str">
        <f>IF(AND(高温可否!AN10=1,低温可否!AN10=1,標準可否!AN10=1,HUAWEI製ＰＣＳ接続枚数計算ツール!$C$108&gt;=AN$2,HUAWEI製ＰＣＳ接続枚数計算ツール!$E$108&lt;=AN$2,枚数!AN10&gt;0),枚数!AN10,IF(AND(標準可否!AN10=1,低温可否!AN10=1,HUAWEI製ＰＣＳ接続枚数計算ツール!$C$108&gt;=AN$2,枚数!AN10&gt;0,低電圧接続!AN10&gt;0),枚数!AN10,"-"))</f>
        <v>-</v>
      </c>
      <c r="AO10" s="129" t="str">
        <f>IF(AND(高温可否!AO10=1,低温可否!AO10=1,標準可否!AO10=1,HUAWEI製ＰＣＳ接続枚数計算ツール!$C$108&gt;=AO$2,HUAWEI製ＰＣＳ接続枚数計算ツール!$E$108&lt;=AO$2,枚数!AO10&gt;0),枚数!AO10,IF(AND(標準可否!AO10=1,低温可否!AO10=1,HUAWEI製ＰＣＳ接続枚数計算ツール!$C$108&gt;=AO$2,枚数!AO10&gt;0,低電圧接続!AO10&gt;0),枚数!AO10,"-"))</f>
        <v>-</v>
      </c>
    </row>
    <row r="11" spans="1:41">
      <c r="A11" s="116">
        <v>9</v>
      </c>
      <c r="B11" s="122" t="str">
        <f>IF(AND(高温可否!B11=1,低温可否!B11=1,標準可否!B11=1,HUAWEI製ＰＣＳ接続枚数計算ツール!$C$108&gt;=B$2,HUAWEI製ＰＣＳ接続枚数計算ツール!$E$108&lt;=B$2,枚数!B11&gt;0),枚数!B11,IF(AND(標準可否!B11=1,低温可否!B11=1,HUAWEI製ＰＣＳ接続枚数計算ツール!$C$108&gt;=B$2,枚数!B11&gt;0,低電圧接続!B11&gt;0),枚数!B11,"-"))</f>
        <v>-</v>
      </c>
      <c r="C11" s="123" t="str">
        <f>IF(AND(高温可否!C11=1,低温可否!C11=1,標準可否!C11=1,HUAWEI製ＰＣＳ接続枚数計算ツール!$C$108&gt;=C$2,HUAWEI製ＰＣＳ接続枚数計算ツール!$E$108&lt;=C$2,枚数!C11&gt;0),枚数!C11,IF(AND(標準可否!C11=1,低温可否!C11=1,HUAWEI製ＰＣＳ接続枚数計算ツール!$C$108&gt;=C$2,枚数!C11&gt;0,低電圧接続!C11&gt;0),枚数!C11,"-"))</f>
        <v>-</v>
      </c>
      <c r="D11" s="124" t="str">
        <f>IF(AND(高温可否!D11=1,低温可否!D11=1,標準可否!D11=1,HUAWEI製ＰＣＳ接続枚数計算ツール!$C$108&gt;=D$2,HUAWEI製ＰＣＳ接続枚数計算ツール!$E$108&lt;=D$2,枚数!D11&gt;0),枚数!D11,IF(AND(標準可否!D11=1,低温可否!D11=1,HUAWEI製ＰＣＳ接続枚数計算ツール!$C$108&gt;=D$2,枚数!D11&gt;0,低電圧接続!D11&gt;0),枚数!D11,"-"))</f>
        <v>-</v>
      </c>
      <c r="E11" s="123" t="str">
        <f>IF(AND(高温可否!E11=1,低温可否!E11=1,標準可否!E11=1,HUAWEI製ＰＣＳ接続枚数計算ツール!$C$108&gt;=E$2,HUAWEI製ＰＣＳ接続枚数計算ツール!$E$108&lt;=E$2,枚数!E11&gt;0),枚数!E11,IF(AND(標準可否!E11=1,低温可否!E11=1,HUAWEI製ＰＣＳ接続枚数計算ツール!$C$108&gt;=E$2,枚数!E11&gt;0,低電圧接続!E11&gt;0),枚数!E11,"-"))</f>
        <v>-</v>
      </c>
      <c r="F11" s="124" t="str">
        <f>IF(AND(高温可否!F11=1,低温可否!F11=1,標準可否!F11=1,HUAWEI製ＰＣＳ接続枚数計算ツール!$C$108&gt;=F$2,HUAWEI製ＰＣＳ接続枚数計算ツール!$E$108&lt;=F$2,枚数!F11&gt;0),枚数!F11,IF(AND(標準可否!F11=1,低温可否!F11=1,HUAWEI製ＰＣＳ接続枚数計算ツール!$C$108&gt;=F$2,枚数!F11&gt;0,低電圧接続!F11&gt;0),枚数!F11,"-"))</f>
        <v>-</v>
      </c>
      <c r="G11" s="123" t="str">
        <f>IF(AND(高温可否!G11=1,低温可否!G11=1,標準可否!G11=1,HUAWEI製ＰＣＳ接続枚数計算ツール!$C$108&gt;=G$2,HUAWEI製ＰＣＳ接続枚数計算ツール!$E$108&lt;=G$2,枚数!G11&gt;0),枚数!G11,IF(AND(標準可否!G11=1,低温可否!G11=1,HUAWEI製ＰＣＳ接続枚数計算ツール!$C$108&gt;=G$2,枚数!G11&gt;0,低電圧接続!G11&gt;0),枚数!G11,"-"))</f>
        <v>-</v>
      </c>
      <c r="H11" s="124" t="str">
        <f>IF(AND(高温可否!H11=1,低温可否!H11=1,標準可否!H11=1,HUAWEI製ＰＣＳ接続枚数計算ツール!$C$108&gt;=H$2,HUAWEI製ＰＣＳ接続枚数計算ツール!$E$108&lt;=H$2,枚数!H11&gt;0),枚数!H11,IF(AND(標準可否!H11=1,低温可否!H11=1,HUAWEI製ＰＣＳ接続枚数計算ツール!$C$108&gt;=H$2,枚数!H11&gt;0,低電圧接続!H11&gt;0),枚数!H11,"-"))</f>
        <v>-</v>
      </c>
      <c r="I11" s="123" t="str">
        <f>IF(AND(高温可否!I11=1,低温可否!I11=1,標準可否!I11=1,HUAWEI製ＰＣＳ接続枚数計算ツール!$C$108&gt;=I$2,HUAWEI製ＰＣＳ接続枚数計算ツール!$E$108&lt;=I$2,枚数!I11&gt;0),枚数!I11,IF(AND(標準可否!I11=1,低温可否!I11=1,HUAWEI製ＰＣＳ接続枚数計算ツール!$C$108&gt;=I$2,枚数!I11&gt;0,低電圧接続!I11&gt;0),枚数!I11,"-"))</f>
        <v>-</v>
      </c>
      <c r="J11" s="124" t="str">
        <f>IF(AND(高温可否!J11=1,低温可否!J11=1,標準可否!J11=1,HUAWEI製ＰＣＳ接続枚数計算ツール!$C$108&gt;=J$2,HUAWEI製ＰＣＳ接続枚数計算ツール!$E$108&lt;=J$2,枚数!J11&gt;0),枚数!J11,IF(AND(標準可否!J11=1,低温可否!J11=1,HUAWEI製ＰＣＳ接続枚数計算ツール!$C$108&gt;=J$2,枚数!J11&gt;0,低電圧接続!J11&gt;0),枚数!J11,"-"))</f>
        <v>-</v>
      </c>
      <c r="K11" s="123" t="str">
        <f>IF(AND(高温可否!K11=1,低温可否!K11=1,標準可否!K11=1,HUAWEI製ＰＣＳ接続枚数計算ツール!$C$108&gt;=K$2,HUAWEI製ＰＣＳ接続枚数計算ツール!$E$108&lt;=K$2,枚数!K11&gt;0),枚数!K11,IF(AND(標準可否!K11=1,低温可否!K11=1,HUAWEI製ＰＣＳ接続枚数計算ツール!$C$108&gt;=K$2,枚数!K11&gt;0,低電圧接続!K11&gt;0),枚数!K11,"-"))</f>
        <v>-</v>
      </c>
      <c r="L11" s="124" t="str">
        <f>IF(AND(高温可否!L11=1,低温可否!L11=1,標準可否!L11=1,HUAWEI製ＰＣＳ接続枚数計算ツール!$C$108&gt;=L$2,HUAWEI製ＰＣＳ接続枚数計算ツール!$E$108&lt;=L$2,枚数!L11&gt;0),枚数!L11,IF(AND(標準可否!L11=1,低温可否!L11=1,HUAWEI製ＰＣＳ接続枚数計算ツール!$C$108&gt;=L$2,枚数!L11&gt;0,低電圧接続!L11&gt;0),枚数!L11,"-"))</f>
        <v>-</v>
      </c>
      <c r="M11" s="123" t="str">
        <f>IF(AND(高温可否!M11=1,低温可否!M11=1,標準可否!M11=1,HUAWEI製ＰＣＳ接続枚数計算ツール!$C$108&gt;=M$2,HUAWEI製ＰＣＳ接続枚数計算ツール!$E$108&lt;=M$2,枚数!M11&gt;0),枚数!M11,IF(AND(標準可否!M11=1,低温可否!M11=1,HUAWEI製ＰＣＳ接続枚数計算ツール!$C$108&gt;=M$2,枚数!M11&gt;0,低電圧接続!M11&gt;0),枚数!M11,"-"))</f>
        <v>-</v>
      </c>
      <c r="N11" s="124" t="str">
        <f>IF(AND(高温可否!N11=1,低温可否!N11=1,標準可否!N11=1,HUAWEI製ＰＣＳ接続枚数計算ツール!$C$108&gt;=N$2,HUAWEI製ＰＣＳ接続枚数計算ツール!$E$108&lt;=N$2,枚数!N11&gt;0),枚数!N11,IF(AND(標準可否!N11=1,低温可否!N11=1,HUAWEI製ＰＣＳ接続枚数計算ツール!$C$108&gt;=N$2,枚数!N11&gt;0,低電圧接続!N11&gt;0),枚数!N11,"-"))</f>
        <v>-</v>
      </c>
      <c r="O11" s="123">
        <f>IF(AND(高温可否!O11=1,低温可否!O11=1,標準可否!O11=1,HUAWEI製ＰＣＳ接続枚数計算ツール!$C$108&gt;=O$2,HUAWEI製ＰＣＳ接続枚数計算ツール!$E$108&lt;=O$2,枚数!O11&gt;0),枚数!O11,IF(AND(標準可否!O11=1,低温可否!O11=1,HUAWEI製ＰＣＳ接続枚数計算ツール!$C$108&gt;=O$2,枚数!O11&gt;0,低電圧接続!O11&gt;0),枚数!O11,"-"))</f>
        <v>126</v>
      </c>
      <c r="P11" s="124">
        <f>IF(AND(高温可否!P11=1,低温可否!P11=1,標準可否!P11=1,HUAWEI製ＰＣＳ接続枚数計算ツール!$C$108&gt;=P$2,HUAWEI製ＰＣＳ接続枚数計算ツール!$E$108&lt;=P$2,枚数!P11&gt;0),枚数!P11,IF(AND(標準可否!P11=1,低温可否!P11=1,HUAWEI製ＰＣＳ接続枚数計算ツール!$C$108&gt;=P$2,枚数!P11&gt;0,低電圧接続!P11&gt;0),枚数!P11,"-"))</f>
        <v>135</v>
      </c>
      <c r="Q11" s="123">
        <f>IF(AND(高温可否!Q11=1,低温可否!Q11=1,標準可否!Q11=1,HUAWEI製ＰＣＳ接続枚数計算ツール!$C$108&gt;=Q$2,HUAWEI製ＰＣＳ接続枚数計算ツール!$E$108&lt;=Q$2,枚数!Q11&gt;0),枚数!Q11,IF(AND(標準可否!Q11=1,低温可否!Q11=1,HUAWEI製ＰＣＳ接続枚数計算ツール!$C$108&gt;=Q$2,枚数!Q11&gt;0,低電圧接続!Q11&gt;0),枚数!Q11,"-"))</f>
        <v>144</v>
      </c>
      <c r="R11" s="124">
        <f>IF(AND(高温可否!R11=1,低温可否!R11=1,標準可否!R11=1,HUAWEI製ＰＣＳ接続枚数計算ツール!$C$108&gt;=R$2,HUAWEI製ＰＣＳ接続枚数計算ツール!$E$108&lt;=R$2,枚数!R11&gt;0),枚数!R11,IF(AND(標準可否!R11=1,低温可否!R11=1,HUAWEI製ＰＣＳ接続枚数計算ツール!$C$108&gt;=R$2,枚数!R11&gt;0,低電圧接続!R11&gt;0),枚数!R11,"-"))</f>
        <v>153</v>
      </c>
      <c r="S11" s="123">
        <f>IF(AND(高温可否!S11=1,低温可否!S11=1,標準可否!S11=1,HUAWEI製ＰＣＳ接続枚数計算ツール!$C$108&gt;=S$2,HUAWEI製ＰＣＳ接続枚数計算ツール!$E$108&lt;=S$2,枚数!S11&gt;0),枚数!S11,IF(AND(標準可否!S11=1,低温可否!S11=1,HUAWEI製ＰＣＳ接続枚数計算ツール!$C$108&gt;=S$2,枚数!S11&gt;0,低電圧接続!S11&gt;0),枚数!S11,"-"))</f>
        <v>162</v>
      </c>
      <c r="T11" s="124">
        <f>IF(AND(高温可否!T11=1,低温可否!T11=1,標準可否!T11=1,HUAWEI製ＰＣＳ接続枚数計算ツール!$C$108&gt;=T$2,HUAWEI製ＰＣＳ接続枚数計算ツール!$E$108&lt;=T$2,枚数!T11&gt;0),枚数!T11,IF(AND(標準可否!T11=1,低温可否!T11=1,HUAWEI製ＰＣＳ接続枚数計算ツール!$C$108&gt;=T$2,枚数!T11&gt;0,低電圧接続!T11&gt;0),枚数!T11,"-"))</f>
        <v>171</v>
      </c>
      <c r="U11" s="123">
        <f>IF(AND(高温可否!U11=1,低温可否!U11=1,標準可否!U11=1,HUAWEI製ＰＣＳ接続枚数計算ツール!$C$108&gt;=U$2,HUAWEI製ＰＣＳ接続枚数計算ツール!$E$108&lt;=U$2,枚数!U11&gt;0),枚数!U11,IF(AND(標準可否!U11=1,低温可否!U11=1,HUAWEI製ＰＣＳ接続枚数計算ツール!$C$108&gt;=U$2,枚数!U11&gt;0,低電圧接続!U11&gt;0),枚数!U11,"-"))</f>
        <v>180</v>
      </c>
      <c r="V11" s="124">
        <f>IF(AND(高温可否!V11=1,低温可否!V11=1,標準可否!V11=1,HUAWEI製ＰＣＳ接続枚数計算ツール!$C$108&gt;=V$2,HUAWEI製ＰＣＳ接続枚数計算ツール!$E$108&lt;=V$2,枚数!V11&gt;0),枚数!V11,IF(AND(標準可否!V11=1,低温可否!V11=1,HUAWEI製ＰＣＳ接続枚数計算ツール!$C$108&gt;=V$2,枚数!V11&gt;0,低電圧接続!V11&gt;0),枚数!V11,"-"))</f>
        <v>189</v>
      </c>
      <c r="W11" s="123">
        <f>IF(AND(高温可否!W11=1,低温可否!W11=1,標準可否!W11=1,HUAWEI製ＰＣＳ接続枚数計算ツール!$C$108&gt;=W$2,HUAWEI製ＰＣＳ接続枚数計算ツール!$E$108&lt;=W$2,枚数!W11&gt;0),枚数!W11,IF(AND(標準可否!W11=1,低温可否!W11=1,HUAWEI製ＰＣＳ接続枚数計算ツール!$C$108&gt;=W$2,枚数!W11&gt;0,低電圧接続!W11&gt;0),枚数!W11,"-"))</f>
        <v>198</v>
      </c>
      <c r="X11" s="124">
        <f>IF(AND(高温可否!X11=1,低温可否!X11=1,標準可否!X11=1,HUAWEI製ＰＣＳ接続枚数計算ツール!$C$108&gt;=X$2,HUAWEI製ＰＣＳ接続枚数計算ツール!$E$108&lt;=X$2,枚数!X11&gt;0),枚数!X11,IF(AND(標準可否!X11=1,低温可否!X11=1,HUAWEI製ＰＣＳ接続枚数計算ツール!$C$108&gt;=X$2,枚数!X11&gt;0,低電圧接続!X11&gt;0),枚数!X11,"-"))</f>
        <v>207</v>
      </c>
      <c r="Y11" s="123" t="str">
        <f>IF(AND(高温可否!Y11=1,低温可否!Y11=1,標準可否!Y11=1,HUAWEI製ＰＣＳ接続枚数計算ツール!$C$108&gt;=Y$2,HUAWEI製ＰＣＳ接続枚数計算ツール!$E$108&lt;=Y$2,枚数!Y11&gt;0),枚数!Y11,IF(AND(標準可否!Y11=1,低温可否!Y11=1,HUAWEI製ＰＣＳ接続枚数計算ツール!$C$108&gt;=Y$2,枚数!Y11&gt;0,低電圧接続!Y11&gt;0),枚数!Y11,"-"))</f>
        <v>-</v>
      </c>
      <c r="Z11" s="124" t="str">
        <f>IF(AND(高温可否!Z11=1,低温可否!Z11=1,標準可否!Z11=1,HUAWEI製ＰＣＳ接続枚数計算ツール!$C$108&gt;=Z$2,HUAWEI製ＰＣＳ接続枚数計算ツール!$E$108&lt;=Z$2,枚数!Z11&gt;0),枚数!Z11,IF(AND(標準可否!Z11=1,低温可否!Z11=1,HUAWEI製ＰＣＳ接続枚数計算ツール!$C$108&gt;=Z$2,枚数!Z11&gt;0,低電圧接続!Z11&gt;0),枚数!Z11,"-"))</f>
        <v>-</v>
      </c>
      <c r="AA11" s="123" t="str">
        <f>IF(AND(高温可否!AA11=1,低温可否!AA11=1,標準可否!AA11=1,HUAWEI製ＰＣＳ接続枚数計算ツール!$C$108&gt;=AA$2,HUAWEI製ＰＣＳ接続枚数計算ツール!$E$108&lt;=AA$2,枚数!AA11&gt;0),枚数!AA11,IF(AND(標準可否!AA11=1,低温可否!AA11=1,HUAWEI製ＰＣＳ接続枚数計算ツール!$C$108&gt;=AA$2,枚数!AA11&gt;0,低電圧接続!AA11&gt;0),枚数!AA11,"-"))</f>
        <v>-</v>
      </c>
      <c r="AB11" s="124" t="str">
        <f>IF(AND(高温可否!AB11=1,低温可否!AB11=1,標準可否!AB11=1,HUAWEI製ＰＣＳ接続枚数計算ツール!$C$108&gt;=AB$2,HUAWEI製ＰＣＳ接続枚数計算ツール!$E$108&lt;=AB$2,枚数!AB11&gt;0),枚数!AB11,IF(AND(標準可否!AB11=1,低温可否!AB11=1,HUAWEI製ＰＣＳ接続枚数計算ツール!$C$108&gt;=AB$2,枚数!AB11&gt;0,低電圧接続!AB11&gt;0),枚数!AB11,"-"))</f>
        <v>-</v>
      </c>
      <c r="AC11" s="123" t="str">
        <f>IF(AND(高温可否!AC11=1,低温可否!AC11=1,標準可否!AC11=1,HUAWEI製ＰＣＳ接続枚数計算ツール!$C$108&gt;=AC$2,HUAWEI製ＰＣＳ接続枚数計算ツール!$E$108&lt;=AC$2,枚数!AC11&gt;0),枚数!AC11,IF(AND(標準可否!AC11=1,低温可否!AC11=1,HUAWEI製ＰＣＳ接続枚数計算ツール!$C$108&gt;=AC$2,枚数!AC11&gt;0,低電圧接続!AC11&gt;0),枚数!AC11,"-"))</f>
        <v>-</v>
      </c>
      <c r="AD11" s="124" t="str">
        <f>IF(AND(高温可否!AD11=1,低温可否!AD11=1,標準可否!AD11=1,HUAWEI製ＰＣＳ接続枚数計算ツール!$C$108&gt;=AD$2,HUAWEI製ＰＣＳ接続枚数計算ツール!$E$108&lt;=AD$2,枚数!AD11&gt;0),枚数!AD11,IF(AND(標準可否!AD11=1,低温可否!AD11=1,HUAWEI製ＰＣＳ接続枚数計算ツール!$C$108&gt;=AD$2,枚数!AD11&gt;0,低電圧接続!AD11&gt;0),枚数!AD11,"-"))</f>
        <v>-</v>
      </c>
      <c r="AE11" s="123" t="str">
        <f>IF(AND(高温可否!AE11=1,低温可否!AE11=1,標準可否!AE11=1,HUAWEI製ＰＣＳ接続枚数計算ツール!$C$108&gt;=AE$2,HUAWEI製ＰＣＳ接続枚数計算ツール!$E$108&lt;=AE$2,枚数!AE11&gt;0),枚数!AE11,IF(AND(標準可否!AE11=1,低温可否!AE11=1,HUAWEI製ＰＣＳ接続枚数計算ツール!$C$108&gt;=AE$2,枚数!AE11&gt;0,低電圧接続!AE11&gt;0),枚数!AE11,"-"))</f>
        <v>-</v>
      </c>
      <c r="AF11" s="124" t="str">
        <f>IF(AND(高温可否!AF11=1,低温可否!AF11=1,標準可否!AF11=1,HUAWEI製ＰＣＳ接続枚数計算ツール!$C$108&gt;=AF$2,HUAWEI製ＰＣＳ接続枚数計算ツール!$E$108&lt;=AF$2,枚数!AF11&gt;0),枚数!AF11,IF(AND(標準可否!AF11=1,低温可否!AF11=1,HUAWEI製ＰＣＳ接続枚数計算ツール!$C$108&gt;=AF$2,枚数!AF11&gt;0,低電圧接続!AF11&gt;0),枚数!AF11,"-"))</f>
        <v>-</v>
      </c>
      <c r="AG11" s="123" t="str">
        <f>IF(AND(高温可否!AG11=1,低温可否!AG11=1,標準可否!AG11=1,HUAWEI製ＰＣＳ接続枚数計算ツール!$C$108&gt;=AG$2,HUAWEI製ＰＣＳ接続枚数計算ツール!$E$108&lt;=AG$2,枚数!AG11&gt;0),枚数!AG11,IF(AND(標準可否!AG11=1,低温可否!AG11=1,HUAWEI製ＰＣＳ接続枚数計算ツール!$C$108&gt;=AG$2,枚数!AG11&gt;0,低電圧接続!AG11&gt;0),枚数!AG11,"-"))</f>
        <v>-</v>
      </c>
      <c r="AH11" s="124" t="str">
        <f>IF(AND(高温可否!AH11=1,低温可否!AH11=1,標準可否!AH11=1,HUAWEI製ＰＣＳ接続枚数計算ツール!$C$108&gt;=AH$2,HUAWEI製ＰＣＳ接続枚数計算ツール!$E$108&lt;=AH$2,枚数!AH11&gt;0),枚数!AH11,IF(AND(標準可否!AH11=1,低温可否!AH11=1,HUAWEI製ＰＣＳ接続枚数計算ツール!$C$108&gt;=AH$2,枚数!AH11&gt;0,低電圧接続!AH11&gt;0),枚数!AH11,"-"))</f>
        <v>-</v>
      </c>
      <c r="AI11" s="123" t="str">
        <f>IF(AND(高温可否!AI11=1,低温可否!AI11=1,標準可否!AI11=1,HUAWEI製ＰＣＳ接続枚数計算ツール!$C$108&gt;=AI$2,HUAWEI製ＰＣＳ接続枚数計算ツール!$E$108&lt;=AI$2,枚数!AI11&gt;0),枚数!AI11,IF(AND(標準可否!AI11=1,低温可否!AI11=1,HUAWEI製ＰＣＳ接続枚数計算ツール!$C$108&gt;=AI$2,枚数!AI11&gt;0,低電圧接続!AI11&gt;0),枚数!AI11,"-"))</f>
        <v>-</v>
      </c>
      <c r="AJ11" s="124" t="str">
        <f>IF(AND(高温可否!AJ11=1,低温可否!AJ11=1,標準可否!AJ11=1,HUAWEI製ＰＣＳ接続枚数計算ツール!$C$108&gt;=AJ$2,HUAWEI製ＰＣＳ接続枚数計算ツール!$E$108&lt;=AJ$2,枚数!AJ11&gt;0),枚数!AJ11,IF(AND(標準可否!AJ11=1,低温可否!AJ11=1,HUAWEI製ＰＣＳ接続枚数計算ツール!$C$108&gt;=AJ$2,枚数!AJ11&gt;0,低電圧接続!AJ11&gt;0),枚数!AJ11,"-"))</f>
        <v>-</v>
      </c>
      <c r="AK11" s="123" t="str">
        <f>IF(AND(高温可否!AK11=1,低温可否!AK11=1,標準可否!AK11=1,HUAWEI製ＰＣＳ接続枚数計算ツール!$C$108&gt;=AK$2,HUAWEI製ＰＣＳ接続枚数計算ツール!$E$108&lt;=AK$2,枚数!AK11&gt;0),枚数!AK11,IF(AND(標準可否!AK11=1,低温可否!AK11=1,HUAWEI製ＰＣＳ接続枚数計算ツール!$C$108&gt;=AK$2,枚数!AK11&gt;0,低電圧接続!AK11&gt;0),枚数!AK11,"-"))</f>
        <v>-</v>
      </c>
      <c r="AL11" s="124" t="str">
        <f>IF(AND(高温可否!AL11=1,低温可否!AL11=1,標準可否!AL11=1,HUAWEI製ＰＣＳ接続枚数計算ツール!$C$108&gt;=AL$2,HUAWEI製ＰＣＳ接続枚数計算ツール!$E$108&lt;=AL$2,枚数!AL11&gt;0),枚数!AL11,IF(AND(標準可否!AL11=1,低温可否!AL11=1,HUAWEI製ＰＣＳ接続枚数計算ツール!$C$108&gt;=AL$2,枚数!AL11&gt;0,低電圧接続!AL11&gt;0),枚数!AL11,"-"))</f>
        <v>-</v>
      </c>
      <c r="AM11" s="123" t="str">
        <f>IF(AND(高温可否!AM11=1,低温可否!AM11=1,標準可否!AM11=1,HUAWEI製ＰＣＳ接続枚数計算ツール!$C$108&gt;=AM$2,HUAWEI製ＰＣＳ接続枚数計算ツール!$E$108&lt;=AM$2,枚数!AM11&gt;0),枚数!AM11,IF(AND(標準可否!AM11=1,低温可否!AM11=1,HUAWEI製ＰＣＳ接続枚数計算ツール!$C$108&gt;=AM$2,枚数!AM11&gt;0,低電圧接続!AM11&gt;0),枚数!AM11,"-"))</f>
        <v>-</v>
      </c>
      <c r="AN11" s="124" t="str">
        <f>IF(AND(高温可否!AN11=1,低温可否!AN11=1,標準可否!AN11=1,HUAWEI製ＰＣＳ接続枚数計算ツール!$C$108&gt;=AN$2,HUAWEI製ＰＣＳ接続枚数計算ツール!$E$108&lt;=AN$2,枚数!AN11&gt;0),枚数!AN11,IF(AND(標準可否!AN11=1,低温可否!AN11=1,HUAWEI製ＰＣＳ接続枚数計算ツール!$C$108&gt;=AN$2,枚数!AN11&gt;0,低電圧接続!AN11&gt;0),枚数!AN11,"-"))</f>
        <v>-</v>
      </c>
      <c r="AO11" s="125" t="str">
        <f>IF(AND(高温可否!AO11=1,低温可否!AO11=1,標準可否!AO11=1,HUAWEI製ＰＣＳ接続枚数計算ツール!$C$108&gt;=AO$2,HUAWEI製ＰＣＳ接続枚数計算ツール!$E$108&lt;=AO$2,枚数!AO11&gt;0),枚数!AO11,IF(AND(標準可否!AO11=1,低温可否!AO11=1,HUAWEI製ＰＣＳ接続枚数計算ツール!$C$108&gt;=AO$2,枚数!AO11&gt;0,低電圧接続!AO11&gt;0),枚数!AO11,"-"))</f>
        <v>-</v>
      </c>
    </row>
    <row r="12" spans="1:41">
      <c r="A12" s="115">
        <v>10</v>
      </c>
      <c r="B12" s="126" t="str">
        <f>IF(AND(高温可否!B12=1,低温可否!B12=1,標準可否!B12=1,HUAWEI製ＰＣＳ接続枚数計算ツール!$C$108&gt;=B$2,HUAWEI製ＰＣＳ接続枚数計算ツール!$E$108&lt;=B$2,枚数!B12&gt;0),枚数!B12,IF(AND(標準可否!B12=1,低温可否!B12=1,HUAWEI製ＰＣＳ接続枚数計算ツール!$C$108&gt;=B$2,枚数!B12&gt;0,低電圧接続!B12&gt;0),枚数!B12,"-"))</f>
        <v>-</v>
      </c>
      <c r="C12" s="127" t="str">
        <f>IF(AND(高温可否!C12=1,低温可否!C12=1,標準可否!C12=1,HUAWEI製ＰＣＳ接続枚数計算ツール!$C$108&gt;=C$2,HUAWEI製ＰＣＳ接続枚数計算ツール!$E$108&lt;=C$2,枚数!C12&gt;0),枚数!C12,IF(AND(標準可否!C12=1,低温可否!C12=1,HUAWEI製ＰＣＳ接続枚数計算ツール!$C$108&gt;=C$2,枚数!C12&gt;0,低電圧接続!C12&gt;0),枚数!C12,"-"))</f>
        <v>-</v>
      </c>
      <c r="D12" s="128" t="str">
        <f>IF(AND(高温可否!D12=1,低温可否!D12=1,標準可否!D12=1,HUAWEI製ＰＣＳ接続枚数計算ツール!$C$108&gt;=D$2,HUAWEI製ＰＣＳ接続枚数計算ツール!$E$108&lt;=D$2,枚数!D12&gt;0),枚数!D12,IF(AND(標準可否!D12=1,低温可否!D12=1,HUAWEI製ＰＣＳ接続枚数計算ツール!$C$108&gt;=D$2,枚数!D12&gt;0,低電圧接続!D12&gt;0),枚数!D12,"-"))</f>
        <v>-</v>
      </c>
      <c r="E12" s="127" t="str">
        <f>IF(AND(高温可否!E12=1,低温可否!E12=1,標準可否!E12=1,HUAWEI製ＰＣＳ接続枚数計算ツール!$C$108&gt;=E$2,HUAWEI製ＰＣＳ接続枚数計算ツール!$E$108&lt;=E$2,枚数!E12&gt;0),枚数!E12,IF(AND(標準可否!E12=1,低温可否!E12=1,HUAWEI製ＰＣＳ接続枚数計算ツール!$C$108&gt;=E$2,枚数!E12&gt;0,低電圧接続!E12&gt;0),枚数!E12,"-"))</f>
        <v>-</v>
      </c>
      <c r="F12" s="128" t="str">
        <f>IF(AND(高温可否!F12=1,低温可否!F12=1,標準可否!F12=1,HUAWEI製ＰＣＳ接続枚数計算ツール!$C$108&gt;=F$2,HUAWEI製ＰＣＳ接続枚数計算ツール!$E$108&lt;=F$2,枚数!F12&gt;0),枚数!F12,IF(AND(標準可否!F12=1,低温可否!F12=1,HUAWEI製ＰＣＳ接続枚数計算ツール!$C$108&gt;=F$2,枚数!F12&gt;0,低電圧接続!F12&gt;0),枚数!F12,"-"))</f>
        <v>-</v>
      </c>
      <c r="G12" s="127" t="str">
        <f>IF(AND(高温可否!G12=1,低温可否!G12=1,標準可否!G12=1,HUAWEI製ＰＣＳ接続枚数計算ツール!$C$108&gt;=G$2,HUAWEI製ＰＣＳ接続枚数計算ツール!$E$108&lt;=G$2,枚数!G12&gt;0),枚数!G12,IF(AND(標準可否!G12=1,低温可否!G12=1,HUAWEI製ＰＣＳ接続枚数計算ツール!$C$108&gt;=G$2,枚数!G12&gt;0,低電圧接続!G12&gt;0),枚数!G12,"-"))</f>
        <v>-</v>
      </c>
      <c r="H12" s="128" t="str">
        <f>IF(AND(高温可否!H12=1,低温可否!H12=1,標準可否!H12=1,HUAWEI製ＰＣＳ接続枚数計算ツール!$C$108&gt;=H$2,HUAWEI製ＰＣＳ接続枚数計算ツール!$E$108&lt;=H$2,枚数!H12&gt;0),枚数!H12,IF(AND(標準可否!H12=1,低温可否!H12=1,HUAWEI製ＰＣＳ接続枚数計算ツール!$C$108&gt;=H$2,枚数!H12&gt;0,低電圧接続!H12&gt;0),枚数!H12,"-"))</f>
        <v>-</v>
      </c>
      <c r="I12" s="127" t="str">
        <f>IF(AND(高温可否!I12=1,低温可否!I12=1,標準可否!I12=1,HUAWEI製ＰＣＳ接続枚数計算ツール!$C$108&gt;=I$2,HUAWEI製ＰＣＳ接続枚数計算ツール!$E$108&lt;=I$2,枚数!I12&gt;0),枚数!I12,IF(AND(標準可否!I12=1,低温可否!I12=1,HUAWEI製ＰＣＳ接続枚数計算ツール!$C$108&gt;=I$2,枚数!I12&gt;0,低電圧接続!I12&gt;0),枚数!I12,"-"))</f>
        <v>-</v>
      </c>
      <c r="J12" s="128" t="str">
        <f>IF(AND(高温可否!J12=1,低温可否!J12=1,標準可否!J12=1,HUAWEI製ＰＣＳ接続枚数計算ツール!$C$108&gt;=J$2,HUAWEI製ＰＣＳ接続枚数計算ツール!$E$108&lt;=J$2,枚数!J12&gt;0),枚数!J12,IF(AND(標準可否!J12=1,低温可否!J12=1,HUAWEI製ＰＣＳ接続枚数計算ツール!$C$108&gt;=J$2,枚数!J12&gt;0,低電圧接続!J12&gt;0),枚数!J12,"-"))</f>
        <v>-</v>
      </c>
      <c r="K12" s="127" t="str">
        <f>IF(AND(高温可否!K12=1,低温可否!K12=1,標準可否!K12=1,HUAWEI製ＰＣＳ接続枚数計算ツール!$C$108&gt;=K$2,HUAWEI製ＰＣＳ接続枚数計算ツール!$E$108&lt;=K$2,枚数!K12&gt;0),枚数!K12,IF(AND(標準可否!K12=1,低温可否!K12=1,HUAWEI製ＰＣＳ接続枚数計算ツール!$C$108&gt;=K$2,枚数!K12&gt;0,低電圧接続!K12&gt;0),枚数!K12,"-"))</f>
        <v>-</v>
      </c>
      <c r="L12" s="128" t="str">
        <f>IF(AND(高温可否!L12=1,低温可否!L12=1,標準可否!L12=1,HUAWEI製ＰＣＳ接続枚数計算ツール!$C$108&gt;=L$2,HUAWEI製ＰＣＳ接続枚数計算ツール!$E$108&lt;=L$2,枚数!L12&gt;0),枚数!L12,IF(AND(標準可否!L12=1,低温可否!L12=1,HUAWEI製ＰＣＳ接続枚数計算ツール!$C$108&gt;=L$2,枚数!L12&gt;0,低電圧接続!L12&gt;0),枚数!L12,"-"))</f>
        <v>-</v>
      </c>
      <c r="M12" s="127" t="str">
        <f>IF(AND(高温可否!M12=1,低温可否!M12=1,標準可否!M12=1,HUAWEI製ＰＣＳ接続枚数計算ツール!$C$108&gt;=M$2,HUAWEI製ＰＣＳ接続枚数計算ツール!$E$108&lt;=M$2,枚数!M12&gt;0),枚数!M12,IF(AND(標準可否!M12=1,低温可否!M12=1,HUAWEI製ＰＣＳ接続枚数計算ツール!$C$108&gt;=M$2,枚数!M12&gt;0,低電圧接続!M12&gt;0),枚数!M12,"-"))</f>
        <v>-</v>
      </c>
      <c r="N12" s="128" t="str">
        <f>IF(AND(高温可否!N12=1,低温可否!N12=1,標準可否!N12=1,HUAWEI製ＰＣＳ接続枚数計算ツール!$C$108&gt;=N$2,HUAWEI製ＰＣＳ接続枚数計算ツール!$E$108&lt;=N$2,枚数!N12&gt;0),枚数!N12,IF(AND(標準可否!N12=1,低温可否!N12=1,HUAWEI製ＰＣＳ接続枚数計算ツール!$C$108&gt;=N$2,枚数!N12&gt;0,低電圧接続!N12&gt;0),枚数!N12,"-"))</f>
        <v>-</v>
      </c>
      <c r="O12" s="127">
        <f>IF(AND(高温可否!O12=1,低温可否!O12=1,標準可否!O12=1,HUAWEI製ＰＣＳ接続枚数計算ツール!$C$108&gt;=O$2,HUAWEI製ＰＣＳ接続枚数計算ツール!$E$108&lt;=O$2,枚数!O12&gt;0),枚数!O12,IF(AND(標準可否!O12=1,低温可否!O12=1,HUAWEI製ＰＣＳ接続枚数計算ツール!$C$108&gt;=O$2,枚数!O12&gt;0,低電圧接続!O12&gt;0),枚数!O12,"-"))</f>
        <v>140</v>
      </c>
      <c r="P12" s="128">
        <f>IF(AND(高温可否!P12=1,低温可否!P12=1,標準可否!P12=1,HUAWEI製ＰＣＳ接続枚数計算ツール!$C$108&gt;=P$2,HUAWEI製ＰＣＳ接続枚数計算ツール!$E$108&lt;=P$2,枚数!P12&gt;0),枚数!P12,IF(AND(標準可否!P12=1,低温可否!P12=1,HUAWEI製ＰＣＳ接続枚数計算ツール!$C$108&gt;=P$2,枚数!P12&gt;0,低電圧接続!P12&gt;0),枚数!P12,"-"))</f>
        <v>150</v>
      </c>
      <c r="Q12" s="127">
        <f>IF(AND(高温可否!Q12=1,低温可否!Q12=1,標準可否!Q12=1,HUAWEI製ＰＣＳ接続枚数計算ツール!$C$108&gt;=Q$2,HUAWEI製ＰＣＳ接続枚数計算ツール!$E$108&lt;=Q$2,枚数!Q12&gt;0),枚数!Q12,IF(AND(標準可否!Q12=1,低温可否!Q12=1,HUAWEI製ＰＣＳ接続枚数計算ツール!$C$108&gt;=Q$2,枚数!Q12&gt;0,低電圧接続!Q12&gt;0),枚数!Q12,"-"))</f>
        <v>160</v>
      </c>
      <c r="R12" s="128">
        <f>IF(AND(高温可否!R12=1,低温可否!R12=1,標準可否!R12=1,HUAWEI製ＰＣＳ接続枚数計算ツール!$C$108&gt;=R$2,HUAWEI製ＰＣＳ接続枚数計算ツール!$E$108&lt;=R$2,枚数!R12&gt;0),枚数!R12,IF(AND(標準可否!R12=1,低温可否!R12=1,HUAWEI製ＰＣＳ接続枚数計算ツール!$C$108&gt;=R$2,枚数!R12&gt;0,低電圧接続!R12&gt;0),枚数!R12,"-"))</f>
        <v>170</v>
      </c>
      <c r="S12" s="127">
        <f>IF(AND(高温可否!S12=1,低温可否!S12=1,標準可否!S12=1,HUAWEI製ＰＣＳ接続枚数計算ツール!$C$108&gt;=S$2,HUAWEI製ＰＣＳ接続枚数計算ツール!$E$108&lt;=S$2,枚数!S12&gt;0),枚数!S12,IF(AND(標準可否!S12=1,低温可否!S12=1,HUAWEI製ＰＣＳ接続枚数計算ツール!$C$108&gt;=S$2,枚数!S12&gt;0,低電圧接続!S12&gt;0),枚数!S12,"-"))</f>
        <v>180</v>
      </c>
      <c r="T12" s="128">
        <f>IF(AND(高温可否!T12=1,低温可否!T12=1,標準可否!T12=1,HUAWEI製ＰＣＳ接続枚数計算ツール!$C$108&gt;=T$2,HUAWEI製ＰＣＳ接続枚数計算ツール!$E$108&lt;=T$2,枚数!T12&gt;0),枚数!T12,IF(AND(標準可否!T12=1,低温可否!T12=1,HUAWEI製ＰＣＳ接続枚数計算ツール!$C$108&gt;=T$2,枚数!T12&gt;0,低電圧接続!T12&gt;0),枚数!T12,"-"))</f>
        <v>190</v>
      </c>
      <c r="U12" s="127">
        <f>IF(AND(高温可否!U12=1,低温可否!U12=1,標準可否!U12=1,HUAWEI製ＰＣＳ接続枚数計算ツール!$C$108&gt;=U$2,HUAWEI製ＰＣＳ接続枚数計算ツール!$E$108&lt;=U$2,枚数!U12&gt;0),枚数!U12,IF(AND(標準可否!U12=1,低温可否!U12=1,HUAWEI製ＰＣＳ接続枚数計算ツール!$C$108&gt;=U$2,枚数!U12&gt;0,低電圧接続!U12&gt;0),枚数!U12,"-"))</f>
        <v>200</v>
      </c>
      <c r="V12" s="128">
        <f>IF(AND(高温可否!V12=1,低温可否!V12=1,標準可否!V12=1,HUAWEI製ＰＣＳ接続枚数計算ツール!$C$108&gt;=V$2,HUAWEI製ＰＣＳ接続枚数計算ツール!$E$108&lt;=V$2,枚数!V12&gt;0),枚数!V12,IF(AND(標準可否!V12=1,低温可否!V12=1,HUAWEI製ＰＣＳ接続枚数計算ツール!$C$108&gt;=V$2,枚数!V12&gt;0,低電圧接続!V12&gt;0),枚数!V12,"-"))</f>
        <v>210</v>
      </c>
      <c r="W12" s="127">
        <f>IF(AND(高温可否!W12=1,低温可否!W12=1,標準可否!W12=1,HUAWEI製ＰＣＳ接続枚数計算ツール!$C$108&gt;=W$2,HUAWEI製ＰＣＳ接続枚数計算ツール!$E$108&lt;=W$2,枚数!W12&gt;0),枚数!W12,IF(AND(標準可否!W12=1,低温可否!W12=1,HUAWEI製ＰＣＳ接続枚数計算ツール!$C$108&gt;=W$2,枚数!W12&gt;0,低電圧接続!W12&gt;0),枚数!W12,"-"))</f>
        <v>220</v>
      </c>
      <c r="X12" s="128">
        <f>IF(AND(高温可否!X12=1,低温可否!X12=1,標準可否!X12=1,HUAWEI製ＰＣＳ接続枚数計算ツール!$C$108&gt;=X$2,HUAWEI製ＰＣＳ接続枚数計算ツール!$E$108&lt;=X$2,枚数!X12&gt;0),枚数!X12,IF(AND(標準可否!X12=1,低温可否!X12=1,HUAWEI製ＰＣＳ接続枚数計算ツール!$C$108&gt;=X$2,枚数!X12&gt;0,低電圧接続!X12&gt;0),枚数!X12,"-"))</f>
        <v>230</v>
      </c>
      <c r="Y12" s="127" t="str">
        <f>IF(AND(高温可否!Y12=1,低温可否!Y12=1,標準可否!Y12=1,HUAWEI製ＰＣＳ接続枚数計算ツール!$C$108&gt;=Y$2,HUAWEI製ＰＣＳ接続枚数計算ツール!$E$108&lt;=Y$2,枚数!Y12&gt;0),枚数!Y12,IF(AND(標準可否!Y12=1,低温可否!Y12=1,HUAWEI製ＰＣＳ接続枚数計算ツール!$C$108&gt;=Y$2,枚数!Y12&gt;0,低電圧接続!Y12&gt;0),枚数!Y12,"-"))</f>
        <v>-</v>
      </c>
      <c r="Z12" s="128" t="str">
        <f>IF(AND(高温可否!Z12=1,低温可否!Z12=1,標準可否!Z12=1,HUAWEI製ＰＣＳ接続枚数計算ツール!$C$108&gt;=Z$2,HUAWEI製ＰＣＳ接続枚数計算ツール!$E$108&lt;=Z$2,枚数!Z12&gt;0),枚数!Z12,IF(AND(標準可否!Z12=1,低温可否!Z12=1,HUAWEI製ＰＣＳ接続枚数計算ツール!$C$108&gt;=Z$2,枚数!Z12&gt;0,低電圧接続!Z12&gt;0),枚数!Z12,"-"))</f>
        <v>-</v>
      </c>
      <c r="AA12" s="127" t="str">
        <f>IF(AND(高温可否!AA12=1,低温可否!AA12=1,標準可否!AA12=1,HUAWEI製ＰＣＳ接続枚数計算ツール!$C$108&gt;=AA$2,HUAWEI製ＰＣＳ接続枚数計算ツール!$E$108&lt;=AA$2,枚数!AA12&gt;0),枚数!AA12,IF(AND(標準可否!AA12=1,低温可否!AA12=1,HUAWEI製ＰＣＳ接続枚数計算ツール!$C$108&gt;=AA$2,枚数!AA12&gt;0,低電圧接続!AA12&gt;0),枚数!AA12,"-"))</f>
        <v>-</v>
      </c>
      <c r="AB12" s="128" t="str">
        <f>IF(AND(高温可否!AB12=1,低温可否!AB12=1,標準可否!AB12=1,HUAWEI製ＰＣＳ接続枚数計算ツール!$C$108&gt;=AB$2,HUAWEI製ＰＣＳ接続枚数計算ツール!$E$108&lt;=AB$2,枚数!AB12&gt;0),枚数!AB12,IF(AND(標準可否!AB12=1,低温可否!AB12=1,HUAWEI製ＰＣＳ接続枚数計算ツール!$C$108&gt;=AB$2,枚数!AB12&gt;0,低電圧接続!AB12&gt;0),枚数!AB12,"-"))</f>
        <v>-</v>
      </c>
      <c r="AC12" s="127" t="str">
        <f>IF(AND(高温可否!AC12=1,低温可否!AC12=1,標準可否!AC12=1,HUAWEI製ＰＣＳ接続枚数計算ツール!$C$108&gt;=AC$2,HUAWEI製ＰＣＳ接続枚数計算ツール!$E$108&lt;=AC$2,枚数!AC12&gt;0),枚数!AC12,IF(AND(標準可否!AC12=1,低温可否!AC12=1,HUAWEI製ＰＣＳ接続枚数計算ツール!$C$108&gt;=AC$2,枚数!AC12&gt;0,低電圧接続!AC12&gt;0),枚数!AC12,"-"))</f>
        <v>-</v>
      </c>
      <c r="AD12" s="128" t="str">
        <f>IF(AND(高温可否!AD12=1,低温可否!AD12=1,標準可否!AD12=1,HUAWEI製ＰＣＳ接続枚数計算ツール!$C$108&gt;=AD$2,HUAWEI製ＰＣＳ接続枚数計算ツール!$E$108&lt;=AD$2,枚数!AD12&gt;0),枚数!AD12,IF(AND(標準可否!AD12=1,低温可否!AD12=1,HUAWEI製ＰＣＳ接続枚数計算ツール!$C$108&gt;=AD$2,枚数!AD12&gt;0,低電圧接続!AD12&gt;0),枚数!AD12,"-"))</f>
        <v>-</v>
      </c>
      <c r="AE12" s="127" t="str">
        <f>IF(AND(高温可否!AE12=1,低温可否!AE12=1,標準可否!AE12=1,HUAWEI製ＰＣＳ接続枚数計算ツール!$C$108&gt;=AE$2,HUAWEI製ＰＣＳ接続枚数計算ツール!$E$108&lt;=AE$2,枚数!AE12&gt;0),枚数!AE12,IF(AND(標準可否!AE12=1,低温可否!AE12=1,HUAWEI製ＰＣＳ接続枚数計算ツール!$C$108&gt;=AE$2,枚数!AE12&gt;0,低電圧接続!AE12&gt;0),枚数!AE12,"-"))</f>
        <v>-</v>
      </c>
      <c r="AF12" s="128" t="str">
        <f>IF(AND(高温可否!AF12=1,低温可否!AF12=1,標準可否!AF12=1,HUAWEI製ＰＣＳ接続枚数計算ツール!$C$108&gt;=AF$2,HUAWEI製ＰＣＳ接続枚数計算ツール!$E$108&lt;=AF$2,枚数!AF12&gt;0),枚数!AF12,IF(AND(標準可否!AF12=1,低温可否!AF12=1,HUAWEI製ＰＣＳ接続枚数計算ツール!$C$108&gt;=AF$2,枚数!AF12&gt;0,低電圧接続!AF12&gt;0),枚数!AF12,"-"))</f>
        <v>-</v>
      </c>
      <c r="AG12" s="127" t="str">
        <f>IF(AND(高温可否!AG12=1,低温可否!AG12=1,標準可否!AG12=1,HUAWEI製ＰＣＳ接続枚数計算ツール!$C$108&gt;=AG$2,HUAWEI製ＰＣＳ接続枚数計算ツール!$E$108&lt;=AG$2,枚数!AG12&gt;0),枚数!AG12,IF(AND(標準可否!AG12=1,低温可否!AG12=1,HUAWEI製ＰＣＳ接続枚数計算ツール!$C$108&gt;=AG$2,枚数!AG12&gt;0,低電圧接続!AG12&gt;0),枚数!AG12,"-"))</f>
        <v>-</v>
      </c>
      <c r="AH12" s="128" t="str">
        <f>IF(AND(高温可否!AH12=1,低温可否!AH12=1,標準可否!AH12=1,HUAWEI製ＰＣＳ接続枚数計算ツール!$C$108&gt;=AH$2,HUAWEI製ＰＣＳ接続枚数計算ツール!$E$108&lt;=AH$2,枚数!AH12&gt;0),枚数!AH12,IF(AND(標準可否!AH12=1,低温可否!AH12=1,HUAWEI製ＰＣＳ接続枚数計算ツール!$C$108&gt;=AH$2,枚数!AH12&gt;0,低電圧接続!AH12&gt;0),枚数!AH12,"-"))</f>
        <v>-</v>
      </c>
      <c r="AI12" s="127" t="str">
        <f>IF(AND(高温可否!AI12=1,低温可否!AI12=1,標準可否!AI12=1,HUAWEI製ＰＣＳ接続枚数計算ツール!$C$108&gt;=AI$2,HUAWEI製ＰＣＳ接続枚数計算ツール!$E$108&lt;=AI$2,枚数!AI12&gt;0),枚数!AI12,IF(AND(標準可否!AI12=1,低温可否!AI12=1,HUAWEI製ＰＣＳ接続枚数計算ツール!$C$108&gt;=AI$2,枚数!AI12&gt;0,低電圧接続!AI12&gt;0),枚数!AI12,"-"))</f>
        <v>-</v>
      </c>
      <c r="AJ12" s="128" t="str">
        <f>IF(AND(高温可否!AJ12=1,低温可否!AJ12=1,標準可否!AJ12=1,HUAWEI製ＰＣＳ接続枚数計算ツール!$C$108&gt;=AJ$2,HUAWEI製ＰＣＳ接続枚数計算ツール!$E$108&lt;=AJ$2,枚数!AJ12&gt;0),枚数!AJ12,IF(AND(標準可否!AJ12=1,低温可否!AJ12=1,HUAWEI製ＰＣＳ接続枚数計算ツール!$C$108&gt;=AJ$2,枚数!AJ12&gt;0,低電圧接続!AJ12&gt;0),枚数!AJ12,"-"))</f>
        <v>-</v>
      </c>
      <c r="AK12" s="127" t="str">
        <f>IF(AND(高温可否!AK12=1,低温可否!AK12=1,標準可否!AK12=1,HUAWEI製ＰＣＳ接続枚数計算ツール!$C$108&gt;=AK$2,HUAWEI製ＰＣＳ接続枚数計算ツール!$E$108&lt;=AK$2,枚数!AK12&gt;0),枚数!AK12,IF(AND(標準可否!AK12=1,低温可否!AK12=1,HUAWEI製ＰＣＳ接続枚数計算ツール!$C$108&gt;=AK$2,枚数!AK12&gt;0,低電圧接続!AK12&gt;0),枚数!AK12,"-"))</f>
        <v>-</v>
      </c>
      <c r="AL12" s="128" t="str">
        <f>IF(AND(高温可否!AL12=1,低温可否!AL12=1,標準可否!AL12=1,HUAWEI製ＰＣＳ接続枚数計算ツール!$C$108&gt;=AL$2,HUAWEI製ＰＣＳ接続枚数計算ツール!$E$108&lt;=AL$2,枚数!AL12&gt;0),枚数!AL12,IF(AND(標準可否!AL12=1,低温可否!AL12=1,HUAWEI製ＰＣＳ接続枚数計算ツール!$C$108&gt;=AL$2,枚数!AL12&gt;0,低電圧接続!AL12&gt;0),枚数!AL12,"-"))</f>
        <v>-</v>
      </c>
      <c r="AM12" s="127" t="str">
        <f>IF(AND(高温可否!AM12=1,低温可否!AM12=1,標準可否!AM12=1,HUAWEI製ＰＣＳ接続枚数計算ツール!$C$108&gt;=AM$2,HUAWEI製ＰＣＳ接続枚数計算ツール!$E$108&lt;=AM$2,枚数!AM12&gt;0),枚数!AM12,IF(AND(標準可否!AM12=1,低温可否!AM12=1,HUAWEI製ＰＣＳ接続枚数計算ツール!$C$108&gt;=AM$2,枚数!AM12&gt;0,低電圧接続!AM12&gt;0),枚数!AM12,"-"))</f>
        <v>-</v>
      </c>
      <c r="AN12" s="128" t="str">
        <f>IF(AND(高温可否!AN12=1,低温可否!AN12=1,標準可否!AN12=1,HUAWEI製ＰＣＳ接続枚数計算ツール!$C$108&gt;=AN$2,HUAWEI製ＰＣＳ接続枚数計算ツール!$E$108&lt;=AN$2,枚数!AN12&gt;0),枚数!AN12,IF(AND(標準可否!AN12=1,低温可否!AN12=1,HUAWEI製ＰＣＳ接続枚数計算ツール!$C$108&gt;=AN$2,枚数!AN12&gt;0,低電圧接続!AN12&gt;0),枚数!AN12,"-"))</f>
        <v>-</v>
      </c>
      <c r="AO12" s="129" t="str">
        <f>IF(AND(高温可否!AO12=1,低温可否!AO12=1,標準可否!AO12=1,HUAWEI製ＰＣＳ接続枚数計算ツール!$C$108&gt;=AO$2,HUAWEI製ＰＣＳ接続枚数計算ツール!$E$108&lt;=AO$2,枚数!AO12&gt;0),枚数!AO12,IF(AND(標準可否!AO12=1,低温可否!AO12=1,HUAWEI製ＰＣＳ接続枚数計算ツール!$C$108&gt;=AO$2,枚数!AO12&gt;0,低電圧接続!AO12&gt;0),枚数!AO12,"-"))</f>
        <v>-</v>
      </c>
    </row>
    <row r="13" spans="1:41">
      <c r="A13" s="116">
        <v>11</v>
      </c>
      <c r="B13" s="122" t="str">
        <f>IF(AND(高温可否!B13=1,低温可否!B13=1,標準可否!B13=1,HUAWEI製ＰＣＳ接続枚数計算ツール!$C$108&gt;=B$2,HUAWEI製ＰＣＳ接続枚数計算ツール!$E$108&lt;=B$2,枚数!B13&gt;0),枚数!B13,IF(AND(標準可否!B13=1,低温可否!B13=1,HUAWEI製ＰＣＳ接続枚数計算ツール!$C$108&gt;=B$2,枚数!B13&gt;0,低電圧接続!B13&gt;0),枚数!B13,"-"))</f>
        <v>-</v>
      </c>
      <c r="C13" s="123" t="str">
        <f>IF(AND(高温可否!C13=1,低温可否!C13=1,標準可否!C13=1,HUAWEI製ＰＣＳ接続枚数計算ツール!$C$108&gt;=C$2,HUAWEI製ＰＣＳ接続枚数計算ツール!$E$108&lt;=C$2,枚数!C13&gt;0),枚数!C13,IF(AND(標準可否!C13=1,低温可否!C13=1,HUAWEI製ＰＣＳ接続枚数計算ツール!$C$108&gt;=C$2,枚数!C13&gt;0,低電圧接続!C13&gt;0),枚数!C13,"-"))</f>
        <v>-</v>
      </c>
      <c r="D13" s="124" t="str">
        <f>IF(AND(高温可否!D13=1,低温可否!D13=1,標準可否!D13=1,HUAWEI製ＰＣＳ接続枚数計算ツール!$C$108&gt;=D$2,HUAWEI製ＰＣＳ接続枚数計算ツール!$E$108&lt;=D$2,枚数!D13&gt;0),枚数!D13,IF(AND(標準可否!D13=1,低温可否!D13=1,HUAWEI製ＰＣＳ接続枚数計算ツール!$C$108&gt;=D$2,枚数!D13&gt;0,低電圧接続!D13&gt;0),枚数!D13,"-"))</f>
        <v>-</v>
      </c>
      <c r="E13" s="123" t="str">
        <f>IF(AND(高温可否!E13=1,低温可否!E13=1,標準可否!E13=1,HUAWEI製ＰＣＳ接続枚数計算ツール!$C$108&gt;=E$2,HUAWEI製ＰＣＳ接続枚数計算ツール!$E$108&lt;=E$2,枚数!E13&gt;0),枚数!E13,IF(AND(標準可否!E13=1,低温可否!E13=1,HUAWEI製ＰＣＳ接続枚数計算ツール!$C$108&gt;=E$2,枚数!E13&gt;0,低電圧接続!E13&gt;0),枚数!E13,"-"))</f>
        <v>-</v>
      </c>
      <c r="F13" s="124" t="str">
        <f>IF(AND(高温可否!F13=1,低温可否!F13=1,標準可否!F13=1,HUAWEI製ＰＣＳ接続枚数計算ツール!$C$108&gt;=F$2,HUAWEI製ＰＣＳ接続枚数計算ツール!$E$108&lt;=F$2,枚数!F13&gt;0),枚数!F13,IF(AND(標準可否!F13=1,低温可否!F13=1,HUAWEI製ＰＣＳ接続枚数計算ツール!$C$108&gt;=F$2,枚数!F13&gt;0,低電圧接続!F13&gt;0),枚数!F13,"-"))</f>
        <v>-</v>
      </c>
      <c r="G13" s="123" t="str">
        <f>IF(AND(高温可否!G13=1,低温可否!G13=1,標準可否!G13=1,HUAWEI製ＰＣＳ接続枚数計算ツール!$C$108&gt;=G$2,HUAWEI製ＰＣＳ接続枚数計算ツール!$E$108&lt;=G$2,枚数!G13&gt;0),枚数!G13,IF(AND(標準可否!G13=1,低温可否!G13=1,HUAWEI製ＰＣＳ接続枚数計算ツール!$C$108&gt;=G$2,枚数!G13&gt;0,低電圧接続!G13&gt;0),枚数!G13,"-"))</f>
        <v>-</v>
      </c>
      <c r="H13" s="124" t="str">
        <f>IF(AND(高温可否!H13=1,低温可否!H13=1,標準可否!H13=1,HUAWEI製ＰＣＳ接続枚数計算ツール!$C$108&gt;=H$2,HUAWEI製ＰＣＳ接続枚数計算ツール!$E$108&lt;=H$2,枚数!H13&gt;0),枚数!H13,IF(AND(標準可否!H13=1,低温可否!H13=1,HUAWEI製ＰＣＳ接続枚数計算ツール!$C$108&gt;=H$2,枚数!H13&gt;0,低電圧接続!H13&gt;0),枚数!H13,"-"))</f>
        <v>-</v>
      </c>
      <c r="I13" s="123" t="str">
        <f>IF(AND(高温可否!I13=1,低温可否!I13=1,標準可否!I13=1,HUAWEI製ＰＣＳ接続枚数計算ツール!$C$108&gt;=I$2,HUAWEI製ＰＣＳ接続枚数計算ツール!$E$108&lt;=I$2,枚数!I13&gt;0),枚数!I13,IF(AND(標準可否!I13=1,低温可否!I13=1,HUAWEI製ＰＣＳ接続枚数計算ツール!$C$108&gt;=I$2,枚数!I13&gt;0,低電圧接続!I13&gt;0),枚数!I13,"-"))</f>
        <v>-</v>
      </c>
      <c r="J13" s="124" t="str">
        <f>IF(AND(高温可否!J13=1,低温可否!J13=1,標準可否!J13=1,HUAWEI製ＰＣＳ接続枚数計算ツール!$C$108&gt;=J$2,HUAWEI製ＰＣＳ接続枚数計算ツール!$E$108&lt;=J$2,枚数!J13&gt;0),枚数!J13,IF(AND(標準可否!J13=1,低温可否!J13=1,HUAWEI製ＰＣＳ接続枚数計算ツール!$C$108&gt;=J$2,枚数!J13&gt;0,低電圧接続!J13&gt;0),枚数!J13,"-"))</f>
        <v>-</v>
      </c>
      <c r="K13" s="123" t="str">
        <f>IF(AND(高温可否!K13=1,低温可否!K13=1,標準可否!K13=1,HUAWEI製ＰＣＳ接続枚数計算ツール!$C$108&gt;=K$2,HUAWEI製ＰＣＳ接続枚数計算ツール!$E$108&lt;=K$2,枚数!K13&gt;0),枚数!K13,IF(AND(標準可否!K13=1,低温可否!K13=1,HUAWEI製ＰＣＳ接続枚数計算ツール!$C$108&gt;=K$2,枚数!K13&gt;0,低電圧接続!K13&gt;0),枚数!K13,"-"))</f>
        <v>-</v>
      </c>
      <c r="L13" s="124" t="str">
        <f>IF(AND(高温可否!L13=1,低温可否!L13=1,標準可否!L13=1,HUAWEI製ＰＣＳ接続枚数計算ツール!$C$108&gt;=L$2,HUAWEI製ＰＣＳ接続枚数計算ツール!$E$108&lt;=L$2,枚数!L13&gt;0),枚数!L13,IF(AND(標準可否!L13=1,低温可否!L13=1,HUAWEI製ＰＣＳ接続枚数計算ツール!$C$108&gt;=L$2,枚数!L13&gt;0,低電圧接続!L13&gt;0),枚数!L13,"-"))</f>
        <v>-</v>
      </c>
      <c r="M13" s="123" t="str">
        <f>IF(AND(高温可否!M13=1,低温可否!M13=1,標準可否!M13=1,HUAWEI製ＰＣＳ接続枚数計算ツール!$C$108&gt;=M$2,HUAWEI製ＰＣＳ接続枚数計算ツール!$E$108&lt;=M$2,枚数!M13&gt;0),枚数!M13,IF(AND(標準可否!M13=1,低温可否!M13=1,HUAWEI製ＰＣＳ接続枚数計算ツール!$C$108&gt;=M$2,枚数!M13&gt;0,低電圧接続!M13&gt;0),枚数!M13,"-"))</f>
        <v>-</v>
      </c>
      <c r="N13" s="124" t="str">
        <f>IF(AND(高温可否!N13=1,低温可否!N13=1,標準可否!N13=1,HUAWEI製ＰＣＳ接続枚数計算ツール!$C$108&gt;=N$2,HUAWEI製ＰＣＳ接続枚数計算ツール!$E$108&lt;=N$2,枚数!N13&gt;0),枚数!N13,IF(AND(標準可否!N13=1,低温可否!N13=1,HUAWEI製ＰＣＳ接続枚数計算ツール!$C$108&gt;=N$2,枚数!N13&gt;0,低電圧接続!N13&gt;0),枚数!N13,"-"))</f>
        <v>-</v>
      </c>
      <c r="O13" s="123" t="str">
        <f>IF(AND(高温可否!O13=1,低温可否!O13=1,標準可否!O13=1,HUAWEI製ＰＣＳ接続枚数計算ツール!$C$108&gt;=O$2,HUAWEI製ＰＣＳ接続枚数計算ツール!$E$108&lt;=O$2,枚数!O13&gt;0),枚数!O13,IF(AND(標準可否!O13=1,低温可否!O13=1,HUAWEI製ＰＣＳ接続枚数計算ツール!$C$108&gt;=O$2,枚数!O13&gt;0,低電圧接続!O13&gt;0),枚数!O13,"-"))</f>
        <v>-</v>
      </c>
      <c r="P13" s="124">
        <f>IF(AND(高温可否!P13=1,低温可否!P13=1,標準可否!P13=1,HUAWEI製ＰＣＳ接続枚数計算ツール!$C$108&gt;=P$2,HUAWEI製ＰＣＳ接続枚数計算ツール!$E$108&lt;=P$2,枚数!P13&gt;0),枚数!P13,IF(AND(標準可否!P13=1,低温可否!P13=1,HUAWEI製ＰＣＳ接続枚数計算ツール!$C$108&gt;=P$2,枚数!P13&gt;0,低電圧接続!P13&gt;0),枚数!P13,"-"))</f>
        <v>165</v>
      </c>
      <c r="Q13" s="123">
        <f>IF(AND(高温可否!Q13=1,低温可否!Q13=1,標準可否!Q13=1,HUAWEI製ＰＣＳ接続枚数計算ツール!$C$108&gt;=Q$2,HUAWEI製ＰＣＳ接続枚数計算ツール!$E$108&lt;=Q$2,枚数!Q13&gt;0),枚数!Q13,IF(AND(標準可否!Q13=1,低温可否!Q13=1,HUAWEI製ＰＣＳ接続枚数計算ツール!$C$108&gt;=Q$2,枚数!Q13&gt;0,低電圧接続!Q13&gt;0),枚数!Q13,"-"))</f>
        <v>176</v>
      </c>
      <c r="R13" s="124">
        <f>IF(AND(高温可否!R13=1,低温可否!R13=1,標準可否!R13=1,HUAWEI製ＰＣＳ接続枚数計算ツール!$C$108&gt;=R$2,HUAWEI製ＰＣＳ接続枚数計算ツール!$E$108&lt;=R$2,枚数!R13&gt;0),枚数!R13,IF(AND(標準可否!R13=1,低温可否!R13=1,HUAWEI製ＰＣＳ接続枚数計算ツール!$C$108&gt;=R$2,枚数!R13&gt;0,低電圧接続!R13&gt;0),枚数!R13,"-"))</f>
        <v>187</v>
      </c>
      <c r="S13" s="123">
        <f>IF(AND(高温可否!S13=1,低温可否!S13=1,標準可否!S13=1,HUAWEI製ＰＣＳ接続枚数計算ツール!$C$108&gt;=S$2,HUAWEI製ＰＣＳ接続枚数計算ツール!$E$108&lt;=S$2,枚数!S13&gt;0),枚数!S13,IF(AND(標準可否!S13=1,低温可否!S13=1,HUAWEI製ＰＣＳ接続枚数計算ツール!$C$108&gt;=S$2,枚数!S13&gt;0,低電圧接続!S13&gt;0),枚数!S13,"-"))</f>
        <v>198</v>
      </c>
      <c r="T13" s="124" t="str">
        <f>IF(AND(高温可否!T13=1,低温可否!T13=1,標準可否!T13=1,HUAWEI製ＰＣＳ接続枚数計算ツール!$C$108&gt;=T$2,HUAWEI製ＰＣＳ接続枚数計算ツール!$E$108&lt;=T$2,枚数!T13&gt;0),枚数!T13,IF(AND(標準可否!T13=1,低温可否!T13=1,HUAWEI製ＰＣＳ接続枚数計算ツール!$C$108&gt;=T$2,枚数!T13&gt;0,低電圧接続!T13&gt;0),枚数!T13,"-"))</f>
        <v>-</v>
      </c>
      <c r="U13" s="123" t="str">
        <f>IF(AND(高温可否!U13=1,低温可否!U13=1,標準可否!U13=1,HUAWEI製ＰＣＳ接続枚数計算ツール!$C$108&gt;=U$2,HUAWEI製ＰＣＳ接続枚数計算ツール!$E$108&lt;=U$2,枚数!U13&gt;0),枚数!U13,IF(AND(標準可否!U13=1,低温可否!U13=1,HUAWEI製ＰＣＳ接続枚数計算ツール!$C$108&gt;=U$2,枚数!U13&gt;0,低電圧接続!U13&gt;0),枚数!U13,"-"))</f>
        <v>-</v>
      </c>
      <c r="V13" s="124">
        <f>IF(AND(高温可否!V13=1,低温可否!V13=1,標準可否!V13=1,HUAWEI製ＰＣＳ接続枚数計算ツール!$C$108&gt;=V$2,HUAWEI製ＰＣＳ接続枚数計算ツール!$E$108&lt;=V$2,枚数!V13&gt;0),枚数!V13,IF(AND(標準可否!V13=1,低温可否!V13=1,HUAWEI製ＰＣＳ接続枚数計算ツール!$C$108&gt;=V$2,枚数!V13&gt;0,低電圧接続!V13&gt;0),枚数!V13,"-"))</f>
        <v>231</v>
      </c>
      <c r="W13" s="123">
        <f>IF(AND(高温可否!W13=1,低温可否!W13=1,標準可否!W13=1,HUAWEI製ＰＣＳ接続枚数計算ツール!$C$108&gt;=W$2,HUAWEI製ＰＣＳ接続枚数計算ツール!$E$108&lt;=W$2,枚数!W13&gt;0),枚数!W13,IF(AND(標準可否!W13=1,低温可否!W13=1,HUAWEI製ＰＣＳ接続枚数計算ツール!$C$108&gt;=W$2,枚数!W13&gt;0,低電圧接続!W13&gt;0),枚数!W13,"-"))</f>
        <v>242</v>
      </c>
      <c r="X13" s="124" t="str">
        <f>IF(AND(高温可否!X13=1,低温可否!X13=1,標準可否!X13=1,HUAWEI製ＰＣＳ接続枚数計算ツール!$C$108&gt;=X$2,HUAWEI製ＰＣＳ接続枚数計算ツール!$E$108&lt;=X$2,枚数!X13&gt;0),枚数!X13,IF(AND(標準可否!X13=1,低温可否!X13=1,HUAWEI製ＰＣＳ接続枚数計算ツール!$C$108&gt;=X$2,枚数!X13&gt;0,低電圧接続!X13&gt;0),枚数!X13,"-"))</f>
        <v>-</v>
      </c>
      <c r="Y13" s="123" t="str">
        <f>IF(AND(高温可否!Y13=1,低温可否!Y13=1,標準可否!Y13=1,HUAWEI製ＰＣＳ接続枚数計算ツール!$C$108&gt;=Y$2,HUAWEI製ＰＣＳ接続枚数計算ツール!$E$108&lt;=Y$2,枚数!Y13&gt;0),枚数!Y13,IF(AND(標準可否!Y13=1,低温可否!Y13=1,HUAWEI製ＰＣＳ接続枚数計算ツール!$C$108&gt;=Y$2,枚数!Y13&gt;0,低電圧接続!Y13&gt;0),枚数!Y13,"-"))</f>
        <v>-</v>
      </c>
      <c r="Z13" s="124" t="str">
        <f>IF(AND(高温可否!Z13=1,低温可否!Z13=1,標準可否!Z13=1,HUAWEI製ＰＣＳ接続枚数計算ツール!$C$108&gt;=Z$2,HUAWEI製ＰＣＳ接続枚数計算ツール!$E$108&lt;=Z$2,枚数!Z13&gt;0),枚数!Z13,IF(AND(標準可否!Z13=1,低温可否!Z13=1,HUAWEI製ＰＣＳ接続枚数計算ツール!$C$108&gt;=Z$2,枚数!Z13&gt;0,低電圧接続!Z13&gt;0),枚数!Z13,"-"))</f>
        <v>-</v>
      </c>
      <c r="AA13" s="123" t="str">
        <f>IF(AND(高温可否!AA13=1,低温可否!AA13=1,標準可否!AA13=1,HUAWEI製ＰＣＳ接続枚数計算ツール!$C$108&gt;=AA$2,HUAWEI製ＰＣＳ接続枚数計算ツール!$E$108&lt;=AA$2,枚数!AA13&gt;0),枚数!AA13,IF(AND(標準可否!AA13=1,低温可否!AA13=1,HUAWEI製ＰＣＳ接続枚数計算ツール!$C$108&gt;=AA$2,枚数!AA13&gt;0,低電圧接続!AA13&gt;0),枚数!AA13,"-"))</f>
        <v>-</v>
      </c>
      <c r="AB13" s="124" t="str">
        <f>IF(AND(高温可否!AB13=1,低温可否!AB13=1,標準可否!AB13=1,HUAWEI製ＰＣＳ接続枚数計算ツール!$C$108&gt;=AB$2,HUAWEI製ＰＣＳ接続枚数計算ツール!$E$108&lt;=AB$2,枚数!AB13&gt;0),枚数!AB13,IF(AND(標準可否!AB13=1,低温可否!AB13=1,HUAWEI製ＰＣＳ接続枚数計算ツール!$C$108&gt;=AB$2,枚数!AB13&gt;0,低電圧接続!AB13&gt;0),枚数!AB13,"-"))</f>
        <v>-</v>
      </c>
      <c r="AC13" s="123" t="str">
        <f>IF(AND(高温可否!AC13=1,低温可否!AC13=1,標準可否!AC13=1,HUAWEI製ＰＣＳ接続枚数計算ツール!$C$108&gt;=AC$2,HUAWEI製ＰＣＳ接続枚数計算ツール!$E$108&lt;=AC$2,枚数!AC13&gt;0),枚数!AC13,IF(AND(標準可否!AC13=1,低温可否!AC13=1,HUAWEI製ＰＣＳ接続枚数計算ツール!$C$108&gt;=AC$2,枚数!AC13&gt;0,低電圧接続!AC13&gt;0),枚数!AC13,"-"))</f>
        <v>-</v>
      </c>
      <c r="AD13" s="124" t="str">
        <f>IF(AND(高温可否!AD13=1,低温可否!AD13=1,標準可否!AD13=1,HUAWEI製ＰＣＳ接続枚数計算ツール!$C$108&gt;=AD$2,HUAWEI製ＰＣＳ接続枚数計算ツール!$E$108&lt;=AD$2,枚数!AD13&gt;0),枚数!AD13,IF(AND(標準可否!AD13=1,低温可否!AD13=1,HUAWEI製ＰＣＳ接続枚数計算ツール!$C$108&gt;=AD$2,枚数!AD13&gt;0,低電圧接続!AD13&gt;0),枚数!AD13,"-"))</f>
        <v>-</v>
      </c>
      <c r="AE13" s="123" t="str">
        <f>IF(AND(高温可否!AE13=1,低温可否!AE13=1,標準可否!AE13=1,HUAWEI製ＰＣＳ接続枚数計算ツール!$C$108&gt;=AE$2,HUAWEI製ＰＣＳ接続枚数計算ツール!$E$108&lt;=AE$2,枚数!AE13&gt;0),枚数!AE13,IF(AND(標準可否!AE13=1,低温可否!AE13=1,HUAWEI製ＰＣＳ接続枚数計算ツール!$C$108&gt;=AE$2,枚数!AE13&gt;0,低電圧接続!AE13&gt;0),枚数!AE13,"-"))</f>
        <v>-</v>
      </c>
      <c r="AF13" s="124" t="str">
        <f>IF(AND(高温可否!AF13=1,低温可否!AF13=1,標準可否!AF13=1,HUAWEI製ＰＣＳ接続枚数計算ツール!$C$108&gt;=AF$2,HUAWEI製ＰＣＳ接続枚数計算ツール!$E$108&lt;=AF$2,枚数!AF13&gt;0),枚数!AF13,IF(AND(標準可否!AF13=1,低温可否!AF13=1,HUAWEI製ＰＣＳ接続枚数計算ツール!$C$108&gt;=AF$2,枚数!AF13&gt;0,低電圧接続!AF13&gt;0),枚数!AF13,"-"))</f>
        <v>-</v>
      </c>
      <c r="AG13" s="123" t="str">
        <f>IF(AND(高温可否!AG13=1,低温可否!AG13=1,標準可否!AG13=1,HUAWEI製ＰＣＳ接続枚数計算ツール!$C$108&gt;=AG$2,HUAWEI製ＰＣＳ接続枚数計算ツール!$E$108&lt;=AG$2,枚数!AG13&gt;0),枚数!AG13,IF(AND(標準可否!AG13=1,低温可否!AG13=1,HUAWEI製ＰＣＳ接続枚数計算ツール!$C$108&gt;=AG$2,枚数!AG13&gt;0,低電圧接続!AG13&gt;0),枚数!AG13,"-"))</f>
        <v>-</v>
      </c>
      <c r="AH13" s="124" t="str">
        <f>IF(AND(高温可否!AH13=1,低温可否!AH13=1,標準可否!AH13=1,HUAWEI製ＰＣＳ接続枚数計算ツール!$C$108&gt;=AH$2,HUAWEI製ＰＣＳ接続枚数計算ツール!$E$108&lt;=AH$2,枚数!AH13&gt;0),枚数!AH13,IF(AND(標準可否!AH13=1,低温可否!AH13=1,HUAWEI製ＰＣＳ接続枚数計算ツール!$C$108&gt;=AH$2,枚数!AH13&gt;0,低電圧接続!AH13&gt;0),枚数!AH13,"-"))</f>
        <v>-</v>
      </c>
      <c r="AI13" s="123" t="str">
        <f>IF(AND(高温可否!AI13=1,低温可否!AI13=1,標準可否!AI13=1,HUAWEI製ＰＣＳ接続枚数計算ツール!$C$108&gt;=AI$2,HUAWEI製ＰＣＳ接続枚数計算ツール!$E$108&lt;=AI$2,枚数!AI13&gt;0),枚数!AI13,IF(AND(標準可否!AI13=1,低温可否!AI13=1,HUAWEI製ＰＣＳ接続枚数計算ツール!$C$108&gt;=AI$2,枚数!AI13&gt;0,低電圧接続!AI13&gt;0),枚数!AI13,"-"))</f>
        <v>-</v>
      </c>
      <c r="AJ13" s="124" t="str">
        <f>IF(AND(高温可否!AJ13=1,低温可否!AJ13=1,標準可否!AJ13=1,HUAWEI製ＰＣＳ接続枚数計算ツール!$C$108&gt;=AJ$2,HUAWEI製ＰＣＳ接続枚数計算ツール!$E$108&lt;=AJ$2,枚数!AJ13&gt;0),枚数!AJ13,IF(AND(標準可否!AJ13=1,低温可否!AJ13=1,HUAWEI製ＰＣＳ接続枚数計算ツール!$C$108&gt;=AJ$2,枚数!AJ13&gt;0,低電圧接続!AJ13&gt;0),枚数!AJ13,"-"))</f>
        <v>-</v>
      </c>
      <c r="AK13" s="123" t="str">
        <f>IF(AND(高温可否!AK13=1,低温可否!AK13=1,標準可否!AK13=1,HUAWEI製ＰＣＳ接続枚数計算ツール!$C$108&gt;=AK$2,HUAWEI製ＰＣＳ接続枚数計算ツール!$E$108&lt;=AK$2,枚数!AK13&gt;0),枚数!AK13,IF(AND(標準可否!AK13=1,低温可否!AK13=1,HUAWEI製ＰＣＳ接続枚数計算ツール!$C$108&gt;=AK$2,枚数!AK13&gt;0,低電圧接続!AK13&gt;0),枚数!AK13,"-"))</f>
        <v>-</v>
      </c>
      <c r="AL13" s="124" t="str">
        <f>IF(AND(高温可否!AL13=1,低温可否!AL13=1,標準可否!AL13=1,HUAWEI製ＰＣＳ接続枚数計算ツール!$C$108&gt;=AL$2,HUAWEI製ＰＣＳ接続枚数計算ツール!$E$108&lt;=AL$2,枚数!AL13&gt;0),枚数!AL13,IF(AND(標準可否!AL13=1,低温可否!AL13=1,HUAWEI製ＰＣＳ接続枚数計算ツール!$C$108&gt;=AL$2,枚数!AL13&gt;0,低電圧接続!AL13&gt;0),枚数!AL13,"-"))</f>
        <v>-</v>
      </c>
      <c r="AM13" s="123" t="str">
        <f>IF(AND(高温可否!AM13=1,低温可否!AM13=1,標準可否!AM13=1,HUAWEI製ＰＣＳ接続枚数計算ツール!$C$108&gt;=AM$2,HUAWEI製ＰＣＳ接続枚数計算ツール!$E$108&lt;=AM$2,枚数!AM13&gt;0),枚数!AM13,IF(AND(標準可否!AM13=1,低温可否!AM13=1,HUAWEI製ＰＣＳ接続枚数計算ツール!$C$108&gt;=AM$2,枚数!AM13&gt;0,低電圧接続!AM13&gt;0),枚数!AM13,"-"))</f>
        <v>-</v>
      </c>
      <c r="AN13" s="124" t="str">
        <f>IF(AND(高温可否!AN13=1,低温可否!AN13=1,標準可否!AN13=1,HUAWEI製ＰＣＳ接続枚数計算ツール!$C$108&gt;=AN$2,HUAWEI製ＰＣＳ接続枚数計算ツール!$E$108&lt;=AN$2,枚数!AN13&gt;0),枚数!AN13,IF(AND(標準可否!AN13=1,低温可否!AN13=1,HUAWEI製ＰＣＳ接続枚数計算ツール!$C$108&gt;=AN$2,枚数!AN13&gt;0,低電圧接続!AN13&gt;0),枚数!AN13,"-"))</f>
        <v>-</v>
      </c>
      <c r="AO13" s="125" t="str">
        <f>IF(AND(高温可否!AO13=1,低温可否!AO13=1,標準可否!AO13=1,HUAWEI製ＰＣＳ接続枚数計算ツール!$C$108&gt;=AO$2,HUAWEI製ＰＣＳ接続枚数計算ツール!$E$108&lt;=AO$2,枚数!AO13&gt;0),枚数!AO13,IF(AND(標準可否!AO13=1,低温可否!AO13=1,HUAWEI製ＰＣＳ接続枚数計算ツール!$C$108&gt;=AO$2,枚数!AO13&gt;0,低電圧接続!AO13&gt;0),枚数!AO13,"-"))</f>
        <v>-</v>
      </c>
    </row>
    <row r="14" spans="1:41">
      <c r="A14" s="115">
        <v>12</v>
      </c>
      <c r="B14" s="126" t="str">
        <f>IF(AND(高温可否!B14=1,低温可否!B14=1,標準可否!B14=1,HUAWEI製ＰＣＳ接続枚数計算ツール!$C$108&gt;=B$2,HUAWEI製ＰＣＳ接続枚数計算ツール!$E$108&lt;=B$2,枚数!B14&gt;0),枚数!B14,IF(AND(標準可否!B14=1,低温可否!B14=1,HUAWEI製ＰＣＳ接続枚数計算ツール!$C$108&gt;=B$2,枚数!B14&gt;0,低電圧接続!B14&gt;0),枚数!B14,"-"))</f>
        <v>-</v>
      </c>
      <c r="C14" s="127" t="str">
        <f>IF(AND(高温可否!C14=1,低温可否!C14=1,標準可否!C14=1,HUAWEI製ＰＣＳ接続枚数計算ツール!$C$108&gt;=C$2,HUAWEI製ＰＣＳ接続枚数計算ツール!$E$108&lt;=C$2,枚数!C14&gt;0),枚数!C14,IF(AND(標準可否!C14=1,低温可否!C14=1,HUAWEI製ＰＣＳ接続枚数計算ツール!$C$108&gt;=C$2,枚数!C14&gt;0,低電圧接続!C14&gt;0),枚数!C14,"-"))</f>
        <v>-</v>
      </c>
      <c r="D14" s="128" t="str">
        <f>IF(AND(高温可否!D14=1,低温可否!D14=1,標準可否!D14=1,HUAWEI製ＰＣＳ接続枚数計算ツール!$C$108&gt;=D$2,HUAWEI製ＰＣＳ接続枚数計算ツール!$E$108&lt;=D$2,枚数!D14&gt;0),枚数!D14,IF(AND(標準可否!D14=1,低温可否!D14=1,HUAWEI製ＰＣＳ接続枚数計算ツール!$C$108&gt;=D$2,枚数!D14&gt;0,低電圧接続!D14&gt;0),枚数!D14,"-"))</f>
        <v>-</v>
      </c>
      <c r="E14" s="127" t="str">
        <f>IF(AND(高温可否!E14=1,低温可否!E14=1,標準可否!E14=1,HUAWEI製ＰＣＳ接続枚数計算ツール!$C$108&gt;=E$2,HUAWEI製ＰＣＳ接続枚数計算ツール!$E$108&lt;=E$2,枚数!E14&gt;0),枚数!E14,IF(AND(標準可否!E14=1,低温可否!E14=1,HUAWEI製ＰＣＳ接続枚数計算ツール!$C$108&gt;=E$2,枚数!E14&gt;0,低電圧接続!E14&gt;0),枚数!E14,"-"))</f>
        <v>-</v>
      </c>
      <c r="F14" s="128" t="str">
        <f>IF(AND(高温可否!F14=1,低温可否!F14=1,標準可否!F14=1,HUAWEI製ＰＣＳ接続枚数計算ツール!$C$108&gt;=F$2,HUAWEI製ＰＣＳ接続枚数計算ツール!$E$108&lt;=F$2,枚数!F14&gt;0),枚数!F14,IF(AND(標準可否!F14=1,低温可否!F14=1,HUAWEI製ＰＣＳ接続枚数計算ツール!$C$108&gt;=F$2,枚数!F14&gt;0,低電圧接続!F14&gt;0),枚数!F14,"-"))</f>
        <v>-</v>
      </c>
      <c r="G14" s="127" t="str">
        <f>IF(AND(高温可否!G14=1,低温可否!G14=1,標準可否!G14=1,HUAWEI製ＰＣＳ接続枚数計算ツール!$C$108&gt;=G$2,HUAWEI製ＰＣＳ接続枚数計算ツール!$E$108&lt;=G$2,枚数!G14&gt;0),枚数!G14,IF(AND(標準可否!G14=1,低温可否!G14=1,HUAWEI製ＰＣＳ接続枚数計算ツール!$C$108&gt;=G$2,枚数!G14&gt;0,低電圧接続!G14&gt;0),枚数!G14,"-"))</f>
        <v>-</v>
      </c>
      <c r="H14" s="128" t="str">
        <f>IF(AND(高温可否!H14=1,低温可否!H14=1,標準可否!H14=1,HUAWEI製ＰＣＳ接続枚数計算ツール!$C$108&gt;=H$2,HUAWEI製ＰＣＳ接続枚数計算ツール!$E$108&lt;=H$2,枚数!H14&gt;0),枚数!H14,IF(AND(標準可否!H14=1,低温可否!H14=1,HUAWEI製ＰＣＳ接続枚数計算ツール!$C$108&gt;=H$2,枚数!H14&gt;0,低電圧接続!H14&gt;0),枚数!H14,"-"))</f>
        <v>-</v>
      </c>
      <c r="I14" s="127" t="str">
        <f>IF(AND(高温可否!I14=1,低温可否!I14=1,標準可否!I14=1,HUAWEI製ＰＣＳ接続枚数計算ツール!$C$108&gt;=I$2,HUAWEI製ＰＣＳ接続枚数計算ツール!$E$108&lt;=I$2,枚数!I14&gt;0),枚数!I14,IF(AND(標準可否!I14=1,低温可否!I14=1,HUAWEI製ＰＣＳ接続枚数計算ツール!$C$108&gt;=I$2,枚数!I14&gt;0,低電圧接続!I14&gt;0),枚数!I14,"-"))</f>
        <v>-</v>
      </c>
      <c r="J14" s="128" t="str">
        <f>IF(AND(高温可否!J14=1,低温可否!J14=1,標準可否!J14=1,HUAWEI製ＰＣＳ接続枚数計算ツール!$C$108&gt;=J$2,HUAWEI製ＰＣＳ接続枚数計算ツール!$E$108&lt;=J$2,枚数!J14&gt;0),枚数!J14,IF(AND(標準可否!J14=1,低温可否!J14=1,HUAWEI製ＰＣＳ接続枚数計算ツール!$C$108&gt;=J$2,枚数!J14&gt;0,低電圧接続!J14&gt;0),枚数!J14,"-"))</f>
        <v>-</v>
      </c>
      <c r="K14" s="127" t="str">
        <f>IF(AND(高温可否!K14=1,低温可否!K14=1,標準可否!K14=1,HUAWEI製ＰＣＳ接続枚数計算ツール!$C$108&gt;=K$2,HUAWEI製ＰＣＳ接続枚数計算ツール!$E$108&lt;=K$2,枚数!K14&gt;0),枚数!K14,IF(AND(標準可否!K14=1,低温可否!K14=1,HUAWEI製ＰＣＳ接続枚数計算ツール!$C$108&gt;=K$2,枚数!K14&gt;0,低電圧接続!K14&gt;0),枚数!K14,"-"))</f>
        <v>-</v>
      </c>
      <c r="L14" s="128" t="str">
        <f>IF(AND(高温可否!L14=1,低温可否!L14=1,標準可否!L14=1,HUAWEI製ＰＣＳ接続枚数計算ツール!$C$108&gt;=L$2,HUAWEI製ＰＣＳ接続枚数計算ツール!$E$108&lt;=L$2,枚数!L14&gt;0),枚数!L14,IF(AND(標準可否!L14=1,低温可否!L14=1,HUAWEI製ＰＣＳ接続枚数計算ツール!$C$108&gt;=L$2,枚数!L14&gt;0,低電圧接続!L14&gt;0),枚数!L14,"-"))</f>
        <v>-</v>
      </c>
      <c r="M14" s="127" t="str">
        <f>IF(AND(高温可否!M14=1,低温可否!M14=1,標準可否!M14=1,HUAWEI製ＰＣＳ接続枚数計算ツール!$C$108&gt;=M$2,HUAWEI製ＰＣＳ接続枚数計算ツール!$E$108&lt;=M$2,枚数!M14&gt;0),枚数!M14,IF(AND(標準可否!M14=1,低温可否!M14=1,HUAWEI製ＰＣＳ接続枚数計算ツール!$C$108&gt;=M$2,枚数!M14&gt;0,低電圧接続!M14&gt;0),枚数!M14,"-"))</f>
        <v>-</v>
      </c>
      <c r="N14" s="128" t="str">
        <f>IF(AND(高温可否!N14=1,低温可否!N14=1,標準可否!N14=1,HUAWEI製ＰＣＳ接続枚数計算ツール!$C$108&gt;=N$2,HUAWEI製ＰＣＳ接続枚数計算ツール!$E$108&lt;=N$2,枚数!N14&gt;0),枚数!N14,IF(AND(標準可否!N14=1,低温可否!N14=1,HUAWEI製ＰＣＳ接続枚数計算ツール!$C$108&gt;=N$2,枚数!N14&gt;0,低電圧接続!N14&gt;0),枚数!N14,"-"))</f>
        <v>-</v>
      </c>
      <c r="O14" s="127" t="str">
        <f>IF(AND(高温可否!O14=1,低温可否!O14=1,標準可否!O14=1,HUAWEI製ＰＣＳ接続枚数計算ツール!$C$108&gt;=O$2,HUAWEI製ＰＣＳ接続枚数計算ツール!$E$108&lt;=O$2,枚数!O14&gt;0),枚数!O14,IF(AND(標準可否!O14=1,低温可否!O14=1,HUAWEI製ＰＣＳ接続枚数計算ツール!$C$108&gt;=O$2,枚数!O14&gt;0,低電圧接続!O14&gt;0),枚数!O14,"-"))</f>
        <v>-</v>
      </c>
      <c r="P14" s="128" t="str">
        <f>IF(AND(高温可否!P14=1,低温可否!P14=1,標準可否!P14=1,HUAWEI製ＰＣＳ接続枚数計算ツール!$C$108&gt;=P$2,HUAWEI製ＰＣＳ接続枚数計算ツール!$E$108&lt;=P$2,枚数!P14&gt;0),枚数!P14,IF(AND(標準可否!P14=1,低温可否!P14=1,HUAWEI製ＰＣＳ接続枚数計算ツール!$C$108&gt;=P$2,枚数!P14&gt;0,低電圧接続!P14&gt;0),枚数!P14,"-"))</f>
        <v>-</v>
      </c>
      <c r="Q14" s="127" t="str">
        <f>IF(AND(高温可否!Q14=1,低温可否!Q14=1,標準可否!Q14=1,HUAWEI製ＰＣＳ接続枚数計算ツール!$C$108&gt;=Q$2,HUAWEI製ＰＣＳ接続枚数計算ツール!$E$108&lt;=Q$2,枚数!Q14&gt;0),枚数!Q14,IF(AND(標準可否!Q14=1,低温可否!Q14=1,HUAWEI製ＰＣＳ接続枚数計算ツール!$C$108&gt;=Q$2,枚数!Q14&gt;0,低電圧接続!Q14&gt;0),枚数!Q14,"-"))</f>
        <v>-</v>
      </c>
      <c r="R14" s="128" t="str">
        <f>IF(AND(高温可否!R14=1,低温可否!R14=1,標準可否!R14=1,HUAWEI製ＰＣＳ接続枚数計算ツール!$C$108&gt;=R$2,HUAWEI製ＰＣＳ接続枚数計算ツール!$E$108&lt;=R$2,枚数!R14&gt;0),枚数!R14,IF(AND(標準可否!R14=1,低温可否!R14=1,HUAWEI製ＰＣＳ接続枚数計算ツール!$C$108&gt;=R$2,枚数!R14&gt;0,低電圧接続!R14&gt;0),枚数!R14,"-"))</f>
        <v>-</v>
      </c>
      <c r="S14" s="127" t="str">
        <f>IF(AND(高温可否!S14=1,低温可否!S14=1,標準可否!S14=1,HUAWEI製ＰＣＳ接続枚数計算ツール!$C$108&gt;=S$2,HUAWEI製ＰＣＳ接続枚数計算ツール!$E$108&lt;=S$2,枚数!S14&gt;0),枚数!S14,IF(AND(標準可否!S14=1,低温可否!S14=1,HUAWEI製ＰＣＳ接続枚数計算ツール!$C$108&gt;=S$2,枚数!S14&gt;0,低電圧接続!S14&gt;0),枚数!S14,"-"))</f>
        <v>-</v>
      </c>
      <c r="T14" s="128" t="str">
        <f>IF(AND(高温可否!T14=1,低温可否!T14=1,標準可否!T14=1,HUAWEI製ＰＣＳ接続枚数計算ツール!$C$108&gt;=T$2,HUAWEI製ＰＣＳ接続枚数計算ツール!$E$108&lt;=T$2,枚数!T14&gt;0),枚数!T14,IF(AND(標準可否!T14=1,低温可否!T14=1,HUAWEI製ＰＣＳ接続枚数計算ツール!$C$108&gt;=T$2,枚数!T14&gt;0,低電圧接続!T14&gt;0),枚数!T14,"-"))</f>
        <v>-</v>
      </c>
      <c r="U14" s="127" t="str">
        <f>IF(AND(高温可否!U14=1,低温可否!U14=1,標準可否!U14=1,HUAWEI製ＰＣＳ接続枚数計算ツール!$C$108&gt;=U$2,HUAWEI製ＰＣＳ接続枚数計算ツール!$E$108&lt;=U$2,枚数!U14&gt;0),枚数!U14,IF(AND(標準可否!U14=1,低温可否!U14=1,HUAWEI製ＰＣＳ接続枚数計算ツール!$C$108&gt;=U$2,枚数!U14&gt;0,低電圧接続!U14&gt;0),枚数!U14,"-"))</f>
        <v>-</v>
      </c>
      <c r="V14" s="128">
        <f>IF(AND(高温可否!V14=1,低温可否!V14=1,標準可否!V14=1,HUAWEI製ＰＣＳ接続枚数計算ツール!$C$108&gt;=V$2,HUAWEI製ＰＣＳ接続枚数計算ツール!$E$108&lt;=V$2,枚数!V14&gt;0),枚数!V14,IF(AND(標準可否!V14=1,低温可否!V14=1,HUAWEI製ＰＣＳ接続枚数計算ツール!$C$108&gt;=V$2,枚数!V14&gt;0,低電圧接続!V14&gt;0),枚数!V14,"-"))</f>
        <v>252</v>
      </c>
      <c r="W14" s="127">
        <f>IF(AND(高温可否!W14=1,低温可否!W14=1,標準可否!W14=1,HUAWEI製ＰＣＳ接続枚数計算ツール!$C$108&gt;=W$2,HUAWEI製ＰＣＳ接続枚数計算ツール!$E$108&lt;=W$2,枚数!W14&gt;0),枚数!W14,IF(AND(標準可否!W14=1,低温可否!W14=1,HUAWEI製ＰＣＳ接続枚数計算ツール!$C$108&gt;=W$2,枚数!W14&gt;0,低電圧接続!W14&gt;0),枚数!W14,"-"))</f>
        <v>264</v>
      </c>
      <c r="X14" s="128" t="str">
        <f>IF(AND(高温可否!X14=1,低温可否!X14=1,標準可否!X14=1,HUAWEI製ＰＣＳ接続枚数計算ツール!$C$108&gt;=X$2,HUAWEI製ＰＣＳ接続枚数計算ツール!$E$108&lt;=X$2,枚数!X14&gt;0),枚数!X14,IF(AND(標準可否!X14=1,低温可否!X14=1,HUAWEI製ＰＣＳ接続枚数計算ツール!$C$108&gt;=X$2,枚数!X14&gt;0,低電圧接続!X14&gt;0),枚数!X14,"-"))</f>
        <v>-</v>
      </c>
      <c r="Y14" s="127" t="str">
        <f>IF(AND(高温可否!Y14=1,低温可否!Y14=1,標準可否!Y14=1,HUAWEI製ＰＣＳ接続枚数計算ツール!$C$108&gt;=Y$2,HUAWEI製ＰＣＳ接続枚数計算ツール!$E$108&lt;=Y$2,枚数!Y14&gt;0),枚数!Y14,IF(AND(標準可否!Y14=1,低温可否!Y14=1,HUAWEI製ＰＣＳ接続枚数計算ツール!$C$108&gt;=Y$2,枚数!Y14&gt;0,低電圧接続!Y14&gt;0),枚数!Y14,"-"))</f>
        <v>-</v>
      </c>
      <c r="Z14" s="128" t="str">
        <f>IF(AND(高温可否!Z14=1,低温可否!Z14=1,標準可否!Z14=1,HUAWEI製ＰＣＳ接続枚数計算ツール!$C$108&gt;=Z$2,HUAWEI製ＰＣＳ接続枚数計算ツール!$E$108&lt;=Z$2,枚数!Z14&gt;0),枚数!Z14,IF(AND(標準可否!Z14=1,低温可否!Z14=1,HUAWEI製ＰＣＳ接続枚数計算ツール!$C$108&gt;=Z$2,枚数!Z14&gt;0,低電圧接続!Z14&gt;0),枚数!Z14,"-"))</f>
        <v>-</v>
      </c>
      <c r="AA14" s="127" t="str">
        <f>IF(AND(高温可否!AA14=1,低温可否!AA14=1,標準可否!AA14=1,HUAWEI製ＰＣＳ接続枚数計算ツール!$C$108&gt;=AA$2,HUAWEI製ＰＣＳ接続枚数計算ツール!$E$108&lt;=AA$2,枚数!AA14&gt;0),枚数!AA14,IF(AND(標準可否!AA14=1,低温可否!AA14=1,HUAWEI製ＰＣＳ接続枚数計算ツール!$C$108&gt;=AA$2,枚数!AA14&gt;0,低電圧接続!AA14&gt;0),枚数!AA14,"-"))</f>
        <v>-</v>
      </c>
      <c r="AB14" s="128" t="str">
        <f>IF(AND(高温可否!AB14=1,低温可否!AB14=1,標準可否!AB14=1,HUAWEI製ＰＣＳ接続枚数計算ツール!$C$108&gt;=AB$2,HUAWEI製ＰＣＳ接続枚数計算ツール!$E$108&lt;=AB$2,枚数!AB14&gt;0),枚数!AB14,IF(AND(標準可否!AB14=1,低温可否!AB14=1,HUAWEI製ＰＣＳ接続枚数計算ツール!$C$108&gt;=AB$2,枚数!AB14&gt;0,低電圧接続!AB14&gt;0),枚数!AB14,"-"))</f>
        <v>-</v>
      </c>
      <c r="AC14" s="127" t="str">
        <f>IF(AND(高温可否!AC14=1,低温可否!AC14=1,標準可否!AC14=1,HUAWEI製ＰＣＳ接続枚数計算ツール!$C$108&gt;=AC$2,HUAWEI製ＰＣＳ接続枚数計算ツール!$E$108&lt;=AC$2,枚数!AC14&gt;0),枚数!AC14,IF(AND(標準可否!AC14=1,低温可否!AC14=1,HUAWEI製ＰＣＳ接続枚数計算ツール!$C$108&gt;=AC$2,枚数!AC14&gt;0,低電圧接続!AC14&gt;0),枚数!AC14,"-"))</f>
        <v>-</v>
      </c>
      <c r="AD14" s="128" t="str">
        <f>IF(AND(高温可否!AD14=1,低温可否!AD14=1,標準可否!AD14=1,HUAWEI製ＰＣＳ接続枚数計算ツール!$C$108&gt;=AD$2,HUAWEI製ＰＣＳ接続枚数計算ツール!$E$108&lt;=AD$2,枚数!AD14&gt;0),枚数!AD14,IF(AND(標準可否!AD14=1,低温可否!AD14=1,HUAWEI製ＰＣＳ接続枚数計算ツール!$C$108&gt;=AD$2,枚数!AD14&gt;0,低電圧接続!AD14&gt;0),枚数!AD14,"-"))</f>
        <v>-</v>
      </c>
      <c r="AE14" s="127" t="str">
        <f>IF(AND(高温可否!AE14=1,低温可否!AE14=1,標準可否!AE14=1,HUAWEI製ＰＣＳ接続枚数計算ツール!$C$108&gt;=AE$2,HUAWEI製ＰＣＳ接続枚数計算ツール!$E$108&lt;=AE$2,枚数!AE14&gt;0),枚数!AE14,IF(AND(標準可否!AE14=1,低温可否!AE14=1,HUAWEI製ＰＣＳ接続枚数計算ツール!$C$108&gt;=AE$2,枚数!AE14&gt;0,低電圧接続!AE14&gt;0),枚数!AE14,"-"))</f>
        <v>-</v>
      </c>
      <c r="AF14" s="128" t="str">
        <f>IF(AND(高温可否!AF14=1,低温可否!AF14=1,標準可否!AF14=1,HUAWEI製ＰＣＳ接続枚数計算ツール!$C$108&gt;=AF$2,HUAWEI製ＰＣＳ接続枚数計算ツール!$E$108&lt;=AF$2,枚数!AF14&gt;0),枚数!AF14,IF(AND(標準可否!AF14=1,低温可否!AF14=1,HUAWEI製ＰＣＳ接続枚数計算ツール!$C$108&gt;=AF$2,枚数!AF14&gt;0,低電圧接続!AF14&gt;0),枚数!AF14,"-"))</f>
        <v>-</v>
      </c>
      <c r="AG14" s="127" t="str">
        <f>IF(AND(高温可否!AG14=1,低温可否!AG14=1,標準可否!AG14=1,HUAWEI製ＰＣＳ接続枚数計算ツール!$C$108&gt;=AG$2,HUAWEI製ＰＣＳ接続枚数計算ツール!$E$108&lt;=AG$2,枚数!AG14&gt;0),枚数!AG14,IF(AND(標準可否!AG14=1,低温可否!AG14=1,HUAWEI製ＰＣＳ接続枚数計算ツール!$C$108&gt;=AG$2,枚数!AG14&gt;0,低電圧接続!AG14&gt;0),枚数!AG14,"-"))</f>
        <v>-</v>
      </c>
      <c r="AH14" s="128" t="str">
        <f>IF(AND(高温可否!AH14=1,低温可否!AH14=1,標準可否!AH14=1,HUAWEI製ＰＣＳ接続枚数計算ツール!$C$108&gt;=AH$2,HUAWEI製ＰＣＳ接続枚数計算ツール!$E$108&lt;=AH$2,枚数!AH14&gt;0),枚数!AH14,IF(AND(標準可否!AH14=1,低温可否!AH14=1,HUAWEI製ＰＣＳ接続枚数計算ツール!$C$108&gt;=AH$2,枚数!AH14&gt;0,低電圧接続!AH14&gt;0),枚数!AH14,"-"))</f>
        <v>-</v>
      </c>
      <c r="AI14" s="127" t="str">
        <f>IF(AND(高温可否!AI14=1,低温可否!AI14=1,標準可否!AI14=1,HUAWEI製ＰＣＳ接続枚数計算ツール!$C$108&gt;=AI$2,HUAWEI製ＰＣＳ接続枚数計算ツール!$E$108&lt;=AI$2,枚数!AI14&gt;0),枚数!AI14,IF(AND(標準可否!AI14=1,低温可否!AI14=1,HUAWEI製ＰＣＳ接続枚数計算ツール!$C$108&gt;=AI$2,枚数!AI14&gt;0,低電圧接続!AI14&gt;0),枚数!AI14,"-"))</f>
        <v>-</v>
      </c>
      <c r="AJ14" s="128" t="str">
        <f>IF(AND(高温可否!AJ14=1,低温可否!AJ14=1,標準可否!AJ14=1,HUAWEI製ＰＣＳ接続枚数計算ツール!$C$108&gt;=AJ$2,HUAWEI製ＰＣＳ接続枚数計算ツール!$E$108&lt;=AJ$2,枚数!AJ14&gt;0),枚数!AJ14,IF(AND(標準可否!AJ14=1,低温可否!AJ14=1,HUAWEI製ＰＣＳ接続枚数計算ツール!$C$108&gt;=AJ$2,枚数!AJ14&gt;0,低電圧接続!AJ14&gt;0),枚数!AJ14,"-"))</f>
        <v>-</v>
      </c>
      <c r="AK14" s="127" t="str">
        <f>IF(AND(高温可否!AK14=1,低温可否!AK14=1,標準可否!AK14=1,HUAWEI製ＰＣＳ接続枚数計算ツール!$C$108&gt;=AK$2,HUAWEI製ＰＣＳ接続枚数計算ツール!$E$108&lt;=AK$2,枚数!AK14&gt;0),枚数!AK14,IF(AND(標準可否!AK14=1,低温可否!AK14=1,HUAWEI製ＰＣＳ接続枚数計算ツール!$C$108&gt;=AK$2,枚数!AK14&gt;0,低電圧接続!AK14&gt;0),枚数!AK14,"-"))</f>
        <v>-</v>
      </c>
      <c r="AL14" s="128" t="str">
        <f>IF(AND(高温可否!AL14=1,低温可否!AL14=1,標準可否!AL14=1,HUAWEI製ＰＣＳ接続枚数計算ツール!$C$108&gt;=AL$2,HUAWEI製ＰＣＳ接続枚数計算ツール!$E$108&lt;=AL$2,枚数!AL14&gt;0),枚数!AL14,IF(AND(標準可否!AL14=1,低温可否!AL14=1,HUAWEI製ＰＣＳ接続枚数計算ツール!$C$108&gt;=AL$2,枚数!AL14&gt;0,低電圧接続!AL14&gt;0),枚数!AL14,"-"))</f>
        <v>-</v>
      </c>
      <c r="AM14" s="127" t="str">
        <f>IF(AND(高温可否!AM14=1,低温可否!AM14=1,標準可否!AM14=1,HUAWEI製ＰＣＳ接続枚数計算ツール!$C$108&gt;=AM$2,HUAWEI製ＰＣＳ接続枚数計算ツール!$E$108&lt;=AM$2,枚数!AM14&gt;0),枚数!AM14,IF(AND(標準可否!AM14=1,低温可否!AM14=1,HUAWEI製ＰＣＳ接続枚数計算ツール!$C$108&gt;=AM$2,枚数!AM14&gt;0,低電圧接続!AM14&gt;0),枚数!AM14,"-"))</f>
        <v>-</v>
      </c>
      <c r="AN14" s="128" t="str">
        <f>IF(AND(高温可否!AN14=1,低温可否!AN14=1,標準可否!AN14=1,HUAWEI製ＰＣＳ接続枚数計算ツール!$C$108&gt;=AN$2,HUAWEI製ＰＣＳ接続枚数計算ツール!$E$108&lt;=AN$2,枚数!AN14&gt;0),枚数!AN14,IF(AND(標準可否!AN14=1,低温可否!AN14=1,HUAWEI製ＰＣＳ接続枚数計算ツール!$C$108&gt;=AN$2,枚数!AN14&gt;0,低電圧接続!AN14&gt;0),枚数!AN14,"-"))</f>
        <v>-</v>
      </c>
      <c r="AO14" s="129" t="str">
        <f>IF(AND(高温可否!AO14=1,低温可否!AO14=1,標準可否!AO14=1,HUAWEI製ＰＣＳ接続枚数計算ツール!$C$108&gt;=AO$2,HUAWEI製ＰＣＳ接続枚数計算ツール!$E$108&lt;=AO$2,枚数!AO14&gt;0),枚数!AO14,IF(AND(標準可否!AO14=1,低温可否!AO14=1,HUAWEI製ＰＣＳ接続枚数計算ツール!$C$108&gt;=AO$2,枚数!AO14&gt;0,低電圧接続!AO14&gt;0),枚数!AO14,"-"))</f>
        <v>-</v>
      </c>
    </row>
    <row r="15" spans="1:41">
      <c r="A15" s="116">
        <v>13</v>
      </c>
      <c r="B15" s="122" t="str">
        <f>IF(AND(高温可否!B15=1,低温可否!B15=1,標準可否!B15=1,HUAWEI製ＰＣＳ接続枚数計算ツール!$C$108&gt;=B$2,HUAWEI製ＰＣＳ接続枚数計算ツール!$E$108&lt;=B$2,枚数!B15&gt;0),枚数!B15,IF(AND(標準可否!B15=1,低温可否!B15=1,HUAWEI製ＰＣＳ接続枚数計算ツール!$C$108&gt;=B$2,枚数!B15&gt;0,低電圧接続!B15&gt;0),枚数!B15,"-"))</f>
        <v>-</v>
      </c>
      <c r="C15" s="123" t="str">
        <f>IF(AND(高温可否!C15=1,低温可否!C15=1,標準可否!C15=1,HUAWEI製ＰＣＳ接続枚数計算ツール!$C$108&gt;=C$2,HUAWEI製ＰＣＳ接続枚数計算ツール!$E$108&lt;=C$2,枚数!C15&gt;0),枚数!C15,IF(AND(標準可否!C15=1,低温可否!C15=1,HUAWEI製ＰＣＳ接続枚数計算ツール!$C$108&gt;=C$2,枚数!C15&gt;0,低電圧接続!C15&gt;0),枚数!C15,"-"))</f>
        <v>-</v>
      </c>
      <c r="D15" s="124" t="str">
        <f>IF(AND(高温可否!D15=1,低温可否!D15=1,標準可否!D15=1,HUAWEI製ＰＣＳ接続枚数計算ツール!$C$108&gt;=D$2,HUAWEI製ＰＣＳ接続枚数計算ツール!$E$108&lt;=D$2,枚数!D15&gt;0),枚数!D15,IF(AND(標準可否!D15=1,低温可否!D15=1,HUAWEI製ＰＣＳ接続枚数計算ツール!$C$108&gt;=D$2,枚数!D15&gt;0,低電圧接続!D15&gt;0),枚数!D15,"-"))</f>
        <v>-</v>
      </c>
      <c r="E15" s="123" t="str">
        <f>IF(AND(高温可否!E15=1,低温可否!E15=1,標準可否!E15=1,HUAWEI製ＰＣＳ接続枚数計算ツール!$C$108&gt;=E$2,HUAWEI製ＰＣＳ接続枚数計算ツール!$E$108&lt;=E$2,枚数!E15&gt;0),枚数!E15,IF(AND(標準可否!E15=1,低温可否!E15=1,HUAWEI製ＰＣＳ接続枚数計算ツール!$C$108&gt;=E$2,枚数!E15&gt;0,低電圧接続!E15&gt;0),枚数!E15,"-"))</f>
        <v>-</v>
      </c>
      <c r="F15" s="124" t="str">
        <f>IF(AND(高温可否!F15=1,低温可否!F15=1,標準可否!F15=1,HUAWEI製ＰＣＳ接続枚数計算ツール!$C$108&gt;=F$2,HUAWEI製ＰＣＳ接続枚数計算ツール!$E$108&lt;=F$2,枚数!F15&gt;0),枚数!F15,IF(AND(標準可否!F15=1,低温可否!F15=1,HUAWEI製ＰＣＳ接続枚数計算ツール!$C$108&gt;=F$2,枚数!F15&gt;0,低電圧接続!F15&gt;0),枚数!F15,"-"))</f>
        <v>-</v>
      </c>
      <c r="G15" s="123" t="str">
        <f>IF(AND(高温可否!G15=1,低温可否!G15=1,標準可否!G15=1,HUAWEI製ＰＣＳ接続枚数計算ツール!$C$108&gt;=G$2,HUAWEI製ＰＣＳ接続枚数計算ツール!$E$108&lt;=G$2,枚数!G15&gt;0),枚数!G15,IF(AND(標準可否!G15=1,低温可否!G15=1,HUAWEI製ＰＣＳ接続枚数計算ツール!$C$108&gt;=G$2,枚数!G15&gt;0,低電圧接続!G15&gt;0),枚数!G15,"-"))</f>
        <v>-</v>
      </c>
      <c r="H15" s="124" t="str">
        <f>IF(AND(高温可否!H15=1,低温可否!H15=1,標準可否!H15=1,HUAWEI製ＰＣＳ接続枚数計算ツール!$C$108&gt;=H$2,HUAWEI製ＰＣＳ接続枚数計算ツール!$E$108&lt;=H$2,枚数!H15&gt;0),枚数!H15,IF(AND(標準可否!H15=1,低温可否!H15=1,HUAWEI製ＰＣＳ接続枚数計算ツール!$C$108&gt;=H$2,枚数!H15&gt;0,低電圧接続!H15&gt;0),枚数!H15,"-"))</f>
        <v>-</v>
      </c>
      <c r="I15" s="123" t="str">
        <f>IF(AND(高温可否!I15=1,低温可否!I15=1,標準可否!I15=1,HUAWEI製ＰＣＳ接続枚数計算ツール!$C$108&gt;=I$2,HUAWEI製ＰＣＳ接続枚数計算ツール!$E$108&lt;=I$2,枚数!I15&gt;0),枚数!I15,IF(AND(標準可否!I15=1,低温可否!I15=1,HUAWEI製ＰＣＳ接続枚数計算ツール!$C$108&gt;=I$2,枚数!I15&gt;0,低電圧接続!I15&gt;0),枚数!I15,"-"))</f>
        <v>-</v>
      </c>
      <c r="J15" s="124" t="str">
        <f>IF(AND(高温可否!J15=1,低温可否!J15=1,標準可否!J15=1,HUAWEI製ＰＣＳ接続枚数計算ツール!$C$108&gt;=J$2,HUAWEI製ＰＣＳ接続枚数計算ツール!$E$108&lt;=J$2,枚数!J15&gt;0),枚数!J15,IF(AND(標準可否!J15=1,低温可否!J15=1,HUAWEI製ＰＣＳ接続枚数計算ツール!$C$108&gt;=J$2,枚数!J15&gt;0,低電圧接続!J15&gt;0),枚数!J15,"-"))</f>
        <v>-</v>
      </c>
      <c r="K15" s="123" t="str">
        <f>IF(AND(高温可否!K15=1,低温可否!K15=1,標準可否!K15=1,HUAWEI製ＰＣＳ接続枚数計算ツール!$C$108&gt;=K$2,HUAWEI製ＰＣＳ接続枚数計算ツール!$E$108&lt;=K$2,枚数!K15&gt;0),枚数!K15,IF(AND(標準可否!K15=1,低温可否!K15=1,HUAWEI製ＰＣＳ接続枚数計算ツール!$C$108&gt;=K$2,枚数!K15&gt;0,低電圧接続!K15&gt;0),枚数!K15,"-"))</f>
        <v>-</v>
      </c>
      <c r="L15" s="124" t="str">
        <f>IF(AND(高温可否!L15=1,低温可否!L15=1,標準可否!L15=1,HUAWEI製ＰＣＳ接続枚数計算ツール!$C$108&gt;=L$2,HUAWEI製ＰＣＳ接続枚数計算ツール!$E$108&lt;=L$2,枚数!L15&gt;0),枚数!L15,IF(AND(標準可否!L15=1,低温可否!L15=1,HUAWEI製ＰＣＳ接続枚数計算ツール!$C$108&gt;=L$2,枚数!L15&gt;0,低電圧接続!L15&gt;0),枚数!L15,"-"))</f>
        <v>-</v>
      </c>
      <c r="M15" s="123" t="str">
        <f>IF(AND(高温可否!M15=1,低温可否!M15=1,標準可否!M15=1,HUAWEI製ＰＣＳ接続枚数計算ツール!$C$108&gt;=M$2,HUAWEI製ＰＣＳ接続枚数計算ツール!$E$108&lt;=M$2,枚数!M15&gt;0),枚数!M15,IF(AND(標準可否!M15=1,低温可否!M15=1,HUAWEI製ＰＣＳ接続枚数計算ツール!$C$108&gt;=M$2,枚数!M15&gt;0,低電圧接続!M15&gt;0),枚数!M15,"-"))</f>
        <v>-</v>
      </c>
      <c r="N15" s="124" t="str">
        <f>IF(AND(高温可否!N15=1,低温可否!N15=1,標準可否!N15=1,HUAWEI製ＰＣＳ接続枚数計算ツール!$C$108&gt;=N$2,HUAWEI製ＰＣＳ接続枚数計算ツール!$E$108&lt;=N$2,枚数!N15&gt;0),枚数!N15,IF(AND(標準可否!N15=1,低温可否!N15=1,HUAWEI製ＰＣＳ接続枚数計算ツール!$C$108&gt;=N$2,枚数!N15&gt;0,低電圧接続!N15&gt;0),枚数!N15,"-"))</f>
        <v>-</v>
      </c>
      <c r="O15" s="123" t="str">
        <f>IF(AND(高温可否!O15=1,低温可否!O15=1,標準可否!O15=1,HUAWEI製ＰＣＳ接続枚数計算ツール!$C$108&gt;=O$2,HUAWEI製ＰＣＳ接続枚数計算ツール!$E$108&lt;=O$2,枚数!O15&gt;0),枚数!O15,IF(AND(標準可否!O15=1,低温可否!O15=1,HUAWEI製ＰＣＳ接続枚数計算ツール!$C$108&gt;=O$2,枚数!O15&gt;0,低電圧接続!O15&gt;0),枚数!O15,"-"))</f>
        <v>-</v>
      </c>
      <c r="P15" s="124" t="str">
        <f>IF(AND(高温可否!P15=1,低温可否!P15=1,標準可否!P15=1,HUAWEI製ＰＣＳ接続枚数計算ツール!$C$108&gt;=P$2,HUAWEI製ＰＣＳ接続枚数計算ツール!$E$108&lt;=P$2,枚数!P15&gt;0),枚数!P15,IF(AND(標準可否!P15=1,低温可否!P15=1,HUAWEI製ＰＣＳ接続枚数計算ツール!$C$108&gt;=P$2,枚数!P15&gt;0,低電圧接続!P15&gt;0),枚数!P15,"-"))</f>
        <v>-</v>
      </c>
      <c r="Q15" s="123" t="str">
        <f>IF(AND(高温可否!Q15=1,低温可否!Q15=1,標準可否!Q15=1,HUAWEI製ＰＣＳ接続枚数計算ツール!$C$108&gt;=Q$2,HUAWEI製ＰＣＳ接続枚数計算ツール!$E$108&lt;=Q$2,枚数!Q15&gt;0),枚数!Q15,IF(AND(標準可否!Q15=1,低温可否!Q15=1,HUAWEI製ＰＣＳ接続枚数計算ツール!$C$108&gt;=Q$2,枚数!Q15&gt;0,低電圧接続!Q15&gt;0),枚数!Q15,"-"))</f>
        <v>-</v>
      </c>
      <c r="R15" s="124" t="str">
        <f>IF(AND(高温可否!R15=1,低温可否!R15=1,標準可否!R15=1,HUAWEI製ＰＣＳ接続枚数計算ツール!$C$108&gt;=R$2,HUAWEI製ＰＣＳ接続枚数計算ツール!$E$108&lt;=R$2,枚数!R15&gt;0),枚数!R15,IF(AND(標準可否!R15=1,低温可否!R15=1,HUAWEI製ＰＣＳ接続枚数計算ツール!$C$108&gt;=R$2,枚数!R15&gt;0,低電圧接続!R15&gt;0),枚数!R15,"-"))</f>
        <v>-</v>
      </c>
      <c r="S15" s="123" t="str">
        <f>IF(AND(高温可否!S15=1,低温可否!S15=1,標準可否!S15=1,HUAWEI製ＰＣＳ接続枚数計算ツール!$C$108&gt;=S$2,HUAWEI製ＰＣＳ接続枚数計算ツール!$E$108&lt;=S$2,枚数!S15&gt;0),枚数!S15,IF(AND(標準可否!S15=1,低温可否!S15=1,HUAWEI製ＰＣＳ接続枚数計算ツール!$C$108&gt;=S$2,枚数!S15&gt;0,低電圧接続!S15&gt;0),枚数!S15,"-"))</f>
        <v>-</v>
      </c>
      <c r="T15" s="124" t="str">
        <f>IF(AND(高温可否!T15=1,低温可否!T15=1,標準可否!T15=1,HUAWEI製ＰＣＳ接続枚数計算ツール!$C$108&gt;=T$2,HUAWEI製ＰＣＳ接続枚数計算ツール!$E$108&lt;=T$2,枚数!T15&gt;0),枚数!T15,IF(AND(標準可否!T15=1,低温可否!T15=1,HUAWEI製ＰＣＳ接続枚数計算ツール!$C$108&gt;=T$2,枚数!T15&gt;0,低電圧接続!T15&gt;0),枚数!T15,"-"))</f>
        <v>-</v>
      </c>
      <c r="U15" s="123" t="str">
        <f>IF(AND(高温可否!U15=1,低温可否!U15=1,標準可否!U15=1,HUAWEI製ＰＣＳ接続枚数計算ツール!$C$108&gt;=U$2,HUAWEI製ＰＣＳ接続枚数計算ツール!$E$108&lt;=U$2,枚数!U15&gt;0),枚数!U15,IF(AND(標準可否!U15=1,低温可否!U15=1,HUAWEI製ＰＣＳ接続枚数計算ツール!$C$108&gt;=U$2,枚数!U15&gt;0,低電圧接続!U15&gt;0),枚数!U15,"-"))</f>
        <v>-</v>
      </c>
      <c r="V15" s="124">
        <f>IF(AND(高温可否!V15=1,低温可否!V15=1,標準可否!V15=1,HUAWEI製ＰＣＳ接続枚数計算ツール!$C$108&gt;=V$2,HUAWEI製ＰＣＳ接続枚数計算ツール!$E$108&lt;=V$2,枚数!V15&gt;0),枚数!V15,IF(AND(標準可否!V15=1,低温可否!V15=1,HUAWEI製ＰＣＳ接続枚数計算ツール!$C$108&gt;=V$2,枚数!V15&gt;0,低電圧接続!V15&gt;0),枚数!V15,"-"))</f>
        <v>273</v>
      </c>
      <c r="W15" s="123">
        <f>IF(AND(高温可否!W15=1,低温可否!W15=1,標準可否!W15=1,HUAWEI製ＰＣＳ接続枚数計算ツール!$C$108&gt;=W$2,HUAWEI製ＰＣＳ接続枚数計算ツール!$E$108&lt;=W$2,枚数!W15&gt;0),枚数!W15,IF(AND(標準可否!W15=1,低温可否!W15=1,HUAWEI製ＰＣＳ接続枚数計算ツール!$C$108&gt;=W$2,枚数!W15&gt;0,低電圧接続!W15&gt;0),枚数!W15,"-"))</f>
        <v>286</v>
      </c>
      <c r="X15" s="124" t="str">
        <f>IF(AND(高温可否!X15=1,低温可否!X15=1,標準可否!X15=1,HUAWEI製ＰＣＳ接続枚数計算ツール!$C$108&gt;=X$2,HUAWEI製ＰＣＳ接続枚数計算ツール!$E$108&lt;=X$2,枚数!X15&gt;0),枚数!X15,IF(AND(標準可否!X15=1,低温可否!X15=1,HUAWEI製ＰＣＳ接続枚数計算ツール!$C$108&gt;=X$2,枚数!X15&gt;0,低電圧接続!X15&gt;0),枚数!X15,"-"))</f>
        <v>-</v>
      </c>
      <c r="Y15" s="123" t="str">
        <f>IF(AND(高温可否!Y15=1,低温可否!Y15=1,標準可否!Y15=1,HUAWEI製ＰＣＳ接続枚数計算ツール!$C$108&gt;=Y$2,HUAWEI製ＰＣＳ接続枚数計算ツール!$E$108&lt;=Y$2,枚数!Y15&gt;0),枚数!Y15,IF(AND(標準可否!Y15=1,低温可否!Y15=1,HUAWEI製ＰＣＳ接続枚数計算ツール!$C$108&gt;=Y$2,枚数!Y15&gt;0,低電圧接続!Y15&gt;0),枚数!Y15,"-"))</f>
        <v>-</v>
      </c>
      <c r="Z15" s="124" t="str">
        <f>IF(AND(高温可否!Z15=1,低温可否!Z15=1,標準可否!Z15=1,HUAWEI製ＰＣＳ接続枚数計算ツール!$C$108&gt;=Z$2,HUAWEI製ＰＣＳ接続枚数計算ツール!$E$108&lt;=Z$2,枚数!Z15&gt;0),枚数!Z15,IF(AND(標準可否!Z15=1,低温可否!Z15=1,HUAWEI製ＰＣＳ接続枚数計算ツール!$C$108&gt;=Z$2,枚数!Z15&gt;0,低電圧接続!Z15&gt;0),枚数!Z15,"-"))</f>
        <v>-</v>
      </c>
      <c r="AA15" s="123" t="str">
        <f>IF(AND(高温可否!AA15=1,低温可否!AA15=1,標準可否!AA15=1,HUAWEI製ＰＣＳ接続枚数計算ツール!$C$108&gt;=AA$2,HUAWEI製ＰＣＳ接続枚数計算ツール!$E$108&lt;=AA$2,枚数!AA15&gt;0),枚数!AA15,IF(AND(標準可否!AA15=1,低温可否!AA15=1,HUAWEI製ＰＣＳ接続枚数計算ツール!$C$108&gt;=AA$2,枚数!AA15&gt;0,低電圧接続!AA15&gt;0),枚数!AA15,"-"))</f>
        <v>-</v>
      </c>
      <c r="AB15" s="124" t="str">
        <f>IF(AND(高温可否!AB15=1,低温可否!AB15=1,標準可否!AB15=1,HUAWEI製ＰＣＳ接続枚数計算ツール!$C$108&gt;=AB$2,HUAWEI製ＰＣＳ接続枚数計算ツール!$E$108&lt;=AB$2,枚数!AB15&gt;0),枚数!AB15,IF(AND(標準可否!AB15=1,低温可否!AB15=1,HUAWEI製ＰＣＳ接続枚数計算ツール!$C$108&gt;=AB$2,枚数!AB15&gt;0,低電圧接続!AB15&gt;0),枚数!AB15,"-"))</f>
        <v>-</v>
      </c>
      <c r="AC15" s="123" t="str">
        <f>IF(AND(高温可否!AC15=1,低温可否!AC15=1,標準可否!AC15=1,HUAWEI製ＰＣＳ接続枚数計算ツール!$C$108&gt;=AC$2,HUAWEI製ＰＣＳ接続枚数計算ツール!$E$108&lt;=AC$2,枚数!AC15&gt;0),枚数!AC15,IF(AND(標準可否!AC15=1,低温可否!AC15=1,HUAWEI製ＰＣＳ接続枚数計算ツール!$C$108&gt;=AC$2,枚数!AC15&gt;0,低電圧接続!AC15&gt;0),枚数!AC15,"-"))</f>
        <v>-</v>
      </c>
      <c r="AD15" s="124" t="str">
        <f>IF(AND(高温可否!AD15=1,低温可否!AD15=1,標準可否!AD15=1,HUAWEI製ＰＣＳ接続枚数計算ツール!$C$108&gt;=AD$2,HUAWEI製ＰＣＳ接続枚数計算ツール!$E$108&lt;=AD$2,枚数!AD15&gt;0),枚数!AD15,IF(AND(標準可否!AD15=1,低温可否!AD15=1,HUAWEI製ＰＣＳ接続枚数計算ツール!$C$108&gt;=AD$2,枚数!AD15&gt;0,低電圧接続!AD15&gt;0),枚数!AD15,"-"))</f>
        <v>-</v>
      </c>
      <c r="AE15" s="123" t="str">
        <f>IF(AND(高温可否!AE15=1,低温可否!AE15=1,標準可否!AE15=1,HUAWEI製ＰＣＳ接続枚数計算ツール!$C$108&gt;=AE$2,HUAWEI製ＰＣＳ接続枚数計算ツール!$E$108&lt;=AE$2,枚数!AE15&gt;0),枚数!AE15,IF(AND(標準可否!AE15=1,低温可否!AE15=1,HUAWEI製ＰＣＳ接続枚数計算ツール!$C$108&gt;=AE$2,枚数!AE15&gt;0,低電圧接続!AE15&gt;0),枚数!AE15,"-"))</f>
        <v>-</v>
      </c>
      <c r="AF15" s="124" t="str">
        <f>IF(AND(高温可否!AF15=1,低温可否!AF15=1,標準可否!AF15=1,HUAWEI製ＰＣＳ接続枚数計算ツール!$C$108&gt;=AF$2,HUAWEI製ＰＣＳ接続枚数計算ツール!$E$108&lt;=AF$2,枚数!AF15&gt;0),枚数!AF15,IF(AND(標準可否!AF15=1,低温可否!AF15=1,HUAWEI製ＰＣＳ接続枚数計算ツール!$C$108&gt;=AF$2,枚数!AF15&gt;0,低電圧接続!AF15&gt;0),枚数!AF15,"-"))</f>
        <v>-</v>
      </c>
      <c r="AG15" s="123" t="str">
        <f>IF(AND(高温可否!AG15=1,低温可否!AG15=1,標準可否!AG15=1,HUAWEI製ＰＣＳ接続枚数計算ツール!$C$108&gt;=AG$2,HUAWEI製ＰＣＳ接続枚数計算ツール!$E$108&lt;=AG$2,枚数!AG15&gt;0),枚数!AG15,IF(AND(標準可否!AG15=1,低温可否!AG15=1,HUAWEI製ＰＣＳ接続枚数計算ツール!$C$108&gt;=AG$2,枚数!AG15&gt;0,低電圧接続!AG15&gt;0),枚数!AG15,"-"))</f>
        <v>-</v>
      </c>
      <c r="AH15" s="124" t="str">
        <f>IF(AND(高温可否!AH15=1,低温可否!AH15=1,標準可否!AH15=1,HUAWEI製ＰＣＳ接続枚数計算ツール!$C$108&gt;=AH$2,HUAWEI製ＰＣＳ接続枚数計算ツール!$E$108&lt;=AH$2,枚数!AH15&gt;0),枚数!AH15,IF(AND(標準可否!AH15=1,低温可否!AH15=1,HUAWEI製ＰＣＳ接続枚数計算ツール!$C$108&gt;=AH$2,枚数!AH15&gt;0,低電圧接続!AH15&gt;0),枚数!AH15,"-"))</f>
        <v>-</v>
      </c>
      <c r="AI15" s="123" t="str">
        <f>IF(AND(高温可否!AI15=1,低温可否!AI15=1,標準可否!AI15=1,HUAWEI製ＰＣＳ接続枚数計算ツール!$C$108&gt;=AI$2,HUAWEI製ＰＣＳ接続枚数計算ツール!$E$108&lt;=AI$2,枚数!AI15&gt;0),枚数!AI15,IF(AND(標準可否!AI15=1,低温可否!AI15=1,HUAWEI製ＰＣＳ接続枚数計算ツール!$C$108&gt;=AI$2,枚数!AI15&gt;0,低電圧接続!AI15&gt;0),枚数!AI15,"-"))</f>
        <v>-</v>
      </c>
      <c r="AJ15" s="124" t="str">
        <f>IF(AND(高温可否!AJ15=1,低温可否!AJ15=1,標準可否!AJ15=1,HUAWEI製ＰＣＳ接続枚数計算ツール!$C$108&gt;=AJ$2,HUAWEI製ＰＣＳ接続枚数計算ツール!$E$108&lt;=AJ$2,枚数!AJ15&gt;0),枚数!AJ15,IF(AND(標準可否!AJ15=1,低温可否!AJ15=1,HUAWEI製ＰＣＳ接続枚数計算ツール!$C$108&gt;=AJ$2,枚数!AJ15&gt;0,低電圧接続!AJ15&gt;0),枚数!AJ15,"-"))</f>
        <v>-</v>
      </c>
      <c r="AK15" s="123" t="str">
        <f>IF(AND(高温可否!AK15=1,低温可否!AK15=1,標準可否!AK15=1,HUAWEI製ＰＣＳ接続枚数計算ツール!$C$108&gt;=AK$2,HUAWEI製ＰＣＳ接続枚数計算ツール!$E$108&lt;=AK$2,枚数!AK15&gt;0),枚数!AK15,IF(AND(標準可否!AK15=1,低温可否!AK15=1,HUAWEI製ＰＣＳ接続枚数計算ツール!$C$108&gt;=AK$2,枚数!AK15&gt;0,低電圧接続!AK15&gt;0),枚数!AK15,"-"))</f>
        <v>-</v>
      </c>
      <c r="AL15" s="124" t="str">
        <f>IF(AND(高温可否!AL15=1,低温可否!AL15=1,標準可否!AL15=1,HUAWEI製ＰＣＳ接続枚数計算ツール!$C$108&gt;=AL$2,HUAWEI製ＰＣＳ接続枚数計算ツール!$E$108&lt;=AL$2,枚数!AL15&gt;0),枚数!AL15,IF(AND(標準可否!AL15=1,低温可否!AL15=1,HUAWEI製ＰＣＳ接続枚数計算ツール!$C$108&gt;=AL$2,枚数!AL15&gt;0,低電圧接続!AL15&gt;0),枚数!AL15,"-"))</f>
        <v>-</v>
      </c>
      <c r="AM15" s="123" t="str">
        <f>IF(AND(高温可否!AM15=1,低温可否!AM15=1,標準可否!AM15=1,HUAWEI製ＰＣＳ接続枚数計算ツール!$C$108&gt;=AM$2,HUAWEI製ＰＣＳ接続枚数計算ツール!$E$108&lt;=AM$2,枚数!AM15&gt;0),枚数!AM15,IF(AND(標準可否!AM15=1,低温可否!AM15=1,HUAWEI製ＰＣＳ接続枚数計算ツール!$C$108&gt;=AM$2,枚数!AM15&gt;0,低電圧接続!AM15&gt;0),枚数!AM15,"-"))</f>
        <v>-</v>
      </c>
      <c r="AN15" s="124" t="str">
        <f>IF(AND(高温可否!AN15=1,低温可否!AN15=1,標準可否!AN15=1,HUAWEI製ＰＣＳ接続枚数計算ツール!$C$108&gt;=AN$2,HUAWEI製ＰＣＳ接続枚数計算ツール!$E$108&lt;=AN$2,枚数!AN15&gt;0),枚数!AN15,IF(AND(標準可否!AN15=1,低温可否!AN15=1,HUAWEI製ＰＣＳ接続枚数計算ツール!$C$108&gt;=AN$2,枚数!AN15&gt;0,低電圧接続!AN15&gt;0),枚数!AN15,"-"))</f>
        <v>-</v>
      </c>
      <c r="AO15" s="125" t="str">
        <f>IF(AND(高温可否!AO15=1,低温可否!AO15=1,標準可否!AO15=1,HUAWEI製ＰＣＳ接続枚数計算ツール!$C$108&gt;=AO$2,HUAWEI製ＰＣＳ接続枚数計算ツール!$E$108&lt;=AO$2,枚数!AO15&gt;0),枚数!AO15,IF(AND(標準可否!AO15=1,低温可否!AO15=1,HUAWEI製ＰＣＳ接続枚数計算ツール!$C$108&gt;=AO$2,枚数!AO15&gt;0,低電圧接続!AO15&gt;0),枚数!AO15,"-"))</f>
        <v>-</v>
      </c>
    </row>
    <row r="16" spans="1:41">
      <c r="A16" s="115">
        <v>14</v>
      </c>
      <c r="B16" s="126" t="str">
        <f>IF(AND(高温可否!B16=1,低温可否!B16=1,標準可否!B16=1,HUAWEI製ＰＣＳ接続枚数計算ツール!$C$108&gt;=B$2,HUAWEI製ＰＣＳ接続枚数計算ツール!$E$108&lt;=B$2,枚数!B16&gt;0),枚数!B16,IF(AND(標準可否!B16=1,低温可否!B16=1,HUAWEI製ＰＣＳ接続枚数計算ツール!$C$108&gt;=B$2,枚数!B16&gt;0,低電圧接続!B16&gt;0),枚数!B16,"-"))</f>
        <v>-</v>
      </c>
      <c r="C16" s="127" t="str">
        <f>IF(AND(高温可否!C16=1,低温可否!C16=1,標準可否!C16=1,HUAWEI製ＰＣＳ接続枚数計算ツール!$C$108&gt;=C$2,HUAWEI製ＰＣＳ接続枚数計算ツール!$E$108&lt;=C$2,枚数!C16&gt;0),枚数!C16,IF(AND(標準可否!C16=1,低温可否!C16=1,HUAWEI製ＰＣＳ接続枚数計算ツール!$C$108&gt;=C$2,枚数!C16&gt;0,低電圧接続!C16&gt;0),枚数!C16,"-"))</f>
        <v>-</v>
      </c>
      <c r="D16" s="128" t="str">
        <f>IF(AND(高温可否!D16=1,低温可否!D16=1,標準可否!D16=1,HUAWEI製ＰＣＳ接続枚数計算ツール!$C$108&gt;=D$2,HUAWEI製ＰＣＳ接続枚数計算ツール!$E$108&lt;=D$2,枚数!D16&gt;0),枚数!D16,IF(AND(標準可否!D16=1,低温可否!D16=1,HUAWEI製ＰＣＳ接続枚数計算ツール!$C$108&gt;=D$2,枚数!D16&gt;0,低電圧接続!D16&gt;0),枚数!D16,"-"))</f>
        <v>-</v>
      </c>
      <c r="E16" s="127" t="str">
        <f>IF(AND(高温可否!E16=1,低温可否!E16=1,標準可否!E16=1,HUAWEI製ＰＣＳ接続枚数計算ツール!$C$108&gt;=E$2,HUAWEI製ＰＣＳ接続枚数計算ツール!$E$108&lt;=E$2,枚数!E16&gt;0),枚数!E16,IF(AND(標準可否!E16=1,低温可否!E16=1,HUAWEI製ＰＣＳ接続枚数計算ツール!$C$108&gt;=E$2,枚数!E16&gt;0,低電圧接続!E16&gt;0),枚数!E16,"-"))</f>
        <v>-</v>
      </c>
      <c r="F16" s="128" t="str">
        <f>IF(AND(高温可否!F16=1,低温可否!F16=1,標準可否!F16=1,HUAWEI製ＰＣＳ接続枚数計算ツール!$C$108&gt;=F$2,HUAWEI製ＰＣＳ接続枚数計算ツール!$E$108&lt;=F$2,枚数!F16&gt;0),枚数!F16,IF(AND(標準可否!F16=1,低温可否!F16=1,HUAWEI製ＰＣＳ接続枚数計算ツール!$C$108&gt;=F$2,枚数!F16&gt;0,低電圧接続!F16&gt;0),枚数!F16,"-"))</f>
        <v>-</v>
      </c>
      <c r="G16" s="127" t="str">
        <f>IF(AND(高温可否!G16=1,低温可否!G16=1,標準可否!G16=1,HUAWEI製ＰＣＳ接続枚数計算ツール!$C$108&gt;=G$2,HUAWEI製ＰＣＳ接続枚数計算ツール!$E$108&lt;=G$2,枚数!G16&gt;0),枚数!G16,IF(AND(標準可否!G16=1,低温可否!G16=1,HUAWEI製ＰＣＳ接続枚数計算ツール!$C$108&gt;=G$2,枚数!G16&gt;0,低電圧接続!G16&gt;0),枚数!G16,"-"))</f>
        <v>-</v>
      </c>
      <c r="H16" s="128" t="str">
        <f>IF(AND(高温可否!H16=1,低温可否!H16=1,標準可否!H16=1,HUAWEI製ＰＣＳ接続枚数計算ツール!$C$108&gt;=H$2,HUAWEI製ＰＣＳ接続枚数計算ツール!$E$108&lt;=H$2,枚数!H16&gt;0),枚数!H16,IF(AND(標準可否!H16=1,低温可否!H16=1,HUAWEI製ＰＣＳ接続枚数計算ツール!$C$108&gt;=H$2,枚数!H16&gt;0,低電圧接続!H16&gt;0),枚数!H16,"-"))</f>
        <v>-</v>
      </c>
      <c r="I16" s="127" t="str">
        <f>IF(AND(高温可否!I16=1,低温可否!I16=1,標準可否!I16=1,HUAWEI製ＰＣＳ接続枚数計算ツール!$C$108&gt;=I$2,HUAWEI製ＰＣＳ接続枚数計算ツール!$E$108&lt;=I$2,枚数!I16&gt;0),枚数!I16,IF(AND(標準可否!I16=1,低温可否!I16=1,HUAWEI製ＰＣＳ接続枚数計算ツール!$C$108&gt;=I$2,枚数!I16&gt;0,低電圧接続!I16&gt;0),枚数!I16,"-"))</f>
        <v>-</v>
      </c>
      <c r="J16" s="128" t="str">
        <f>IF(AND(高温可否!J16=1,低温可否!J16=1,標準可否!J16=1,HUAWEI製ＰＣＳ接続枚数計算ツール!$C$108&gt;=J$2,HUAWEI製ＰＣＳ接続枚数計算ツール!$E$108&lt;=J$2,枚数!J16&gt;0),枚数!J16,IF(AND(標準可否!J16=1,低温可否!J16=1,HUAWEI製ＰＣＳ接続枚数計算ツール!$C$108&gt;=J$2,枚数!J16&gt;0,低電圧接続!J16&gt;0),枚数!J16,"-"))</f>
        <v>-</v>
      </c>
      <c r="K16" s="127" t="str">
        <f>IF(AND(高温可否!K16=1,低温可否!K16=1,標準可否!K16=1,HUAWEI製ＰＣＳ接続枚数計算ツール!$C$108&gt;=K$2,HUAWEI製ＰＣＳ接続枚数計算ツール!$E$108&lt;=K$2,枚数!K16&gt;0),枚数!K16,IF(AND(標準可否!K16=1,低温可否!K16=1,HUAWEI製ＰＣＳ接続枚数計算ツール!$C$108&gt;=K$2,枚数!K16&gt;0,低電圧接続!K16&gt;0),枚数!K16,"-"))</f>
        <v>-</v>
      </c>
      <c r="L16" s="128" t="str">
        <f>IF(AND(高温可否!L16=1,低温可否!L16=1,標準可否!L16=1,HUAWEI製ＰＣＳ接続枚数計算ツール!$C$108&gt;=L$2,HUAWEI製ＰＣＳ接続枚数計算ツール!$E$108&lt;=L$2,枚数!L16&gt;0),枚数!L16,IF(AND(標準可否!L16=1,低温可否!L16=1,HUAWEI製ＰＣＳ接続枚数計算ツール!$C$108&gt;=L$2,枚数!L16&gt;0,低電圧接続!L16&gt;0),枚数!L16,"-"))</f>
        <v>-</v>
      </c>
      <c r="M16" s="127" t="str">
        <f>IF(AND(高温可否!M16=1,低温可否!M16=1,標準可否!M16=1,HUAWEI製ＰＣＳ接続枚数計算ツール!$C$108&gt;=M$2,HUAWEI製ＰＣＳ接続枚数計算ツール!$E$108&lt;=M$2,枚数!M16&gt;0),枚数!M16,IF(AND(標準可否!M16=1,低温可否!M16=1,HUAWEI製ＰＣＳ接続枚数計算ツール!$C$108&gt;=M$2,枚数!M16&gt;0,低電圧接続!M16&gt;0),枚数!M16,"-"))</f>
        <v>-</v>
      </c>
      <c r="N16" s="128" t="str">
        <f>IF(AND(高温可否!N16=1,低温可否!N16=1,標準可否!N16=1,HUAWEI製ＰＣＳ接続枚数計算ツール!$C$108&gt;=N$2,HUAWEI製ＰＣＳ接続枚数計算ツール!$E$108&lt;=N$2,枚数!N16&gt;0),枚数!N16,IF(AND(標準可否!N16=1,低温可否!N16=1,HUAWEI製ＰＣＳ接続枚数計算ツール!$C$108&gt;=N$2,枚数!N16&gt;0,低電圧接続!N16&gt;0),枚数!N16,"-"))</f>
        <v>-</v>
      </c>
      <c r="O16" s="127" t="str">
        <f>IF(AND(高温可否!O16=1,低温可否!O16=1,標準可否!O16=1,HUAWEI製ＰＣＳ接続枚数計算ツール!$C$108&gt;=O$2,HUAWEI製ＰＣＳ接続枚数計算ツール!$E$108&lt;=O$2,枚数!O16&gt;0),枚数!O16,IF(AND(標準可否!O16=1,低温可否!O16=1,HUAWEI製ＰＣＳ接続枚数計算ツール!$C$108&gt;=O$2,枚数!O16&gt;0,低電圧接続!O16&gt;0),枚数!O16,"-"))</f>
        <v>-</v>
      </c>
      <c r="P16" s="128" t="str">
        <f>IF(AND(高温可否!P16=1,低温可否!P16=1,標準可否!P16=1,HUAWEI製ＰＣＳ接続枚数計算ツール!$C$108&gt;=P$2,HUAWEI製ＰＣＳ接続枚数計算ツール!$E$108&lt;=P$2,枚数!P16&gt;0),枚数!P16,IF(AND(標準可否!P16=1,低温可否!P16=1,HUAWEI製ＰＣＳ接続枚数計算ツール!$C$108&gt;=P$2,枚数!P16&gt;0,低電圧接続!P16&gt;0),枚数!P16,"-"))</f>
        <v>-</v>
      </c>
      <c r="Q16" s="127" t="str">
        <f>IF(AND(高温可否!Q16=1,低温可否!Q16=1,標準可否!Q16=1,HUAWEI製ＰＣＳ接続枚数計算ツール!$C$108&gt;=Q$2,HUAWEI製ＰＣＳ接続枚数計算ツール!$E$108&lt;=Q$2,枚数!Q16&gt;0),枚数!Q16,IF(AND(標準可否!Q16=1,低温可否!Q16=1,HUAWEI製ＰＣＳ接続枚数計算ツール!$C$108&gt;=Q$2,枚数!Q16&gt;0,低電圧接続!Q16&gt;0),枚数!Q16,"-"))</f>
        <v>-</v>
      </c>
      <c r="R16" s="128" t="str">
        <f>IF(AND(高温可否!R16=1,低温可否!R16=1,標準可否!R16=1,HUAWEI製ＰＣＳ接続枚数計算ツール!$C$108&gt;=R$2,HUAWEI製ＰＣＳ接続枚数計算ツール!$E$108&lt;=R$2,枚数!R16&gt;0),枚数!R16,IF(AND(標準可否!R16=1,低温可否!R16=1,HUAWEI製ＰＣＳ接続枚数計算ツール!$C$108&gt;=R$2,枚数!R16&gt;0,低電圧接続!R16&gt;0),枚数!R16,"-"))</f>
        <v>-</v>
      </c>
      <c r="S16" s="127" t="str">
        <f>IF(AND(高温可否!S16=1,低温可否!S16=1,標準可否!S16=1,HUAWEI製ＰＣＳ接続枚数計算ツール!$C$108&gt;=S$2,HUAWEI製ＰＣＳ接続枚数計算ツール!$E$108&lt;=S$2,枚数!S16&gt;0),枚数!S16,IF(AND(標準可否!S16=1,低温可否!S16=1,HUAWEI製ＰＣＳ接続枚数計算ツール!$C$108&gt;=S$2,枚数!S16&gt;0,低電圧接続!S16&gt;0),枚数!S16,"-"))</f>
        <v>-</v>
      </c>
      <c r="T16" s="128" t="str">
        <f>IF(AND(高温可否!T16=1,低温可否!T16=1,標準可否!T16=1,HUAWEI製ＰＣＳ接続枚数計算ツール!$C$108&gt;=T$2,HUAWEI製ＰＣＳ接続枚数計算ツール!$E$108&lt;=T$2,枚数!T16&gt;0),枚数!T16,IF(AND(標準可否!T16=1,低温可否!T16=1,HUAWEI製ＰＣＳ接続枚数計算ツール!$C$108&gt;=T$2,枚数!T16&gt;0,低電圧接続!T16&gt;0),枚数!T16,"-"))</f>
        <v>-</v>
      </c>
      <c r="U16" s="127" t="str">
        <f>IF(AND(高温可否!U16=1,低温可否!U16=1,標準可否!U16=1,HUAWEI製ＰＣＳ接続枚数計算ツール!$C$108&gt;=U$2,HUAWEI製ＰＣＳ接続枚数計算ツール!$E$108&lt;=U$2,枚数!U16&gt;0),枚数!U16,IF(AND(標準可否!U16=1,低温可否!U16=1,HUAWEI製ＰＣＳ接続枚数計算ツール!$C$108&gt;=U$2,枚数!U16&gt;0,低電圧接続!U16&gt;0),枚数!U16,"-"))</f>
        <v>-</v>
      </c>
      <c r="V16" s="128">
        <f>IF(AND(高温可否!V16=1,低温可否!V16=1,標準可否!V16=1,HUAWEI製ＰＣＳ接続枚数計算ツール!$C$108&gt;=V$2,HUAWEI製ＰＣＳ接続枚数計算ツール!$E$108&lt;=V$2,枚数!V16&gt;0),枚数!V16,IF(AND(標準可否!V16=1,低温可否!V16=1,HUAWEI製ＰＣＳ接続枚数計算ツール!$C$108&gt;=V$2,枚数!V16&gt;0,低電圧接続!V16&gt;0),枚数!V16,"-"))</f>
        <v>294</v>
      </c>
      <c r="W16" s="127">
        <f>IF(AND(高温可否!W16=1,低温可否!W16=1,標準可否!W16=1,HUAWEI製ＰＣＳ接続枚数計算ツール!$C$108&gt;=W$2,HUAWEI製ＰＣＳ接続枚数計算ツール!$E$108&lt;=W$2,枚数!W16&gt;0),枚数!W16,IF(AND(標準可否!W16=1,低温可否!W16=1,HUAWEI製ＰＣＳ接続枚数計算ツール!$C$108&gt;=W$2,枚数!W16&gt;0,低電圧接続!W16&gt;0),枚数!W16,"-"))</f>
        <v>308</v>
      </c>
      <c r="X16" s="128" t="str">
        <f>IF(AND(高温可否!X16=1,低温可否!X16=1,標準可否!X16=1,HUAWEI製ＰＣＳ接続枚数計算ツール!$C$108&gt;=X$2,HUAWEI製ＰＣＳ接続枚数計算ツール!$E$108&lt;=X$2,枚数!X16&gt;0),枚数!X16,IF(AND(標準可否!X16=1,低温可否!X16=1,HUAWEI製ＰＣＳ接続枚数計算ツール!$C$108&gt;=X$2,枚数!X16&gt;0,低電圧接続!X16&gt;0),枚数!X16,"-"))</f>
        <v>-</v>
      </c>
      <c r="Y16" s="127" t="str">
        <f>IF(AND(高温可否!Y16=1,低温可否!Y16=1,標準可否!Y16=1,HUAWEI製ＰＣＳ接続枚数計算ツール!$C$108&gt;=Y$2,HUAWEI製ＰＣＳ接続枚数計算ツール!$E$108&lt;=Y$2,枚数!Y16&gt;0),枚数!Y16,IF(AND(標準可否!Y16=1,低温可否!Y16=1,HUAWEI製ＰＣＳ接続枚数計算ツール!$C$108&gt;=Y$2,枚数!Y16&gt;0,低電圧接続!Y16&gt;0),枚数!Y16,"-"))</f>
        <v>-</v>
      </c>
      <c r="Z16" s="128" t="str">
        <f>IF(AND(高温可否!Z16=1,低温可否!Z16=1,標準可否!Z16=1,HUAWEI製ＰＣＳ接続枚数計算ツール!$C$108&gt;=Z$2,HUAWEI製ＰＣＳ接続枚数計算ツール!$E$108&lt;=Z$2,枚数!Z16&gt;0),枚数!Z16,IF(AND(標準可否!Z16=1,低温可否!Z16=1,HUAWEI製ＰＣＳ接続枚数計算ツール!$C$108&gt;=Z$2,枚数!Z16&gt;0,低電圧接続!Z16&gt;0),枚数!Z16,"-"))</f>
        <v>-</v>
      </c>
      <c r="AA16" s="127" t="str">
        <f>IF(AND(高温可否!AA16=1,低温可否!AA16=1,標準可否!AA16=1,HUAWEI製ＰＣＳ接続枚数計算ツール!$C$108&gt;=AA$2,HUAWEI製ＰＣＳ接続枚数計算ツール!$E$108&lt;=AA$2,枚数!AA16&gt;0),枚数!AA16,IF(AND(標準可否!AA16=1,低温可否!AA16=1,HUAWEI製ＰＣＳ接続枚数計算ツール!$C$108&gt;=AA$2,枚数!AA16&gt;0,低電圧接続!AA16&gt;0),枚数!AA16,"-"))</f>
        <v>-</v>
      </c>
      <c r="AB16" s="128" t="str">
        <f>IF(AND(高温可否!AB16=1,低温可否!AB16=1,標準可否!AB16=1,HUAWEI製ＰＣＳ接続枚数計算ツール!$C$108&gt;=AB$2,HUAWEI製ＰＣＳ接続枚数計算ツール!$E$108&lt;=AB$2,枚数!AB16&gt;0),枚数!AB16,IF(AND(標準可否!AB16=1,低温可否!AB16=1,HUAWEI製ＰＣＳ接続枚数計算ツール!$C$108&gt;=AB$2,枚数!AB16&gt;0,低電圧接続!AB16&gt;0),枚数!AB16,"-"))</f>
        <v>-</v>
      </c>
      <c r="AC16" s="127" t="str">
        <f>IF(AND(高温可否!AC16=1,低温可否!AC16=1,標準可否!AC16=1,HUAWEI製ＰＣＳ接続枚数計算ツール!$C$108&gt;=AC$2,HUAWEI製ＰＣＳ接続枚数計算ツール!$E$108&lt;=AC$2,枚数!AC16&gt;0),枚数!AC16,IF(AND(標準可否!AC16=1,低温可否!AC16=1,HUAWEI製ＰＣＳ接続枚数計算ツール!$C$108&gt;=AC$2,枚数!AC16&gt;0,低電圧接続!AC16&gt;0),枚数!AC16,"-"))</f>
        <v>-</v>
      </c>
      <c r="AD16" s="128" t="str">
        <f>IF(AND(高温可否!AD16=1,低温可否!AD16=1,標準可否!AD16=1,HUAWEI製ＰＣＳ接続枚数計算ツール!$C$108&gt;=AD$2,HUAWEI製ＰＣＳ接続枚数計算ツール!$E$108&lt;=AD$2,枚数!AD16&gt;0),枚数!AD16,IF(AND(標準可否!AD16=1,低温可否!AD16=1,HUAWEI製ＰＣＳ接続枚数計算ツール!$C$108&gt;=AD$2,枚数!AD16&gt;0,低電圧接続!AD16&gt;0),枚数!AD16,"-"))</f>
        <v>-</v>
      </c>
      <c r="AE16" s="127" t="str">
        <f>IF(AND(高温可否!AE16=1,低温可否!AE16=1,標準可否!AE16=1,HUAWEI製ＰＣＳ接続枚数計算ツール!$C$108&gt;=AE$2,HUAWEI製ＰＣＳ接続枚数計算ツール!$E$108&lt;=AE$2,枚数!AE16&gt;0),枚数!AE16,IF(AND(標準可否!AE16=1,低温可否!AE16=1,HUAWEI製ＰＣＳ接続枚数計算ツール!$C$108&gt;=AE$2,枚数!AE16&gt;0,低電圧接続!AE16&gt;0),枚数!AE16,"-"))</f>
        <v>-</v>
      </c>
      <c r="AF16" s="128" t="str">
        <f>IF(AND(高温可否!AF16=1,低温可否!AF16=1,標準可否!AF16=1,HUAWEI製ＰＣＳ接続枚数計算ツール!$C$108&gt;=AF$2,HUAWEI製ＰＣＳ接続枚数計算ツール!$E$108&lt;=AF$2,枚数!AF16&gt;0),枚数!AF16,IF(AND(標準可否!AF16=1,低温可否!AF16=1,HUAWEI製ＰＣＳ接続枚数計算ツール!$C$108&gt;=AF$2,枚数!AF16&gt;0,低電圧接続!AF16&gt;0),枚数!AF16,"-"))</f>
        <v>-</v>
      </c>
      <c r="AG16" s="127" t="str">
        <f>IF(AND(高温可否!AG16=1,低温可否!AG16=1,標準可否!AG16=1,HUAWEI製ＰＣＳ接続枚数計算ツール!$C$108&gt;=AG$2,HUAWEI製ＰＣＳ接続枚数計算ツール!$E$108&lt;=AG$2,枚数!AG16&gt;0),枚数!AG16,IF(AND(標準可否!AG16=1,低温可否!AG16=1,HUAWEI製ＰＣＳ接続枚数計算ツール!$C$108&gt;=AG$2,枚数!AG16&gt;0,低電圧接続!AG16&gt;0),枚数!AG16,"-"))</f>
        <v>-</v>
      </c>
      <c r="AH16" s="128" t="str">
        <f>IF(AND(高温可否!AH16=1,低温可否!AH16=1,標準可否!AH16=1,HUAWEI製ＰＣＳ接続枚数計算ツール!$C$108&gt;=AH$2,HUAWEI製ＰＣＳ接続枚数計算ツール!$E$108&lt;=AH$2,枚数!AH16&gt;0),枚数!AH16,IF(AND(標準可否!AH16=1,低温可否!AH16=1,HUAWEI製ＰＣＳ接続枚数計算ツール!$C$108&gt;=AH$2,枚数!AH16&gt;0,低電圧接続!AH16&gt;0),枚数!AH16,"-"))</f>
        <v>-</v>
      </c>
      <c r="AI16" s="127" t="str">
        <f>IF(AND(高温可否!AI16=1,低温可否!AI16=1,標準可否!AI16=1,HUAWEI製ＰＣＳ接続枚数計算ツール!$C$108&gt;=AI$2,HUAWEI製ＰＣＳ接続枚数計算ツール!$E$108&lt;=AI$2,枚数!AI16&gt;0),枚数!AI16,IF(AND(標準可否!AI16=1,低温可否!AI16=1,HUAWEI製ＰＣＳ接続枚数計算ツール!$C$108&gt;=AI$2,枚数!AI16&gt;0,低電圧接続!AI16&gt;0),枚数!AI16,"-"))</f>
        <v>-</v>
      </c>
      <c r="AJ16" s="128" t="str">
        <f>IF(AND(高温可否!AJ16=1,低温可否!AJ16=1,標準可否!AJ16=1,HUAWEI製ＰＣＳ接続枚数計算ツール!$C$108&gt;=AJ$2,HUAWEI製ＰＣＳ接続枚数計算ツール!$E$108&lt;=AJ$2,枚数!AJ16&gt;0),枚数!AJ16,IF(AND(標準可否!AJ16=1,低温可否!AJ16=1,HUAWEI製ＰＣＳ接続枚数計算ツール!$C$108&gt;=AJ$2,枚数!AJ16&gt;0,低電圧接続!AJ16&gt;0),枚数!AJ16,"-"))</f>
        <v>-</v>
      </c>
      <c r="AK16" s="127" t="str">
        <f>IF(AND(高温可否!AK16=1,低温可否!AK16=1,標準可否!AK16=1,HUAWEI製ＰＣＳ接続枚数計算ツール!$C$108&gt;=AK$2,HUAWEI製ＰＣＳ接続枚数計算ツール!$E$108&lt;=AK$2,枚数!AK16&gt;0),枚数!AK16,IF(AND(標準可否!AK16=1,低温可否!AK16=1,HUAWEI製ＰＣＳ接続枚数計算ツール!$C$108&gt;=AK$2,枚数!AK16&gt;0,低電圧接続!AK16&gt;0),枚数!AK16,"-"))</f>
        <v>-</v>
      </c>
      <c r="AL16" s="128" t="str">
        <f>IF(AND(高温可否!AL16=1,低温可否!AL16=1,標準可否!AL16=1,HUAWEI製ＰＣＳ接続枚数計算ツール!$C$108&gt;=AL$2,HUAWEI製ＰＣＳ接続枚数計算ツール!$E$108&lt;=AL$2,枚数!AL16&gt;0),枚数!AL16,IF(AND(標準可否!AL16=1,低温可否!AL16=1,HUAWEI製ＰＣＳ接続枚数計算ツール!$C$108&gt;=AL$2,枚数!AL16&gt;0,低電圧接続!AL16&gt;0),枚数!AL16,"-"))</f>
        <v>-</v>
      </c>
      <c r="AM16" s="127" t="str">
        <f>IF(AND(高温可否!AM16=1,低温可否!AM16=1,標準可否!AM16=1,HUAWEI製ＰＣＳ接続枚数計算ツール!$C$108&gt;=AM$2,HUAWEI製ＰＣＳ接続枚数計算ツール!$E$108&lt;=AM$2,枚数!AM16&gt;0),枚数!AM16,IF(AND(標準可否!AM16=1,低温可否!AM16=1,HUAWEI製ＰＣＳ接続枚数計算ツール!$C$108&gt;=AM$2,枚数!AM16&gt;0,低電圧接続!AM16&gt;0),枚数!AM16,"-"))</f>
        <v>-</v>
      </c>
      <c r="AN16" s="128" t="str">
        <f>IF(AND(高温可否!AN16=1,低温可否!AN16=1,標準可否!AN16=1,HUAWEI製ＰＣＳ接続枚数計算ツール!$C$108&gt;=AN$2,HUAWEI製ＰＣＳ接続枚数計算ツール!$E$108&lt;=AN$2,枚数!AN16&gt;0),枚数!AN16,IF(AND(標準可否!AN16=1,低温可否!AN16=1,HUAWEI製ＰＣＳ接続枚数計算ツール!$C$108&gt;=AN$2,枚数!AN16&gt;0,低電圧接続!AN16&gt;0),枚数!AN16,"-"))</f>
        <v>-</v>
      </c>
      <c r="AO16" s="129" t="str">
        <f>IF(AND(高温可否!AO16=1,低温可否!AO16=1,標準可否!AO16=1,HUAWEI製ＰＣＳ接続枚数計算ツール!$C$108&gt;=AO$2,HUAWEI製ＰＣＳ接続枚数計算ツール!$E$108&lt;=AO$2,枚数!AO16&gt;0),枚数!AO16,IF(AND(標準可否!AO16=1,低温可否!AO16=1,HUAWEI製ＰＣＳ接続枚数計算ツール!$C$108&gt;=AO$2,枚数!AO16&gt;0,低電圧接続!AO16&gt;0),枚数!AO16,"-"))</f>
        <v>-</v>
      </c>
    </row>
    <row r="17" spans="1:41">
      <c r="A17" s="116">
        <v>15</v>
      </c>
      <c r="B17" s="122" t="str">
        <f>IF(AND(高温可否!B17=1,低温可否!B17=1,標準可否!B17=1,HUAWEI製ＰＣＳ接続枚数計算ツール!$C$108&gt;=B$2,HUAWEI製ＰＣＳ接続枚数計算ツール!$E$108&lt;=B$2,枚数!B17&gt;0),枚数!B17,IF(AND(標準可否!B17=1,低温可否!B17=1,HUAWEI製ＰＣＳ接続枚数計算ツール!$C$108&gt;=B$2,枚数!B17&gt;0,低電圧接続!B17&gt;0),枚数!B17,"-"))</f>
        <v>-</v>
      </c>
      <c r="C17" s="123" t="str">
        <f>IF(AND(高温可否!C17=1,低温可否!C17=1,標準可否!C17=1,HUAWEI製ＰＣＳ接続枚数計算ツール!$C$108&gt;=C$2,HUAWEI製ＰＣＳ接続枚数計算ツール!$E$108&lt;=C$2,枚数!C17&gt;0),枚数!C17,IF(AND(標準可否!C17=1,低温可否!C17=1,HUAWEI製ＰＣＳ接続枚数計算ツール!$C$108&gt;=C$2,枚数!C17&gt;0,低電圧接続!C17&gt;0),枚数!C17,"-"))</f>
        <v>-</v>
      </c>
      <c r="D17" s="124" t="str">
        <f>IF(AND(高温可否!D17=1,低温可否!D17=1,標準可否!D17=1,HUAWEI製ＰＣＳ接続枚数計算ツール!$C$108&gt;=D$2,HUAWEI製ＰＣＳ接続枚数計算ツール!$E$108&lt;=D$2,枚数!D17&gt;0),枚数!D17,IF(AND(標準可否!D17=1,低温可否!D17=1,HUAWEI製ＰＣＳ接続枚数計算ツール!$C$108&gt;=D$2,枚数!D17&gt;0,低電圧接続!D17&gt;0),枚数!D17,"-"))</f>
        <v>-</v>
      </c>
      <c r="E17" s="123" t="str">
        <f>IF(AND(高温可否!E17=1,低温可否!E17=1,標準可否!E17=1,HUAWEI製ＰＣＳ接続枚数計算ツール!$C$108&gt;=E$2,HUAWEI製ＰＣＳ接続枚数計算ツール!$E$108&lt;=E$2,枚数!E17&gt;0),枚数!E17,IF(AND(標準可否!E17=1,低温可否!E17=1,HUAWEI製ＰＣＳ接続枚数計算ツール!$C$108&gt;=E$2,枚数!E17&gt;0,低電圧接続!E17&gt;0),枚数!E17,"-"))</f>
        <v>-</v>
      </c>
      <c r="F17" s="124" t="str">
        <f>IF(AND(高温可否!F17=1,低温可否!F17=1,標準可否!F17=1,HUAWEI製ＰＣＳ接続枚数計算ツール!$C$108&gt;=F$2,HUAWEI製ＰＣＳ接続枚数計算ツール!$E$108&lt;=F$2,枚数!F17&gt;0),枚数!F17,IF(AND(標準可否!F17=1,低温可否!F17=1,HUAWEI製ＰＣＳ接続枚数計算ツール!$C$108&gt;=F$2,枚数!F17&gt;0,低電圧接続!F17&gt;0),枚数!F17,"-"))</f>
        <v>-</v>
      </c>
      <c r="G17" s="123" t="str">
        <f>IF(AND(高温可否!G17=1,低温可否!G17=1,標準可否!G17=1,HUAWEI製ＰＣＳ接続枚数計算ツール!$C$108&gt;=G$2,HUAWEI製ＰＣＳ接続枚数計算ツール!$E$108&lt;=G$2,枚数!G17&gt;0),枚数!G17,IF(AND(標準可否!G17=1,低温可否!G17=1,HUAWEI製ＰＣＳ接続枚数計算ツール!$C$108&gt;=G$2,枚数!G17&gt;0,低電圧接続!G17&gt;0),枚数!G17,"-"))</f>
        <v>-</v>
      </c>
      <c r="H17" s="124" t="str">
        <f>IF(AND(高温可否!H17=1,低温可否!H17=1,標準可否!H17=1,HUAWEI製ＰＣＳ接続枚数計算ツール!$C$108&gt;=H$2,HUAWEI製ＰＣＳ接続枚数計算ツール!$E$108&lt;=H$2,枚数!H17&gt;0),枚数!H17,IF(AND(標準可否!H17=1,低温可否!H17=1,HUAWEI製ＰＣＳ接続枚数計算ツール!$C$108&gt;=H$2,枚数!H17&gt;0,低電圧接続!H17&gt;0),枚数!H17,"-"))</f>
        <v>-</v>
      </c>
      <c r="I17" s="123" t="str">
        <f>IF(AND(高温可否!I17=1,低温可否!I17=1,標準可否!I17=1,HUAWEI製ＰＣＳ接続枚数計算ツール!$C$108&gt;=I$2,HUAWEI製ＰＣＳ接続枚数計算ツール!$E$108&lt;=I$2,枚数!I17&gt;0),枚数!I17,IF(AND(標準可否!I17=1,低温可否!I17=1,HUAWEI製ＰＣＳ接続枚数計算ツール!$C$108&gt;=I$2,枚数!I17&gt;0,低電圧接続!I17&gt;0),枚数!I17,"-"))</f>
        <v>-</v>
      </c>
      <c r="J17" s="124" t="str">
        <f>IF(AND(高温可否!J17=1,低温可否!J17=1,標準可否!J17=1,HUAWEI製ＰＣＳ接続枚数計算ツール!$C$108&gt;=J$2,HUAWEI製ＰＣＳ接続枚数計算ツール!$E$108&lt;=J$2,枚数!J17&gt;0),枚数!J17,IF(AND(標準可否!J17=1,低温可否!J17=1,HUAWEI製ＰＣＳ接続枚数計算ツール!$C$108&gt;=J$2,枚数!J17&gt;0,低電圧接続!J17&gt;0),枚数!J17,"-"))</f>
        <v>-</v>
      </c>
      <c r="K17" s="123" t="str">
        <f>IF(AND(高温可否!K17=1,低温可否!K17=1,標準可否!K17=1,HUAWEI製ＰＣＳ接続枚数計算ツール!$C$108&gt;=K$2,HUAWEI製ＰＣＳ接続枚数計算ツール!$E$108&lt;=K$2,枚数!K17&gt;0),枚数!K17,IF(AND(標準可否!K17=1,低温可否!K17=1,HUAWEI製ＰＣＳ接続枚数計算ツール!$C$108&gt;=K$2,枚数!K17&gt;0,低電圧接続!K17&gt;0),枚数!K17,"-"))</f>
        <v>-</v>
      </c>
      <c r="L17" s="124" t="str">
        <f>IF(AND(高温可否!L17=1,低温可否!L17=1,標準可否!L17=1,HUAWEI製ＰＣＳ接続枚数計算ツール!$C$108&gt;=L$2,HUAWEI製ＰＣＳ接続枚数計算ツール!$E$108&lt;=L$2,枚数!L17&gt;0),枚数!L17,IF(AND(標準可否!L17=1,低温可否!L17=1,HUAWEI製ＰＣＳ接続枚数計算ツール!$C$108&gt;=L$2,枚数!L17&gt;0,低電圧接続!L17&gt;0),枚数!L17,"-"))</f>
        <v>-</v>
      </c>
      <c r="M17" s="123" t="str">
        <f>IF(AND(高温可否!M17=1,低温可否!M17=1,標準可否!M17=1,HUAWEI製ＰＣＳ接続枚数計算ツール!$C$108&gt;=M$2,HUAWEI製ＰＣＳ接続枚数計算ツール!$E$108&lt;=M$2,枚数!M17&gt;0),枚数!M17,IF(AND(標準可否!M17=1,低温可否!M17=1,HUAWEI製ＰＣＳ接続枚数計算ツール!$C$108&gt;=M$2,枚数!M17&gt;0,低電圧接続!M17&gt;0),枚数!M17,"-"))</f>
        <v>-</v>
      </c>
      <c r="N17" s="124" t="str">
        <f>IF(AND(高温可否!N17=1,低温可否!N17=1,標準可否!N17=1,HUAWEI製ＰＣＳ接続枚数計算ツール!$C$108&gt;=N$2,HUAWEI製ＰＣＳ接続枚数計算ツール!$E$108&lt;=N$2,枚数!N17&gt;0),枚数!N17,IF(AND(標準可否!N17=1,低温可否!N17=1,HUAWEI製ＰＣＳ接続枚数計算ツール!$C$108&gt;=N$2,枚数!N17&gt;0,低電圧接続!N17&gt;0),枚数!N17,"-"))</f>
        <v>-</v>
      </c>
      <c r="O17" s="123" t="str">
        <f>IF(AND(高温可否!O17=1,低温可否!O17=1,標準可否!O17=1,HUAWEI製ＰＣＳ接続枚数計算ツール!$C$108&gt;=O$2,HUAWEI製ＰＣＳ接続枚数計算ツール!$E$108&lt;=O$2,枚数!O17&gt;0),枚数!O17,IF(AND(標準可否!O17=1,低温可否!O17=1,HUAWEI製ＰＣＳ接続枚数計算ツール!$C$108&gt;=O$2,枚数!O17&gt;0,低電圧接続!O17&gt;0),枚数!O17,"-"))</f>
        <v>-</v>
      </c>
      <c r="P17" s="124" t="str">
        <f>IF(AND(高温可否!P17=1,低温可否!P17=1,標準可否!P17=1,HUAWEI製ＰＣＳ接続枚数計算ツール!$C$108&gt;=P$2,HUAWEI製ＰＣＳ接続枚数計算ツール!$E$108&lt;=P$2,枚数!P17&gt;0),枚数!P17,IF(AND(標準可否!P17=1,低温可否!P17=1,HUAWEI製ＰＣＳ接続枚数計算ツール!$C$108&gt;=P$2,枚数!P17&gt;0,低電圧接続!P17&gt;0),枚数!P17,"-"))</f>
        <v>-</v>
      </c>
      <c r="Q17" s="123" t="str">
        <f>IF(AND(高温可否!Q17=1,低温可否!Q17=1,標準可否!Q17=1,HUAWEI製ＰＣＳ接続枚数計算ツール!$C$108&gt;=Q$2,HUAWEI製ＰＣＳ接続枚数計算ツール!$E$108&lt;=Q$2,枚数!Q17&gt;0),枚数!Q17,IF(AND(標準可否!Q17=1,低温可否!Q17=1,HUAWEI製ＰＣＳ接続枚数計算ツール!$C$108&gt;=Q$2,枚数!Q17&gt;0,低電圧接続!Q17&gt;0),枚数!Q17,"-"))</f>
        <v>-</v>
      </c>
      <c r="R17" s="124" t="str">
        <f>IF(AND(高温可否!R17=1,低温可否!R17=1,標準可否!R17=1,HUAWEI製ＰＣＳ接続枚数計算ツール!$C$108&gt;=R$2,HUAWEI製ＰＣＳ接続枚数計算ツール!$E$108&lt;=R$2,枚数!R17&gt;0),枚数!R17,IF(AND(標準可否!R17=1,低温可否!R17=1,HUAWEI製ＰＣＳ接続枚数計算ツール!$C$108&gt;=R$2,枚数!R17&gt;0,低電圧接続!R17&gt;0),枚数!R17,"-"))</f>
        <v>-</v>
      </c>
      <c r="S17" s="123" t="str">
        <f>IF(AND(高温可否!S17=1,低温可否!S17=1,標準可否!S17=1,HUAWEI製ＰＣＳ接続枚数計算ツール!$C$108&gt;=S$2,HUAWEI製ＰＣＳ接続枚数計算ツール!$E$108&lt;=S$2,枚数!S17&gt;0),枚数!S17,IF(AND(標準可否!S17=1,低温可否!S17=1,HUAWEI製ＰＣＳ接続枚数計算ツール!$C$108&gt;=S$2,枚数!S17&gt;0,低電圧接続!S17&gt;0),枚数!S17,"-"))</f>
        <v>-</v>
      </c>
      <c r="T17" s="124" t="str">
        <f>IF(AND(高温可否!T17=1,低温可否!T17=1,標準可否!T17=1,HUAWEI製ＰＣＳ接続枚数計算ツール!$C$108&gt;=T$2,HUAWEI製ＰＣＳ接続枚数計算ツール!$E$108&lt;=T$2,枚数!T17&gt;0),枚数!T17,IF(AND(標準可否!T17=1,低温可否!T17=1,HUAWEI製ＰＣＳ接続枚数計算ツール!$C$108&gt;=T$2,枚数!T17&gt;0,低電圧接続!T17&gt;0),枚数!T17,"-"))</f>
        <v>-</v>
      </c>
      <c r="U17" s="123" t="str">
        <f>IF(AND(高温可否!U17=1,低温可否!U17=1,標準可否!U17=1,HUAWEI製ＰＣＳ接続枚数計算ツール!$C$108&gt;=U$2,HUAWEI製ＰＣＳ接続枚数計算ツール!$E$108&lt;=U$2,枚数!U17&gt;0),枚数!U17,IF(AND(標準可否!U17=1,低温可否!U17=1,HUAWEI製ＰＣＳ接続枚数計算ツール!$C$108&gt;=U$2,枚数!U17&gt;0,低電圧接続!U17&gt;0),枚数!U17,"-"))</f>
        <v>-</v>
      </c>
      <c r="V17" s="124">
        <f>IF(AND(高温可否!V17=1,低温可否!V17=1,標準可否!V17=1,HUAWEI製ＰＣＳ接続枚数計算ツール!$C$108&gt;=V$2,HUAWEI製ＰＣＳ接続枚数計算ツール!$E$108&lt;=V$2,枚数!V17&gt;0),枚数!V17,IF(AND(標準可否!V17=1,低温可否!V17=1,HUAWEI製ＰＣＳ接続枚数計算ツール!$C$108&gt;=V$2,枚数!V17&gt;0,低電圧接続!V17&gt;0),枚数!V17,"-"))</f>
        <v>315</v>
      </c>
      <c r="W17" s="123">
        <f>IF(AND(高温可否!W17=1,低温可否!W17=1,標準可否!W17=1,HUAWEI製ＰＣＳ接続枚数計算ツール!$C$108&gt;=W$2,HUAWEI製ＰＣＳ接続枚数計算ツール!$E$108&lt;=W$2,枚数!W17&gt;0),枚数!W17,IF(AND(標準可否!W17=1,低温可否!W17=1,HUAWEI製ＰＣＳ接続枚数計算ツール!$C$108&gt;=W$2,枚数!W17&gt;0,低電圧接続!W17&gt;0),枚数!W17,"-"))</f>
        <v>330</v>
      </c>
      <c r="X17" s="124" t="str">
        <f>IF(AND(高温可否!X17=1,低温可否!X17=1,標準可否!X17=1,HUAWEI製ＰＣＳ接続枚数計算ツール!$C$108&gt;=X$2,HUAWEI製ＰＣＳ接続枚数計算ツール!$E$108&lt;=X$2,枚数!X17&gt;0),枚数!X17,IF(AND(標準可否!X17=1,低温可否!X17=1,HUAWEI製ＰＣＳ接続枚数計算ツール!$C$108&gt;=X$2,枚数!X17&gt;0,低電圧接続!X17&gt;0),枚数!X17,"-"))</f>
        <v>-</v>
      </c>
      <c r="Y17" s="123" t="str">
        <f>IF(AND(高温可否!Y17=1,低温可否!Y17=1,標準可否!Y17=1,HUAWEI製ＰＣＳ接続枚数計算ツール!$C$108&gt;=Y$2,HUAWEI製ＰＣＳ接続枚数計算ツール!$E$108&lt;=Y$2,枚数!Y17&gt;0),枚数!Y17,IF(AND(標準可否!Y17=1,低温可否!Y17=1,HUAWEI製ＰＣＳ接続枚数計算ツール!$C$108&gt;=Y$2,枚数!Y17&gt;0,低電圧接続!Y17&gt;0),枚数!Y17,"-"))</f>
        <v>-</v>
      </c>
      <c r="Z17" s="124" t="str">
        <f>IF(AND(高温可否!Z17=1,低温可否!Z17=1,標準可否!Z17=1,HUAWEI製ＰＣＳ接続枚数計算ツール!$C$108&gt;=Z$2,HUAWEI製ＰＣＳ接続枚数計算ツール!$E$108&lt;=Z$2,枚数!Z17&gt;0),枚数!Z17,IF(AND(標準可否!Z17=1,低温可否!Z17=1,HUAWEI製ＰＣＳ接続枚数計算ツール!$C$108&gt;=Z$2,枚数!Z17&gt;0,低電圧接続!Z17&gt;0),枚数!Z17,"-"))</f>
        <v>-</v>
      </c>
      <c r="AA17" s="123" t="str">
        <f>IF(AND(高温可否!AA17=1,低温可否!AA17=1,標準可否!AA17=1,HUAWEI製ＰＣＳ接続枚数計算ツール!$C$108&gt;=AA$2,HUAWEI製ＰＣＳ接続枚数計算ツール!$E$108&lt;=AA$2,枚数!AA17&gt;0),枚数!AA17,IF(AND(標準可否!AA17=1,低温可否!AA17=1,HUAWEI製ＰＣＳ接続枚数計算ツール!$C$108&gt;=AA$2,枚数!AA17&gt;0,低電圧接続!AA17&gt;0),枚数!AA17,"-"))</f>
        <v>-</v>
      </c>
      <c r="AB17" s="124" t="str">
        <f>IF(AND(高温可否!AB17=1,低温可否!AB17=1,標準可否!AB17=1,HUAWEI製ＰＣＳ接続枚数計算ツール!$C$108&gt;=AB$2,HUAWEI製ＰＣＳ接続枚数計算ツール!$E$108&lt;=AB$2,枚数!AB17&gt;0),枚数!AB17,IF(AND(標準可否!AB17=1,低温可否!AB17=1,HUAWEI製ＰＣＳ接続枚数計算ツール!$C$108&gt;=AB$2,枚数!AB17&gt;0,低電圧接続!AB17&gt;0),枚数!AB17,"-"))</f>
        <v>-</v>
      </c>
      <c r="AC17" s="123" t="str">
        <f>IF(AND(高温可否!AC17=1,低温可否!AC17=1,標準可否!AC17=1,HUAWEI製ＰＣＳ接続枚数計算ツール!$C$108&gt;=AC$2,HUAWEI製ＰＣＳ接続枚数計算ツール!$E$108&lt;=AC$2,枚数!AC17&gt;0),枚数!AC17,IF(AND(標準可否!AC17=1,低温可否!AC17=1,HUAWEI製ＰＣＳ接続枚数計算ツール!$C$108&gt;=AC$2,枚数!AC17&gt;0,低電圧接続!AC17&gt;0),枚数!AC17,"-"))</f>
        <v>-</v>
      </c>
      <c r="AD17" s="124" t="str">
        <f>IF(AND(高温可否!AD17=1,低温可否!AD17=1,標準可否!AD17=1,HUAWEI製ＰＣＳ接続枚数計算ツール!$C$108&gt;=AD$2,HUAWEI製ＰＣＳ接続枚数計算ツール!$E$108&lt;=AD$2,枚数!AD17&gt;0),枚数!AD17,IF(AND(標準可否!AD17=1,低温可否!AD17=1,HUAWEI製ＰＣＳ接続枚数計算ツール!$C$108&gt;=AD$2,枚数!AD17&gt;0,低電圧接続!AD17&gt;0),枚数!AD17,"-"))</f>
        <v>-</v>
      </c>
      <c r="AE17" s="123" t="str">
        <f>IF(AND(高温可否!AE17=1,低温可否!AE17=1,標準可否!AE17=1,HUAWEI製ＰＣＳ接続枚数計算ツール!$C$108&gt;=AE$2,HUAWEI製ＰＣＳ接続枚数計算ツール!$E$108&lt;=AE$2,枚数!AE17&gt;0),枚数!AE17,IF(AND(標準可否!AE17=1,低温可否!AE17=1,HUAWEI製ＰＣＳ接続枚数計算ツール!$C$108&gt;=AE$2,枚数!AE17&gt;0,低電圧接続!AE17&gt;0),枚数!AE17,"-"))</f>
        <v>-</v>
      </c>
      <c r="AF17" s="124" t="str">
        <f>IF(AND(高温可否!AF17=1,低温可否!AF17=1,標準可否!AF17=1,HUAWEI製ＰＣＳ接続枚数計算ツール!$C$108&gt;=AF$2,HUAWEI製ＰＣＳ接続枚数計算ツール!$E$108&lt;=AF$2,枚数!AF17&gt;0),枚数!AF17,IF(AND(標準可否!AF17=1,低温可否!AF17=1,HUAWEI製ＰＣＳ接続枚数計算ツール!$C$108&gt;=AF$2,枚数!AF17&gt;0,低電圧接続!AF17&gt;0),枚数!AF17,"-"))</f>
        <v>-</v>
      </c>
      <c r="AG17" s="123" t="str">
        <f>IF(AND(高温可否!AG17=1,低温可否!AG17=1,標準可否!AG17=1,HUAWEI製ＰＣＳ接続枚数計算ツール!$C$108&gt;=AG$2,HUAWEI製ＰＣＳ接続枚数計算ツール!$E$108&lt;=AG$2,枚数!AG17&gt;0),枚数!AG17,IF(AND(標準可否!AG17=1,低温可否!AG17=1,HUAWEI製ＰＣＳ接続枚数計算ツール!$C$108&gt;=AG$2,枚数!AG17&gt;0,低電圧接続!AG17&gt;0),枚数!AG17,"-"))</f>
        <v>-</v>
      </c>
      <c r="AH17" s="124" t="str">
        <f>IF(AND(高温可否!AH17=1,低温可否!AH17=1,標準可否!AH17=1,HUAWEI製ＰＣＳ接続枚数計算ツール!$C$108&gt;=AH$2,HUAWEI製ＰＣＳ接続枚数計算ツール!$E$108&lt;=AH$2,枚数!AH17&gt;0),枚数!AH17,IF(AND(標準可否!AH17=1,低温可否!AH17=1,HUAWEI製ＰＣＳ接続枚数計算ツール!$C$108&gt;=AH$2,枚数!AH17&gt;0,低電圧接続!AH17&gt;0),枚数!AH17,"-"))</f>
        <v>-</v>
      </c>
      <c r="AI17" s="123" t="str">
        <f>IF(AND(高温可否!AI17=1,低温可否!AI17=1,標準可否!AI17=1,HUAWEI製ＰＣＳ接続枚数計算ツール!$C$108&gt;=AI$2,HUAWEI製ＰＣＳ接続枚数計算ツール!$E$108&lt;=AI$2,枚数!AI17&gt;0),枚数!AI17,IF(AND(標準可否!AI17=1,低温可否!AI17=1,HUAWEI製ＰＣＳ接続枚数計算ツール!$C$108&gt;=AI$2,枚数!AI17&gt;0,低電圧接続!AI17&gt;0),枚数!AI17,"-"))</f>
        <v>-</v>
      </c>
      <c r="AJ17" s="124" t="str">
        <f>IF(AND(高温可否!AJ17=1,低温可否!AJ17=1,標準可否!AJ17=1,HUAWEI製ＰＣＳ接続枚数計算ツール!$C$108&gt;=AJ$2,HUAWEI製ＰＣＳ接続枚数計算ツール!$E$108&lt;=AJ$2,枚数!AJ17&gt;0),枚数!AJ17,IF(AND(標準可否!AJ17=1,低温可否!AJ17=1,HUAWEI製ＰＣＳ接続枚数計算ツール!$C$108&gt;=AJ$2,枚数!AJ17&gt;0,低電圧接続!AJ17&gt;0),枚数!AJ17,"-"))</f>
        <v>-</v>
      </c>
      <c r="AK17" s="123" t="str">
        <f>IF(AND(高温可否!AK17=1,低温可否!AK17=1,標準可否!AK17=1,HUAWEI製ＰＣＳ接続枚数計算ツール!$C$108&gt;=AK$2,HUAWEI製ＰＣＳ接続枚数計算ツール!$E$108&lt;=AK$2,枚数!AK17&gt;0),枚数!AK17,IF(AND(標準可否!AK17=1,低温可否!AK17=1,HUAWEI製ＰＣＳ接続枚数計算ツール!$C$108&gt;=AK$2,枚数!AK17&gt;0,低電圧接続!AK17&gt;0),枚数!AK17,"-"))</f>
        <v>-</v>
      </c>
      <c r="AL17" s="124" t="str">
        <f>IF(AND(高温可否!AL17=1,低温可否!AL17=1,標準可否!AL17=1,HUAWEI製ＰＣＳ接続枚数計算ツール!$C$108&gt;=AL$2,HUAWEI製ＰＣＳ接続枚数計算ツール!$E$108&lt;=AL$2,枚数!AL17&gt;0),枚数!AL17,IF(AND(標準可否!AL17=1,低温可否!AL17=1,HUAWEI製ＰＣＳ接続枚数計算ツール!$C$108&gt;=AL$2,枚数!AL17&gt;0,低電圧接続!AL17&gt;0),枚数!AL17,"-"))</f>
        <v>-</v>
      </c>
      <c r="AM17" s="123" t="str">
        <f>IF(AND(高温可否!AM17=1,低温可否!AM17=1,標準可否!AM17=1,HUAWEI製ＰＣＳ接続枚数計算ツール!$C$108&gt;=AM$2,HUAWEI製ＰＣＳ接続枚数計算ツール!$E$108&lt;=AM$2,枚数!AM17&gt;0),枚数!AM17,IF(AND(標準可否!AM17=1,低温可否!AM17=1,HUAWEI製ＰＣＳ接続枚数計算ツール!$C$108&gt;=AM$2,枚数!AM17&gt;0,低電圧接続!AM17&gt;0),枚数!AM17,"-"))</f>
        <v>-</v>
      </c>
      <c r="AN17" s="124" t="str">
        <f>IF(AND(高温可否!AN17=1,低温可否!AN17=1,標準可否!AN17=1,HUAWEI製ＰＣＳ接続枚数計算ツール!$C$108&gt;=AN$2,HUAWEI製ＰＣＳ接続枚数計算ツール!$E$108&lt;=AN$2,枚数!AN17&gt;0),枚数!AN17,IF(AND(標準可否!AN17=1,低温可否!AN17=1,HUAWEI製ＰＣＳ接続枚数計算ツール!$C$108&gt;=AN$2,枚数!AN17&gt;0,低電圧接続!AN17&gt;0),枚数!AN17,"-"))</f>
        <v>-</v>
      </c>
      <c r="AO17" s="125" t="str">
        <f>IF(AND(高温可否!AO17=1,低温可否!AO17=1,標準可否!AO17=1,HUAWEI製ＰＣＳ接続枚数計算ツール!$C$108&gt;=AO$2,HUAWEI製ＰＣＳ接続枚数計算ツール!$E$108&lt;=AO$2,枚数!AO17&gt;0),枚数!AO17,IF(AND(標準可否!AO17=1,低温可否!AO17=1,HUAWEI製ＰＣＳ接続枚数計算ツール!$C$108&gt;=AO$2,枚数!AO17&gt;0,低電圧接続!AO17&gt;0),枚数!AO17,"-"))</f>
        <v>-</v>
      </c>
    </row>
    <row r="18" spans="1:41">
      <c r="A18" s="115">
        <v>16</v>
      </c>
      <c r="B18" s="126" t="str">
        <f>IF(AND(高温可否!B18=1,低温可否!B18=1,標準可否!B18=1,HUAWEI製ＰＣＳ接続枚数計算ツール!$C$108&gt;=B$2,HUAWEI製ＰＣＳ接続枚数計算ツール!$E$108&lt;=B$2,枚数!B18&gt;0),枚数!B18,IF(AND(標準可否!B18=1,低温可否!B18=1,HUAWEI製ＰＣＳ接続枚数計算ツール!$C$108&gt;=B$2,枚数!B18&gt;0,低電圧接続!B18&gt;0),枚数!B18,"-"))</f>
        <v>-</v>
      </c>
      <c r="C18" s="127" t="str">
        <f>IF(AND(高温可否!C18=1,低温可否!C18=1,標準可否!C18=1,HUAWEI製ＰＣＳ接続枚数計算ツール!$C$108&gt;=C$2,HUAWEI製ＰＣＳ接続枚数計算ツール!$E$108&lt;=C$2,枚数!C18&gt;0),枚数!C18,IF(AND(標準可否!C18=1,低温可否!C18=1,HUAWEI製ＰＣＳ接続枚数計算ツール!$C$108&gt;=C$2,枚数!C18&gt;0,低電圧接続!C18&gt;0),枚数!C18,"-"))</f>
        <v>-</v>
      </c>
      <c r="D18" s="128" t="str">
        <f>IF(AND(高温可否!D18=1,低温可否!D18=1,標準可否!D18=1,HUAWEI製ＰＣＳ接続枚数計算ツール!$C$108&gt;=D$2,HUAWEI製ＰＣＳ接続枚数計算ツール!$E$108&lt;=D$2,枚数!D18&gt;0),枚数!D18,IF(AND(標準可否!D18=1,低温可否!D18=1,HUAWEI製ＰＣＳ接続枚数計算ツール!$C$108&gt;=D$2,枚数!D18&gt;0,低電圧接続!D18&gt;0),枚数!D18,"-"))</f>
        <v>-</v>
      </c>
      <c r="E18" s="127" t="str">
        <f>IF(AND(高温可否!E18=1,低温可否!E18=1,標準可否!E18=1,HUAWEI製ＰＣＳ接続枚数計算ツール!$C$108&gt;=E$2,HUAWEI製ＰＣＳ接続枚数計算ツール!$E$108&lt;=E$2,枚数!E18&gt;0),枚数!E18,IF(AND(標準可否!E18=1,低温可否!E18=1,HUAWEI製ＰＣＳ接続枚数計算ツール!$C$108&gt;=E$2,枚数!E18&gt;0,低電圧接続!E18&gt;0),枚数!E18,"-"))</f>
        <v>-</v>
      </c>
      <c r="F18" s="128" t="str">
        <f>IF(AND(高温可否!F18=1,低温可否!F18=1,標準可否!F18=1,HUAWEI製ＰＣＳ接続枚数計算ツール!$C$108&gt;=F$2,HUAWEI製ＰＣＳ接続枚数計算ツール!$E$108&lt;=F$2,枚数!F18&gt;0),枚数!F18,IF(AND(標準可否!F18=1,低温可否!F18=1,HUAWEI製ＰＣＳ接続枚数計算ツール!$C$108&gt;=F$2,枚数!F18&gt;0,低電圧接続!F18&gt;0),枚数!F18,"-"))</f>
        <v>-</v>
      </c>
      <c r="G18" s="127" t="str">
        <f>IF(AND(高温可否!G18=1,低温可否!G18=1,標準可否!G18=1,HUAWEI製ＰＣＳ接続枚数計算ツール!$C$108&gt;=G$2,HUAWEI製ＰＣＳ接続枚数計算ツール!$E$108&lt;=G$2,枚数!G18&gt;0),枚数!G18,IF(AND(標準可否!G18=1,低温可否!G18=1,HUAWEI製ＰＣＳ接続枚数計算ツール!$C$108&gt;=G$2,枚数!G18&gt;0,低電圧接続!G18&gt;0),枚数!G18,"-"))</f>
        <v>-</v>
      </c>
      <c r="H18" s="128" t="str">
        <f>IF(AND(高温可否!H18=1,低温可否!H18=1,標準可否!H18=1,HUAWEI製ＰＣＳ接続枚数計算ツール!$C$108&gt;=H$2,HUAWEI製ＰＣＳ接続枚数計算ツール!$E$108&lt;=H$2,枚数!H18&gt;0),枚数!H18,IF(AND(標準可否!H18=1,低温可否!H18=1,HUAWEI製ＰＣＳ接続枚数計算ツール!$C$108&gt;=H$2,枚数!H18&gt;0,低電圧接続!H18&gt;0),枚数!H18,"-"))</f>
        <v>-</v>
      </c>
      <c r="I18" s="127" t="str">
        <f>IF(AND(高温可否!I18=1,低温可否!I18=1,標準可否!I18=1,HUAWEI製ＰＣＳ接続枚数計算ツール!$C$108&gt;=I$2,HUAWEI製ＰＣＳ接続枚数計算ツール!$E$108&lt;=I$2,枚数!I18&gt;0),枚数!I18,IF(AND(標準可否!I18=1,低温可否!I18=1,HUAWEI製ＰＣＳ接続枚数計算ツール!$C$108&gt;=I$2,枚数!I18&gt;0,低電圧接続!I18&gt;0),枚数!I18,"-"))</f>
        <v>-</v>
      </c>
      <c r="J18" s="128" t="str">
        <f>IF(AND(高温可否!J18=1,低温可否!J18=1,標準可否!J18=1,HUAWEI製ＰＣＳ接続枚数計算ツール!$C$108&gt;=J$2,HUAWEI製ＰＣＳ接続枚数計算ツール!$E$108&lt;=J$2,枚数!J18&gt;0),枚数!J18,IF(AND(標準可否!J18=1,低温可否!J18=1,HUAWEI製ＰＣＳ接続枚数計算ツール!$C$108&gt;=J$2,枚数!J18&gt;0,低電圧接続!J18&gt;0),枚数!J18,"-"))</f>
        <v>-</v>
      </c>
      <c r="K18" s="127" t="str">
        <f>IF(AND(高温可否!K18=1,低温可否!K18=1,標準可否!K18=1,HUAWEI製ＰＣＳ接続枚数計算ツール!$C$108&gt;=K$2,HUAWEI製ＰＣＳ接続枚数計算ツール!$E$108&lt;=K$2,枚数!K18&gt;0),枚数!K18,IF(AND(標準可否!K18=1,低温可否!K18=1,HUAWEI製ＰＣＳ接続枚数計算ツール!$C$108&gt;=K$2,枚数!K18&gt;0,低電圧接続!K18&gt;0),枚数!K18,"-"))</f>
        <v>-</v>
      </c>
      <c r="L18" s="128" t="str">
        <f>IF(AND(高温可否!L18=1,低温可否!L18=1,標準可否!L18=1,HUAWEI製ＰＣＳ接続枚数計算ツール!$C$108&gt;=L$2,HUAWEI製ＰＣＳ接続枚数計算ツール!$E$108&lt;=L$2,枚数!L18&gt;0),枚数!L18,IF(AND(標準可否!L18=1,低温可否!L18=1,HUAWEI製ＰＣＳ接続枚数計算ツール!$C$108&gt;=L$2,枚数!L18&gt;0,低電圧接続!L18&gt;0),枚数!L18,"-"))</f>
        <v>-</v>
      </c>
      <c r="M18" s="127" t="str">
        <f>IF(AND(高温可否!M18=1,低温可否!M18=1,標準可否!M18=1,HUAWEI製ＰＣＳ接続枚数計算ツール!$C$108&gt;=M$2,HUAWEI製ＰＣＳ接続枚数計算ツール!$E$108&lt;=M$2,枚数!M18&gt;0),枚数!M18,IF(AND(標準可否!M18=1,低温可否!M18=1,HUAWEI製ＰＣＳ接続枚数計算ツール!$C$108&gt;=M$2,枚数!M18&gt;0,低電圧接続!M18&gt;0),枚数!M18,"-"))</f>
        <v>-</v>
      </c>
      <c r="N18" s="128" t="str">
        <f>IF(AND(高温可否!N18=1,低温可否!N18=1,標準可否!N18=1,HUAWEI製ＰＣＳ接続枚数計算ツール!$C$108&gt;=N$2,HUAWEI製ＰＣＳ接続枚数計算ツール!$E$108&lt;=N$2,枚数!N18&gt;0),枚数!N18,IF(AND(標準可否!N18=1,低温可否!N18=1,HUAWEI製ＰＣＳ接続枚数計算ツール!$C$108&gt;=N$2,枚数!N18&gt;0,低電圧接続!N18&gt;0),枚数!N18,"-"))</f>
        <v>-</v>
      </c>
      <c r="O18" s="127" t="str">
        <f>IF(AND(高温可否!O18=1,低温可否!O18=1,標準可否!O18=1,HUAWEI製ＰＣＳ接続枚数計算ツール!$C$108&gt;=O$2,HUAWEI製ＰＣＳ接続枚数計算ツール!$E$108&lt;=O$2,枚数!O18&gt;0),枚数!O18,IF(AND(標準可否!O18=1,低温可否!O18=1,HUAWEI製ＰＣＳ接続枚数計算ツール!$C$108&gt;=O$2,枚数!O18&gt;0,低電圧接続!O18&gt;0),枚数!O18,"-"))</f>
        <v>-</v>
      </c>
      <c r="P18" s="128" t="str">
        <f>IF(AND(高温可否!P18=1,低温可否!P18=1,標準可否!P18=1,HUAWEI製ＰＣＳ接続枚数計算ツール!$C$108&gt;=P$2,HUAWEI製ＰＣＳ接続枚数計算ツール!$E$108&lt;=P$2,枚数!P18&gt;0),枚数!P18,IF(AND(標準可否!P18=1,低温可否!P18=1,HUAWEI製ＰＣＳ接続枚数計算ツール!$C$108&gt;=P$2,枚数!P18&gt;0,低電圧接続!P18&gt;0),枚数!P18,"-"))</f>
        <v>-</v>
      </c>
      <c r="Q18" s="127" t="str">
        <f>IF(AND(高温可否!Q18=1,低温可否!Q18=1,標準可否!Q18=1,HUAWEI製ＰＣＳ接続枚数計算ツール!$C$108&gt;=Q$2,HUAWEI製ＰＣＳ接続枚数計算ツール!$E$108&lt;=Q$2,枚数!Q18&gt;0),枚数!Q18,IF(AND(標準可否!Q18=1,低温可否!Q18=1,HUAWEI製ＰＣＳ接続枚数計算ツール!$C$108&gt;=Q$2,枚数!Q18&gt;0,低電圧接続!Q18&gt;0),枚数!Q18,"-"))</f>
        <v>-</v>
      </c>
      <c r="R18" s="128" t="str">
        <f>IF(AND(高温可否!R18=1,低温可否!R18=1,標準可否!R18=1,HUAWEI製ＰＣＳ接続枚数計算ツール!$C$108&gt;=R$2,HUAWEI製ＰＣＳ接続枚数計算ツール!$E$108&lt;=R$2,枚数!R18&gt;0),枚数!R18,IF(AND(標準可否!R18=1,低温可否!R18=1,HUAWEI製ＰＣＳ接続枚数計算ツール!$C$108&gt;=R$2,枚数!R18&gt;0,低電圧接続!R18&gt;0),枚数!R18,"-"))</f>
        <v>-</v>
      </c>
      <c r="S18" s="127" t="str">
        <f>IF(AND(高温可否!S18=1,低温可否!S18=1,標準可否!S18=1,HUAWEI製ＰＣＳ接続枚数計算ツール!$C$108&gt;=S$2,HUAWEI製ＰＣＳ接続枚数計算ツール!$E$108&lt;=S$2,枚数!S18&gt;0),枚数!S18,IF(AND(標準可否!S18=1,低温可否!S18=1,HUAWEI製ＰＣＳ接続枚数計算ツール!$C$108&gt;=S$2,枚数!S18&gt;0,低電圧接続!S18&gt;0),枚数!S18,"-"))</f>
        <v>-</v>
      </c>
      <c r="T18" s="128" t="str">
        <f>IF(AND(高温可否!T18=1,低温可否!T18=1,標準可否!T18=1,HUAWEI製ＰＣＳ接続枚数計算ツール!$C$108&gt;=T$2,HUAWEI製ＰＣＳ接続枚数計算ツール!$E$108&lt;=T$2,枚数!T18&gt;0),枚数!T18,IF(AND(標準可否!T18=1,低温可否!T18=1,HUAWEI製ＰＣＳ接続枚数計算ツール!$C$108&gt;=T$2,枚数!T18&gt;0,低電圧接続!T18&gt;0),枚数!T18,"-"))</f>
        <v>-</v>
      </c>
      <c r="U18" s="127" t="str">
        <f>IF(AND(高温可否!U18=1,低温可否!U18=1,標準可否!U18=1,HUAWEI製ＰＣＳ接続枚数計算ツール!$C$108&gt;=U$2,HUAWEI製ＰＣＳ接続枚数計算ツール!$E$108&lt;=U$2,枚数!U18&gt;0),枚数!U18,IF(AND(標準可否!U18=1,低温可否!U18=1,HUAWEI製ＰＣＳ接続枚数計算ツール!$C$108&gt;=U$2,枚数!U18&gt;0,低電圧接続!U18&gt;0),枚数!U18,"-"))</f>
        <v>-</v>
      </c>
      <c r="V18" s="128">
        <f>IF(AND(高温可否!V18=1,低温可否!V18=1,標準可否!V18=1,HUAWEI製ＰＣＳ接続枚数計算ツール!$C$108&gt;=V$2,HUAWEI製ＰＣＳ接続枚数計算ツール!$E$108&lt;=V$2,枚数!V18&gt;0),枚数!V18,IF(AND(標準可否!V18=1,低温可否!V18=1,HUAWEI製ＰＣＳ接続枚数計算ツール!$C$108&gt;=V$2,枚数!V18&gt;0,低電圧接続!V18&gt;0),枚数!V18,"-"))</f>
        <v>336</v>
      </c>
      <c r="W18" s="127" t="str">
        <f>IF(AND(高温可否!W18=1,低温可否!W18=1,標準可否!W18=1,HUAWEI製ＰＣＳ接続枚数計算ツール!$C$108&gt;=W$2,HUAWEI製ＰＣＳ接続枚数計算ツール!$E$108&lt;=W$2,枚数!W18&gt;0),枚数!W18,IF(AND(標準可否!W18=1,低温可否!W18=1,HUAWEI製ＰＣＳ接続枚数計算ツール!$C$108&gt;=W$2,枚数!W18&gt;0,低電圧接続!W18&gt;0),枚数!W18,"-"))</f>
        <v>-</v>
      </c>
      <c r="X18" s="128" t="str">
        <f>IF(AND(高温可否!X18=1,低温可否!X18=1,標準可否!X18=1,HUAWEI製ＰＣＳ接続枚数計算ツール!$C$108&gt;=X$2,HUAWEI製ＰＣＳ接続枚数計算ツール!$E$108&lt;=X$2,枚数!X18&gt;0),枚数!X18,IF(AND(標準可否!X18=1,低温可否!X18=1,HUAWEI製ＰＣＳ接続枚数計算ツール!$C$108&gt;=X$2,枚数!X18&gt;0,低電圧接続!X18&gt;0),枚数!X18,"-"))</f>
        <v>-</v>
      </c>
      <c r="Y18" s="127" t="str">
        <f>IF(AND(高温可否!Y18=1,低温可否!Y18=1,標準可否!Y18=1,HUAWEI製ＰＣＳ接続枚数計算ツール!$C$108&gt;=Y$2,HUAWEI製ＰＣＳ接続枚数計算ツール!$E$108&lt;=Y$2,枚数!Y18&gt;0),枚数!Y18,IF(AND(標準可否!Y18=1,低温可否!Y18=1,HUAWEI製ＰＣＳ接続枚数計算ツール!$C$108&gt;=Y$2,枚数!Y18&gt;0,低電圧接続!Y18&gt;0),枚数!Y18,"-"))</f>
        <v>-</v>
      </c>
      <c r="Z18" s="128" t="str">
        <f>IF(AND(高温可否!Z18=1,低温可否!Z18=1,標準可否!Z18=1,HUAWEI製ＰＣＳ接続枚数計算ツール!$C$108&gt;=Z$2,HUAWEI製ＰＣＳ接続枚数計算ツール!$E$108&lt;=Z$2,枚数!Z18&gt;0),枚数!Z18,IF(AND(標準可否!Z18=1,低温可否!Z18=1,HUAWEI製ＰＣＳ接続枚数計算ツール!$C$108&gt;=Z$2,枚数!Z18&gt;0,低電圧接続!Z18&gt;0),枚数!Z18,"-"))</f>
        <v>-</v>
      </c>
      <c r="AA18" s="127" t="str">
        <f>IF(AND(高温可否!AA18=1,低温可否!AA18=1,標準可否!AA18=1,HUAWEI製ＰＣＳ接続枚数計算ツール!$C$108&gt;=AA$2,HUAWEI製ＰＣＳ接続枚数計算ツール!$E$108&lt;=AA$2,枚数!AA18&gt;0),枚数!AA18,IF(AND(標準可否!AA18=1,低温可否!AA18=1,HUAWEI製ＰＣＳ接続枚数計算ツール!$C$108&gt;=AA$2,枚数!AA18&gt;0,低電圧接続!AA18&gt;0),枚数!AA18,"-"))</f>
        <v>-</v>
      </c>
      <c r="AB18" s="128" t="str">
        <f>IF(AND(高温可否!AB18=1,低温可否!AB18=1,標準可否!AB18=1,HUAWEI製ＰＣＳ接続枚数計算ツール!$C$108&gt;=AB$2,HUAWEI製ＰＣＳ接続枚数計算ツール!$E$108&lt;=AB$2,枚数!AB18&gt;0),枚数!AB18,IF(AND(標準可否!AB18=1,低温可否!AB18=1,HUAWEI製ＰＣＳ接続枚数計算ツール!$C$108&gt;=AB$2,枚数!AB18&gt;0,低電圧接続!AB18&gt;0),枚数!AB18,"-"))</f>
        <v>-</v>
      </c>
      <c r="AC18" s="127" t="str">
        <f>IF(AND(高温可否!AC18=1,低温可否!AC18=1,標準可否!AC18=1,HUAWEI製ＰＣＳ接続枚数計算ツール!$C$108&gt;=AC$2,HUAWEI製ＰＣＳ接続枚数計算ツール!$E$108&lt;=AC$2,枚数!AC18&gt;0),枚数!AC18,IF(AND(標準可否!AC18=1,低温可否!AC18=1,HUAWEI製ＰＣＳ接続枚数計算ツール!$C$108&gt;=AC$2,枚数!AC18&gt;0,低電圧接続!AC18&gt;0),枚数!AC18,"-"))</f>
        <v>-</v>
      </c>
      <c r="AD18" s="128" t="str">
        <f>IF(AND(高温可否!AD18=1,低温可否!AD18=1,標準可否!AD18=1,HUAWEI製ＰＣＳ接続枚数計算ツール!$C$108&gt;=AD$2,HUAWEI製ＰＣＳ接続枚数計算ツール!$E$108&lt;=AD$2,枚数!AD18&gt;0),枚数!AD18,IF(AND(標準可否!AD18=1,低温可否!AD18=1,HUAWEI製ＰＣＳ接続枚数計算ツール!$C$108&gt;=AD$2,枚数!AD18&gt;0,低電圧接続!AD18&gt;0),枚数!AD18,"-"))</f>
        <v>-</v>
      </c>
      <c r="AE18" s="127" t="str">
        <f>IF(AND(高温可否!AE18=1,低温可否!AE18=1,標準可否!AE18=1,HUAWEI製ＰＣＳ接続枚数計算ツール!$C$108&gt;=AE$2,HUAWEI製ＰＣＳ接続枚数計算ツール!$E$108&lt;=AE$2,枚数!AE18&gt;0),枚数!AE18,IF(AND(標準可否!AE18=1,低温可否!AE18=1,HUAWEI製ＰＣＳ接続枚数計算ツール!$C$108&gt;=AE$2,枚数!AE18&gt;0,低電圧接続!AE18&gt;0),枚数!AE18,"-"))</f>
        <v>-</v>
      </c>
      <c r="AF18" s="128" t="str">
        <f>IF(AND(高温可否!AF18=1,低温可否!AF18=1,標準可否!AF18=1,HUAWEI製ＰＣＳ接続枚数計算ツール!$C$108&gt;=AF$2,HUAWEI製ＰＣＳ接続枚数計算ツール!$E$108&lt;=AF$2,枚数!AF18&gt;0),枚数!AF18,IF(AND(標準可否!AF18=1,低温可否!AF18=1,HUAWEI製ＰＣＳ接続枚数計算ツール!$C$108&gt;=AF$2,枚数!AF18&gt;0,低電圧接続!AF18&gt;0),枚数!AF18,"-"))</f>
        <v>-</v>
      </c>
      <c r="AG18" s="127" t="str">
        <f>IF(AND(高温可否!AG18=1,低温可否!AG18=1,標準可否!AG18=1,HUAWEI製ＰＣＳ接続枚数計算ツール!$C$108&gt;=AG$2,HUAWEI製ＰＣＳ接続枚数計算ツール!$E$108&lt;=AG$2,枚数!AG18&gt;0),枚数!AG18,IF(AND(標準可否!AG18=1,低温可否!AG18=1,HUAWEI製ＰＣＳ接続枚数計算ツール!$C$108&gt;=AG$2,枚数!AG18&gt;0,低電圧接続!AG18&gt;0),枚数!AG18,"-"))</f>
        <v>-</v>
      </c>
      <c r="AH18" s="128" t="str">
        <f>IF(AND(高温可否!AH18=1,低温可否!AH18=1,標準可否!AH18=1,HUAWEI製ＰＣＳ接続枚数計算ツール!$C$108&gt;=AH$2,HUAWEI製ＰＣＳ接続枚数計算ツール!$E$108&lt;=AH$2,枚数!AH18&gt;0),枚数!AH18,IF(AND(標準可否!AH18=1,低温可否!AH18=1,HUAWEI製ＰＣＳ接続枚数計算ツール!$C$108&gt;=AH$2,枚数!AH18&gt;0,低電圧接続!AH18&gt;0),枚数!AH18,"-"))</f>
        <v>-</v>
      </c>
      <c r="AI18" s="127" t="str">
        <f>IF(AND(高温可否!AI18=1,低温可否!AI18=1,標準可否!AI18=1,HUAWEI製ＰＣＳ接続枚数計算ツール!$C$108&gt;=AI$2,HUAWEI製ＰＣＳ接続枚数計算ツール!$E$108&lt;=AI$2,枚数!AI18&gt;0),枚数!AI18,IF(AND(標準可否!AI18=1,低温可否!AI18=1,HUAWEI製ＰＣＳ接続枚数計算ツール!$C$108&gt;=AI$2,枚数!AI18&gt;0,低電圧接続!AI18&gt;0),枚数!AI18,"-"))</f>
        <v>-</v>
      </c>
      <c r="AJ18" s="128" t="str">
        <f>IF(AND(高温可否!AJ18=1,低温可否!AJ18=1,標準可否!AJ18=1,HUAWEI製ＰＣＳ接続枚数計算ツール!$C$108&gt;=AJ$2,HUAWEI製ＰＣＳ接続枚数計算ツール!$E$108&lt;=AJ$2,枚数!AJ18&gt;0),枚数!AJ18,IF(AND(標準可否!AJ18=1,低温可否!AJ18=1,HUAWEI製ＰＣＳ接続枚数計算ツール!$C$108&gt;=AJ$2,枚数!AJ18&gt;0,低電圧接続!AJ18&gt;0),枚数!AJ18,"-"))</f>
        <v>-</v>
      </c>
      <c r="AK18" s="127" t="str">
        <f>IF(AND(高温可否!AK18=1,低温可否!AK18=1,標準可否!AK18=1,HUAWEI製ＰＣＳ接続枚数計算ツール!$C$108&gt;=AK$2,HUAWEI製ＰＣＳ接続枚数計算ツール!$E$108&lt;=AK$2,枚数!AK18&gt;0),枚数!AK18,IF(AND(標準可否!AK18=1,低温可否!AK18=1,HUAWEI製ＰＣＳ接続枚数計算ツール!$C$108&gt;=AK$2,枚数!AK18&gt;0,低電圧接続!AK18&gt;0),枚数!AK18,"-"))</f>
        <v>-</v>
      </c>
      <c r="AL18" s="128" t="str">
        <f>IF(AND(高温可否!AL18=1,低温可否!AL18=1,標準可否!AL18=1,HUAWEI製ＰＣＳ接続枚数計算ツール!$C$108&gt;=AL$2,HUAWEI製ＰＣＳ接続枚数計算ツール!$E$108&lt;=AL$2,枚数!AL18&gt;0),枚数!AL18,IF(AND(標準可否!AL18=1,低温可否!AL18=1,HUAWEI製ＰＣＳ接続枚数計算ツール!$C$108&gt;=AL$2,枚数!AL18&gt;0,低電圧接続!AL18&gt;0),枚数!AL18,"-"))</f>
        <v>-</v>
      </c>
      <c r="AM18" s="127" t="str">
        <f>IF(AND(高温可否!AM18=1,低温可否!AM18=1,標準可否!AM18=1,HUAWEI製ＰＣＳ接続枚数計算ツール!$C$108&gt;=AM$2,HUAWEI製ＰＣＳ接続枚数計算ツール!$E$108&lt;=AM$2,枚数!AM18&gt;0),枚数!AM18,IF(AND(標準可否!AM18=1,低温可否!AM18=1,HUAWEI製ＰＣＳ接続枚数計算ツール!$C$108&gt;=AM$2,枚数!AM18&gt;0,低電圧接続!AM18&gt;0),枚数!AM18,"-"))</f>
        <v>-</v>
      </c>
      <c r="AN18" s="128" t="str">
        <f>IF(AND(高温可否!AN18=1,低温可否!AN18=1,標準可否!AN18=1,HUAWEI製ＰＣＳ接続枚数計算ツール!$C$108&gt;=AN$2,HUAWEI製ＰＣＳ接続枚数計算ツール!$E$108&lt;=AN$2,枚数!AN18&gt;0),枚数!AN18,IF(AND(標準可否!AN18=1,低温可否!AN18=1,HUAWEI製ＰＣＳ接続枚数計算ツール!$C$108&gt;=AN$2,枚数!AN18&gt;0,低電圧接続!AN18&gt;0),枚数!AN18,"-"))</f>
        <v>-</v>
      </c>
      <c r="AO18" s="129" t="str">
        <f>IF(AND(高温可否!AO18=1,低温可否!AO18=1,標準可否!AO18=1,HUAWEI製ＰＣＳ接続枚数計算ツール!$C$108&gt;=AO$2,HUAWEI製ＰＣＳ接続枚数計算ツール!$E$108&lt;=AO$2,枚数!AO18&gt;0),枚数!AO18,IF(AND(標準可否!AO18=1,低温可否!AO18=1,HUAWEI製ＰＣＳ接続枚数計算ツール!$C$108&gt;=AO$2,枚数!AO18&gt;0,低電圧接続!AO18&gt;0),枚数!AO18,"-"))</f>
        <v>-</v>
      </c>
    </row>
    <row r="19" spans="1:41">
      <c r="A19" s="116">
        <v>17</v>
      </c>
      <c r="B19" s="122" t="str">
        <f>IF(AND(高温可否!B19=1,低温可否!B19=1,標準可否!B19=1,HUAWEI製ＰＣＳ接続枚数計算ツール!$C$108&gt;=B$2,HUAWEI製ＰＣＳ接続枚数計算ツール!$E$108&lt;=B$2,枚数!B19&gt;0),枚数!B19,IF(AND(標準可否!B19=1,低温可否!B19=1,HUAWEI製ＰＣＳ接続枚数計算ツール!$C$108&gt;=B$2,枚数!B19&gt;0,低電圧接続!B19&gt;0),枚数!B19,"-"))</f>
        <v>-</v>
      </c>
      <c r="C19" s="123" t="str">
        <f>IF(AND(高温可否!C19=1,低温可否!C19=1,標準可否!C19=1,HUAWEI製ＰＣＳ接続枚数計算ツール!$C$108&gt;=C$2,HUAWEI製ＰＣＳ接続枚数計算ツール!$E$108&lt;=C$2,枚数!C19&gt;0),枚数!C19,IF(AND(標準可否!C19=1,低温可否!C19=1,HUAWEI製ＰＣＳ接続枚数計算ツール!$C$108&gt;=C$2,枚数!C19&gt;0,低電圧接続!C19&gt;0),枚数!C19,"-"))</f>
        <v>-</v>
      </c>
      <c r="D19" s="124" t="str">
        <f>IF(AND(高温可否!D19=1,低温可否!D19=1,標準可否!D19=1,HUAWEI製ＰＣＳ接続枚数計算ツール!$C$108&gt;=D$2,HUAWEI製ＰＣＳ接続枚数計算ツール!$E$108&lt;=D$2,枚数!D19&gt;0),枚数!D19,IF(AND(標準可否!D19=1,低温可否!D19=1,HUAWEI製ＰＣＳ接続枚数計算ツール!$C$108&gt;=D$2,枚数!D19&gt;0,低電圧接続!D19&gt;0),枚数!D19,"-"))</f>
        <v>-</v>
      </c>
      <c r="E19" s="123" t="str">
        <f>IF(AND(高温可否!E19=1,低温可否!E19=1,標準可否!E19=1,HUAWEI製ＰＣＳ接続枚数計算ツール!$C$108&gt;=E$2,HUAWEI製ＰＣＳ接続枚数計算ツール!$E$108&lt;=E$2,枚数!E19&gt;0),枚数!E19,IF(AND(標準可否!E19=1,低温可否!E19=1,HUAWEI製ＰＣＳ接続枚数計算ツール!$C$108&gt;=E$2,枚数!E19&gt;0,低電圧接続!E19&gt;0),枚数!E19,"-"))</f>
        <v>-</v>
      </c>
      <c r="F19" s="124" t="str">
        <f>IF(AND(高温可否!F19=1,低温可否!F19=1,標準可否!F19=1,HUAWEI製ＰＣＳ接続枚数計算ツール!$C$108&gt;=F$2,HUAWEI製ＰＣＳ接続枚数計算ツール!$E$108&lt;=F$2,枚数!F19&gt;0),枚数!F19,IF(AND(標準可否!F19=1,低温可否!F19=1,HUAWEI製ＰＣＳ接続枚数計算ツール!$C$108&gt;=F$2,枚数!F19&gt;0,低電圧接続!F19&gt;0),枚数!F19,"-"))</f>
        <v>-</v>
      </c>
      <c r="G19" s="123" t="str">
        <f>IF(AND(高温可否!G19=1,低温可否!G19=1,標準可否!G19=1,HUAWEI製ＰＣＳ接続枚数計算ツール!$C$108&gt;=G$2,HUAWEI製ＰＣＳ接続枚数計算ツール!$E$108&lt;=G$2,枚数!G19&gt;0),枚数!G19,IF(AND(標準可否!G19=1,低温可否!G19=1,HUAWEI製ＰＣＳ接続枚数計算ツール!$C$108&gt;=G$2,枚数!G19&gt;0,低電圧接続!G19&gt;0),枚数!G19,"-"))</f>
        <v>-</v>
      </c>
      <c r="H19" s="124" t="str">
        <f>IF(AND(高温可否!H19=1,低温可否!H19=1,標準可否!H19=1,HUAWEI製ＰＣＳ接続枚数計算ツール!$C$108&gt;=H$2,HUAWEI製ＰＣＳ接続枚数計算ツール!$E$108&lt;=H$2,枚数!H19&gt;0),枚数!H19,IF(AND(標準可否!H19=1,低温可否!H19=1,HUAWEI製ＰＣＳ接続枚数計算ツール!$C$108&gt;=H$2,枚数!H19&gt;0,低電圧接続!H19&gt;0),枚数!H19,"-"))</f>
        <v>-</v>
      </c>
      <c r="I19" s="123" t="str">
        <f>IF(AND(高温可否!I19=1,低温可否!I19=1,標準可否!I19=1,HUAWEI製ＰＣＳ接続枚数計算ツール!$C$108&gt;=I$2,HUAWEI製ＰＣＳ接続枚数計算ツール!$E$108&lt;=I$2,枚数!I19&gt;0),枚数!I19,IF(AND(標準可否!I19=1,低温可否!I19=1,HUAWEI製ＰＣＳ接続枚数計算ツール!$C$108&gt;=I$2,枚数!I19&gt;0,低電圧接続!I19&gt;0),枚数!I19,"-"))</f>
        <v>-</v>
      </c>
      <c r="J19" s="124" t="str">
        <f>IF(AND(高温可否!J19=1,低温可否!J19=1,標準可否!J19=1,HUAWEI製ＰＣＳ接続枚数計算ツール!$C$108&gt;=J$2,HUAWEI製ＰＣＳ接続枚数計算ツール!$E$108&lt;=J$2,枚数!J19&gt;0),枚数!J19,IF(AND(標準可否!J19=1,低温可否!J19=1,HUAWEI製ＰＣＳ接続枚数計算ツール!$C$108&gt;=J$2,枚数!J19&gt;0,低電圧接続!J19&gt;0),枚数!J19,"-"))</f>
        <v>-</v>
      </c>
      <c r="K19" s="123" t="str">
        <f>IF(AND(高温可否!K19=1,低温可否!K19=1,標準可否!K19=1,HUAWEI製ＰＣＳ接続枚数計算ツール!$C$108&gt;=K$2,HUAWEI製ＰＣＳ接続枚数計算ツール!$E$108&lt;=K$2,枚数!K19&gt;0),枚数!K19,IF(AND(標準可否!K19=1,低温可否!K19=1,HUAWEI製ＰＣＳ接続枚数計算ツール!$C$108&gt;=K$2,枚数!K19&gt;0,低電圧接続!K19&gt;0),枚数!K19,"-"))</f>
        <v>-</v>
      </c>
      <c r="L19" s="124" t="str">
        <f>IF(AND(高温可否!L19=1,低温可否!L19=1,標準可否!L19=1,HUAWEI製ＰＣＳ接続枚数計算ツール!$C$108&gt;=L$2,HUAWEI製ＰＣＳ接続枚数計算ツール!$E$108&lt;=L$2,枚数!L19&gt;0),枚数!L19,IF(AND(標準可否!L19=1,低温可否!L19=1,HUAWEI製ＰＣＳ接続枚数計算ツール!$C$108&gt;=L$2,枚数!L19&gt;0,低電圧接続!L19&gt;0),枚数!L19,"-"))</f>
        <v>-</v>
      </c>
      <c r="M19" s="123" t="str">
        <f>IF(AND(高温可否!M19=1,低温可否!M19=1,標準可否!M19=1,HUAWEI製ＰＣＳ接続枚数計算ツール!$C$108&gt;=M$2,HUAWEI製ＰＣＳ接続枚数計算ツール!$E$108&lt;=M$2,枚数!M19&gt;0),枚数!M19,IF(AND(標準可否!M19=1,低温可否!M19=1,HUAWEI製ＰＣＳ接続枚数計算ツール!$C$108&gt;=M$2,枚数!M19&gt;0,低電圧接続!M19&gt;0),枚数!M19,"-"))</f>
        <v>-</v>
      </c>
      <c r="N19" s="124" t="str">
        <f>IF(AND(高温可否!N19=1,低温可否!N19=1,標準可否!N19=1,HUAWEI製ＰＣＳ接続枚数計算ツール!$C$108&gt;=N$2,HUAWEI製ＰＣＳ接続枚数計算ツール!$E$108&lt;=N$2,枚数!N19&gt;0),枚数!N19,IF(AND(標準可否!N19=1,低温可否!N19=1,HUAWEI製ＰＣＳ接続枚数計算ツール!$C$108&gt;=N$2,枚数!N19&gt;0,低電圧接続!N19&gt;0),枚数!N19,"-"))</f>
        <v>-</v>
      </c>
      <c r="O19" s="123" t="str">
        <f>IF(AND(高温可否!O19=1,低温可否!O19=1,標準可否!O19=1,HUAWEI製ＰＣＳ接続枚数計算ツール!$C$108&gt;=O$2,HUAWEI製ＰＣＳ接続枚数計算ツール!$E$108&lt;=O$2,枚数!O19&gt;0),枚数!O19,IF(AND(標準可否!O19=1,低温可否!O19=1,HUAWEI製ＰＣＳ接続枚数計算ツール!$C$108&gt;=O$2,枚数!O19&gt;0,低電圧接続!O19&gt;0),枚数!O19,"-"))</f>
        <v>-</v>
      </c>
      <c r="P19" s="124" t="str">
        <f>IF(AND(高温可否!P19=1,低温可否!P19=1,標準可否!P19=1,HUAWEI製ＰＣＳ接続枚数計算ツール!$C$108&gt;=P$2,HUAWEI製ＰＣＳ接続枚数計算ツール!$E$108&lt;=P$2,枚数!P19&gt;0),枚数!P19,IF(AND(標準可否!P19=1,低温可否!P19=1,HUAWEI製ＰＣＳ接続枚数計算ツール!$C$108&gt;=P$2,枚数!P19&gt;0,低電圧接続!P19&gt;0),枚数!P19,"-"))</f>
        <v>-</v>
      </c>
      <c r="Q19" s="123" t="str">
        <f>IF(AND(高温可否!Q19=1,低温可否!Q19=1,標準可否!Q19=1,HUAWEI製ＰＣＳ接続枚数計算ツール!$C$108&gt;=Q$2,HUAWEI製ＰＣＳ接続枚数計算ツール!$E$108&lt;=Q$2,枚数!Q19&gt;0),枚数!Q19,IF(AND(標準可否!Q19=1,低温可否!Q19=1,HUAWEI製ＰＣＳ接続枚数計算ツール!$C$108&gt;=Q$2,枚数!Q19&gt;0,低電圧接続!Q19&gt;0),枚数!Q19,"-"))</f>
        <v>-</v>
      </c>
      <c r="R19" s="124" t="str">
        <f>IF(AND(高温可否!R19=1,低温可否!R19=1,標準可否!R19=1,HUAWEI製ＰＣＳ接続枚数計算ツール!$C$108&gt;=R$2,HUAWEI製ＰＣＳ接続枚数計算ツール!$E$108&lt;=R$2,枚数!R19&gt;0),枚数!R19,IF(AND(標準可否!R19=1,低温可否!R19=1,HUAWEI製ＰＣＳ接続枚数計算ツール!$C$108&gt;=R$2,枚数!R19&gt;0,低電圧接続!R19&gt;0),枚数!R19,"-"))</f>
        <v>-</v>
      </c>
      <c r="S19" s="123" t="str">
        <f>IF(AND(高温可否!S19=1,低温可否!S19=1,標準可否!S19=1,HUAWEI製ＰＣＳ接続枚数計算ツール!$C$108&gt;=S$2,HUAWEI製ＰＣＳ接続枚数計算ツール!$E$108&lt;=S$2,枚数!S19&gt;0),枚数!S19,IF(AND(標準可否!S19=1,低温可否!S19=1,HUAWEI製ＰＣＳ接続枚数計算ツール!$C$108&gt;=S$2,枚数!S19&gt;0,低電圧接続!S19&gt;0),枚数!S19,"-"))</f>
        <v>-</v>
      </c>
      <c r="T19" s="124" t="str">
        <f>IF(AND(高温可否!T19=1,低温可否!T19=1,標準可否!T19=1,HUAWEI製ＰＣＳ接続枚数計算ツール!$C$108&gt;=T$2,HUAWEI製ＰＣＳ接続枚数計算ツール!$E$108&lt;=T$2,枚数!T19&gt;0),枚数!T19,IF(AND(標準可否!T19=1,低温可否!T19=1,HUAWEI製ＰＣＳ接続枚数計算ツール!$C$108&gt;=T$2,枚数!T19&gt;0,低電圧接続!T19&gt;0),枚数!T19,"-"))</f>
        <v>-</v>
      </c>
      <c r="U19" s="123" t="str">
        <f>IF(AND(高温可否!U19=1,低温可否!U19=1,標準可否!U19=1,HUAWEI製ＰＣＳ接続枚数計算ツール!$C$108&gt;=U$2,HUAWEI製ＰＣＳ接続枚数計算ツール!$E$108&lt;=U$2,枚数!U19&gt;0),枚数!U19,IF(AND(標準可否!U19=1,低温可否!U19=1,HUAWEI製ＰＣＳ接続枚数計算ツール!$C$108&gt;=U$2,枚数!U19&gt;0,低電圧接続!U19&gt;0),枚数!U19,"-"))</f>
        <v>-</v>
      </c>
      <c r="V19" s="124">
        <f>IF(AND(高温可否!V19=1,低温可否!V19=1,標準可否!V19=1,HUAWEI製ＰＣＳ接続枚数計算ツール!$C$108&gt;=V$2,HUAWEI製ＰＣＳ接続枚数計算ツール!$E$108&lt;=V$2,枚数!V19&gt;0),枚数!V19,IF(AND(標準可否!V19=1,低温可否!V19=1,HUAWEI製ＰＣＳ接続枚数計算ツール!$C$108&gt;=V$2,枚数!V19&gt;0,低電圧接続!V19&gt;0),枚数!V19,"-"))</f>
        <v>357</v>
      </c>
      <c r="W19" s="123" t="str">
        <f>IF(AND(高温可否!W19=1,低温可否!W19=1,標準可否!W19=1,HUAWEI製ＰＣＳ接続枚数計算ツール!$C$108&gt;=W$2,HUAWEI製ＰＣＳ接続枚数計算ツール!$E$108&lt;=W$2,枚数!W19&gt;0),枚数!W19,IF(AND(標準可否!W19=1,低温可否!W19=1,HUAWEI製ＰＣＳ接続枚数計算ツール!$C$108&gt;=W$2,枚数!W19&gt;0,低電圧接続!W19&gt;0),枚数!W19,"-"))</f>
        <v>-</v>
      </c>
      <c r="X19" s="124" t="str">
        <f>IF(AND(高温可否!X19=1,低温可否!X19=1,標準可否!X19=1,HUAWEI製ＰＣＳ接続枚数計算ツール!$C$108&gt;=X$2,HUAWEI製ＰＣＳ接続枚数計算ツール!$E$108&lt;=X$2,枚数!X19&gt;0),枚数!X19,IF(AND(標準可否!X19=1,低温可否!X19=1,HUAWEI製ＰＣＳ接続枚数計算ツール!$C$108&gt;=X$2,枚数!X19&gt;0,低電圧接続!X19&gt;0),枚数!X19,"-"))</f>
        <v>-</v>
      </c>
      <c r="Y19" s="123" t="str">
        <f>IF(AND(高温可否!Y19=1,低温可否!Y19=1,標準可否!Y19=1,HUAWEI製ＰＣＳ接続枚数計算ツール!$C$108&gt;=Y$2,HUAWEI製ＰＣＳ接続枚数計算ツール!$E$108&lt;=Y$2,枚数!Y19&gt;0),枚数!Y19,IF(AND(標準可否!Y19=1,低温可否!Y19=1,HUAWEI製ＰＣＳ接続枚数計算ツール!$C$108&gt;=Y$2,枚数!Y19&gt;0,低電圧接続!Y19&gt;0),枚数!Y19,"-"))</f>
        <v>-</v>
      </c>
      <c r="Z19" s="124" t="str">
        <f>IF(AND(高温可否!Z19=1,低温可否!Z19=1,標準可否!Z19=1,HUAWEI製ＰＣＳ接続枚数計算ツール!$C$108&gt;=Z$2,HUAWEI製ＰＣＳ接続枚数計算ツール!$E$108&lt;=Z$2,枚数!Z19&gt;0),枚数!Z19,IF(AND(標準可否!Z19=1,低温可否!Z19=1,HUAWEI製ＰＣＳ接続枚数計算ツール!$C$108&gt;=Z$2,枚数!Z19&gt;0,低電圧接続!Z19&gt;0),枚数!Z19,"-"))</f>
        <v>-</v>
      </c>
      <c r="AA19" s="123" t="str">
        <f>IF(AND(高温可否!AA19=1,低温可否!AA19=1,標準可否!AA19=1,HUAWEI製ＰＣＳ接続枚数計算ツール!$C$108&gt;=AA$2,HUAWEI製ＰＣＳ接続枚数計算ツール!$E$108&lt;=AA$2,枚数!AA19&gt;0),枚数!AA19,IF(AND(標準可否!AA19=1,低温可否!AA19=1,HUAWEI製ＰＣＳ接続枚数計算ツール!$C$108&gt;=AA$2,枚数!AA19&gt;0,低電圧接続!AA19&gt;0),枚数!AA19,"-"))</f>
        <v>-</v>
      </c>
      <c r="AB19" s="124" t="str">
        <f>IF(AND(高温可否!AB19=1,低温可否!AB19=1,標準可否!AB19=1,HUAWEI製ＰＣＳ接続枚数計算ツール!$C$108&gt;=AB$2,HUAWEI製ＰＣＳ接続枚数計算ツール!$E$108&lt;=AB$2,枚数!AB19&gt;0),枚数!AB19,IF(AND(標準可否!AB19=1,低温可否!AB19=1,HUAWEI製ＰＣＳ接続枚数計算ツール!$C$108&gt;=AB$2,枚数!AB19&gt;0,低電圧接続!AB19&gt;0),枚数!AB19,"-"))</f>
        <v>-</v>
      </c>
      <c r="AC19" s="123" t="str">
        <f>IF(AND(高温可否!AC19=1,低温可否!AC19=1,標準可否!AC19=1,HUAWEI製ＰＣＳ接続枚数計算ツール!$C$108&gt;=AC$2,HUAWEI製ＰＣＳ接続枚数計算ツール!$E$108&lt;=AC$2,枚数!AC19&gt;0),枚数!AC19,IF(AND(標準可否!AC19=1,低温可否!AC19=1,HUAWEI製ＰＣＳ接続枚数計算ツール!$C$108&gt;=AC$2,枚数!AC19&gt;0,低電圧接続!AC19&gt;0),枚数!AC19,"-"))</f>
        <v>-</v>
      </c>
      <c r="AD19" s="124" t="str">
        <f>IF(AND(高温可否!AD19=1,低温可否!AD19=1,標準可否!AD19=1,HUAWEI製ＰＣＳ接続枚数計算ツール!$C$108&gt;=AD$2,HUAWEI製ＰＣＳ接続枚数計算ツール!$E$108&lt;=AD$2,枚数!AD19&gt;0),枚数!AD19,IF(AND(標準可否!AD19=1,低温可否!AD19=1,HUAWEI製ＰＣＳ接続枚数計算ツール!$C$108&gt;=AD$2,枚数!AD19&gt;0,低電圧接続!AD19&gt;0),枚数!AD19,"-"))</f>
        <v>-</v>
      </c>
      <c r="AE19" s="123" t="str">
        <f>IF(AND(高温可否!AE19=1,低温可否!AE19=1,標準可否!AE19=1,HUAWEI製ＰＣＳ接続枚数計算ツール!$C$108&gt;=AE$2,HUAWEI製ＰＣＳ接続枚数計算ツール!$E$108&lt;=AE$2,枚数!AE19&gt;0),枚数!AE19,IF(AND(標準可否!AE19=1,低温可否!AE19=1,HUAWEI製ＰＣＳ接続枚数計算ツール!$C$108&gt;=AE$2,枚数!AE19&gt;0,低電圧接続!AE19&gt;0),枚数!AE19,"-"))</f>
        <v>-</v>
      </c>
      <c r="AF19" s="124" t="str">
        <f>IF(AND(高温可否!AF19=1,低温可否!AF19=1,標準可否!AF19=1,HUAWEI製ＰＣＳ接続枚数計算ツール!$C$108&gt;=AF$2,HUAWEI製ＰＣＳ接続枚数計算ツール!$E$108&lt;=AF$2,枚数!AF19&gt;0),枚数!AF19,IF(AND(標準可否!AF19=1,低温可否!AF19=1,HUAWEI製ＰＣＳ接続枚数計算ツール!$C$108&gt;=AF$2,枚数!AF19&gt;0,低電圧接続!AF19&gt;0),枚数!AF19,"-"))</f>
        <v>-</v>
      </c>
      <c r="AG19" s="123" t="str">
        <f>IF(AND(高温可否!AG19=1,低温可否!AG19=1,標準可否!AG19=1,HUAWEI製ＰＣＳ接続枚数計算ツール!$C$108&gt;=AG$2,HUAWEI製ＰＣＳ接続枚数計算ツール!$E$108&lt;=AG$2,枚数!AG19&gt;0),枚数!AG19,IF(AND(標準可否!AG19=1,低温可否!AG19=1,HUAWEI製ＰＣＳ接続枚数計算ツール!$C$108&gt;=AG$2,枚数!AG19&gt;0,低電圧接続!AG19&gt;0),枚数!AG19,"-"))</f>
        <v>-</v>
      </c>
      <c r="AH19" s="124" t="str">
        <f>IF(AND(高温可否!AH19=1,低温可否!AH19=1,標準可否!AH19=1,HUAWEI製ＰＣＳ接続枚数計算ツール!$C$108&gt;=AH$2,HUAWEI製ＰＣＳ接続枚数計算ツール!$E$108&lt;=AH$2,枚数!AH19&gt;0),枚数!AH19,IF(AND(標準可否!AH19=1,低温可否!AH19=1,HUAWEI製ＰＣＳ接続枚数計算ツール!$C$108&gt;=AH$2,枚数!AH19&gt;0,低電圧接続!AH19&gt;0),枚数!AH19,"-"))</f>
        <v>-</v>
      </c>
      <c r="AI19" s="123" t="str">
        <f>IF(AND(高温可否!AI19=1,低温可否!AI19=1,標準可否!AI19=1,HUAWEI製ＰＣＳ接続枚数計算ツール!$C$108&gt;=AI$2,HUAWEI製ＰＣＳ接続枚数計算ツール!$E$108&lt;=AI$2,枚数!AI19&gt;0),枚数!AI19,IF(AND(標準可否!AI19=1,低温可否!AI19=1,HUAWEI製ＰＣＳ接続枚数計算ツール!$C$108&gt;=AI$2,枚数!AI19&gt;0,低電圧接続!AI19&gt;0),枚数!AI19,"-"))</f>
        <v>-</v>
      </c>
      <c r="AJ19" s="124" t="str">
        <f>IF(AND(高温可否!AJ19=1,低温可否!AJ19=1,標準可否!AJ19=1,HUAWEI製ＰＣＳ接続枚数計算ツール!$C$108&gt;=AJ$2,HUAWEI製ＰＣＳ接続枚数計算ツール!$E$108&lt;=AJ$2,枚数!AJ19&gt;0),枚数!AJ19,IF(AND(標準可否!AJ19=1,低温可否!AJ19=1,HUAWEI製ＰＣＳ接続枚数計算ツール!$C$108&gt;=AJ$2,枚数!AJ19&gt;0,低電圧接続!AJ19&gt;0),枚数!AJ19,"-"))</f>
        <v>-</v>
      </c>
      <c r="AK19" s="123" t="str">
        <f>IF(AND(高温可否!AK19=1,低温可否!AK19=1,標準可否!AK19=1,HUAWEI製ＰＣＳ接続枚数計算ツール!$C$108&gt;=AK$2,HUAWEI製ＰＣＳ接続枚数計算ツール!$E$108&lt;=AK$2,枚数!AK19&gt;0),枚数!AK19,IF(AND(標準可否!AK19=1,低温可否!AK19=1,HUAWEI製ＰＣＳ接続枚数計算ツール!$C$108&gt;=AK$2,枚数!AK19&gt;0,低電圧接続!AK19&gt;0),枚数!AK19,"-"))</f>
        <v>-</v>
      </c>
      <c r="AL19" s="124" t="str">
        <f>IF(AND(高温可否!AL19=1,低温可否!AL19=1,標準可否!AL19=1,HUAWEI製ＰＣＳ接続枚数計算ツール!$C$108&gt;=AL$2,HUAWEI製ＰＣＳ接続枚数計算ツール!$E$108&lt;=AL$2,枚数!AL19&gt;0),枚数!AL19,IF(AND(標準可否!AL19=1,低温可否!AL19=1,HUAWEI製ＰＣＳ接続枚数計算ツール!$C$108&gt;=AL$2,枚数!AL19&gt;0,低電圧接続!AL19&gt;0),枚数!AL19,"-"))</f>
        <v>-</v>
      </c>
      <c r="AM19" s="123" t="str">
        <f>IF(AND(高温可否!AM19=1,低温可否!AM19=1,標準可否!AM19=1,HUAWEI製ＰＣＳ接続枚数計算ツール!$C$108&gt;=AM$2,HUAWEI製ＰＣＳ接続枚数計算ツール!$E$108&lt;=AM$2,枚数!AM19&gt;0),枚数!AM19,IF(AND(標準可否!AM19=1,低温可否!AM19=1,HUAWEI製ＰＣＳ接続枚数計算ツール!$C$108&gt;=AM$2,枚数!AM19&gt;0,低電圧接続!AM19&gt;0),枚数!AM19,"-"))</f>
        <v>-</v>
      </c>
      <c r="AN19" s="124" t="str">
        <f>IF(AND(高温可否!AN19=1,低温可否!AN19=1,標準可否!AN19=1,HUAWEI製ＰＣＳ接続枚数計算ツール!$C$108&gt;=AN$2,HUAWEI製ＰＣＳ接続枚数計算ツール!$E$108&lt;=AN$2,枚数!AN19&gt;0),枚数!AN19,IF(AND(標準可否!AN19=1,低温可否!AN19=1,HUAWEI製ＰＣＳ接続枚数計算ツール!$C$108&gt;=AN$2,枚数!AN19&gt;0,低電圧接続!AN19&gt;0),枚数!AN19,"-"))</f>
        <v>-</v>
      </c>
      <c r="AO19" s="125" t="str">
        <f>IF(AND(高温可否!AO19=1,低温可否!AO19=1,標準可否!AO19=1,HUAWEI製ＰＣＳ接続枚数計算ツール!$C$108&gt;=AO$2,HUAWEI製ＰＣＳ接続枚数計算ツール!$E$108&lt;=AO$2,枚数!AO19&gt;0),枚数!AO19,IF(AND(標準可否!AO19=1,低温可否!AO19=1,HUAWEI製ＰＣＳ接続枚数計算ツール!$C$108&gt;=AO$2,枚数!AO19&gt;0,低電圧接続!AO19&gt;0),枚数!AO19,"-"))</f>
        <v>-</v>
      </c>
    </row>
    <row r="20" spans="1:41">
      <c r="A20" s="115">
        <v>18</v>
      </c>
      <c r="B20" s="126" t="str">
        <f>IF(AND(高温可否!B20=1,低温可否!B20=1,標準可否!B20=1,HUAWEI製ＰＣＳ接続枚数計算ツール!$C$108&gt;=B$2,HUAWEI製ＰＣＳ接続枚数計算ツール!$E$108&lt;=B$2,枚数!B20&gt;0),枚数!B20,IF(AND(標準可否!B20=1,低温可否!B20=1,HUAWEI製ＰＣＳ接続枚数計算ツール!$C$108&gt;=B$2,枚数!B20&gt;0,低電圧接続!B20&gt;0),枚数!B20,"-"))</f>
        <v>-</v>
      </c>
      <c r="C20" s="127" t="str">
        <f>IF(AND(高温可否!C20=1,低温可否!C20=1,標準可否!C20=1,HUAWEI製ＰＣＳ接続枚数計算ツール!$C$108&gt;=C$2,HUAWEI製ＰＣＳ接続枚数計算ツール!$E$108&lt;=C$2,枚数!C20&gt;0),枚数!C20,IF(AND(標準可否!C20=1,低温可否!C20=1,HUAWEI製ＰＣＳ接続枚数計算ツール!$C$108&gt;=C$2,枚数!C20&gt;0,低電圧接続!C20&gt;0),枚数!C20,"-"))</f>
        <v>-</v>
      </c>
      <c r="D20" s="128" t="str">
        <f>IF(AND(高温可否!D20=1,低温可否!D20=1,標準可否!D20=1,HUAWEI製ＰＣＳ接続枚数計算ツール!$C$108&gt;=D$2,HUAWEI製ＰＣＳ接続枚数計算ツール!$E$108&lt;=D$2,枚数!D20&gt;0),枚数!D20,IF(AND(標準可否!D20=1,低温可否!D20=1,HUAWEI製ＰＣＳ接続枚数計算ツール!$C$108&gt;=D$2,枚数!D20&gt;0,低電圧接続!D20&gt;0),枚数!D20,"-"))</f>
        <v>-</v>
      </c>
      <c r="E20" s="127" t="str">
        <f>IF(AND(高温可否!E20=1,低温可否!E20=1,標準可否!E20=1,HUAWEI製ＰＣＳ接続枚数計算ツール!$C$108&gt;=E$2,HUAWEI製ＰＣＳ接続枚数計算ツール!$E$108&lt;=E$2,枚数!E20&gt;0),枚数!E20,IF(AND(標準可否!E20=1,低温可否!E20=1,HUAWEI製ＰＣＳ接続枚数計算ツール!$C$108&gt;=E$2,枚数!E20&gt;0,低電圧接続!E20&gt;0),枚数!E20,"-"))</f>
        <v>-</v>
      </c>
      <c r="F20" s="128" t="str">
        <f>IF(AND(高温可否!F20=1,低温可否!F20=1,標準可否!F20=1,HUAWEI製ＰＣＳ接続枚数計算ツール!$C$108&gt;=F$2,HUAWEI製ＰＣＳ接続枚数計算ツール!$E$108&lt;=F$2,枚数!F20&gt;0),枚数!F20,IF(AND(標準可否!F20=1,低温可否!F20=1,HUAWEI製ＰＣＳ接続枚数計算ツール!$C$108&gt;=F$2,枚数!F20&gt;0,低電圧接続!F20&gt;0),枚数!F20,"-"))</f>
        <v>-</v>
      </c>
      <c r="G20" s="127" t="str">
        <f>IF(AND(高温可否!G20=1,低温可否!G20=1,標準可否!G20=1,HUAWEI製ＰＣＳ接続枚数計算ツール!$C$108&gt;=G$2,HUAWEI製ＰＣＳ接続枚数計算ツール!$E$108&lt;=G$2,枚数!G20&gt;0),枚数!G20,IF(AND(標準可否!G20=1,低温可否!G20=1,HUAWEI製ＰＣＳ接続枚数計算ツール!$C$108&gt;=G$2,枚数!G20&gt;0,低電圧接続!G20&gt;0),枚数!G20,"-"))</f>
        <v>-</v>
      </c>
      <c r="H20" s="128" t="str">
        <f>IF(AND(高温可否!H20=1,低温可否!H20=1,標準可否!H20=1,HUAWEI製ＰＣＳ接続枚数計算ツール!$C$108&gt;=H$2,HUAWEI製ＰＣＳ接続枚数計算ツール!$E$108&lt;=H$2,枚数!H20&gt;0),枚数!H20,IF(AND(標準可否!H20=1,低温可否!H20=1,HUAWEI製ＰＣＳ接続枚数計算ツール!$C$108&gt;=H$2,枚数!H20&gt;0,低電圧接続!H20&gt;0),枚数!H20,"-"))</f>
        <v>-</v>
      </c>
      <c r="I20" s="127" t="str">
        <f>IF(AND(高温可否!I20=1,低温可否!I20=1,標準可否!I20=1,HUAWEI製ＰＣＳ接続枚数計算ツール!$C$108&gt;=I$2,HUAWEI製ＰＣＳ接続枚数計算ツール!$E$108&lt;=I$2,枚数!I20&gt;0),枚数!I20,IF(AND(標準可否!I20=1,低温可否!I20=1,HUAWEI製ＰＣＳ接続枚数計算ツール!$C$108&gt;=I$2,枚数!I20&gt;0,低電圧接続!I20&gt;0),枚数!I20,"-"))</f>
        <v>-</v>
      </c>
      <c r="J20" s="128" t="str">
        <f>IF(AND(高温可否!J20=1,低温可否!J20=1,標準可否!J20=1,HUAWEI製ＰＣＳ接続枚数計算ツール!$C$108&gt;=J$2,HUAWEI製ＰＣＳ接続枚数計算ツール!$E$108&lt;=J$2,枚数!J20&gt;0),枚数!J20,IF(AND(標準可否!J20=1,低温可否!J20=1,HUAWEI製ＰＣＳ接続枚数計算ツール!$C$108&gt;=J$2,枚数!J20&gt;0,低電圧接続!J20&gt;0),枚数!J20,"-"))</f>
        <v>-</v>
      </c>
      <c r="K20" s="127" t="str">
        <f>IF(AND(高温可否!K20=1,低温可否!K20=1,標準可否!K20=1,HUAWEI製ＰＣＳ接続枚数計算ツール!$C$108&gt;=K$2,HUAWEI製ＰＣＳ接続枚数計算ツール!$E$108&lt;=K$2,枚数!K20&gt;0),枚数!K20,IF(AND(標準可否!K20=1,低温可否!K20=1,HUAWEI製ＰＣＳ接続枚数計算ツール!$C$108&gt;=K$2,枚数!K20&gt;0,低電圧接続!K20&gt;0),枚数!K20,"-"))</f>
        <v>-</v>
      </c>
      <c r="L20" s="128" t="str">
        <f>IF(AND(高温可否!L20=1,低温可否!L20=1,標準可否!L20=1,HUAWEI製ＰＣＳ接続枚数計算ツール!$C$108&gt;=L$2,HUAWEI製ＰＣＳ接続枚数計算ツール!$E$108&lt;=L$2,枚数!L20&gt;0),枚数!L20,IF(AND(標準可否!L20=1,低温可否!L20=1,HUAWEI製ＰＣＳ接続枚数計算ツール!$C$108&gt;=L$2,枚数!L20&gt;0,低電圧接続!L20&gt;0),枚数!L20,"-"))</f>
        <v>-</v>
      </c>
      <c r="M20" s="127" t="str">
        <f>IF(AND(高温可否!M20=1,低温可否!M20=1,標準可否!M20=1,HUAWEI製ＰＣＳ接続枚数計算ツール!$C$108&gt;=M$2,HUAWEI製ＰＣＳ接続枚数計算ツール!$E$108&lt;=M$2,枚数!M20&gt;0),枚数!M20,IF(AND(標準可否!M20=1,低温可否!M20=1,HUAWEI製ＰＣＳ接続枚数計算ツール!$C$108&gt;=M$2,枚数!M20&gt;0,低電圧接続!M20&gt;0),枚数!M20,"-"))</f>
        <v>-</v>
      </c>
      <c r="N20" s="128" t="str">
        <f>IF(AND(高温可否!N20=1,低温可否!N20=1,標準可否!N20=1,HUAWEI製ＰＣＳ接続枚数計算ツール!$C$108&gt;=N$2,HUAWEI製ＰＣＳ接続枚数計算ツール!$E$108&lt;=N$2,枚数!N20&gt;0),枚数!N20,IF(AND(標準可否!N20=1,低温可否!N20=1,HUAWEI製ＰＣＳ接続枚数計算ツール!$C$108&gt;=N$2,枚数!N20&gt;0,低電圧接続!N20&gt;0),枚数!N20,"-"))</f>
        <v>-</v>
      </c>
      <c r="O20" s="127" t="str">
        <f>IF(AND(高温可否!O20=1,低温可否!O20=1,標準可否!O20=1,HUAWEI製ＰＣＳ接続枚数計算ツール!$C$108&gt;=O$2,HUAWEI製ＰＣＳ接続枚数計算ツール!$E$108&lt;=O$2,枚数!O20&gt;0),枚数!O20,IF(AND(標準可否!O20=1,低温可否!O20=1,HUAWEI製ＰＣＳ接続枚数計算ツール!$C$108&gt;=O$2,枚数!O20&gt;0,低電圧接続!O20&gt;0),枚数!O20,"-"))</f>
        <v>-</v>
      </c>
      <c r="P20" s="128" t="str">
        <f>IF(AND(高温可否!P20=1,低温可否!P20=1,標準可否!P20=1,HUAWEI製ＰＣＳ接続枚数計算ツール!$C$108&gt;=P$2,HUAWEI製ＰＣＳ接続枚数計算ツール!$E$108&lt;=P$2,枚数!P20&gt;0),枚数!P20,IF(AND(標準可否!P20=1,低温可否!P20=1,HUAWEI製ＰＣＳ接続枚数計算ツール!$C$108&gt;=P$2,枚数!P20&gt;0,低電圧接続!P20&gt;0),枚数!P20,"-"))</f>
        <v>-</v>
      </c>
      <c r="Q20" s="127" t="str">
        <f>IF(AND(高温可否!Q20=1,低温可否!Q20=1,標準可否!Q20=1,HUAWEI製ＰＣＳ接続枚数計算ツール!$C$108&gt;=Q$2,HUAWEI製ＰＣＳ接続枚数計算ツール!$E$108&lt;=Q$2,枚数!Q20&gt;0),枚数!Q20,IF(AND(標準可否!Q20=1,低温可否!Q20=1,HUAWEI製ＰＣＳ接続枚数計算ツール!$C$108&gt;=Q$2,枚数!Q20&gt;0,低電圧接続!Q20&gt;0),枚数!Q20,"-"))</f>
        <v>-</v>
      </c>
      <c r="R20" s="128" t="str">
        <f>IF(AND(高温可否!R20=1,低温可否!R20=1,標準可否!R20=1,HUAWEI製ＰＣＳ接続枚数計算ツール!$C$108&gt;=R$2,HUAWEI製ＰＣＳ接続枚数計算ツール!$E$108&lt;=R$2,枚数!R20&gt;0),枚数!R20,IF(AND(標準可否!R20=1,低温可否!R20=1,HUAWEI製ＰＣＳ接続枚数計算ツール!$C$108&gt;=R$2,枚数!R20&gt;0,低電圧接続!R20&gt;0),枚数!R20,"-"))</f>
        <v>-</v>
      </c>
      <c r="S20" s="127" t="str">
        <f>IF(AND(高温可否!S20=1,低温可否!S20=1,標準可否!S20=1,HUAWEI製ＰＣＳ接続枚数計算ツール!$C$108&gt;=S$2,HUAWEI製ＰＣＳ接続枚数計算ツール!$E$108&lt;=S$2,枚数!S20&gt;0),枚数!S20,IF(AND(標準可否!S20=1,低温可否!S20=1,HUAWEI製ＰＣＳ接続枚数計算ツール!$C$108&gt;=S$2,枚数!S20&gt;0,低電圧接続!S20&gt;0),枚数!S20,"-"))</f>
        <v>-</v>
      </c>
      <c r="T20" s="128" t="str">
        <f>IF(AND(高温可否!T20=1,低温可否!T20=1,標準可否!T20=1,HUAWEI製ＰＣＳ接続枚数計算ツール!$C$108&gt;=T$2,HUAWEI製ＰＣＳ接続枚数計算ツール!$E$108&lt;=T$2,枚数!T20&gt;0),枚数!T20,IF(AND(標準可否!T20=1,低温可否!T20=1,HUAWEI製ＰＣＳ接続枚数計算ツール!$C$108&gt;=T$2,枚数!T20&gt;0,低電圧接続!T20&gt;0),枚数!T20,"-"))</f>
        <v>-</v>
      </c>
      <c r="U20" s="127" t="str">
        <f>IF(AND(高温可否!U20=1,低温可否!U20=1,標準可否!U20=1,HUAWEI製ＰＣＳ接続枚数計算ツール!$C$108&gt;=U$2,HUAWEI製ＰＣＳ接続枚数計算ツール!$E$108&lt;=U$2,枚数!U20&gt;0),枚数!U20,IF(AND(標準可否!U20=1,低温可否!U20=1,HUAWEI製ＰＣＳ接続枚数計算ツール!$C$108&gt;=U$2,枚数!U20&gt;0,低電圧接続!U20&gt;0),枚数!U20,"-"))</f>
        <v>-</v>
      </c>
      <c r="V20" s="128">
        <f>IF(AND(高温可否!V20=1,低温可否!V20=1,標準可否!V20=1,HUAWEI製ＰＣＳ接続枚数計算ツール!$C$108&gt;=V$2,HUAWEI製ＰＣＳ接続枚数計算ツール!$E$108&lt;=V$2,枚数!V20&gt;0),枚数!V20,IF(AND(標準可否!V20=1,低温可否!V20=1,HUAWEI製ＰＣＳ接続枚数計算ツール!$C$108&gt;=V$2,枚数!V20&gt;0,低電圧接続!V20&gt;0),枚数!V20,"-"))</f>
        <v>378</v>
      </c>
      <c r="W20" s="127" t="str">
        <f>IF(AND(高温可否!W20=1,低温可否!W20=1,標準可否!W20=1,HUAWEI製ＰＣＳ接続枚数計算ツール!$C$108&gt;=W$2,HUAWEI製ＰＣＳ接続枚数計算ツール!$E$108&lt;=W$2,枚数!W20&gt;0),枚数!W20,IF(AND(標準可否!W20=1,低温可否!W20=1,HUAWEI製ＰＣＳ接続枚数計算ツール!$C$108&gt;=W$2,枚数!W20&gt;0,低電圧接続!W20&gt;0),枚数!W20,"-"))</f>
        <v>-</v>
      </c>
      <c r="X20" s="128" t="str">
        <f>IF(AND(高温可否!X20=1,低温可否!X20=1,標準可否!X20=1,HUAWEI製ＰＣＳ接続枚数計算ツール!$C$108&gt;=X$2,HUAWEI製ＰＣＳ接続枚数計算ツール!$E$108&lt;=X$2,枚数!X20&gt;0),枚数!X20,IF(AND(標準可否!X20=1,低温可否!X20=1,HUAWEI製ＰＣＳ接続枚数計算ツール!$C$108&gt;=X$2,枚数!X20&gt;0,低電圧接続!X20&gt;0),枚数!X20,"-"))</f>
        <v>-</v>
      </c>
      <c r="Y20" s="127" t="str">
        <f>IF(AND(高温可否!Y20=1,低温可否!Y20=1,標準可否!Y20=1,HUAWEI製ＰＣＳ接続枚数計算ツール!$C$108&gt;=Y$2,HUAWEI製ＰＣＳ接続枚数計算ツール!$E$108&lt;=Y$2,枚数!Y20&gt;0),枚数!Y20,IF(AND(標準可否!Y20=1,低温可否!Y20=1,HUAWEI製ＰＣＳ接続枚数計算ツール!$C$108&gt;=Y$2,枚数!Y20&gt;0,低電圧接続!Y20&gt;0),枚数!Y20,"-"))</f>
        <v>-</v>
      </c>
      <c r="Z20" s="128" t="str">
        <f>IF(AND(高温可否!Z20=1,低温可否!Z20=1,標準可否!Z20=1,HUAWEI製ＰＣＳ接続枚数計算ツール!$C$108&gt;=Z$2,HUAWEI製ＰＣＳ接続枚数計算ツール!$E$108&lt;=Z$2,枚数!Z20&gt;0),枚数!Z20,IF(AND(標準可否!Z20=1,低温可否!Z20=1,HUAWEI製ＰＣＳ接続枚数計算ツール!$C$108&gt;=Z$2,枚数!Z20&gt;0,低電圧接続!Z20&gt;0),枚数!Z20,"-"))</f>
        <v>-</v>
      </c>
      <c r="AA20" s="127" t="str">
        <f>IF(AND(高温可否!AA20=1,低温可否!AA20=1,標準可否!AA20=1,HUAWEI製ＰＣＳ接続枚数計算ツール!$C$108&gt;=AA$2,HUAWEI製ＰＣＳ接続枚数計算ツール!$E$108&lt;=AA$2,枚数!AA20&gt;0),枚数!AA20,IF(AND(標準可否!AA20=1,低温可否!AA20=1,HUAWEI製ＰＣＳ接続枚数計算ツール!$C$108&gt;=AA$2,枚数!AA20&gt;0,低電圧接続!AA20&gt;0),枚数!AA20,"-"))</f>
        <v>-</v>
      </c>
      <c r="AB20" s="128" t="str">
        <f>IF(AND(高温可否!AB20=1,低温可否!AB20=1,標準可否!AB20=1,HUAWEI製ＰＣＳ接続枚数計算ツール!$C$108&gt;=AB$2,HUAWEI製ＰＣＳ接続枚数計算ツール!$E$108&lt;=AB$2,枚数!AB20&gt;0),枚数!AB20,IF(AND(標準可否!AB20=1,低温可否!AB20=1,HUAWEI製ＰＣＳ接続枚数計算ツール!$C$108&gt;=AB$2,枚数!AB20&gt;0,低電圧接続!AB20&gt;0),枚数!AB20,"-"))</f>
        <v>-</v>
      </c>
      <c r="AC20" s="127" t="str">
        <f>IF(AND(高温可否!AC20=1,低温可否!AC20=1,標準可否!AC20=1,HUAWEI製ＰＣＳ接続枚数計算ツール!$C$108&gt;=AC$2,HUAWEI製ＰＣＳ接続枚数計算ツール!$E$108&lt;=AC$2,枚数!AC20&gt;0),枚数!AC20,IF(AND(標準可否!AC20=1,低温可否!AC20=1,HUAWEI製ＰＣＳ接続枚数計算ツール!$C$108&gt;=AC$2,枚数!AC20&gt;0,低電圧接続!AC20&gt;0),枚数!AC20,"-"))</f>
        <v>-</v>
      </c>
      <c r="AD20" s="128" t="str">
        <f>IF(AND(高温可否!AD20=1,低温可否!AD20=1,標準可否!AD20=1,HUAWEI製ＰＣＳ接続枚数計算ツール!$C$108&gt;=AD$2,HUAWEI製ＰＣＳ接続枚数計算ツール!$E$108&lt;=AD$2,枚数!AD20&gt;0),枚数!AD20,IF(AND(標準可否!AD20=1,低温可否!AD20=1,HUAWEI製ＰＣＳ接続枚数計算ツール!$C$108&gt;=AD$2,枚数!AD20&gt;0,低電圧接続!AD20&gt;0),枚数!AD20,"-"))</f>
        <v>-</v>
      </c>
      <c r="AE20" s="127" t="str">
        <f>IF(AND(高温可否!AE20=1,低温可否!AE20=1,標準可否!AE20=1,HUAWEI製ＰＣＳ接続枚数計算ツール!$C$108&gt;=AE$2,HUAWEI製ＰＣＳ接続枚数計算ツール!$E$108&lt;=AE$2,枚数!AE20&gt;0),枚数!AE20,IF(AND(標準可否!AE20=1,低温可否!AE20=1,HUAWEI製ＰＣＳ接続枚数計算ツール!$C$108&gt;=AE$2,枚数!AE20&gt;0,低電圧接続!AE20&gt;0),枚数!AE20,"-"))</f>
        <v>-</v>
      </c>
      <c r="AF20" s="128" t="str">
        <f>IF(AND(高温可否!AF20=1,低温可否!AF20=1,標準可否!AF20=1,HUAWEI製ＰＣＳ接続枚数計算ツール!$C$108&gt;=AF$2,HUAWEI製ＰＣＳ接続枚数計算ツール!$E$108&lt;=AF$2,枚数!AF20&gt;0),枚数!AF20,IF(AND(標準可否!AF20=1,低温可否!AF20=1,HUAWEI製ＰＣＳ接続枚数計算ツール!$C$108&gt;=AF$2,枚数!AF20&gt;0,低電圧接続!AF20&gt;0),枚数!AF20,"-"))</f>
        <v>-</v>
      </c>
      <c r="AG20" s="127" t="str">
        <f>IF(AND(高温可否!AG20=1,低温可否!AG20=1,標準可否!AG20=1,HUAWEI製ＰＣＳ接続枚数計算ツール!$C$108&gt;=AG$2,HUAWEI製ＰＣＳ接続枚数計算ツール!$E$108&lt;=AG$2,枚数!AG20&gt;0),枚数!AG20,IF(AND(標準可否!AG20=1,低温可否!AG20=1,HUAWEI製ＰＣＳ接続枚数計算ツール!$C$108&gt;=AG$2,枚数!AG20&gt;0,低電圧接続!AG20&gt;0),枚数!AG20,"-"))</f>
        <v>-</v>
      </c>
      <c r="AH20" s="128" t="str">
        <f>IF(AND(高温可否!AH20=1,低温可否!AH20=1,標準可否!AH20=1,HUAWEI製ＰＣＳ接続枚数計算ツール!$C$108&gt;=AH$2,HUAWEI製ＰＣＳ接続枚数計算ツール!$E$108&lt;=AH$2,枚数!AH20&gt;0),枚数!AH20,IF(AND(標準可否!AH20=1,低温可否!AH20=1,HUAWEI製ＰＣＳ接続枚数計算ツール!$C$108&gt;=AH$2,枚数!AH20&gt;0,低電圧接続!AH20&gt;0),枚数!AH20,"-"))</f>
        <v>-</v>
      </c>
      <c r="AI20" s="127" t="str">
        <f>IF(AND(高温可否!AI20=1,低温可否!AI20=1,標準可否!AI20=1,HUAWEI製ＰＣＳ接続枚数計算ツール!$C$108&gt;=AI$2,HUAWEI製ＰＣＳ接続枚数計算ツール!$E$108&lt;=AI$2,枚数!AI20&gt;0),枚数!AI20,IF(AND(標準可否!AI20=1,低温可否!AI20=1,HUAWEI製ＰＣＳ接続枚数計算ツール!$C$108&gt;=AI$2,枚数!AI20&gt;0,低電圧接続!AI20&gt;0),枚数!AI20,"-"))</f>
        <v>-</v>
      </c>
      <c r="AJ20" s="128" t="str">
        <f>IF(AND(高温可否!AJ20=1,低温可否!AJ20=1,標準可否!AJ20=1,HUAWEI製ＰＣＳ接続枚数計算ツール!$C$108&gt;=AJ$2,HUAWEI製ＰＣＳ接続枚数計算ツール!$E$108&lt;=AJ$2,枚数!AJ20&gt;0),枚数!AJ20,IF(AND(標準可否!AJ20=1,低温可否!AJ20=1,HUAWEI製ＰＣＳ接続枚数計算ツール!$C$108&gt;=AJ$2,枚数!AJ20&gt;0,低電圧接続!AJ20&gt;0),枚数!AJ20,"-"))</f>
        <v>-</v>
      </c>
      <c r="AK20" s="127" t="str">
        <f>IF(AND(高温可否!AK20=1,低温可否!AK20=1,標準可否!AK20=1,HUAWEI製ＰＣＳ接続枚数計算ツール!$C$108&gt;=AK$2,HUAWEI製ＰＣＳ接続枚数計算ツール!$E$108&lt;=AK$2,枚数!AK20&gt;0),枚数!AK20,IF(AND(標準可否!AK20=1,低温可否!AK20=1,HUAWEI製ＰＣＳ接続枚数計算ツール!$C$108&gt;=AK$2,枚数!AK20&gt;0,低電圧接続!AK20&gt;0),枚数!AK20,"-"))</f>
        <v>-</v>
      </c>
      <c r="AL20" s="128" t="str">
        <f>IF(AND(高温可否!AL20=1,低温可否!AL20=1,標準可否!AL20=1,HUAWEI製ＰＣＳ接続枚数計算ツール!$C$108&gt;=AL$2,HUAWEI製ＰＣＳ接続枚数計算ツール!$E$108&lt;=AL$2,枚数!AL20&gt;0),枚数!AL20,IF(AND(標準可否!AL20=1,低温可否!AL20=1,HUAWEI製ＰＣＳ接続枚数計算ツール!$C$108&gt;=AL$2,枚数!AL20&gt;0,低電圧接続!AL20&gt;0),枚数!AL20,"-"))</f>
        <v>-</v>
      </c>
      <c r="AM20" s="127" t="str">
        <f>IF(AND(高温可否!AM20=1,低温可否!AM20=1,標準可否!AM20=1,HUAWEI製ＰＣＳ接続枚数計算ツール!$C$108&gt;=AM$2,HUAWEI製ＰＣＳ接続枚数計算ツール!$E$108&lt;=AM$2,枚数!AM20&gt;0),枚数!AM20,IF(AND(標準可否!AM20=1,低温可否!AM20=1,HUAWEI製ＰＣＳ接続枚数計算ツール!$C$108&gt;=AM$2,枚数!AM20&gt;0,低電圧接続!AM20&gt;0),枚数!AM20,"-"))</f>
        <v>-</v>
      </c>
      <c r="AN20" s="128" t="str">
        <f>IF(AND(高温可否!AN20=1,低温可否!AN20=1,標準可否!AN20=1,HUAWEI製ＰＣＳ接続枚数計算ツール!$C$108&gt;=AN$2,HUAWEI製ＰＣＳ接続枚数計算ツール!$E$108&lt;=AN$2,枚数!AN20&gt;0),枚数!AN20,IF(AND(標準可否!AN20=1,低温可否!AN20=1,HUAWEI製ＰＣＳ接続枚数計算ツール!$C$108&gt;=AN$2,枚数!AN20&gt;0,低電圧接続!AN20&gt;0),枚数!AN20,"-"))</f>
        <v>-</v>
      </c>
      <c r="AO20" s="129" t="str">
        <f>IF(AND(高温可否!AO20=1,低温可否!AO20=1,標準可否!AO20=1,HUAWEI製ＰＣＳ接続枚数計算ツール!$C$108&gt;=AO$2,HUAWEI製ＰＣＳ接続枚数計算ツール!$E$108&lt;=AO$2,枚数!AO20&gt;0),枚数!AO20,IF(AND(標準可否!AO20=1,低温可否!AO20=1,HUAWEI製ＰＣＳ接続枚数計算ツール!$C$108&gt;=AO$2,枚数!AO20&gt;0,低電圧接続!AO20&gt;0),枚数!AO20,"-"))</f>
        <v>-</v>
      </c>
    </row>
    <row r="21" spans="1:41">
      <c r="A21" s="116">
        <v>19</v>
      </c>
      <c r="B21" s="122" t="str">
        <f>IF(AND(高温可否!B21=1,低温可否!B21=1,標準可否!B21=1,HUAWEI製ＰＣＳ接続枚数計算ツール!$C$108&gt;=B$2,HUAWEI製ＰＣＳ接続枚数計算ツール!$E$108&lt;=B$2,枚数!B21&gt;0),枚数!B21,IF(AND(標準可否!B21=1,低温可否!B21=1,HUAWEI製ＰＣＳ接続枚数計算ツール!$C$108&gt;=B$2,枚数!B21&gt;0,低電圧接続!B21&gt;0),枚数!B21,"-"))</f>
        <v>-</v>
      </c>
      <c r="C21" s="123" t="str">
        <f>IF(AND(高温可否!C21=1,低温可否!C21=1,標準可否!C21=1,HUAWEI製ＰＣＳ接続枚数計算ツール!$C$108&gt;=C$2,HUAWEI製ＰＣＳ接続枚数計算ツール!$E$108&lt;=C$2,枚数!C21&gt;0),枚数!C21,IF(AND(標準可否!C21=1,低温可否!C21=1,HUAWEI製ＰＣＳ接続枚数計算ツール!$C$108&gt;=C$2,枚数!C21&gt;0,低電圧接続!C21&gt;0),枚数!C21,"-"))</f>
        <v>-</v>
      </c>
      <c r="D21" s="124" t="str">
        <f>IF(AND(高温可否!D21=1,低温可否!D21=1,標準可否!D21=1,HUAWEI製ＰＣＳ接続枚数計算ツール!$C$108&gt;=D$2,HUAWEI製ＰＣＳ接続枚数計算ツール!$E$108&lt;=D$2,枚数!D21&gt;0),枚数!D21,IF(AND(標準可否!D21=1,低温可否!D21=1,HUAWEI製ＰＣＳ接続枚数計算ツール!$C$108&gt;=D$2,枚数!D21&gt;0,低電圧接続!D21&gt;0),枚数!D21,"-"))</f>
        <v>-</v>
      </c>
      <c r="E21" s="123" t="str">
        <f>IF(AND(高温可否!E21=1,低温可否!E21=1,標準可否!E21=1,HUAWEI製ＰＣＳ接続枚数計算ツール!$C$108&gt;=E$2,HUAWEI製ＰＣＳ接続枚数計算ツール!$E$108&lt;=E$2,枚数!E21&gt;0),枚数!E21,IF(AND(標準可否!E21=1,低温可否!E21=1,HUAWEI製ＰＣＳ接続枚数計算ツール!$C$108&gt;=E$2,枚数!E21&gt;0,低電圧接続!E21&gt;0),枚数!E21,"-"))</f>
        <v>-</v>
      </c>
      <c r="F21" s="124" t="str">
        <f>IF(AND(高温可否!F21=1,低温可否!F21=1,標準可否!F21=1,HUAWEI製ＰＣＳ接続枚数計算ツール!$C$108&gt;=F$2,HUAWEI製ＰＣＳ接続枚数計算ツール!$E$108&lt;=F$2,枚数!F21&gt;0),枚数!F21,IF(AND(標準可否!F21=1,低温可否!F21=1,HUAWEI製ＰＣＳ接続枚数計算ツール!$C$108&gt;=F$2,枚数!F21&gt;0,低電圧接続!F21&gt;0),枚数!F21,"-"))</f>
        <v>-</v>
      </c>
      <c r="G21" s="123" t="str">
        <f>IF(AND(高温可否!G21=1,低温可否!G21=1,標準可否!G21=1,HUAWEI製ＰＣＳ接続枚数計算ツール!$C$108&gt;=G$2,HUAWEI製ＰＣＳ接続枚数計算ツール!$E$108&lt;=G$2,枚数!G21&gt;0),枚数!G21,IF(AND(標準可否!G21=1,低温可否!G21=1,HUAWEI製ＰＣＳ接続枚数計算ツール!$C$108&gt;=G$2,枚数!G21&gt;0,低電圧接続!G21&gt;0),枚数!G21,"-"))</f>
        <v>-</v>
      </c>
      <c r="H21" s="124" t="str">
        <f>IF(AND(高温可否!H21=1,低温可否!H21=1,標準可否!H21=1,HUAWEI製ＰＣＳ接続枚数計算ツール!$C$108&gt;=H$2,HUAWEI製ＰＣＳ接続枚数計算ツール!$E$108&lt;=H$2,枚数!H21&gt;0),枚数!H21,IF(AND(標準可否!H21=1,低温可否!H21=1,HUAWEI製ＰＣＳ接続枚数計算ツール!$C$108&gt;=H$2,枚数!H21&gt;0,低電圧接続!H21&gt;0),枚数!H21,"-"))</f>
        <v>-</v>
      </c>
      <c r="I21" s="123" t="str">
        <f>IF(AND(高温可否!I21=1,低温可否!I21=1,標準可否!I21=1,HUAWEI製ＰＣＳ接続枚数計算ツール!$C$108&gt;=I$2,HUAWEI製ＰＣＳ接続枚数計算ツール!$E$108&lt;=I$2,枚数!I21&gt;0),枚数!I21,IF(AND(標準可否!I21=1,低温可否!I21=1,HUAWEI製ＰＣＳ接続枚数計算ツール!$C$108&gt;=I$2,枚数!I21&gt;0,低電圧接続!I21&gt;0),枚数!I21,"-"))</f>
        <v>-</v>
      </c>
      <c r="J21" s="124" t="str">
        <f>IF(AND(高温可否!J21=1,低温可否!J21=1,標準可否!J21=1,HUAWEI製ＰＣＳ接続枚数計算ツール!$C$108&gt;=J$2,HUAWEI製ＰＣＳ接続枚数計算ツール!$E$108&lt;=J$2,枚数!J21&gt;0),枚数!J21,IF(AND(標準可否!J21=1,低温可否!J21=1,HUAWEI製ＰＣＳ接続枚数計算ツール!$C$108&gt;=J$2,枚数!J21&gt;0,低電圧接続!J21&gt;0),枚数!J21,"-"))</f>
        <v>-</v>
      </c>
      <c r="K21" s="123" t="str">
        <f>IF(AND(高温可否!K21=1,低温可否!K21=1,標準可否!K21=1,HUAWEI製ＰＣＳ接続枚数計算ツール!$C$108&gt;=K$2,HUAWEI製ＰＣＳ接続枚数計算ツール!$E$108&lt;=K$2,枚数!K21&gt;0),枚数!K21,IF(AND(標準可否!K21=1,低温可否!K21=1,HUAWEI製ＰＣＳ接続枚数計算ツール!$C$108&gt;=K$2,枚数!K21&gt;0,低電圧接続!K21&gt;0),枚数!K21,"-"))</f>
        <v>-</v>
      </c>
      <c r="L21" s="124" t="str">
        <f>IF(AND(高温可否!L21=1,低温可否!L21=1,標準可否!L21=1,HUAWEI製ＰＣＳ接続枚数計算ツール!$C$108&gt;=L$2,HUAWEI製ＰＣＳ接続枚数計算ツール!$E$108&lt;=L$2,枚数!L21&gt;0),枚数!L21,IF(AND(標準可否!L21=1,低温可否!L21=1,HUAWEI製ＰＣＳ接続枚数計算ツール!$C$108&gt;=L$2,枚数!L21&gt;0,低電圧接続!L21&gt;0),枚数!L21,"-"))</f>
        <v>-</v>
      </c>
      <c r="M21" s="123" t="str">
        <f>IF(AND(高温可否!M21=1,低温可否!M21=1,標準可否!M21=1,HUAWEI製ＰＣＳ接続枚数計算ツール!$C$108&gt;=M$2,HUAWEI製ＰＣＳ接続枚数計算ツール!$E$108&lt;=M$2,枚数!M21&gt;0),枚数!M21,IF(AND(標準可否!M21=1,低温可否!M21=1,HUAWEI製ＰＣＳ接続枚数計算ツール!$C$108&gt;=M$2,枚数!M21&gt;0,低電圧接続!M21&gt;0),枚数!M21,"-"))</f>
        <v>-</v>
      </c>
      <c r="N21" s="124" t="str">
        <f>IF(AND(高温可否!N21=1,低温可否!N21=1,標準可否!N21=1,HUAWEI製ＰＣＳ接続枚数計算ツール!$C$108&gt;=N$2,HUAWEI製ＰＣＳ接続枚数計算ツール!$E$108&lt;=N$2,枚数!N21&gt;0),枚数!N21,IF(AND(標準可否!N21=1,低温可否!N21=1,HUAWEI製ＰＣＳ接続枚数計算ツール!$C$108&gt;=N$2,枚数!N21&gt;0,低電圧接続!N21&gt;0),枚数!N21,"-"))</f>
        <v>-</v>
      </c>
      <c r="O21" s="123" t="str">
        <f>IF(AND(高温可否!O21=1,低温可否!O21=1,標準可否!O21=1,HUAWEI製ＰＣＳ接続枚数計算ツール!$C$108&gt;=O$2,HUAWEI製ＰＣＳ接続枚数計算ツール!$E$108&lt;=O$2,枚数!O21&gt;0),枚数!O21,IF(AND(標準可否!O21=1,低温可否!O21=1,HUAWEI製ＰＣＳ接続枚数計算ツール!$C$108&gt;=O$2,枚数!O21&gt;0,低電圧接続!O21&gt;0),枚数!O21,"-"))</f>
        <v>-</v>
      </c>
      <c r="P21" s="124" t="str">
        <f>IF(AND(高温可否!P21=1,低温可否!P21=1,標準可否!P21=1,HUAWEI製ＰＣＳ接続枚数計算ツール!$C$108&gt;=P$2,HUAWEI製ＰＣＳ接続枚数計算ツール!$E$108&lt;=P$2,枚数!P21&gt;0),枚数!P21,IF(AND(標準可否!P21=1,低温可否!P21=1,HUAWEI製ＰＣＳ接続枚数計算ツール!$C$108&gt;=P$2,枚数!P21&gt;0,低電圧接続!P21&gt;0),枚数!P21,"-"))</f>
        <v>-</v>
      </c>
      <c r="Q21" s="123" t="str">
        <f>IF(AND(高温可否!Q21=1,低温可否!Q21=1,標準可否!Q21=1,HUAWEI製ＰＣＳ接続枚数計算ツール!$C$108&gt;=Q$2,HUAWEI製ＰＣＳ接続枚数計算ツール!$E$108&lt;=Q$2,枚数!Q21&gt;0),枚数!Q21,IF(AND(標準可否!Q21=1,低温可否!Q21=1,HUAWEI製ＰＣＳ接続枚数計算ツール!$C$108&gt;=Q$2,枚数!Q21&gt;0,低電圧接続!Q21&gt;0),枚数!Q21,"-"))</f>
        <v>-</v>
      </c>
      <c r="R21" s="124" t="str">
        <f>IF(AND(高温可否!R21=1,低温可否!R21=1,標準可否!R21=1,HUAWEI製ＰＣＳ接続枚数計算ツール!$C$108&gt;=R$2,HUAWEI製ＰＣＳ接続枚数計算ツール!$E$108&lt;=R$2,枚数!R21&gt;0),枚数!R21,IF(AND(標準可否!R21=1,低温可否!R21=1,HUAWEI製ＰＣＳ接続枚数計算ツール!$C$108&gt;=R$2,枚数!R21&gt;0,低電圧接続!R21&gt;0),枚数!R21,"-"))</f>
        <v>-</v>
      </c>
      <c r="S21" s="123" t="str">
        <f>IF(AND(高温可否!S21=1,低温可否!S21=1,標準可否!S21=1,HUAWEI製ＰＣＳ接続枚数計算ツール!$C$108&gt;=S$2,HUAWEI製ＰＣＳ接続枚数計算ツール!$E$108&lt;=S$2,枚数!S21&gt;0),枚数!S21,IF(AND(標準可否!S21=1,低温可否!S21=1,HUAWEI製ＰＣＳ接続枚数計算ツール!$C$108&gt;=S$2,枚数!S21&gt;0,低電圧接続!S21&gt;0),枚数!S21,"-"))</f>
        <v>-</v>
      </c>
      <c r="T21" s="124" t="str">
        <f>IF(AND(高温可否!T21=1,低温可否!T21=1,標準可否!T21=1,HUAWEI製ＰＣＳ接続枚数計算ツール!$C$108&gt;=T$2,HUAWEI製ＰＣＳ接続枚数計算ツール!$E$108&lt;=T$2,枚数!T21&gt;0),枚数!T21,IF(AND(標準可否!T21=1,低温可否!T21=1,HUAWEI製ＰＣＳ接続枚数計算ツール!$C$108&gt;=T$2,枚数!T21&gt;0,低電圧接続!T21&gt;0),枚数!T21,"-"))</f>
        <v>-</v>
      </c>
      <c r="U21" s="123" t="str">
        <f>IF(AND(高温可否!U21=1,低温可否!U21=1,標準可否!U21=1,HUAWEI製ＰＣＳ接続枚数計算ツール!$C$108&gt;=U$2,HUAWEI製ＰＣＳ接続枚数計算ツール!$E$108&lt;=U$2,枚数!U21&gt;0),枚数!U21,IF(AND(標準可否!U21=1,低温可否!U21=1,HUAWEI製ＰＣＳ接続枚数計算ツール!$C$108&gt;=U$2,枚数!U21&gt;0,低電圧接続!U21&gt;0),枚数!U21,"-"))</f>
        <v>-</v>
      </c>
      <c r="V21" s="124" t="str">
        <f>IF(AND(高温可否!V21=1,低温可否!V21=1,標準可否!V21=1,HUAWEI製ＰＣＳ接続枚数計算ツール!$C$108&gt;=V$2,HUAWEI製ＰＣＳ接続枚数計算ツール!$E$108&lt;=V$2,枚数!V21&gt;0),枚数!V21,IF(AND(標準可否!V21=1,低温可否!V21=1,HUAWEI製ＰＣＳ接続枚数計算ツール!$C$108&gt;=V$2,枚数!V21&gt;0,低電圧接続!V21&gt;0),枚数!V21,"-"))</f>
        <v>-</v>
      </c>
      <c r="W21" s="123" t="str">
        <f>IF(AND(高温可否!W21=1,低温可否!W21=1,標準可否!W21=1,HUAWEI製ＰＣＳ接続枚数計算ツール!$C$108&gt;=W$2,HUAWEI製ＰＣＳ接続枚数計算ツール!$E$108&lt;=W$2,枚数!W21&gt;0),枚数!W21,IF(AND(標準可否!W21=1,低温可否!W21=1,HUAWEI製ＰＣＳ接続枚数計算ツール!$C$108&gt;=W$2,枚数!W21&gt;0,低電圧接続!W21&gt;0),枚数!W21,"-"))</f>
        <v>-</v>
      </c>
      <c r="X21" s="124" t="str">
        <f>IF(AND(高温可否!X21=1,低温可否!X21=1,標準可否!X21=1,HUAWEI製ＰＣＳ接続枚数計算ツール!$C$108&gt;=X$2,HUAWEI製ＰＣＳ接続枚数計算ツール!$E$108&lt;=X$2,枚数!X21&gt;0),枚数!X21,IF(AND(標準可否!X21=1,低温可否!X21=1,HUAWEI製ＰＣＳ接続枚数計算ツール!$C$108&gt;=X$2,枚数!X21&gt;0,低電圧接続!X21&gt;0),枚数!X21,"-"))</f>
        <v>-</v>
      </c>
      <c r="Y21" s="123" t="str">
        <f>IF(AND(高温可否!Y21=1,低温可否!Y21=1,標準可否!Y21=1,HUAWEI製ＰＣＳ接続枚数計算ツール!$C$108&gt;=Y$2,HUAWEI製ＰＣＳ接続枚数計算ツール!$E$108&lt;=Y$2,枚数!Y21&gt;0),枚数!Y21,IF(AND(標準可否!Y21=1,低温可否!Y21=1,HUAWEI製ＰＣＳ接続枚数計算ツール!$C$108&gt;=Y$2,枚数!Y21&gt;0,低電圧接続!Y21&gt;0),枚数!Y21,"-"))</f>
        <v>-</v>
      </c>
      <c r="Z21" s="124" t="str">
        <f>IF(AND(高温可否!Z21=1,低温可否!Z21=1,標準可否!Z21=1,HUAWEI製ＰＣＳ接続枚数計算ツール!$C$108&gt;=Z$2,HUAWEI製ＰＣＳ接続枚数計算ツール!$E$108&lt;=Z$2,枚数!Z21&gt;0),枚数!Z21,IF(AND(標準可否!Z21=1,低温可否!Z21=1,HUAWEI製ＰＣＳ接続枚数計算ツール!$C$108&gt;=Z$2,枚数!Z21&gt;0,低電圧接続!Z21&gt;0),枚数!Z21,"-"))</f>
        <v>-</v>
      </c>
      <c r="AA21" s="123" t="str">
        <f>IF(AND(高温可否!AA21=1,低温可否!AA21=1,標準可否!AA21=1,HUAWEI製ＰＣＳ接続枚数計算ツール!$C$108&gt;=AA$2,HUAWEI製ＰＣＳ接続枚数計算ツール!$E$108&lt;=AA$2,枚数!AA21&gt;0),枚数!AA21,IF(AND(標準可否!AA21=1,低温可否!AA21=1,HUAWEI製ＰＣＳ接続枚数計算ツール!$C$108&gt;=AA$2,枚数!AA21&gt;0,低電圧接続!AA21&gt;0),枚数!AA21,"-"))</f>
        <v>-</v>
      </c>
      <c r="AB21" s="124" t="str">
        <f>IF(AND(高温可否!AB21=1,低温可否!AB21=1,標準可否!AB21=1,HUAWEI製ＰＣＳ接続枚数計算ツール!$C$108&gt;=AB$2,HUAWEI製ＰＣＳ接続枚数計算ツール!$E$108&lt;=AB$2,枚数!AB21&gt;0),枚数!AB21,IF(AND(標準可否!AB21=1,低温可否!AB21=1,HUAWEI製ＰＣＳ接続枚数計算ツール!$C$108&gt;=AB$2,枚数!AB21&gt;0,低電圧接続!AB21&gt;0),枚数!AB21,"-"))</f>
        <v>-</v>
      </c>
      <c r="AC21" s="123" t="str">
        <f>IF(AND(高温可否!AC21=1,低温可否!AC21=1,標準可否!AC21=1,HUAWEI製ＰＣＳ接続枚数計算ツール!$C$108&gt;=AC$2,HUAWEI製ＰＣＳ接続枚数計算ツール!$E$108&lt;=AC$2,枚数!AC21&gt;0),枚数!AC21,IF(AND(標準可否!AC21=1,低温可否!AC21=1,HUAWEI製ＰＣＳ接続枚数計算ツール!$C$108&gt;=AC$2,枚数!AC21&gt;0,低電圧接続!AC21&gt;0),枚数!AC21,"-"))</f>
        <v>-</v>
      </c>
      <c r="AD21" s="124" t="str">
        <f>IF(AND(高温可否!AD21=1,低温可否!AD21=1,標準可否!AD21=1,HUAWEI製ＰＣＳ接続枚数計算ツール!$C$108&gt;=AD$2,HUAWEI製ＰＣＳ接続枚数計算ツール!$E$108&lt;=AD$2,枚数!AD21&gt;0),枚数!AD21,IF(AND(標準可否!AD21=1,低温可否!AD21=1,HUAWEI製ＰＣＳ接続枚数計算ツール!$C$108&gt;=AD$2,枚数!AD21&gt;0,低電圧接続!AD21&gt;0),枚数!AD21,"-"))</f>
        <v>-</v>
      </c>
      <c r="AE21" s="123" t="str">
        <f>IF(AND(高温可否!AE21=1,低温可否!AE21=1,標準可否!AE21=1,HUAWEI製ＰＣＳ接続枚数計算ツール!$C$108&gt;=AE$2,HUAWEI製ＰＣＳ接続枚数計算ツール!$E$108&lt;=AE$2,枚数!AE21&gt;0),枚数!AE21,IF(AND(標準可否!AE21=1,低温可否!AE21=1,HUAWEI製ＰＣＳ接続枚数計算ツール!$C$108&gt;=AE$2,枚数!AE21&gt;0,低電圧接続!AE21&gt;0),枚数!AE21,"-"))</f>
        <v>-</v>
      </c>
      <c r="AF21" s="124" t="str">
        <f>IF(AND(高温可否!AF21=1,低温可否!AF21=1,標準可否!AF21=1,HUAWEI製ＰＣＳ接続枚数計算ツール!$C$108&gt;=AF$2,HUAWEI製ＰＣＳ接続枚数計算ツール!$E$108&lt;=AF$2,枚数!AF21&gt;0),枚数!AF21,IF(AND(標準可否!AF21=1,低温可否!AF21=1,HUAWEI製ＰＣＳ接続枚数計算ツール!$C$108&gt;=AF$2,枚数!AF21&gt;0,低電圧接続!AF21&gt;0),枚数!AF21,"-"))</f>
        <v>-</v>
      </c>
      <c r="AG21" s="123" t="str">
        <f>IF(AND(高温可否!AG21=1,低温可否!AG21=1,標準可否!AG21=1,HUAWEI製ＰＣＳ接続枚数計算ツール!$C$108&gt;=AG$2,HUAWEI製ＰＣＳ接続枚数計算ツール!$E$108&lt;=AG$2,枚数!AG21&gt;0),枚数!AG21,IF(AND(標準可否!AG21=1,低温可否!AG21=1,HUAWEI製ＰＣＳ接続枚数計算ツール!$C$108&gt;=AG$2,枚数!AG21&gt;0,低電圧接続!AG21&gt;0),枚数!AG21,"-"))</f>
        <v>-</v>
      </c>
      <c r="AH21" s="124" t="str">
        <f>IF(AND(高温可否!AH21=1,低温可否!AH21=1,標準可否!AH21=1,HUAWEI製ＰＣＳ接続枚数計算ツール!$C$108&gt;=AH$2,HUAWEI製ＰＣＳ接続枚数計算ツール!$E$108&lt;=AH$2,枚数!AH21&gt;0),枚数!AH21,IF(AND(標準可否!AH21=1,低温可否!AH21=1,HUAWEI製ＰＣＳ接続枚数計算ツール!$C$108&gt;=AH$2,枚数!AH21&gt;0,低電圧接続!AH21&gt;0),枚数!AH21,"-"))</f>
        <v>-</v>
      </c>
      <c r="AI21" s="123" t="str">
        <f>IF(AND(高温可否!AI21=1,低温可否!AI21=1,標準可否!AI21=1,HUAWEI製ＰＣＳ接続枚数計算ツール!$C$108&gt;=AI$2,HUAWEI製ＰＣＳ接続枚数計算ツール!$E$108&lt;=AI$2,枚数!AI21&gt;0),枚数!AI21,IF(AND(標準可否!AI21=1,低温可否!AI21=1,HUAWEI製ＰＣＳ接続枚数計算ツール!$C$108&gt;=AI$2,枚数!AI21&gt;0,低電圧接続!AI21&gt;0),枚数!AI21,"-"))</f>
        <v>-</v>
      </c>
      <c r="AJ21" s="124" t="str">
        <f>IF(AND(高温可否!AJ21=1,低温可否!AJ21=1,標準可否!AJ21=1,HUAWEI製ＰＣＳ接続枚数計算ツール!$C$108&gt;=AJ$2,HUAWEI製ＰＣＳ接続枚数計算ツール!$E$108&lt;=AJ$2,枚数!AJ21&gt;0),枚数!AJ21,IF(AND(標準可否!AJ21=1,低温可否!AJ21=1,HUAWEI製ＰＣＳ接続枚数計算ツール!$C$108&gt;=AJ$2,枚数!AJ21&gt;0,低電圧接続!AJ21&gt;0),枚数!AJ21,"-"))</f>
        <v>-</v>
      </c>
      <c r="AK21" s="123" t="str">
        <f>IF(AND(高温可否!AK21=1,低温可否!AK21=1,標準可否!AK21=1,HUAWEI製ＰＣＳ接続枚数計算ツール!$C$108&gt;=AK$2,HUAWEI製ＰＣＳ接続枚数計算ツール!$E$108&lt;=AK$2,枚数!AK21&gt;0),枚数!AK21,IF(AND(標準可否!AK21=1,低温可否!AK21=1,HUAWEI製ＰＣＳ接続枚数計算ツール!$C$108&gt;=AK$2,枚数!AK21&gt;0,低電圧接続!AK21&gt;0),枚数!AK21,"-"))</f>
        <v>-</v>
      </c>
      <c r="AL21" s="124" t="str">
        <f>IF(AND(高温可否!AL21=1,低温可否!AL21=1,標準可否!AL21=1,HUAWEI製ＰＣＳ接続枚数計算ツール!$C$108&gt;=AL$2,HUAWEI製ＰＣＳ接続枚数計算ツール!$E$108&lt;=AL$2,枚数!AL21&gt;0),枚数!AL21,IF(AND(標準可否!AL21=1,低温可否!AL21=1,HUAWEI製ＰＣＳ接続枚数計算ツール!$C$108&gt;=AL$2,枚数!AL21&gt;0,低電圧接続!AL21&gt;0),枚数!AL21,"-"))</f>
        <v>-</v>
      </c>
      <c r="AM21" s="123" t="str">
        <f>IF(AND(高温可否!AM21=1,低温可否!AM21=1,標準可否!AM21=1,HUAWEI製ＰＣＳ接続枚数計算ツール!$C$108&gt;=AM$2,HUAWEI製ＰＣＳ接続枚数計算ツール!$E$108&lt;=AM$2,枚数!AM21&gt;0),枚数!AM21,IF(AND(標準可否!AM21=1,低温可否!AM21=1,HUAWEI製ＰＣＳ接続枚数計算ツール!$C$108&gt;=AM$2,枚数!AM21&gt;0,低電圧接続!AM21&gt;0),枚数!AM21,"-"))</f>
        <v>-</v>
      </c>
      <c r="AN21" s="124" t="str">
        <f>IF(AND(高温可否!AN21=1,低温可否!AN21=1,標準可否!AN21=1,HUAWEI製ＰＣＳ接続枚数計算ツール!$C$108&gt;=AN$2,HUAWEI製ＰＣＳ接続枚数計算ツール!$E$108&lt;=AN$2,枚数!AN21&gt;0),枚数!AN21,IF(AND(標準可否!AN21=1,低温可否!AN21=1,HUAWEI製ＰＣＳ接続枚数計算ツール!$C$108&gt;=AN$2,枚数!AN21&gt;0,低電圧接続!AN21&gt;0),枚数!AN21,"-"))</f>
        <v>-</v>
      </c>
      <c r="AO21" s="125" t="str">
        <f>IF(AND(高温可否!AO21=1,低温可否!AO21=1,標準可否!AO21=1,HUAWEI製ＰＣＳ接続枚数計算ツール!$C$108&gt;=AO$2,HUAWEI製ＰＣＳ接続枚数計算ツール!$E$108&lt;=AO$2,枚数!AO21&gt;0),枚数!AO21,IF(AND(標準可否!AO21=1,低温可否!AO21=1,HUAWEI製ＰＣＳ接続枚数計算ツール!$C$108&gt;=AO$2,枚数!AO21&gt;0,低電圧接続!AO21&gt;0),枚数!AO21,"-"))</f>
        <v>-</v>
      </c>
    </row>
    <row r="22" spans="1:41">
      <c r="A22" s="115">
        <v>20</v>
      </c>
      <c r="B22" s="126" t="str">
        <f>IF(AND(高温可否!B22=1,低温可否!B22=1,標準可否!B22=1,HUAWEI製ＰＣＳ接続枚数計算ツール!$C$108&gt;=B$2,HUAWEI製ＰＣＳ接続枚数計算ツール!$E$108&lt;=B$2,枚数!B22&gt;0),枚数!B22,IF(AND(標準可否!B22=1,低温可否!B22=1,HUAWEI製ＰＣＳ接続枚数計算ツール!$C$108&gt;=B$2,枚数!B22&gt;0,低電圧接続!B22&gt;0),枚数!B22,"-"))</f>
        <v>-</v>
      </c>
      <c r="C22" s="127" t="str">
        <f>IF(AND(高温可否!C22=1,低温可否!C22=1,標準可否!C22=1,HUAWEI製ＰＣＳ接続枚数計算ツール!$C$108&gt;=C$2,HUAWEI製ＰＣＳ接続枚数計算ツール!$E$108&lt;=C$2,枚数!C22&gt;0),枚数!C22,IF(AND(標準可否!C22=1,低温可否!C22=1,HUAWEI製ＰＣＳ接続枚数計算ツール!$C$108&gt;=C$2,枚数!C22&gt;0,低電圧接続!C22&gt;0),枚数!C22,"-"))</f>
        <v>-</v>
      </c>
      <c r="D22" s="128" t="str">
        <f>IF(AND(高温可否!D22=1,低温可否!D22=1,標準可否!D22=1,HUAWEI製ＰＣＳ接続枚数計算ツール!$C$108&gt;=D$2,HUAWEI製ＰＣＳ接続枚数計算ツール!$E$108&lt;=D$2,枚数!D22&gt;0),枚数!D22,IF(AND(標準可否!D22=1,低温可否!D22=1,HUAWEI製ＰＣＳ接続枚数計算ツール!$C$108&gt;=D$2,枚数!D22&gt;0,低電圧接続!D22&gt;0),枚数!D22,"-"))</f>
        <v>-</v>
      </c>
      <c r="E22" s="127" t="str">
        <f>IF(AND(高温可否!E22=1,低温可否!E22=1,標準可否!E22=1,HUAWEI製ＰＣＳ接続枚数計算ツール!$C$108&gt;=E$2,HUAWEI製ＰＣＳ接続枚数計算ツール!$E$108&lt;=E$2,枚数!E22&gt;0),枚数!E22,IF(AND(標準可否!E22=1,低温可否!E22=1,HUAWEI製ＰＣＳ接続枚数計算ツール!$C$108&gt;=E$2,枚数!E22&gt;0,低電圧接続!E22&gt;0),枚数!E22,"-"))</f>
        <v>-</v>
      </c>
      <c r="F22" s="128" t="str">
        <f>IF(AND(高温可否!F22=1,低温可否!F22=1,標準可否!F22=1,HUAWEI製ＰＣＳ接続枚数計算ツール!$C$108&gt;=F$2,HUAWEI製ＰＣＳ接続枚数計算ツール!$E$108&lt;=F$2,枚数!F22&gt;0),枚数!F22,IF(AND(標準可否!F22=1,低温可否!F22=1,HUAWEI製ＰＣＳ接続枚数計算ツール!$C$108&gt;=F$2,枚数!F22&gt;0,低電圧接続!F22&gt;0),枚数!F22,"-"))</f>
        <v>-</v>
      </c>
      <c r="G22" s="127" t="str">
        <f>IF(AND(高温可否!G22=1,低温可否!G22=1,標準可否!G22=1,HUAWEI製ＰＣＳ接続枚数計算ツール!$C$108&gt;=G$2,HUAWEI製ＰＣＳ接続枚数計算ツール!$E$108&lt;=G$2,枚数!G22&gt;0),枚数!G22,IF(AND(標準可否!G22=1,低温可否!G22=1,HUAWEI製ＰＣＳ接続枚数計算ツール!$C$108&gt;=G$2,枚数!G22&gt;0,低電圧接続!G22&gt;0),枚数!G22,"-"))</f>
        <v>-</v>
      </c>
      <c r="H22" s="128" t="str">
        <f>IF(AND(高温可否!H22=1,低温可否!H22=1,標準可否!H22=1,HUAWEI製ＰＣＳ接続枚数計算ツール!$C$108&gt;=H$2,HUAWEI製ＰＣＳ接続枚数計算ツール!$E$108&lt;=H$2,枚数!H22&gt;0),枚数!H22,IF(AND(標準可否!H22=1,低温可否!H22=1,HUAWEI製ＰＣＳ接続枚数計算ツール!$C$108&gt;=H$2,枚数!H22&gt;0,低電圧接続!H22&gt;0),枚数!H22,"-"))</f>
        <v>-</v>
      </c>
      <c r="I22" s="127" t="str">
        <f>IF(AND(高温可否!I22=1,低温可否!I22=1,標準可否!I22=1,HUAWEI製ＰＣＳ接続枚数計算ツール!$C$108&gt;=I$2,HUAWEI製ＰＣＳ接続枚数計算ツール!$E$108&lt;=I$2,枚数!I22&gt;0),枚数!I22,IF(AND(標準可否!I22=1,低温可否!I22=1,HUAWEI製ＰＣＳ接続枚数計算ツール!$C$108&gt;=I$2,枚数!I22&gt;0,低電圧接続!I22&gt;0),枚数!I22,"-"))</f>
        <v>-</v>
      </c>
      <c r="J22" s="128" t="str">
        <f>IF(AND(高温可否!J22=1,低温可否!J22=1,標準可否!J22=1,HUAWEI製ＰＣＳ接続枚数計算ツール!$C$108&gt;=J$2,HUAWEI製ＰＣＳ接続枚数計算ツール!$E$108&lt;=J$2,枚数!J22&gt;0),枚数!J22,IF(AND(標準可否!J22=1,低温可否!J22=1,HUAWEI製ＰＣＳ接続枚数計算ツール!$C$108&gt;=J$2,枚数!J22&gt;0,低電圧接続!J22&gt;0),枚数!J22,"-"))</f>
        <v>-</v>
      </c>
      <c r="K22" s="127" t="str">
        <f>IF(AND(高温可否!K22=1,低温可否!K22=1,標準可否!K22=1,HUAWEI製ＰＣＳ接続枚数計算ツール!$C$108&gt;=K$2,HUAWEI製ＰＣＳ接続枚数計算ツール!$E$108&lt;=K$2,枚数!K22&gt;0),枚数!K22,IF(AND(標準可否!K22=1,低温可否!K22=1,HUAWEI製ＰＣＳ接続枚数計算ツール!$C$108&gt;=K$2,枚数!K22&gt;0,低電圧接続!K22&gt;0),枚数!K22,"-"))</f>
        <v>-</v>
      </c>
      <c r="L22" s="128" t="str">
        <f>IF(AND(高温可否!L22=1,低温可否!L22=1,標準可否!L22=1,HUAWEI製ＰＣＳ接続枚数計算ツール!$C$108&gt;=L$2,HUAWEI製ＰＣＳ接続枚数計算ツール!$E$108&lt;=L$2,枚数!L22&gt;0),枚数!L22,IF(AND(標準可否!L22=1,低温可否!L22=1,HUAWEI製ＰＣＳ接続枚数計算ツール!$C$108&gt;=L$2,枚数!L22&gt;0,低電圧接続!L22&gt;0),枚数!L22,"-"))</f>
        <v>-</v>
      </c>
      <c r="M22" s="127" t="str">
        <f>IF(AND(高温可否!M22=1,低温可否!M22=1,標準可否!M22=1,HUAWEI製ＰＣＳ接続枚数計算ツール!$C$108&gt;=M$2,HUAWEI製ＰＣＳ接続枚数計算ツール!$E$108&lt;=M$2,枚数!M22&gt;0),枚数!M22,IF(AND(標準可否!M22=1,低温可否!M22=1,HUAWEI製ＰＣＳ接続枚数計算ツール!$C$108&gt;=M$2,枚数!M22&gt;0,低電圧接続!M22&gt;0),枚数!M22,"-"))</f>
        <v>-</v>
      </c>
      <c r="N22" s="128" t="str">
        <f>IF(AND(高温可否!N22=1,低温可否!N22=1,標準可否!N22=1,HUAWEI製ＰＣＳ接続枚数計算ツール!$C$108&gt;=N$2,HUAWEI製ＰＣＳ接続枚数計算ツール!$E$108&lt;=N$2,枚数!N22&gt;0),枚数!N22,IF(AND(標準可否!N22=1,低温可否!N22=1,HUAWEI製ＰＣＳ接続枚数計算ツール!$C$108&gt;=N$2,枚数!N22&gt;0,低電圧接続!N22&gt;0),枚数!N22,"-"))</f>
        <v>-</v>
      </c>
      <c r="O22" s="127" t="str">
        <f>IF(AND(高温可否!O22=1,低温可否!O22=1,標準可否!O22=1,HUAWEI製ＰＣＳ接続枚数計算ツール!$C$108&gt;=O$2,HUAWEI製ＰＣＳ接続枚数計算ツール!$E$108&lt;=O$2,枚数!O22&gt;0),枚数!O22,IF(AND(標準可否!O22=1,低温可否!O22=1,HUAWEI製ＰＣＳ接続枚数計算ツール!$C$108&gt;=O$2,枚数!O22&gt;0,低電圧接続!O22&gt;0),枚数!O22,"-"))</f>
        <v>-</v>
      </c>
      <c r="P22" s="128" t="str">
        <f>IF(AND(高温可否!P22=1,低温可否!P22=1,標準可否!P22=1,HUAWEI製ＰＣＳ接続枚数計算ツール!$C$108&gt;=P$2,HUAWEI製ＰＣＳ接続枚数計算ツール!$E$108&lt;=P$2,枚数!P22&gt;0),枚数!P22,IF(AND(標準可否!P22=1,低温可否!P22=1,HUAWEI製ＰＣＳ接続枚数計算ツール!$C$108&gt;=P$2,枚数!P22&gt;0,低電圧接続!P22&gt;0),枚数!P22,"-"))</f>
        <v>-</v>
      </c>
      <c r="Q22" s="127" t="str">
        <f>IF(AND(高温可否!Q22=1,低温可否!Q22=1,標準可否!Q22=1,HUAWEI製ＰＣＳ接続枚数計算ツール!$C$108&gt;=Q$2,HUAWEI製ＰＣＳ接続枚数計算ツール!$E$108&lt;=Q$2,枚数!Q22&gt;0),枚数!Q22,IF(AND(標準可否!Q22=1,低温可否!Q22=1,HUAWEI製ＰＣＳ接続枚数計算ツール!$C$108&gt;=Q$2,枚数!Q22&gt;0,低電圧接続!Q22&gt;0),枚数!Q22,"-"))</f>
        <v>-</v>
      </c>
      <c r="R22" s="128" t="str">
        <f>IF(AND(高温可否!R22=1,低温可否!R22=1,標準可否!R22=1,HUAWEI製ＰＣＳ接続枚数計算ツール!$C$108&gt;=R$2,HUAWEI製ＰＣＳ接続枚数計算ツール!$E$108&lt;=R$2,枚数!R22&gt;0),枚数!R22,IF(AND(標準可否!R22=1,低温可否!R22=1,HUAWEI製ＰＣＳ接続枚数計算ツール!$C$108&gt;=R$2,枚数!R22&gt;0,低電圧接続!R22&gt;0),枚数!R22,"-"))</f>
        <v>-</v>
      </c>
      <c r="S22" s="127" t="str">
        <f>IF(AND(高温可否!S22=1,低温可否!S22=1,標準可否!S22=1,HUAWEI製ＰＣＳ接続枚数計算ツール!$C$108&gt;=S$2,HUAWEI製ＰＣＳ接続枚数計算ツール!$E$108&lt;=S$2,枚数!S22&gt;0),枚数!S22,IF(AND(標準可否!S22=1,低温可否!S22=1,HUAWEI製ＰＣＳ接続枚数計算ツール!$C$108&gt;=S$2,枚数!S22&gt;0,低電圧接続!S22&gt;0),枚数!S22,"-"))</f>
        <v>-</v>
      </c>
      <c r="T22" s="128" t="str">
        <f>IF(AND(高温可否!T22=1,低温可否!T22=1,標準可否!T22=1,HUAWEI製ＰＣＳ接続枚数計算ツール!$C$108&gt;=T$2,HUAWEI製ＰＣＳ接続枚数計算ツール!$E$108&lt;=T$2,枚数!T22&gt;0),枚数!T22,IF(AND(標準可否!T22=1,低温可否!T22=1,HUAWEI製ＰＣＳ接続枚数計算ツール!$C$108&gt;=T$2,枚数!T22&gt;0,低電圧接続!T22&gt;0),枚数!T22,"-"))</f>
        <v>-</v>
      </c>
      <c r="U22" s="127" t="str">
        <f>IF(AND(高温可否!U22=1,低温可否!U22=1,標準可否!U22=1,HUAWEI製ＰＣＳ接続枚数計算ツール!$C$108&gt;=U$2,HUAWEI製ＰＣＳ接続枚数計算ツール!$E$108&lt;=U$2,枚数!U22&gt;0),枚数!U22,IF(AND(標準可否!U22=1,低温可否!U22=1,HUAWEI製ＰＣＳ接続枚数計算ツール!$C$108&gt;=U$2,枚数!U22&gt;0,低電圧接続!U22&gt;0),枚数!U22,"-"))</f>
        <v>-</v>
      </c>
      <c r="V22" s="128" t="str">
        <f>IF(AND(高温可否!V22=1,低温可否!V22=1,標準可否!V22=1,HUAWEI製ＰＣＳ接続枚数計算ツール!$C$108&gt;=V$2,HUAWEI製ＰＣＳ接続枚数計算ツール!$E$108&lt;=V$2,枚数!V22&gt;0),枚数!V22,IF(AND(標準可否!V22=1,低温可否!V22=1,HUAWEI製ＰＣＳ接続枚数計算ツール!$C$108&gt;=V$2,枚数!V22&gt;0,低電圧接続!V22&gt;0),枚数!V22,"-"))</f>
        <v>-</v>
      </c>
      <c r="W22" s="127" t="str">
        <f>IF(AND(高温可否!W22=1,低温可否!W22=1,標準可否!W22=1,HUAWEI製ＰＣＳ接続枚数計算ツール!$C$108&gt;=W$2,HUAWEI製ＰＣＳ接続枚数計算ツール!$E$108&lt;=W$2,枚数!W22&gt;0),枚数!W22,IF(AND(標準可否!W22=1,低温可否!W22=1,HUAWEI製ＰＣＳ接続枚数計算ツール!$C$108&gt;=W$2,枚数!W22&gt;0,低電圧接続!W22&gt;0),枚数!W22,"-"))</f>
        <v>-</v>
      </c>
      <c r="X22" s="128" t="str">
        <f>IF(AND(高温可否!X22=1,低温可否!X22=1,標準可否!X22=1,HUAWEI製ＰＣＳ接続枚数計算ツール!$C$108&gt;=X$2,HUAWEI製ＰＣＳ接続枚数計算ツール!$E$108&lt;=X$2,枚数!X22&gt;0),枚数!X22,IF(AND(標準可否!X22=1,低温可否!X22=1,HUAWEI製ＰＣＳ接続枚数計算ツール!$C$108&gt;=X$2,枚数!X22&gt;0,低電圧接続!X22&gt;0),枚数!X22,"-"))</f>
        <v>-</v>
      </c>
      <c r="Y22" s="127" t="str">
        <f>IF(AND(高温可否!Y22=1,低温可否!Y22=1,標準可否!Y22=1,HUAWEI製ＰＣＳ接続枚数計算ツール!$C$108&gt;=Y$2,HUAWEI製ＰＣＳ接続枚数計算ツール!$E$108&lt;=Y$2,枚数!Y22&gt;0),枚数!Y22,IF(AND(標準可否!Y22=1,低温可否!Y22=1,HUAWEI製ＰＣＳ接続枚数計算ツール!$C$108&gt;=Y$2,枚数!Y22&gt;0,低電圧接続!Y22&gt;0),枚数!Y22,"-"))</f>
        <v>-</v>
      </c>
      <c r="Z22" s="128" t="str">
        <f>IF(AND(高温可否!Z22=1,低温可否!Z22=1,標準可否!Z22=1,HUAWEI製ＰＣＳ接続枚数計算ツール!$C$108&gt;=Z$2,HUAWEI製ＰＣＳ接続枚数計算ツール!$E$108&lt;=Z$2,枚数!Z22&gt;0),枚数!Z22,IF(AND(標準可否!Z22=1,低温可否!Z22=1,HUAWEI製ＰＣＳ接続枚数計算ツール!$C$108&gt;=Z$2,枚数!Z22&gt;0,低電圧接続!Z22&gt;0),枚数!Z22,"-"))</f>
        <v>-</v>
      </c>
      <c r="AA22" s="127" t="str">
        <f>IF(AND(高温可否!AA22=1,低温可否!AA22=1,標準可否!AA22=1,HUAWEI製ＰＣＳ接続枚数計算ツール!$C$108&gt;=AA$2,HUAWEI製ＰＣＳ接続枚数計算ツール!$E$108&lt;=AA$2,枚数!AA22&gt;0),枚数!AA22,IF(AND(標準可否!AA22=1,低温可否!AA22=1,HUAWEI製ＰＣＳ接続枚数計算ツール!$C$108&gt;=AA$2,枚数!AA22&gt;0,低電圧接続!AA22&gt;0),枚数!AA22,"-"))</f>
        <v>-</v>
      </c>
      <c r="AB22" s="128" t="str">
        <f>IF(AND(高温可否!AB22=1,低温可否!AB22=1,標準可否!AB22=1,HUAWEI製ＰＣＳ接続枚数計算ツール!$C$108&gt;=AB$2,HUAWEI製ＰＣＳ接続枚数計算ツール!$E$108&lt;=AB$2,枚数!AB22&gt;0),枚数!AB22,IF(AND(標準可否!AB22=1,低温可否!AB22=1,HUAWEI製ＰＣＳ接続枚数計算ツール!$C$108&gt;=AB$2,枚数!AB22&gt;0,低電圧接続!AB22&gt;0),枚数!AB22,"-"))</f>
        <v>-</v>
      </c>
      <c r="AC22" s="127" t="str">
        <f>IF(AND(高温可否!AC22=1,低温可否!AC22=1,標準可否!AC22=1,HUAWEI製ＰＣＳ接続枚数計算ツール!$C$108&gt;=AC$2,HUAWEI製ＰＣＳ接続枚数計算ツール!$E$108&lt;=AC$2,枚数!AC22&gt;0),枚数!AC22,IF(AND(標準可否!AC22=1,低温可否!AC22=1,HUAWEI製ＰＣＳ接続枚数計算ツール!$C$108&gt;=AC$2,枚数!AC22&gt;0,低電圧接続!AC22&gt;0),枚数!AC22,"-"))</f>
        <v>-</v>
      </c>
      <c r="AD22" s="128" t="str">
        <f>IF(AND(高温可否!AD22=1,低温可否!AD22=1,標準可否!AD22=1,HUAWEI製ＰＣＳ接続枚数計算ツール!$C$108&gt;=AD$2,HUAWEI製ＰＣＳ接続枚数計算ツール!$E$108&lt;=AD$2,枚数!AD22&gt;0),枚数!AD22,IF(AND(標準可否!AD22=1,低温可否!AD22=1,HUAWEI製ＰＣＳ接続枚数計算ツール!$C$108&gt;=AD$2,枚数!AD22&gt;0,低電圧接続!AD22&gt;0),枚数!AD22,"-"))</f>
        <v>-</v>
      </c>
      <c r="AE22" s="127" t="str">
        <f>IF(AND(高温可否!AE22=1,低温可否!AE22=1,標準可否!AE22=1,HUAWEI製ＰＣＳ接続枚数計算ツール!$C$108&gt;=AE$2,HUAWEI製ＰＣＳ接続枚数計算ツール!$E$108&lt;=AE$2,枚数!AE22&gt;0),枚数!AE22,IF(AND(標準可否!AE22=1,低温可否!AE22=1,HUAWEI製ＰＣＳ接続枚数計算ツール!$C$108&gt;=AE$2,枚数!AE22&gt;0,低電圧接続!AE22&gt;0),枚数!AE22,"-"))</f>
        <v>-</v>
      </c>
      <c r="AF22" s="128" t="str">
        <f>IF(AND(高温可否!AF22=1,低温可否!AF22=1,標準可否!AF22=1,HUAWEI製ＰＣＳ接続枚数計算ツール!$C$108&gt;=AF$2,HUAWEI製ＰＣＳ接続枚数計算ツール!$E$108&lt;=AF$2,枚数!AF22&gt;0),枚数!AF22,IF(AND(標準可否!AF22=1,低温可否!AF22=1,HUAWEI製ＰＣＳ接続枚数計算ツール!$C$108&gt;=AF$2,枚数!AF22&gt;0,低電圧接続!AF22&gt;0),枚数!AF22,"-"))</f>
        <v>-</v>
      </c>
      <c r="AG22" s="127" t="str">
        <f>IF(AND(高温可否!AG22=1,低温可否!AG22=1,標準可否!AG22=1,HUAWEI製ＰＣＳ接続枚数計算ツール!$C$108&gt;=AG$2,HUAWEI製ＰＣＳ接続枚数計算ツール!$E$108&lt;=AG$2,枚数!AG22&gt;0),枚数!AG22,IF(AND(標準可否!AG22=1,低温可否!AG22=1,HUAWEI製ＰＣＳ接続枚数計算ツール!$C$108&gt;=AG$2,枚数!AG22&gt;0,低電圧接続!AG22&gt;0),枚数!AG22,"-"))</f>
        <v>-</v>
      </c>
      <c r="AH22" s="128" t="str">
        <f>IF(AND(高温可否!AH22=1,低温可否!AH22=1,標準可否!AH22=1,HUAWEI製ＰＣＳ接続枚数計算ツール!$C$108&gt;=AH$2,HUAWEI製ＰＣＳ接続枚数計算ツール!$E$108&lt;=AH$2,枚数!AH22&gt;0),枚数!AH22,IF(AND(標準可否!AH22=1,低温可否!AH22=1,HUAWEI製ＰＣＳ接続枚数計算ツール!$C$108&gt;=AH$2,枚数!AH22&gt;0,低電圧接続!AH22&gt;0),枚数!AH22,"-"))</f>
        <v>-</v>
      </c>
      <c r="AI22" s="127" t="str">
        <f>IF(AND(高温可否!AI22=1,低温可否!AI22=1,標準可否!AI22=1,HUAWEI製ＰＣＳ接続枚数計算ツール!$C$108&gt;=AI$2,HUAWEI製ＰＣＳ接続枚数計算ツール!$E$108&lt;=AI$2,枚数!AI22&gt;0),枚数!AI22,IF(AND(標準可否!AI22=1,低温可否!AI22=1,HUAWEI製ＰＣＳ接続枚数計算ツール!$C$108&gt;=AI$2,枚数!AI22&gt;0,低電圧接続!AI22&gt;0),枚数!AI22,"-"))</f>
        <v>-</v>
      </c>
      <c r="AJ22" s="128" t="str">
        <f>IF(AND(高温可否!AJ22=1,低温可否!AJ22=1,標準可否!AJ22=1,HUAWEI製ＰＣＳ接続枚数計算ツール!$C$108&gt;=AJ$2,HUAWEI製ＰＣＳ接続枚数計算ツール!$E$108&lt;=AJ$2,枚数!AJ22&gt;0),枚数!AJ22,IF(AND(標準可否!AJ22=1,低温可否!AJ22=1,HUAWEI製ＰＣＳ接続枚数計算ツール!$C$108&gt;=AJ$2,枚数!AJ22&gt;0,低電圧接続!AJ22&gt;0),枚数!AJ22,"-"))</f>
        <v>-</v>
      </c>
      <c r="AK22" s="127" t="str">
        <f>IF(AND(高温可否!AK22=1,低温可否!AK22=1,標準可否!AK22=1,HUAWEI製ＰＣＳ接続枚数計算ツール!$C$108&gt;=AK$2,HUAWEI製ＰＣＳ接続枚数計算ツール!$E$108&lt;=AK$2,枚数!AK22&gt;0),枚数!AK22,IF(AND(標準可否!AK22=1,低温可否!AK22=1,HUAWEI製ＰＣＳ接続枚数計算ツール!$C$108&gt;=AK$2,枚数!AK22&gt;0,低電圧接続!AK22&gt;0),枚数!AK22,"-"))</f>
        <v>-</v>
      </c>
      <c r="AL22" s="128" t="str">
        <f>IF(AND(高温可否!AL22=1,低温可否!AL22=1,標準可否!AL22=1,HUAWEI製ＰＣＳ接続枚数計算ツール!$C$108&gt;=AL$2,HUAWEI製ＰＣＳ接続枚数計算ツール!$E$108&lt;=AL$2,枚数!AL22&gt;0),枚数!AL22,IF(AND(標準可否!AL22=1,低温可否!AL22=1,HUAWEI製ＰＣＳ接続枚数計算ツール!$C$108&gt;=AL$2,枚数!AL22&gt;0,低電圧接続!AL22&gt;0),枚数!AL22,"-"))</f>
        <v>-</v>
      </c>
      <c r="AM22" s="127" t="str">
        <f>IF(AND(高温可否!AM22=1,低温可否!AM22=1,標準可否!AM22=1,HUAWEI製ＰＣＳ接続枚数計算ツール!$C$108&gt;=AM$2,HUAWEI製ＰＣＳ接続枚数計算ツール!$E$108&lt;=AM$2,枚数!AM22&gt;0),枚数!AM22,IF(AND(標準可否!AM22=1,低温可否!AM22=1,HUAWEI製ＰＣＳ接続枚数計算ツール!$C$108&gt;=AM$2,枚数!AM22&gt;0,低電圧接続!AM22&gt;0),枚数!AM22,"-"))</f>
        <v>-</v>
      </c>
      <c r="AN22" s="128" t="str">
        <f>IF(AND(高温可否!AN22=1,低温可否!AN22=1,標準可否!AN22=1,HUAWEI製ＰＣＳ接続枚数計算ツール!$C$108&gt;=AN$2,HUAWEI製ＰＣＳ接続枚数計算ツール!$E$108&lt;=AN$2,枚数!AN22&gt;0),枚数!AN22,IF(AND(標準可否!AN22=1,低温可否!AN22=1,HUAWEI製ＰＣＳ接続枚数計算ツール!$C$108&gt;=AN$2,枚数!AN22&gt;0,低電圧接続!AN22&gt;0),枚数!AN22,"-"))</f>
        <v>-</v>
      </c>
      <c r="AO22" s="129" t="str">
        <f>IF(AND(高温可否!AO22=1,低温可否!AO22=1,標準可否!AO22=1,HUAWEI製ＰＣＳ接続枚数計算ツール!$C$108&gt;=AO$2,HUAWEI製ＰＣＳ接続枚数計算ツール!$E$108&lt;=AO$2,枚数!AO22&gt;0),枚数!AO22,IF(AND(標準可否!AO22=1,低温可否!AO22=1,HUAWEI製ＰＣＳ接続枚数計算ツール!$C$108&gt;=AO$2,枚数!AO22&gt;0,低電圧接続!AO22&gt;0),枚数!AO22,"-"))</f>
        <v>-</v>
      </c>
    </row>
    <row r="23" spans="1:41">
      <c r="A23" s="116">
        <v>21</v>
      </c>
      <c r="B23" s="122" t="str">
        <f>IF(AND(高温可否!B23=1,低温可否!B23=1,標準可否!B23=1,HUAWEI製ＰＣＳ接続枚数計算ツール!$C$108&gt;=B$2,HUAWEI製ＰＣＳ接続枚数計算ツール!$E$108&lt;=B$2,枚数!B23&gt;0),枚数!B23,IF(AND(標準可否!B23=1,低温可否!B23=1,HUAWEI製ＰＣＳ接続枚数計算ツール!$C$108&gt;=B$2,枚数!B23&gt;0,低電圧接続!B23&gt;0),枚数!B23,"-"))</f>
        <v>-</v>
      </c>
      <c r="C23" s="123" t="str">
        <f>IF(AND(高温可否!C23=1,低温可否!C23=1,標準可否!C23=1,HUAWEI製ＰＣＳ接続枚数計算ツール!$C$108&gt;=C$2,HUAWEI製ＰＣＳ接続枚数計算ツール!$E$108&lt;=C$2,枚数!C23&gt;0),枚数!C23,IF(AND(標準可否!C23=1,低温可否!C23=1,HUAWEI製ＰＣＳ接続枚数計算ツール!$C$108&gt;=C$2,枚数!C23&gt;0,低電圧接続!C23&gt;0),枚数!C23,"-"))</f>
        <v>-</v>
      </c>
      <c r="D23" s="124" t="str">
        <f>IF(AND(高温可否!D23=1,低温可否!D23=1,標準可否!D23=1,HUAWEI製ＰＣＳ接続枚数計算ツール!$C$108&gt;=D$2,HUAWEI製ＰＣＳ接続枚数計算ツール!$E$108&lt;=D$2,枚数!D23&gt;0),枚数!D23,IF(AND(標準可否!D23=1,低温可否!D23=1,HUAWEI製ＰＣＳ接続枚数計算ツール!$C$108&gt;=D$2,枚数!D23&gt;0,低電圧接続!D23&gt;0),枚数!D23,"-"))</f>
        <v>-</v>
      </c>
      <c r="E23" s="123" t="str">
        <f>IF(AND(高温可否!E23=1,低温可否!E23=1,標準可否!E23=1,HUAWEI製ＰＣＳ接続枚数計算ツール!$C$108&gt;=E$2,HUAWEI製ＰＣＳ接続枚数計算ツール!$E$108&lt;=E$2,枚数!E23&gt;0),枚数!E23,IF(AND(標準可否!E23=1,低温可否!E23=1,HUAWEI製ＰＣＳ接続枚数計算ツール!$C$108&gt;=E$2,枚数!E23&gt;0,低電圧接続!E23&gt;0),枚数!E23,"-"))</f>
        <v>-</v>
      </c>
      <c r="F23" s="124" t="str">
        <f>IF(AND(高温可否!F23=1,低温可否!F23=1,標準可否!F23=1,HUAWEI製ＰＣＳ接続枚数計算ツール!$C$108&gt;=F$2,HUAWEI製ＰＣＳ接続枚数計算ツール!$E$108&lt;=F$2,枚数!F23&gt;0),枚数!F23,IF(AND(標準可否!F23=1,低温可否!F23=1,HUAWEI製ＰＣＳ接続枚数計算ツール!$C$108&gt;=F$2,枚数!F23&gt;0,低電圧接続!F23&gt;0),枚数!F23,"-"))</f>
        <v>-</v>
      </c>
      <c r="G23" s="123" t="str">
        <f>IF(AND(高温可否!G23=1,低温可否!G23=1,標準可否!G23=1,HUAWEI製ＰＣＳ接続枚数計算ツール!$C$108&gt;=G$2,HUAWEI製ＰＣＳ接続枚数計算ツール!$E$108&lt;=G$2,枚数!G23&gt;0),枚数!G23,IF(AND(標準可否!G23=1,低温可否!G23=1,HUAWEI製ＰＣＳ接続枚数計算ツール!$C$108&gt;=G$2,枚数!G23&gt;0,低電圧接続!G23&gt;0),枚数!G23,"-"))</f>
        <v>-</v>
      </c>
      <c r="H23" s="124" t="str">
        <f>IF(AND(高温可否!H23=1,低温可否!H23=1,標準可否!H23=1,HUAWEI製ＰＣＳ接続枚数計算ツール!$C$108&gt;=H$2,HUAWEI製ＰＣＳ接続枚数計算ツール!$E$108&lt;=H$2,枚数!H23&gt;0),枚数!H23,IF(AND(標準可否!H23=1,低温可否!H23=1,HUAWEI製ＰＣＳ接続枚数計算ツール!$C$108&gt;=H$2,枚数!H23&gt;0,低電圧接続!H23&gt;0),枚数!H23,"-"))</f>
        <v>-</v>
      </c>
      <c r="I23" s="123" t="str">
        <f>IF(AND(高温可否!I23=1,低温可否!I23=1,標準可否!I23=1,HUAWEI製ＰＣＳ接続枚数計算ツール!$C$108&gt;=I$2,HUAWEI製ＰＣＳ接続枚数計算ツール!$E$108&lt;=I$2,枚数!I23&gt;0),枚数!I23,IF(AND(標準可否!I23=1,低温可否!I23=1,HUAWEI製ＰＣＳ接続枚数計算ツール!$C$108&gt;=I$2,枚数!I23&gt;0,低電圧接続!I23&gt;0),枚数!I23,"-"))</f>
        <v>-</v>
      </c>
      <c r="J23" s="124" t="str">
        <f>IF(AND(高温可否!J23=1,低温可否!J23=1,標準可否!J23=1,HUAWEI製ＰＣＳ接続枚数計算ツール!$C$108&gt;=J$2,HUAWEI製ＰＣＳ接続枚数計算ツール!$E$108&lt;=J$2,枚数!J23&gt;0),枚数!J23,IF(AND(標準可否!J23=1,低温可否!J23=1,HUAWEI製ＰＣＳ接続枚数計算ツール!$C$108&gt;=J$2,枚数!J23&gt;0,低電圧接続!J23&gt;0),枚数!J23,"-"))</f>
        <v>-</v>
      </c>
      <c r="K23" s="123" t="str">
        <f>IF(AND(高温可否!K23=1,低温可否!K23=1,標準可否!K23=1,HUAWEI製ＰＣＳ接続枚数計算ツール!$C$108&gt;=K$2,HUAWEI製ＰＣＳ接続枚数計算ツール!$E$108&lt;=K$2,枚数!K23&gt;0),枚数!K23,IF(AND(標準可否!K23=1,低温可否!K23=1,HUAWEI製ＰＣＳ接続枚数計算ツール!$C$108&gt;=K$2,枚数!K23&gt;0,低電圧接続!K23&gt;0),枚数!K23,"-"))</f>
        <v>-</v>
      </c>
      <c r="L23" s="124" t="str">
        <f>IF(AND(高温可否!L23=1,低温可否!L23=1,標準可否!L23=1,HUAWEI製ＰＣＳ接続枚数計算ツール!$C$108&gt;=L$2,HUAWEI製ＰＣＳ接続枚数計算ツール!$E$108&lt;=L$2,枚数!L23&gt;0),枚数!L23,IF(AND(標準可否!L23=1,低温可否!L23=1,HUAWEI製ＰＣＳ接続枚数計算ツール!$C$108&gt;=L$2,枚数!L23&gt;0,低電圧接続!L23&gt;0),枚数!L23,"-"))</f>
        <v>-</v>
      </c>
      <c r="M23" s="123" t="str">
        <f>IF(AND(高温可否!M23=1,低温可否!M23=1,標準可否!M23=1,HUAWEI製ＰＣＳ接続枚数計算ツール!$C$108&gt;=M$2,HUAWEI製ＰＣＳ接続枚数計算ツール!$E$108&lt;=M$2,枚数!M23&gt;0),枚数!M23,IF(AND(標準可否!M23=1,低温可否!M23=1,HUAWEI製ＰＣＳ接続枚数計算ツール!$C$108&gt;=M$2,枚数!M23&gt;0,低電圧接続!M23&gt;0),枚数!M23,"-"))</f>
        <v>-</v>
      </c>
      <c r="N23" s="124" t="str">
        <f>IF(AND(高温可否!N23=1,低温可否!N23=1,標準可否!N23=1,HUAWEI製ＰＣＳ接続枚数計算ツール!$C$108&gt;=N$2,HUAWEI製ＰＣＳ接続枚数計算ツール!$E$108&lt;=N$2,枚数!N23&gt;0),枚数!N23,IF(AND(標準可否!N23=1,低温可否!N23=1,HUAWEI製ＰＣＳ接続枚数計算ツール!$C$108&gt;=N$2,枚数!N23&gt;0,低電圧接続!N23&gt;0),枚数!N23,"-"))</f>
        <v>-</v>
      </c>
      <c r="O23" s="123" t="str">
        <f>IF(AND(高温可否!O23=1,低温可否!O23=1,標準可否!O23=1,HUAWEI製ＰＣＳ接続枚数計算ツール!$C$108&gt;=O$2,HUAWEI製ＰＣＳ接続枚数計算ツール!$E$108&lt;=O$2,枚数!O23&gt;0),枚数!O23,IF(AND(標準可否!O23=1,低温可否!O23=1,HUAWEI製ＰＣＳ接続枚数計算ツール!$C$108&gt;=O$2,枚数!O23&gt;0,低電圧接続!O23&gt;0),枚数!O23,"-"))</f>
        <v>-</v>
      </c>
      <c r="P23" s="124" t="str">
        <f>IF(AND(高温可否!P23=1,低温可否!P23=1,標準可否!P23=1,HUAWEI製ＰＣＳ接続枚数計算ツール!$C$108&gt;=P$2,HUAWEI製ＰＣＳ接続枚数計算ツール!$E$108&lt;=P$2,枚数!P23&gt;0),枚数!P23,IF(AND(標準可否!P23=1,低温可否!P23=1,HUAWEI製ＰＣＳ接続枚数計算ツール!$C$108&gt;=P$2,枚数!P23&gt;0,低電圧接続!P23&gt;0),枚数!P23,"-"))</f>
        <v>-</v>
      </c>
      <c r="Q23" s="123" t="str">
        <f>IF(AND(高温可否!Q23=1,低温可否!Q23=1,標準可否!Q23=1,HUAWEI製ＰＣＳ接続枚数計算ツール!$C$108&gt;=Q$2,HUAWEI製ＰＣＳ接続枚数計算ツール!$E$108&lt;=Q$2,枚数!Q23&gt;0),枚数!Q23,IF(AND(標準可否!Q23=1,低温可否!Q23=1,HUAWEI製ＰＣＳ接続枚数計算ツール!$C$108&gt;=Q$2,枚数!Q23&gt;0,低電圧接続!Q23&gt;0),枚数!Q23,"-"))</f>
        <v>-</v>
      </c>
      <c r="R23" s="124" t="str">
        <f>IF(AND(高温可否!R23=1,低温可否!R23=1,標準可否!R23=1,HUAWEI製ＰＣＳ接続枚数計算ツール!$C$108&gt;=R$2,HUAWEI製ＰＣＳ接続枚数計算ツール!$E$108&lt;=R$2,枚数!R23&gt;0),枚数!R23,IF(AND(標準可否!R23=1,低温可否!R23=1,HUAWEI製ＰＣＳ接続枚数計算ツール!$C$108&gt;=R$2,枚数!R23&gt;0,低電圧接続!R23&gt;0),枚数!R23,"-"))</f>
        <v>-</v>
      </c>
      <c r="S23" s="123" t="str">
        <f>IF(AND(高温可否!S23=1,低温可否!S23=1,標準可否!S23=1,HUAWEI製ＰＣＳ接続枚数計算ツール!$C$108&gt;=S$2,HUAWEI製ＰＣＳ接続枚数計算ツール!$E$108&lt;=S$2,枚数!S23&gt;0),枚数!S23,IF(AND(標準可否!S23=1,低温可否!S23=1,HUAWEI製ＰＣＳ接続枚数計算ツール!$C$108&gt;=S$2,枚数!S23&gt;0,低電圧接続!S23&gt;0),枚数!S23,"-"))</f>
        <v>-</v>
      </c>
      <c r="T23" s="124" t="str">
        <f>IF(AND(高温可否!T23=1,低温可否!T23=1,標準可否!T23=1,HUAWEI製ＰＣＳ接続枚数計算ツール!$C$108&gt;=T$2,HUAWEI製ＰＣＳ接続枚数計算ツール!$E$108&lt;=T$2,枚数!T23&gt;0),枚数!T23,IF(AND(標準可否!T23=1,低温可否!T23=1,HUAWEI製ＰＣＳ接続枚数計算ツール!$C$108&gt;=T$2,枚数!T23&gt;0,低電圧接続!T23&gt;0),枚数!T23,"-"))</f>
        <v>-</v>
      </c>
      <c r="U23" s="123" t="str">
        <f>IF(AND(高温可否!U23=1,低温可否!U23=1,標準可否!U23=1,HUAWEI製ＰＣＳ接続枚数計算ツール!$C$108&gt;=U$2,HUAWEI製ＰＣＳ接続枚数計算ツール!$E$108&lt;=U$2,枚数!U23&gt;0),枚数!U23,IF(AND(標準可否!U23=1,低温可否!U23=1,HUAWEI製ＰＣＳ接続枚数計算ツール!$C$108&gt;=U$2,枚数!U23&gt;0,低電圧接続!U23&gt;0),枚数!U23,"-"))</f>
        <v>-</v>
      </c>
      <c r="V23" s="124" t="str">
        <f>IF(AND(高温可否!V23=1,低温可否!V23=1,標準可否!V23=1,HUAWEI製ＰＣＳ接続枚数計算ツール!$C$108&gt;=V$2,HUAWEI製ＰＣＳ接続枚数計算ツール!$E$108&lt;=V$2,枚数!V23&gt;0),枚数!V23,IF(AND(標準可否!V23=1,低温可否!V23=1,HUAWEI製ＰＣＳ接続枚数計算ツール!$C$108&gt;=V$2,枚数!V23&gt;0,低電圧接続!V23&gt;0),枚数!V23,"-"))</f>
        <v>-</v>
      </c>
      <c r="W23" s="123" t="str">
        <f>IF(AND(高温可否!W23=1,低温可否!W23=1,標準可否!W23=1,HUAWEI製ＰＣＳ接続枚数計算ツール!$C$108&gt;=W$2,HUAWEI製ＰＣＳ接続枚数計算ツール!$E$108&lt;=W$2,枚数!W23&gt;0),枚数!W23,IF(AND(標準可否!W23=1,低温可否!W23=1,HUAWEI製ＰＣＳ接続枚数計算ツール!$C$108&gt;=W$2,枚数!W23&gt;0,低電圧接続!W23&gt;0),枚数!W23,"-"))</f>
        <v>-</v>
      </c>
      <c r="X23" s="124" t="str">
        <f>IF(AND(高温可否!X23=1,低温可否!X23=1,標準可否!X23=1,HUAWEI製ＰＣＳ接続枚数計算ツール!$C$108&gt;=X$2,HUAWEI製ＰＣＳ接続枚数計算ツール!$E$108&lt;=X$2,枚数!X23&gt;0),枚数!X23,IF(AND(標準可否!X23=1,低温可否!X23=1,HUAWEI製ＰＣＳ接続枚数計算ツール!$C$108&gt;=X$2,枚数!X23&gt;0,低電圧接続!X23&gt;0),枚数!X23,"-"))</f>
        <v>-</v>
      </c>
      <c r="Y23" s="123" t="str">
        <f>IF(AND(高温可否!Y23=1,低温可否!Y23=1,標準可否!Y23=1,HUAWEI製ＰＣＳ接続枚数計算ツール!$C$108&gt;=Y$2,HUAWEI製ＰＣＳ接続枚数計算ツール!$E$108&lt;=Y$2,枚数!Y23&gt;0),枚数!Y23,IF(AND(標準可否!Y23=1,低温可否!Y23=1,HUAWEI製ＰＣＳ接続枚数計算ツール!$C$108&gt;=Y$2,枚数!Y23&gt;0,低電圧接続!Y23&gt;0),枚数!Y23,"-"))</f>
        <v>-</v>
      </c>
      <c r="Z23" s="124" t="str">
        <f>IF(AND(高温可否!Z23=1,低温可否!Z23=1,標準可否!Z23=1,HUAWEI製ＰＣＳ接続枚数計算ツール!$C$108&gt;=Z$2,HUAWEI製ＰＣＳ接続枚数計算ツール!$E$108&lt;=Z$2,枚数!Z23&gt;0),枚数!Z23,IF(AND(標準可否!Z23=1,低温可否!Z23=1,HUAWEI製ＰＣＳ接続枚数計算ツール!$C$108&gt;=Z$2,枚数!Z23&gt;0,低電圧接続!Z23&gt;0),枚数!Z23,"-"))</f>
        <v>-</v>
      </c>
      <c r="AA23" s="123" t="str">
        <f>IF(AND(高温可否!AA23=1,低温可否!AA23=1,標準可否!AA23=1,HUAWEI製ＰＣＳ接続枚数計算ツール!$C$108&gt;=AA$2,HUAWEI製ＰＣＳ接続枚数計算ツール!$E$108&lt;=AA$2,枚数!AA23&gt;0),枚数!AA23,IF(AND(標準可否!AA23=1,低温可否!AA23=1,HUAWEI製ＰＣＳ接続枚数計算ツール!$C$108&gt;=AA$2,枚数!AA23&gt;0,低電圧接続!AA23&gt;0),枚数!AA23,"-"))</f>
        <v>-</v>
      </c>
      <c r="AB23" s="124" t="str">
        <f>IF(AND(高温可否!AB23=1,低温可否!AB23=1,標準可否!AB23=1,HUAWEI製ＰＣＳ接続枚数計算ツール!$C$108&gt;=AB$2,HUAWEI製ＰＣＳ接続枚数計算ツール!$E$108&lt;=AB$2,枚数!AB23&gt;0),枚数!AB23,IF(AND(標準可否!AB23=1,低温可否!AB23=1,HUAWEI製ＰＣＳ接続枚数計算ツール!$C$108&gt;=AB$2,枚数!AB23&gt;0,低電圧接続!AB23&gt;0),枚数!AB23,"-"))</f>
        <v>-</v>
      </c>
      <c r="AC23" s="123" t="str">
        <f>IF(AND(高温可否!AC23=1,低温可否!AC23=1,標準可否!AC23=1,HUAWEI製ＰＣＳ接続枚数計算ツール!$C$108&gt;=AC$2,HUAWEI製ＰＣＳ接続枚数計算ツール!$E$108&lt;=AC$2,枚数!AC23&gt;0),枚数!AC23,IF(AND(標準可否!AC23=1,低温可否!AC23=1,HUAWEI製ＰＣＳ接続枚数計算ツール!$C$108&gt;=AC$2,枚数!AC23&gt;0,低電圧接続!AC23&gt;0),枚数!AC23,"-"))</f>
        <v>-</v>
      </c>
      <c r="AD23" s="124" t="str">
        <f>IF(AND(高温可否!AD23=1,低温可否!AD23=1,標準可否!AD23=1,HUAWEI製ＰＣＳ接続枚数計算ツール!$C$108&gt;=AD$2,HUAWEI製ＰＣＳ接続枚数計算ツール!$E$108&lt;=AD$2,枚数!AD23&gt;0),枚数!AD23,IF(AND(標準可否!AD23=1,低温可否!AD23=1,HUAWEI製ＰＣＳ接続枚数計算ツール!$C$108&gt;=AD$2,枚数!AD23&gt;0,低電圧接続!AD23&gt;0),枚数!AD23,"-"))</f>
        <v>-</v>
      </c>
      <c r="AE23" s="123" t="str">
        <f>IF(AND(高温可否!AE23=1,低温可否!AE23=1,標準可否!AE23=1,HUAWEI製ＰＣＳ接続枚数計算ツール!$C$108&gt;=AE$2,HUAWEI製ＰＣＳ接続枚数計算ツール!$E$108&lt;=AE$2,枚数!AE23&gt;0),枚数!AE23,IF(AND(標準可否!AE23=1,低温可否!AE23=1,HUAWEI製ＰＣＳ接続枚数計算ツール!$C$108&gt;=AE$2,枚数!AE23&gt;0,低電圧接続!AE23&gt;0),枚数!AE23,"-"))</f>
        <v>-</v>
      </c>
      <c r="AF23" s="124" t="str">
        <f>IF(AND(高温可否!AF23=1,低温可否!AF23=1,標準可否!AF23=1,HUAWEI製ＰＣＳ接続枚数計算ツール!$C$108&gt;=AF$2,HUAWEI製ＰＣＳ接続枚数計算ツール!$E$108&lt;=AF$2,枚数!AF23&gt;0),枚数!AF23,IF(AND(標準可否!AF23=1,低温可否!AF23=1,HUAWEI製ＰＣＳ接続枚数計算ツール!$C$108&gt;=AF$2,枚数!AF23&gt;0,低電圧接続!AF23&gt;0),枚数!AF23,"-"))</f>
        <v>-</v>
      </c>
      <c r="AG23" s="123" t="str">
        <f>IF(AND(高温可否!AG23=1,低温可否!AG23=1,標準可否!AG23=1,HUAWEI製ＰＣＳ接続枚数計算ツール!$C$108&gt;=AG$2,HUAWEI製ＰＣＳ接続枚数計算ツール!$E$108&lt;=AG$2,枚数!AG23&gt;0),枚数!AG23,IF(AND(標準可否!AG23=1,低温可否!AG23=1,HUAWEI製ＰＣＳ接続枚数計算ツール!$C$108&gt;=AG$2,枚数!AG23&gt;0,低電圧接続!AG23&gt;0),枚数!AG23,"-"))</f>
        <v>-</v>
      </c>
      <c r="AH23" s="124" t="str">
        <f>IF(AND(高温可否!AH23=1,低温可否!AH23=1,標準可否!AH23=1,HUAWEI製ＰＣＳ接続枚数計算ツール!$C$108&gt;=AH$2,HUAWEI製ＰＣＳ接続枚数計算ツール!$E$108&lt;=AH$2,枚数!AH23&gt;0),枚数!AH23,IF(AND(標準可否!AH23=1,低温可否!AH23=1,HUAWEI製ＰＣＳ接続枚数計算ツール!$C$108&gt;=AH$2,枚数!AH23&gt;0,低電圧接続!AH23&gt;0),枚数!AH23,"-"))</f>
        <v>-</v>
      </c>
      <c r="AI23" s="123" t="str">
        <f>IF(AND(高温可否!AI23=1,低温可否!AI23=1,標準可否!AI23=1,HUAWEI製ＰＣＳ接続枚数計算ツール!$C$108&gt;=AI$2,HUAWEI製ＰＣＳ接続枚数計算ツール!$E$108&lt;=AI$2,枚数!AI23&gt;0),枚数!AI23,IF(AND(標準可否!AI23=1,低温可否!AI23=1,HUAWEI製ＰＣＳ接続枚数計算ツール!$C$108&gt;=AI$2,枚数!AI23&gt;0,低電圧接続!AI23&gt;0),枚数!AI23,"-"))</f>
        <v>-</v>
      </c>
      <c r="AJ23" s="124" t="str">
        <f>IF(AND(高温可否!AJ23=1,低温可否!AJ23=1,標準可否!AJ23=1,HUAWEI製ＰＣＳ接続枚数計算ツール!$C$108&gt;=AJ$2,HUAWEI製ＰＣＳ接続枚数計算ツール!$E$108&lt;=AJ$2,枚数!AJ23&gt;0),枚数!AJ23,IF(AND(標準可否!AJ23=1,低温可否!AJ23=1,HUAWEI製ＰＣＳ接続枚数計算ツール!$C$108&gt;=AJ$2,枚数!AJ23&gt;0,低電圧接続!AJ23&gt;0),枚数!AJ23,"-"))</f>
        <v>-</v>
      </c>
      <c r="AK23" s="123" t="str">
        <f>IF(AND(高温可否!AK23=1,低温可否!AK23=1,標準可否!AK23=1,HUAWEI製ＰＣＳ接続枚数計算ツール!$C$108&gt;=AK$2,HUAWEI製ＰＣＳ接続枚数計算ツール!$E$108&lt;=AK$2,枚数!AK23&gt;0),枚数!AK23,IF(AND(標準可否!AK23=1,低温可否!AK23=1,HUAWEI製ＰＣＳ接続枚数計算ツール!$C$108&gt;=AK$2,枚数!AK23&gt;0,低電圧接続!AK23&gt;0),枚数!AK23,"-"))</f>
        <v>-</v>
      </c>
      <c r="AL23" s="124" t="str">
        <f>IF(AND(高温可否!AL23=1,低温可否!AL23=1,標準可否!AL23=1,HUAWEI製ＰＣＳ接続枚数計算ツール!$C$108&gt;=AL$2,HUAWEI製ＰＣＳ接続枚数計算ツール!$E$108&lt;=AL$2,枚数!AL23&gt;0),枚数!AL23,IF(AND(標準可否!AL23=1,低温可否!AL23=1,HUAWEI製ＰＣＳ接続枚数計算ツール!$C$108&gt;=AL$2,枚数!AL23&gt;0,低電圧接続!AL23&gt;0),枚数!AL23,"-"))</f>
        <v>-</v>
      </c>
      <c r="AM23" s="123" t="str">
        <f>IF(AND(高温可否!AM23=1,低温可否!AM23=1,標準可否!AM23=1,HUAWEI製ＰＣＳ接続枚数計算ツール!$C$108&gt;=AM$2,HUAWEI製ＰＣＳ接続枚数計算ツール!$E$108&lt;=AM$2,枚数!AM23&gt;0),枚数!AM23,IF(AND(標準可否!AM23=1,低温可否!AM23=1,HUAWEI製ＰＣＳ接続枚数計算ツール!$C$108&gt;=AM$2,枚数!AM23&gt;0,低電圧接続!AM23&gt;0),枚数!AM23,"-"))</f>
        <v>-</v>
      </c>
      <c r="AN23" s="124" t="str">
        <f>IF(AND(高温可否!AN23=1,低温可否!AN23=1,標準可否!AN23=1,HUAWEI製ＰＣＳ接続枚数計算ツール!$C$108&gt;=AN$2,HUAWEI製ＰＣＳ接続枚数計算ツール!$E$108&lt;=AN$2,枚数!AN23&gt;0),枚数!AN23,IF(AND(標準可否!AN23=1,低温可否!AN23=1,HUAWEI製ＰＣＳ接続枚数計算ツール!$C$108&gt;=AN$2,枚数!AN23&gt;0,低電圧接続!AN23&gt;0),枚数!AN23,"-"))</f>
        <v>-</v>
      </c>
      <c r="AO23" s="125" t="str">
        <f>IF(AND(高温可否!AO23=1,低温可否!AO23=1,標準可否!AO23=1,HUAWEI製ＰＣＳ接続枚数計算ツール!$C$108&gt;=AO$2,HUAWEI製ＰＣＳ接続枚数計算ツール!$E$108&lt;=AO$2,枚数!AO23&gt;0),枚数!AO23,IF(AND(標準可否!AO23=1,低温可否!AO23=1,HUAWEI製ＰＣＳ接続枚数計算ツール!$C$108&gt;=AO$2,枚数!AO23&gt;0,低電圧接続!AO23&gt;0),枚数!AO23,"-"))</f>
        <v>-</v>
      </c>
    </row>
    <row r="24" spans="1:41">
      <c r="A24" s="115">
        <v>22</v>
      </c>
      <c r="B24" s="126" t="str">
        <f>IF(AND(高温可否!B24=1,低温可否!B24=1,標準可否!B24=1,HUAWEI製ＰＣＳ接続枚数計算ツール!$C$108&gt;=B$2,HUAWEI製ＰＣＳ接続枚数計算ツール!$E$108&lt;=B$2,枚数!B24&gt;0),枚数!B24,IF(AND(標準可否!B24=1,低温可否!B24=1,HUAWEI製ＰＣＳ接続枚数計算ツール!$C$108&gt;=B$2,枚数!B24&gt;0,低電圧接続!B24&gt;0),枚数!B24,"-"))</f>
        <v>-</v>
      </c>
      <c r="C24" s="127" t="str">
        <f>IF(AND(高温可否!C24=1,低温可否!C24=1,標準可否!C24=1,HUAWEI製ＰＣＳ接続枚数計算ツール!$C$108&gt;=C$2,HUAWEI製ＰＣＳ接続枚数計算ツール!$E$108&lt;=C$2,枚数!C24&gt;0),枚数!C24,IF(AND(標準可否!C24=1,低温可否!C24=1,HUAWEI製ＰＣＳ接続枚数計算ツール!$C$108&gt;=C$2,枚数!C24&gt;0,低電圧接続!C24&gt;0),枚数!C24,"-"))</f>
        <v>-</v>
      </c>
      <c r="D24" s="128" t="str">
        <f>IF(AND(高温可否!D24=1,低温可否!D24=1,標準可否!D24=1,HUAWEI製ＰＣＳ接続枚数計算ツール!$C$108&gt;=D$2,HUAWEI製ＰＣＳ接続枚数計算ツール!$E$108&lt;=D$2,枚数!D24&gt;0),枚数!D24,IF(AND(標準可否!D24=1,低温可否!D24=1,HUAWEI製ＰＣＳ接続枚数計算ツール!$C$108&gt;=D$2,枚数!D24&gt;0,低電圧接続!D24&gt;0),枚数!D24,"-"))</f>
        <v>-</v>
      </c>
      <c r="E24" s="127" t="str">
        <f>IF(AND(高温可否!E24=1,低温可否!E24=1,標準可否!E24=1,HUAWEI製ＰＣＳ接続枚数計算ツール!$C$108&gt;=E$2,HUAWEI製ＰＣＳ接続枚数計算ツール!$E$108&lt;=E$2,枚数!E24&gt;0),枚数!E24,IF(AND(標準可否!E24=1,低温可否!E24=1,HUAWEI製ＰＣＳ接続枚数計算ツール!$C$108&gt;=E$2,枚数!E24&gt;0,低電圧接続!E24&gt;0),枚数!E24,"-"))</f>
        <v>-</v>
      </c>
      <c r="F24" s="128" t="str">
        <f>IF(AND(高温可否!F24=1,低温可否!F24=1,標準可否!F24=1,HUAWEI製ＰＣＳ接続枚数計算ツール!$C$108&gt;=F$2,HUAWEI製ＰＣＳ接続枚数計算ツール!$E$108&lt;=F$2,枚数!F24&gt;0),枚数!F24,IF(AND(標準可否!F24=1,低温可否!F24=1,HUAWEI製ＰＣＳ接続枚数計算ツール!$C$108&gt;=F$2,枚数!F24&gt;0,低電圧接続!F24&gt;0),枚数!F24,"-"))</f>
        <v>-</v>
      </c>
      <c r="G24" s="127" t="str">
        <f>IF(AND(高温可否!G24=1,低温可否!G24=1,標準可否!G24=1,HUAWEI製ＰＣＳ接続枚数計算ツール!$C$108&gt;=G$2,HUAWEI製ＰＣＳ接続枚数計算ツール!$E$108&lt;=G$2,枚数!G24&gt;0),枚数!G24,IF(AND(標準可否!G24=1,低温可否!G24=1,HUAWEI製ＰＣＳ接続枚数計算ツール!$C$108&gt;=G$2,枚数!G24&gt;0,低電圧接続!G24&gt;0),枚数!G24,"-"))</f>
        <v>-</v>
      </c>
      <c r="H24" s="128" t="str">
        <f>IF(AND(高温可否!H24=1,低温可否!H24=1,標準可否!H24=1,HUAWEI製ＰＣＳ接続枚数計算ツール!$C$108&gt;=H$2,HUAWEI製ＰＣＳ接続枚数計算ツール!$E$108&lt;=H$2,枚数!H24&gt;0),枚数!H24,IF(AND(標準可否!H24=1,低温可否!H24=1,HUAWEI製ＰＣＳ接続枚数計算ツール!$C$108&gt;=H$2,枚数!H24&gt;0,低電圧接続!H24&gt;0),枚数!H24,"-"))</f>
        <v>-</v>
      </c>
      <c r="I24" s="127" t="str">
        <f>IF(AND(高温可否!I24=1,低温可否!I24=1,標準可否!I24=1,HUAWEI製ＰＣＳ接続枚数計算ツール!$C$108&gt;=I$2,HUAWEI製ＰＣＳ接続枚数計算ツール!$E$108&lt;=I$2,枚数!I24&gt;0),枚数!I24,IF(AND(標準可否!I24=1,低温可否!I24=1,HUAWEI製ＰＣＳ接続枚数計算ツール!$C$108&gt;=I$2,枚数!I24&gt;0,低電圧接続!I24&gt;0),枚数!I24,"-"))</f>
        <v>-</v>
      </c>
      <c r="J24" s="128" t="str">
        <f>IF(AND(高温可否!J24=1,低温可否!J24=1,標準可否!J24=1,HUAWEI製ＰＣＳ接続枚数計算ツール!$C$108&gt;=J$2,HUAWEI製ＰＣＳ接続枚数計算ツール!$E$108&lt;=J$2,枚数!J24&gt;0),枚数!J24,IF(AND(標準可否!J24=1,低温可否!J24=1,HUAWEI製ＰＣＳ接続枚数計算ツール!$C$108&gt;=J$2,枚数!J24&gt;0,低電圧接続!J24&gt;0),枚数!J24,"-"))</f>
        <v>-</v>
      </c>
      <c r="K24" s="127" t="str">
        <f>IF(AND(高温可否!K24=1,低温可否!K24=1,標準可否!K24=1,HUAWEI製ＰＣＳ接続枚数計算ツール!$C$108&gt;=K$2,HUAWEI製ＰＣＳ接続枚数計算ツール!$E$108&lt;=K$2,枚数!K24&gt;0),枚数!K24,IF(AND(標準可否!K24=1,低温可否!K24=1,HUAWEI製ＰＣＳ接続枚数計算ツール!$C$108&gt;=K$2,枚数!K24&gt;0,低電圧接続!K24&gt;0),枚数!K24,"-"))</f>
        <v>-</v>
      </c>
      <c r="L24" s="128" t="str">
        <f>IF(AND(高温可否!L24=1,低温可否!L24=1,標準可否!L24=1,HUAWEI製ＰＣＳ接続枚数計算ツール!$C$108&gt;=L$2,HUAWEI製ＰＣＳ接続枚数計算ツール!$E$108&lt;=L$2,枚数!L24&gt;0),枚数!L24,IF(AND(標準可否!L24=1,低温可否!L24=1,HUAWEI製ＰＣＳ接続枚数計算ツール!$C$108&gt;=L$2,枚数!L24&gt;0,低電圧接続!L24&gt;0),枚数!L24,"-"))</f>
        <v>-</v>
      </c>
      <c r="M24" s="127" t="str">
        <f>IF(AND(高温可否!M24=1,低温可否!M24=1,標準可否!M24=1,HUAWEI製ＰＣＳ接続枚数計算ツール!$C$108&gt;=M$2,HUAWEI製ＰＣＳ接続枚数計算ツール!$E$108&lt;=M$2,枚数!M24&gt;0),枚数!M24,IF(AND(標準可否!M24=1,低温可否!M24=1,HUAWEI製ＰＣＳ接続枚数計算ツール!$C$108&gt;=M$2,枚数!M24&gt;0,低電圧接続!M24&gt;0),枚数!M24,"-"))</f>
        <v>-</v>
      </c>
      <c r="N24" s="128" t="str">
        <f>IF(AND(高温可否!N24=1,低温可否!N24=1,標準可否!N24=1,HUAWEI製ＰＣＳ接続枚数計算ツール!$C$108&gt;=N$2,HUAWEI製ＰＣＳ接続枚数計算ツール!$E$108&lt;=N$2,枚数!N24&gt;0),枚数!N24,IF(AND(標準可否!N24=1,低温可否!N24=1,HUAWEI製ＰＣＳ接続枚数計算ツール!$C$108&gt;=N$2,枚数!N24&gt;0,低電圧接続!N24&gt;0),枚数!N24,"-"))</f>
        <v>-</v>
      </c>
      <c r="O24" s="127" t="str">
        <f>IF(AND(高温可否!O24=1,低温可否!O24=1,標準可否!O24=1,HUAWEI製ＰＣＳ接続枚数計算ツール!$C$108&gt;=O$2,HUAWEI製ＰＣＳ接続枚数計算ツール!$E$108&lt;=O$2,枚数!O24&gt;0),枚数!O24,IF(AND(標準可否!O24=1,低温可否!O24=1,HUAWEI製ＰＣＳ接続枚数計算ツール!$C$108&gt;=O$2,枚数!O24&gt;0,低電圧接続!O24&gt;0),枚数!O24,"-"))</f>
        <v>-</v>
      </c>
      <c r="P24" s="128" t="str">
        <f>IF(AND(高温可否!P24=1,低温可否!P24=1,標準可否!P24=1,HUAWEI製ＰＣＳ接続枚数計算ツール!$C$108&gt;=P$2,HUAWEI製ＰＣＳ接続枚数計算ツール!$E$108&lt;=P$2,枚数!P24&gt;0),枚数!P24,IF(AND(標準可否!P24=1,低温可否!P24=1,HUAWEI製ＰＣＳ接続枚数計算ツール!$C$108&gt;=P$2,枚数!P24&gt;0,低電圧接続!P24&gt;0),枚数!P24,"-"))</f>
        <v>-</v>
      </c>
      <c r="Q24" s="127" t="str">
        <f>IF(AND(高温可否!Q24=1,低温可否!Q24=1,標準可否!Q24=1,HUAWEI製ＰＣＳ接続枚数計算ツール!$C$108&gt;=Q$2,HUAWEI製ＰＣＳ接続枚数計算ツール!$E$108&lt;=Q$2,枚数!Q24&gt;0),枚数!Q24,IF(AND(標準可否!Q24=1,低温可否!Q24=1,HUAWEI製ＰＣＳ接続枚数計算ツール!$C$108&gt;=Q$2,枚数!Q24&gt;0,低電圧接続!Q24&gt;0),枚数!Q24,"-"))</f>
        <v>-</v>
      </c>
      <c r="R24" s="128" t="str">
        <f>IF(AND(高温可否!R24=1,低温可否!R24=1,標準可否!R24=1,HUAWEI製ＰＣＳ接続枚数計算ツール!$C$108&gt;=R$2,HUAWEI製ＰＣＳ接続枚数計算ツール!$E$108&lt;=R$2,枚数!R24&gt;0),枚数!R24,IF(AND(標準可否!R24=1,低温可否!R24=1,HUAWEI製ＰＣＳ接続枚数計算ツール!$C$108&gt;=R$2,枚数!R24&gt;0,低電圧接続!R24&gt;0),枚数!R24,"-"))</f>
        <v>-</v>
      </c>
      <c r="S24" s="127" t="str">
        <f>IF(AND(高温可否!S24=1,低温可否!S24=1,標準可否!S24=1,HUAWEI製ＰＣＳ接続枚数計算ツール!$C$108&gt;=S$2,HUAWEI製ＰＣＳ接続枚数計算ツール!$E$108&lt;=S$2,枚数!S24&gt;0),枚数!S24,IF(AND(標準可否!S24=1,低温可否!S24=1,HUAWEI製ＰＣＳ接続枚数計算ツール!$C$108&gt;=S$2,枚数!S24&gt;0,低電圧接続!S24&gt;0),枚数!S24,"-"))</f>
        <v>-</v>
      </c>
      <c r="T24" s="128" t="str">
        <f>IF(AND(高温可否!T24=1,低温可否!T24=1,標準可否!T24=1,HUAWEI製ＰＣＳ接続枚数計算ツール!$C$108&gt;=T$2,HUAWEI製ＰＣＳ接続枚数計算ツール!$E$108&lt;=T$2,枚数!T24&gt;0),枚数!T24,IF(AND(標準可否!T24=1,低温可否!T24=1,HUAWEI製ＰＣＳ接続枚数計算ツール!$C$108&gt;=T$2,枚数!T24&gt;0,低電圧接続!T24&gt;0),枚数!T24,"-"))</f>
        <v>-</v>
      </c>
      <c r="U24" s="127" t="str">
        <f>IF(AND(高温可否!U24=1,低温可否!U24=1,標準可否!U24=1,HUAWEI製ＰＣＳ接続枚数計算ツール!$C$108&gt;=U$2,HUAWEI製ＰＣＳ接続枚数計算ツール!$E$108&lt;=U$2,枚数!U24&gt;0),枚数!U24,IF(AND(標準可否!U24=1,低温可否!U24=1,HUAWEI製ＰＣＳ接続枚数計算ツール!$C$108&gt;=U$2,枚数!U24&gt;0,低電圧接続!U24&gt;0),枚数!U24,"-"))</f>
        <v>-</v>
      </c>
      <c r="V24" s="128" t="str">
        <f>IF(AND(高温可否!V24=1,低温可否!V24=1,標準可否!V24=1,HUAWEI製ＰＣＳ接続枚数計算ツール!$C$108&gt;=V$2,HUAWEI製ＰＣＳ接続枚数計算ツール!$E$108&lt;=V$2,枚数!V24&gt;0),枚数!V24,IF(AND(標準可否!V24=1,低温可否!V24=1,HUAWEI製ＰＣＳ接続枚数計算ツール!$C$108&gt;=V$2,枚数!V24&gt;0,低電圧接続!V24&gt;0),枚数!V24,"-"))</f>
        <v>-</v>
      </c>
      <c r="W24" s="127" t="str">
        <f>IF(AND(高温可否!W24=1,低温可否!W24=1,標準可否!W24=1,HUAWEI製ＰＣＳ接続枚数計算ツール!$C$108&gt;=W$2,HUAWEI製ＰＣＳ接続枚数計算ツール!$E$108&lt;=W$2,枚数!W24&gt;0),枚数!W24,IF(AND(標準可否!W24=1,低温可否!W24=1,HUAWEI製ＰＣＳ接続枚数計算ツール!$C$108&gt;=W$2,枚数!W24&gt;0,低電圧接続!W24&gt;0),枚数!W24,"-"))</f>
        <v>-</v>
      </c>
      <c r="X24" s="128" t="str">
        <f>IF(AND(高温可否!X24=1,低温可否!X24=1,標準可否!X24=1,HUAWEI製ＰＣＳ接続枚数計算ツール!$C$108&gt;=X$2,HUAWEI製ＰＣＳ接続枚数計算ツール!$E$108&lt;=X$2,枚数!X24&gt;0),枚数!X24,IF(AND(標準可否!X24=1,低温可否!X24=1,HUAWEI製ＰＣＳ接続枚数計算ツール!$C$108&gt;=X$2,枚数!X24&gt;0,低電圧接続!X24&gt;0),枚数!X24,"-"))</f>
        <v>-</v>
      </c>
      <c r="Y24" s="127" t="str">
        <f>IF(AND(高温可否!Y24=1,低温可否!Y24=1,標準可否!Y24=1,HUAWEI製ＰＣＳ接続枚数計算ツール!$C$108&gt;=Y$2,HUAWEI製ＰＣＳ接続枚数計算ツール!$E$108&lt;=Y$2,枚数!Y24&gt;0),枚数!Y24,IF(AND(標準可否!Y24=1,低温可否!Y24=1,HUAWEI製ＰＣＳ接続枚数計算ツール!$C$108&gt;=Y$2,枚数!Y24&gt;0,低電圧接続!Y24&gt;0),枚数!Y24,"-"))</f>
        <v>-</v>
      </c>
      <c r="Z24" s="128" t="str">
        <f>IF(AND(高温可否!Z24=1,低温可否!Z24=1,標準可否!Z24=1,HUAWEI製ＰＣＳ接続枚数計算ツール!$C$108&gt;=Z$2,HUAWEI製ＰＣＳ接続枚数計算ツール!$E$108&lt;=Z$2,枚数!Z24&gt;0),枚数!Z24,IF(AND(標準可否!Z24=1,低温可否!Z24=1,HUAWEI製ＰＣＳ接続枚数計算ツール!$C$108&gt;=Z$2,枚数!Z24&gt;0,低電圧接続!Z24&gt;0),枚数!Z24,"-"))</f>
        <v>-</v>
      </c>
      <c r="AA24" s="127" t="str">
        <f>IF(AND(高温可否!AA24=1,低温可否!AA24=1,標準可否!AA24=1,HUAWEI製ＰＣＳ接続枚数計算ツール!$C$108&gt;=AA$2,HUAWEI製ＰＣＳ接続枚数計算ツール!$E$108&lt;=AA$2,枚数!AA24&gt;0),枚数!AA24,IF(AND(標準可否!AA24=1,低温可否!AA24=1,HUAWEI製ＰＣＳ接続枚数計算ツール!$C$108&gt;=AA$2,枚数!AA24&gt;0,低電圧接続!AA24&gt;0),枚数!AA24,"-"))</f>
        <v>-</v>
      </c>
      <c r="AB24" s="128" t="str">
        <f>IF(AND(高温可否!AB24=1,低温可否!AB24=1,標準可否!AB24=1,HUAWEI製ＰＣＳ接続枚数計算ツール!$C$108&gt;=AB$2,HUAWEI製ＰＣＳ接続枚数計算ツール!$E$108&lt;=AB$2,枚数!AB24&gt;0),枚数!AB24,IF(AND(標準可否!AB24=1,低温可否!AB24=1,HUAWEI製ＰＣＳ接続枚数計算ツール!$C$108&gt;=AB$2,枚数!AB24&gt;0,低電圧接続!AB24&gt;0),枚数!AB24,"-"))</f>
        <v>-</v>
      </c>
      <c r="AC24" s="127" t="str">
        <f>IF(AND(高温可否!AC24=1,低温可否!AC24=1,標準可否!AC24=1,HUAWEI製ＰＣＳ接続枚数計算ツール!$C$108&gt;=AC$2,HUAWEI製ＰＣＳ接続枚数計算ツール!$E$108&lt;=AC$2,枚数!AC24&gt;0),枚数!AC24,IF(AND(標準可否!AC24=1,低温可否!AC24=1,HUAWEI製ＰＣＳ接続枚数計算ツール!$C$108&gt;=AC$2,枚数!AC24&gt;0,低電圧接続!AC24&gt;0),枚数!AC24,"-"))</f>
        <v>-</v>
      </c>
      <c r="AD24" s="128" t="str">
        <f>IF(AND(高温可否!AD24=1,低温可否!AD24=1,標準可否!AD24=1,HUAWEI製ＰＣＳ接続枚数計算ツール!$C$108&gt;=AD$2,HUAWEI製ＰＣＳ接続枚数計算ツール!$E$108&lt;=AD$2,枚数!AD24&gt;0),枚数!AD24,IF(AND(標準可否!AD24=1,低温可否!AD24=1,HUAWEI製ＰＣＳ接続枚数計算ツール!$C$108&gt;=AD$2,枚数!AD24&gt;0,低電圧接続!AD24&gt;0),枚数!AD24,"-"))</f>
        <v>-</v>
      </c>
      <c r="AE24" s="127" t="str">
        <f>IF(AND(高温可否!AE24=1,低温可否!AE24=1,標準可否!AE24=1,HUAWEI製ＰＣＳ接続枚数計算ツール!$C$108&gt;=AE$2,HUAWEI製ＰＣＳ接続枚数計算ツール!$E$108&lt;=AE$2,枚数!AE24&gt;0),枚数!AE24,IF(AND(標準可否!AE24=1,低温可否!AE24=1,HUAWEI製ＰＣＳ接続枚数計算ツール!$C$108&gt;=AE$2,枚数!AE24&gt;0,低電圧接続!AE24&gt;0),枚数!AE24,"-"))</f>
        <v>-</v>
      </c>
      <c r="AF24" s="128" t="str">
        <f>IF(AND(高温可否!AF24=1,低温可否!AF24=1,標準可否!AF24=1,HUAWEI製ＰＣＳ接続枚数計算ツール!$C$108&gt;=AF$2,HUAWEI製ＰＣＳ接続枚数計算ツール!$E$108&lt;=AF$2,枚数!AF24&gt;0),枚数!AF24,IF(AND(標準可否!AF24=1,低温可否!AF24=1,HUAWEI製ＰＣＳ接続枚数計算ツール!$C$108&gt;=AF$2,枚数!AF24&gt;0,低電圧接続!AF24&gt;0),枚数!AF24,"-"))</f>
        <v>-</v>
      </c>
      <c r="AG24" s="127" t="str">
        <f>IF(AND(高温可否!AG24=1,低温可否!AG24=1,標準可否!AG24=1,HUAWEI製ＰＣＳ接続枚数計算ツール!$C$108&gt;=AG$2,HUAWEI製ＰＣＳ接続枚数計算ツール!$E$108&lt;=AG$2,枚数!AG24&gt;0),枚数!AG24,IF(AND(標準可否!AG24=1,低温可否!AG24=1,HUAWEI製ＰＣＳ接続枚数計算ツール!$C$108&gt;=AG$2,枚数!AG24&gt;0,低電圧接続!AG24&gt;0),枚数!AG24,"-"))</f>
        <v>-</v>
      </c>
      <c r="AH24" s="128" t="str">
        <f>IF(AND(高温可否!AH24=1,低温可否!AH24=1,標準可否!AH24=1,HUAWEI製ＰＣＳ接続枚数計算ツール!$C$108&gt;=AH$2,HUAWEI製ＰＣＳ接続枚数計算ツール!$E$108&lt;=AH$2,枚数!AH24&gt;0),枚数!AH24,IF(AND(標準可否!AH24=1,低温可否!AH24=1,HUAWEI製ＰＣＳ接続枚数計算ツール!$C$108&gt;=AH$2,枚数!AH24&gt;0,低電圧接続!AH24&gt;0),枚数!AH24,"-"))</f>
        <v>-</v>
      </c>
      <c r="AI24" s="127" t="str">
        <f>IF(AND(高温可否!AI24=1,低温可否!AI24=1,標準可否!AI24=1,HUAWEI製ＰＣＳ接続枚数計算ツール!$C$108&gt;=AI$2,HUAWEI製ＰＣＳ接続枚数計算ツール!$E$108&lt;=AI$2,枚数!AI24&gt;0),枚数!AI24,IF(AND(標準可否!AI24=1,低温可否!AI24=1,HUAWEI製ＰＣＳ接続枚数計算ツール!$C$108&gt;=AI$2,枚数!AI24&gt;0,低電圧接続!AI24&gt;0),枚数!AI24,"-"))</f>
        <v>-</v>
      </c>
      <c r="AJ24" s="128" t="str">
        <f>IF(AND(高温可否!AJ24=1,低温可否!AJ24=1,標準可否!AJ24=1,HUAWEI製ＰＣＳ接続枚数計算ツール!$C$108&gt;=AJ$2,HUAWEI製ＰＣＳ接続枚数計算ツール!$E$108&lt;=AJ$2,枚数!AJ24&gt;0),枚数!AJ24,IF(AND(標準可否!AJ24=1,低温可否!AJ24=1,HUAWEI製ＰＣＳ接続枚数計算ツール!$C$108&gt;=AJ$2,枚数!AJ24&gt;0,低電圧接続!AJ24&gt;0),枚数!AJ24,"-"))</f>
        <v>-</v>
      </c>
      <c r="AK24" s="127" t="str">
        <f>IF(AND(高温可否!AK24=1,低温可否!AK24=1,標準可否!AK24=1,HUAWEI製ＰＣＳ接続枚数計算ツール!$C$108&gt;=AK$2,HUAWEI製ＰＣＳ接続枚数計算ツール!$E$108&lt;=AK$2,枚数!AK24&gt;0),枚数!AK24,IF(AND(標準可否!AK24=1,低温可否!AK24=1,HUAWEI製ＰＣＳ接続枚数計算ツール!$C$108&gt;=AK$2,枚数!AK24&gt;0,低電圧接続!AK24&gt;0),枚数!AK24,"-"))</f>
        <v>-</v>
      </c>
      <c r="AL24" s="128" t="str">
        <f>IF(AND(高温可否!AL24=1,低温可否!AL24=1,標準可否!AL24=1,HUAWEI製ＰＣＳ接続枚数計算ツール!$C$108&gt;=AL$2,HUAWEI製ＰＣＳ接続枚数計算ツール!$E$108&lt;=AL$2,枚数!AL24&gt;0),枚数!AL24,IF(AND(標準可否!AL24=1,低温可否!AL24=1,HUAWEI製ＰＣＳ接続枚数計算ツール!$C$108&gt;=AL$2,枚数!AL24&gt;0,低電圧接続!AL24&gt;0),枚数!AL24,"-"))</f>
        <v>-</v>
      </c>
      <c r="AM24" s="127" t="str">
        <f>IF(AND(高温可否!AM24=1,低温可否!AM24=1,標準可否!AM24=1,HUAWEI製ＰＣＳ接続枚数計算ツール!$C$108&gt;=AM$2,HUAWEI製ＰＣＳ接続枚数計算ツール!$E$108&lt;=AM$2,枚数!AM24&gt;0),枚数!AM24,IF(AND(標準可否!AM24=1,低温可否!AM24=1,HUAWEI製ＰＣＳ接続枚数計算ツール!$C$108&gt;=AM$2,枚数!AM24&gt;0,低電圧接続!AM24&gt;0),枚数!AM24,"-"))</f>
        <v>-</v>
      </c>
      <c r="AN24" s="128" t="str">
        <f>IF(AND(高温可否!AN24=1,低温可否!AN24=1,標準可否!AN24=1,HUAWEI製ＰＣＳ接続枚数計算ツール!$C$108&gt;=AN$2,HUAWEI製ＰＣＳ接続枚数計算ツール!$E$108&lt;=AN$2,枚数!AN24&gt;0),枚数!AN24,IF(AND(標準可否!AN24=1,低温可否!AN24=1,HUAWEI製ＰＣＳ接続枚数計算ツール!$C$108&gt;=AN$2,枚数!AN24&gt;0,低電圧接続!AN24&gt;0),枚数!AN24,"-"))</f>
        <v>-</v>
      </c>
      <c r="AO24" s="129" t="str">
        <f>IF(AND(高温可否!AO24=1,低温可否!AO24=1,標準可否!AO24=1,HUAWEI製ＰＣＳ接続枚数計算ツール!$C$108&gt;=AO$2,HUAWEI製ＰＣＳ接続枚数計算ツール!$E$108&lt;=AO$2,枚数!AO24&gt;0),枚数!AO24,IF(AND(標準可否!AO24=1,低温可否!AO24=1,HUAWEI製ＰＣＳ接続枚数計算ツール!$C$108&gt;=AO$2,枚数!AO24&gt;0,低電圧接続!AO24&gt;0),枚数!AO24,"-"))</f>
        <v>-</v>
      </c>
    </row>
    <row r="25" spans="1:41">
      <c r="A25" s="116">
        <v>23</v>
      </c>
      <c r="B25" s="122" t="str">
        <f>IF(AND(高温可否!B25=1,低温可否!B25=1,標準可否!B25=1,HUAWEI製ＰＣＳ接続枚数計算ツール!$C$108&gt;=B$2,HUAWEI製ＰＣＳ接続枚数計算ツール!$E$108&lt;=B$2,枚数!B25&gt;0),枚数!B25,IF(AND(標準可否!B25=1,低温可否!B25=1,HUAWEI製ＰＣＳ接続枚数計算ツール!$C$108&gt;=B$2,枚数!B25&gt;0,低電圧接続!B25&gt;0),枚数!B25,"-"))</f>
        <v>-</v>
      </c>
      <c r="C25" s="123" t="str">
        <f>IF(AND(高温可否!C25=1,低温可否!C25=1,標準可否!C25=1,HUAWEI製ＰＣＳ接続枚数計算ツール!$C$108&gt;=C$2,HUAWEI製ＰＣＳ接続枚数計算ツール!$E$108&lt;=C$2,枚数!C25&gt;0),枚数!C25,IF(AND(標準可否!C25=1,低温可否!C25=1,HUAWEI製ＰＣＳ接続枚数計算ツール!$C$108&gt;=C$2,枚数!C25&gt;0,低電圧接続!C25&gt;0),枚数!C25,"-"))</f>
        <v>-</v>
      </c>
      <c r="D25" s="124" t="str">
        <f>IF(AND(高温可否!D25=1,低温可否!D25=1,標準可否!D25=1,HUAWEI製ＰＣＳ接続枚数計算ツール!$C$108&gt;=D$2,HUAWEI製ＰＣＳ接続枚数計算ツール!$E$108&lt;=D$2,枚数!D25&gt;0),枚数!D25,IF(AND(標準可否!D25=1,低温可否!D25=1,HUAWEI製ＰＣＳ接続枚数計算ツール!$C$108&gt;=D$2,枚数!D25&gt;0,低電圧接続!D25&gt;0),枚数!D25,"-"))</f>
        <v>-</v>
      </c>
      <c r="E25" s="123" t="str">
        <f>IF(AND(高温可否!E25=1,低温可否!E25=1,標準可否!E25=1,HUAWEI製ＰＣＳ接続枚数計算ツール!$C$108&gt;=E$2,HUAWEI製ＰＣＳ接続枚数計算ツール!$E$108&lt;=E$2,枚数!E25&gt;0),枚数!E25,IF(AND(標準可否!E25=1,低温可否!E25=1,HUAWEI製ＰＣＳ接続枚数計算ツール!$C$108&gt;=E$2,枚数!E25&gt;0,低電圧接続!E25&gt;0),枚数!E25,"-"))</f>
        <v>-</v>
      </c>
      <c r="F25" s="124" t="str">
        <f>IF(AND(高温可否!F25=1,低温可否!F25=1,標準可否!F25=1,HUAWEI製ＰＣＳ接続枚数計算ツール!$C$108&gt;=F$2,HUAWEI製ＰＣＳ接続枚数計算ツール!$E$108&lt;=F$2,枚数!F25&gt;0),枚数!F25,IF(AND(標準可否!F25=1,低温可否!F25=1,HUAWEI製ＰＣＳ接続枚数計算ツール!$C$108&gt;=F$2,枚数!F25&gt;0,低電圧接続!F25&gt;0),枚数!F25,"-"))</f>
        <v>-</v>
      </c>
      <c r="G25" s="123" t="str">
        <f>IF(AND(高温可否!G25=1,低温可否!G25=1,標準可否!G25=1,HUAWEI製ＰＣＳ接続枚数計算ツール!$C$108&gt;=G$2,HUAWEI製ＰＣＳ接続枚数計算ツール!$E$108&lt;=G$2,枚数!G25&gt;0),枚数!G25,IF(AND(標準可否!G25=1,低温可否!G25=1,HUAWEI製ＰＣＳ接続枚数計算ツール!$C$108&gt;=G$2,枚数!G25&gt;0,低電圧接続!G25&gt;0),枚数!G25,"-"))</f>
        <v>-</v>
      </c>
      <c r="H25" s="124" t="str">
        <f>IF(AND(高温可否!H25=1,低温可否!H25=1,標準可否!H25=1,HUAWEI製ＰＣＳ接続枚数計算ツール!$C$108&gt;=H$2,HUAWEI製ＰＣＳ接続枚数計算ツール!$E$108&lt;=H$2,枚数!H25&gt;0),枚数!H25,IF(AND(標準可否!H25=1,低温可否!H25=1,HUAWEI製ＰＣＳ接続枚数計算ツール!$C$108&gt;=H$2,枚数!H25&gt;0,低電圧接続!H25&gt;0),枚数!H25,"-"))</f>
        <v>-</v>
      </c>
      <c r="I25" s="123" t="str">
        <f>IF(AND(高温可否!I25=1,低温可否!I25=1,標準可否!I25=1,HUAWEI製ＰＣＳ接続枚数計算ツール!$C$108&gt;=I$2,HUAWEI製ＰＣＳ接続枚数計算ツール!$E$108&lt;=I$2,枚数!I25&gt;0),枚数!I25,IF(AND(標準可否!I25=1,低温可否!I25=1,HUAWEI製ＰＣＳ接続枚数計算ツール!$C$108&gt;=I$2,枚数!I25&gt;0,低電圧接続!I25&gt;0),枚数!I25,"-"))</f>
        <v>-</v>
      </c>
      <c r="J25" s="124" t="str">
        <f>IF(AND(高温可否!J25=1,低温可否!J25=1,標準可否!J25=1,HUAWEI製ＰＣＳ接続枚数計算ツール!$C$108&gt;=J$2,HUAWEI製ＰＣＳ接続枚数計算ツール!$E$108&lt;=J$2,枚数!J25&gt;0),枚数!J25,IF(AND(標準可否!J25=1,低温可否!J25=1,HUAWEI製ＰＣＳ接続枚数計算ツール!$C$108&gt;=J$2,枚数!J25&gt;0,低電圧接続!J25&gt;0),枚数!J25,"-"))</f>
        <v>-</v>
      </c>
      <c r="K25" s="123" t="str">
        <f>IF(AND(高温可否!K25=1,低温可否!K25=1,標準可否!K25=1,HUAWEI製ＰＣＳ接続枚数計算ツール!$C$108&gt;=K$2,HUAWEI製ＰＣＳ接続枚数計算ツール!$E$108&lt;=K$2,枚数!K25&gt;0),枚数!K25,IF(AND(標準可否!K25=1,低温可否!K25=1,HUAWEI製ＰＣＳ接続枚数計算ツール!$C$108&gt;=K$2,枚数!K25&gt;0,低電圧接続!K25&gt;0),枚数!K25,"-"))</f>
        <v>-</v>
      </c>
      <c r="L25" s="124" t="str">
        <f>IF(AND(高温可否!L25=1,低温可否!L25=1,標準可否!L25=1,HUAWEI製ＰＣＳ接続枚数計算ツール!$C$108&gt;=L$2,HUAWEI製ＰＣＳ接続枚数計算ツール!$E$108&lt;=L$2,枚数!L25&gt;0),枚数!L25,IF(AND(標準可否!L25=1,低温可否!L25=1,HUAWEI製ＰＣＳ接続枚数計算ツール!$C$108&gt;=L$2,枚数!L25&gt;0,低電圧接続!L25&gt;0),枚数!L25,"-"))</f>
        <v>-</v>
      </c>
      <c r="M25" s="123" t="str">
        <f>IF(AND(高温可否!M25=1,低温可否!M25=1,標準可否!M25=1,HUAWEI製ＰＣＳ接続枚数計算ツール!$C$108&gt;=M$2,HUAWEI製ＰＣＳ接続枚数計算ツール!$E$108&lt;=M$2,枚数!M25&gt;0),枚数!M25,IF(AND(標準可否!M25=1,低温可否!M25=1,HUAWEI製ＰＣＳ接続枚数計算ツール!$C$108&gt;=M$2,枚数!M25&gt;0,低電圧接続!M25&gt;0),枚数!M25,"-"))</f>
        <v>-</v>
      </c>
      <c r="N25" s="124" t="str">
        <f>IF(AND(高温可否!N25=1,低温可否!N25=1,標準可否!N25=1,HUAWEI製ＰＣＳ接続枚数計算ツール!$C$108&gt;=N$2,HUAWEI製ＰＣＳ接続枚数計算ツール!$E$108&lt;=N$2,枚数!N25&gt;0),枚数!N25,IF(AND(標準可否!N25=1,低温可否!N25=1,HUAWEI製ＰＣＳ接続枚数計算ツール!$C$108&gt;=N$2,枚数!N25&gt;0,低電圧接続!N25&gt;0),枚数!N25,"-"))</f>
        <v>-</v>
      </c>
      <c r="O25" s="123" t="str">
        <f>IF(AND(高温可否!O25=1,低温可否!O25=1,標準可否!O25=1,HUAWEI製ＰＣＳ接続枚数計算ツール!$C$108&gt;=O$2,HUAWEI製ＰＣＳ接続枚数計算ツール!$E$108&lt;=O$2,枚数!O25&gt;0),枚数!O25,IF(AND(標準可否!O25=1,低温可否!O25=1,HUAWEI製ＰＣＳ接続枚数計算ツール!$C$108&gt;=O$2,枚数!O25&gt;0,低電圧接続!O25&gt;0),枚数!O25,"-"))</f>
        <v>-</v>
      </c>
      <c r="P25" s="124" t="str">
        <f>IF(AND(高温可否!P25=1,低温可否!P25=1,標準可否!P25=1,HUAWEI製ＰＣＳ接続枚数計算ツール!$C$108&gt;=P$2,HUAWEI製ＰＣＳ接続枚数計算ツール!$E$108&lt;=P$2,枚数!P25&gt;0),枚数!P25,IF(AND(標準可否!P25=1,低温可否!P25=1,HUAWEI製ＰＣＳ接続枚数計算ツール!$C$108&gt;=P$2,枚数!P25&gt;0,低電圧接続!P25&gt;0),枚数!P25,"-"))</f>
        <v>-</v>
      </c>
      <c r="Q25" s="123" t="str">
        <f>IF(AND(高温可否!Q25=1,低温可否!Q25=1,標準可否!Q25=1,HUAWEI製ＰＣＳ接続枚数計算ツール!$C$108&gt;=Q$2,HUAWEI製ＰＣＳ接続枚数計算ツール!$E$108&lt;=Q$2,枚数!Q25&gt;0),枚数!Q25,IF(AND(標準可否!Q25=1,低温可否!Q25=1,HUAWEI製ＰＣＳ接続枚数計算ツール!$C$108&gt;=Q$2,枚数!Q25&gt;0,低電圧接続!Q25&gt;0),枚数!Q25,"-"))</f>
        <v>-</v>
      </c>
      <c r="R25" s="124" t="str">
        <f>IF(AND(高温可否!R25=1,低温可否!R25=1,標準可否!R25=1,HUAWEI製ＰＣＳ接続枚数計算ツール!$C$108&gt;=R$2,HUAWEI製ＰＣＳ接続枚数計算ツール!$E$108&lt;=R$2,枚数!R25&gt;0),枚数!R25,IF(AND(標準可否!R25=1,低温可否!R25=1,HUAWEI製ＰＣＳ接続枚数計算ツール!$C$108&gt;=R$2,枚数!R25&gt;0,低電圧接続!R25&gt;0),枚数!R25,"-"))</f>
        <v>-</v>
      </c>
      <c r="S25" s="123" t="str">
        <f>IF(AND(高温可否!S25=1,低温可否!S25=1,標準可否!S25=1,HUAWEI製ＰＣＳ接続枚数計算ツール!$C$108&gt;=S$2,HUAWEI製ＰＣＳ接続枚数計算ツール!$E$108&lt;=S$2,枚数!S25&gt;0),枚数!S25,IF(AND(標準可否!S25=1,低温可否!S25=1,HUAWEI製ＰＣＳ接続枚数計算ツール!$C$108&gt;=S$2,枚数!S25&gt;0,低電圧接続!S25&gt;0),枚数!S25,"-"))</f>
        <v>-</v>
      </c>
      <c r="T25" s="124" t="str">
        <f>IF(AND(高温可否!T25=1,低温可否!T25=1,標準可否!T25=1,HUAWEI製ＰＣＳ接続枚数計算ツール!$C$108&gt;=T$2,HUAWEI製ＰＣＳ接続枚数計算ツール!$E$108&lt;=T$2,枚数!T25&gt;0),枚数!T25,IF(AND(標準可否!T25=1,低温可否!T25=1,HUAWEI製ＰＣＳ接続枚数計算ツール!$C$108&gt;=T$2,枚数!T25&gt;0,低電圧接続!T25&gt;0),枚数!T25,"-"))</f>
        <v>-</v>
      </c>
      <c r="U25" s="123" t="str">
        <f>IF(AND(高温可否!U25=1,低温可否!U25=1,標準可否!U25=1,HUAWEI製ＰＣＳ接続枚数計算ツール!$C$108&gt;=U$2,HUAWEI製ＰＣＳ接続枚数計算ツール!$E$108&lt;=U$2,枚数!U25&gt;0),枚数!U25,IF(AND(標準可否!U25=1,低温可否!U25=1,HUAWEI製ＰＣＳ接続枚数計算ツール!$C$108&gt;=U$2,枚数!U25&gt;0,低電圧接続!U25&gt;0),枚数!U25,"-"))</f>
        <v>-</v>
      </c>
      <c r="V25" s="124" t="str">
        <f>IF(AND(高温可否!V25=1,低温可否!V25=1,標準可否!V25=1,HUAWEI製ＰＣＳ接続枚数計算ツール!$C$108&gt;=V$2,HUAWEI製ＰＣＳ接続枚数計算ツール!$E$108&lt;=V$2,枚数!V25&gt;0),枚数!V25,IF(AND(標準可否!V25=1,低温可否!V25=1,HUAWEI製ＰＣＳ接続枚数計算ツール!$C$108&gt;=V$2,枚数!V25&gt;0,低電圧接続!V25&gt;0),枚数!V25,"-"))</f>
        <v>-</v>
      </c>
      <c r="W25" s="123" t="str">
        <f>IF(AND(高温可否!W25=1,低温可否!W25=1,標準可否!W25=1,HUAWEI製ＰＣＳ接続枚数計算ツール!$C$108&gt;=W$2,HUAWEI製ＰＣＳ接続枚数計算ツール!$E$108&lt;=W$2,枚数!W25&gt;0),枚数!W25,IF(AND(標準可否!W25=1,低温可否!W25=1,HUAWEI製ＰＣＳ接続枚数計算ツール!$C$108&gt;=W$2,枚数!W25&gt;0,低電圧接続!W25&gt;0),枚数!W25,"-"))</f>
        <v>-</v>
      </c>
      <c r="X25" s="124" t="str">
        <f>IF(AND(高温可否!X25=1,低温可否!X25=1,標準可否!X25=1,HUAWEI製ＰＣＳ接続枚数計算ツール!$C$108&gt;=X$2,HUAWEI製ＰＣＳ接続枚数計算ツール!$E$108&lt;=X$2,枚数!X25&gt;0),枚数!X25,IF(AND(標準可否!X25=1,低温可否!X25=1,HUAWEI製ＰＣＳ接続枚数計算ツール!$C$108&gt;=X$2,枚数!X25&gt;0,低電圧接続!X25&gt;0),枚数!X25,"-"))</f>
        <v>-</v>
      </c>
      <c r="Y25" s="123" t="str">
        <f>IF(AND(高温可否!Y25=1,低温可否!Y25=1,標準可否!Y25=1,HUAWEI製ＰＣＳ接続枚数計算ツール!$C$108&gt;=Y$2,HUAWEI製ＰＣＳ接続枚数計算ツール!$E$108&lt;=Y$2,枚数!Y25&gt;0),枚数!Y25,IF(AND(標準可否!Y25=1,低温可否!Y25=1,HUAWEI製ＰＣＳ接続枚数計算ツール!$C$108&gt;=Y$2,枚数!Y25&gt;0,低電圧接続!Y25&gt;0),枚数!Y25,"-"))</f>
        <v>-</v>
      </c>
      <c r="Z25" s="124" t="str">
        <f>IF(AND(高温可否!Z25=1,低温可否!Z25=1,標準可否!Z25=1,HUAWEI製ＰＣＳ接続枚数計算ツール!$C$108&gt;=Z$2,HUAWEI製ＰＣＳ接続枚数計算ツール!$E$108&lt;=Z$2,枚数!Z25&gt;0),枚数!Z25,IF(AND(標準可否!Z25=1,低温可否!Z25=1,HUAWEI製ＰＣＳ接続枚数計算ツール!$C$108&gt;=Z$2,枚数!Z25&gt;0,低電圧接続!Z25&gt;0),枚数!Z25,"-"))</f>
        <v>-</v>
      </c>
      <c r="AA25" s="123" t="str">
        <f>IF(AND(高温可否!AA25=1,低温可否!AA25=1,標準可否!AA25=1,HUAWEI製ＰＣＳ接続枚数計算ツール!$C$108&gt;=AA$2,HUAWEI製ＰＣＳ接続枚数計算ツール!$E$108&lt;=AA$2,枚数!AA25&gt;0),枚数!AA25,IF(AND(標準可否!AA25=1,低温可否!AA25=1,HUAWEI製ＰＣＳ接続枚数計算ツール!$C$108&gt;=AA$2,枚数!AA25&gt;0,低電圧接続!AA25&gt;0),枚数!AA25,"-"))</f>
        <v>-</v>
      </c>
      <c r="AB25" s="124" t="str">
        <f>IF(AND(高温可否!AB25=1,低温可否!AB25=1,標準可否!AB25=1,HUAWEI製ＰＣＳ接続枚数計算ツール!$C$108&gt;=AB$2,HUAWEI製ＰＣＳ接続枚数計算ツール!$E$108&lt;=AB$2,枚数!AB25&gt;0),枚数!AB25,IF(AND(標準可否!AB25=1,低温可否!AB25=1,HUAWEI製ＰＣＳ接続枚数計算ツール!$C$108&gt;=AB$2,枚数!AB25&gt;0,低電圧接続!AB25&gt;0),枚数!AB25,"-"))</f>
        <v>-</v>
      </c>
      <c r="AC25" s="123" t="str">
        <f>IF(AND(高温可否!AC25=1,低温可否!AC25=1,標準可否!AC25=1,HUAWEI製ＰＣＳ接続枚数計算ツール!$C$108&gt;=AC$2,HUAWEI製ＰＣＳ接続枚数計算ツール!$E$108&lt;=AC$2,枚数!AC25&gt;0),枚数!AC25,IF(AND(標準可否!AC25=1,低温可否!AC25=1,HUAWEI製ＰＣＳ接続枚数計算ツール!$C$108&gt;=AC$2,枚数!AC25&gt;0,低電圧接続!AC25&gt;0),枚数!AC25,"-"))</f>
        <v>-</v>
      </c>
      <c r="AD25" s="124" t="str">
        <f>IF(AND(高温可否!AD25=1,低温可否!AD25=1,標準可否!AD25=1,HUAWEI製ＰＣＳ接続枚数計算ツール!$C$108&gt;=AD$2,HUAWEI製ＰＣＳ接続枚数計算ツール!$E$108&lt;=AD$2,枚数!AD25&gt;0),枚数!AD25,IF(AND(標準可否!AD25=1,低温可否!AD25=1,HUAWEI製ＰＣＳ接続枚数計算ツール!$C$108&gt;=AD$2,枚数!AD25&gt;0,低電圧接続!AD25&gt;0),枚数!AD25,"-"))</f>
        <v>-</v>
      </c>
      <c r="AE25" s="123" t="str">
        <f>IF(AND(高温可否!AE25=1,低温可否!AE25=1,標準可否!AE25=1,HUAWEI製ＰＣＳ接続枚数計算ツール!$C$108&gt;=AE$2,HUAWEI製ＰＣＳ接続枚数計算ツール!$E$108&lt;=AE$2,枚数!AE25&gt;0),枚数!AE25,IF(AND(標準可否!AE25=1,低温可否!AE25=1,HUAWEI製ＰＣＳ接続枚数計算ツール!$C$108&gt;=AE$2,枚数!AE25&gt;0,低電圧接続!AE25&gt;0),枚数!AE25,"-"))</f>
        <v>-</v>
      </c>
      <c r="AF25" s="124" t="str">
        <f>IF(AND(高温可否!AF25=1,低温可否!AF25=1,標準可否!AF25=1,HUAWEI製ＰＣＳ接続枚数計算ツール!$C$108&gt;=AF$2,HUAWEI製ＰＣＳ接続枚数計算ツール!$E$108&lt;=AF$2,枚数!AF25&gt;0),枚数!AF25,IF(AND(標準可否!AF25=1,低温可否!AF25=1,HUAWEI製ＰＣＳ接続枚数計算ツール!$C$108&gt;=AF$2,枚数!AF25&gt;0,低電圧接続!AF25&gt;0),枚数!AF25,"-"))</f>
        <v>-</v>
      </c>
      <c r="AG25" s="123" t="str">
        <f>IF(AND(高温可否!AG25=1,低温可否!AG25=1,標準可否!AG25=1,HUAWEI製ＰＣＳ接続枚数計算ツール!$C$108&gt;=AG$2,HUAWEI製ＰＣＳ接続枚数計算ツール!$E$108&lt;=AG$2,枚数!AG25&gt;0),枚数!AG25,IF(AND(標準可否!AG25=1,低温可否!AG25=1,HUAWEI製ＰＣＳ接続枚数計算ツール!$C$108&gt;=AG$2,枚数!AG25&gt;0,低電圧接続!AG25&gt;0),枚数!AG25,"-"))</f>
        <v>-</v>
      </c>
      <c r="AH25" s="124" t="str">
        <f>IF(AND(高温可否!AH25=1,低温可否!AH25=1,標準可否!AH25=1,HUAWEI製ＰＣＳ接続枚数計算ツール!$C$108&gt;=AH$2,HUAWEI製ＰＣＳ接続枚数計算ツール!$E$108&lt;=AH$2,枚数!AH25&gt;0),枚数!AH25,IF(AND(標準可否!AH25=1,低温可否!AH25=1,HUAWEI製ＰＣＳ接続枚数計算ツール!$C$108&gt;=AH$2,枚数!AH25&gt;0,低電圧接続!AH25&gt;0),枚数!AH25,"-"))</f>
        <v>-</v>
      </c>
      <c r="AI25" s="123" t="str">
        <f>IF(AND(高温可否!AI25=1,低温可否!AI25=1,標準可否!AI25=1,HUAWEI製ＰＣＳ接続枚数計算ツール!$C$108&gt;=AI$2,HUAWEI製ＰＣＳ接続枚数計算ツール!$E$108&lt;=AI$2,枚数!AI25&gt;0),枚数!AI25,IF(AND(標準可否!AI25=1,低温可否!AI25=1,HUAWEI製ＰＣＳ接続枚数計算ツール!$C$108&gt;=AI$2,枚数!AI25&gt;0,低電圧接続!AI25&gt;0),枚数!AI25,"-"))</f>
        <v>-</v>
      </c>
      <c r="AJ25" s="124" t="str">
        <f>IF(AND(高温可否!AJ25=1,低温可否!AJ25=1,標準可否!AJ25=1,HUAWEI製ＰＣＳ接続枚数計算ツール!$C$108&gt;=AJ$2,HUAWEI製ＰＣＳ接続枚数計算ツール!$E$108&lt;=AJ$2,枚数!AJ25&gt;0),枚数!AJ25,IF(AND(標準可否!AJ25=1,低温可否!AJ25=1,HUAWEI製ＰＣＳ接続枚数計算ツール!$C$108&gt;=AJ$2,枚数!AJ25&gt;0,低電圧接続!AJ25&gt;0),枚数!AJ25,"-"))</f>
        <v>-</v>
      </c>
      <c r="AK25" s="123" t="str">
        <f>IF(AND(高温可否!AK25=1,低温可否!AK25=1,標準可否!AK25=1,HUAWEI製ＰＣＳ接続枚数計算ツール!$C$108&gt;=AK$2,HUAWEI製ＰＣＳ接続枚数計算ツール!$E$108&lt;=AK$2,枚数!AK25&gt;0),枚数!AK25,IF(AND(標準可否!AK25=1,低温可否!AK25=1,HUAWEI製ＰＣＳ接続枚数計算ツール!$C$108&gt;=AK$2,枚数!AK25&gt;0,低電圧接続!AK25&gt;0),枚数!AK25,"-"))</f>
        <v>-</v>
      </c>
      <c r="AL25" s="124" t="str">
        <f>IF(AND(高温可否!AL25=1,低温可否!AL25=1,標準可否!AL25=1,HUAWEI製ＰＣＳ接続枚数計算ツール!$C$108&gt;=AL$2,HUAWEI製ＰＣＳ接続枚数計算ツール!$E$108&lt;=AL$2,枚数!AL25&gt;0),枚数!AL25,IF(AND(標準可否!AL25=1,低温可否!AL25=1,HUAWEI製ＰＣＳ接続枚数計算ツール!$C$108&gt;=AL$2,枚数!AL25&gt;0,低電圧接続!AL25&gt;0),枚数!AL25,"-"))</f>
        <v>-</v>
      </c>
      <c r="AM25" s="123" t="str">
        <f>IF(AND(高温可否!AM25=1,低温可否!AM25=1,標準可否!AM25=1,HUAWEI製ＰＣＳ接続枚数計算ツール!$C$108&gt;=AM$2,HUAWEI製ＰＣＳ接続枚数計算ツール!$E$108&lt;=AM$2,枚数!AM25&gt;0),枚数!AM25,IF(AND(標準可否!AM25=1,低温可否!AM25=1,HUAWEI製ＰＣＳ接続枚数計算ツール!$C$108&gt;=AM$2,枚数!AM25&gt;0,低電圧接続!AM25&gt;0),枚数!AM25,"-"))</f>
        <v>-</v>
      </c>
      <c r="AN25" s="124" t="str">
        <f>IF(AND(高温可否!AN25=1,低温可否!AN25=1,標準可否!AN25=1,HUAWEI製ＰＣＳ接続枚数計算ツール!$C$108&gt;=AN$2,HUAWEI製ＰＣＳ接続枚数計算ツール!$E$108&lt;=AN$2,枚数!AN25&gt;0),枚数!AN25,IF(AND(標準可否!AN25=1,低温可否!AN25=1,HUAWEI製ＰＣＳ接続枚数計算ツール!$C$108&gt;=AN$2,枚数!AN25&gt;0,低電圧接続!AN25&gt;0),枚数!AN25,"-"))</f>
        <v>-</v>
      </c>
      <c r="AO25" s="125" t="str">
        <f>IF(AND(高温可否!AO25=1,低温可否!AO25=1,標準可否!AO25=1,HUAWEI製ＰＣＳ接続枚数計算ツール!$C$108&gt;=AO$2,HUAWEI製ＰＣＳ接続枚数計算ツール!$E$108&lt;=AO$2,枚数!AO25&gt;0),枚数!AO25,IF(AND(標準可否!AO25=1,低温可否!AO25=1,HUAWEI製ＰＣＳ接続枚数計算ツール!$C$108&gt;=AO$2,枚数!AO25&gt;0,低電圧接続!AO25&gt;0),枚数!AO25,"-"))</f>
        <v>-</v>
      </c>
    </row>
    <row r="26" spans="1:41">
      <c r="A26" s="115">
        <v>24</v>
      </c>
      <c r="B26" s="126" t="str">
        <f>IF(AND(高温可否!B26=1,低温可否!B26=1,標準可否!B26=1,HUAWEI製ＰＣＳ接続枚数計算ツール!$C$108&gt;=B$2,HUAWEI製ＰＣＳ接続枚数計算ツール!$E$108&lt;=B$2,枚数!B26&gt;0),枚数!B26,IF(AND(標準可否!B26=1,低温可否!B26=1,HUAWEI製ＰＣＳ接続枚数計算ツール!$C$108&gt;=B$2,枚数!B26&gt;0,低電圧接続!B26&gt;0),枚数!B26,"-"))</f>
        <v>-</v>
      </c>
      <c r="C26" s="127" t="str">
        <f>IF(AND(高温可否!C26=1,低温可否!C26=1,標準可否!C26=1,HUAWEI製ＰＣＳ接続枚数計算ツール!$C$108&gt;=C$2,HUAWEI製ＰＣＳ接続枚数計算ツール!$E$108&lt;=C$2,枚数!C26&gt;0),枚数!C26,IF(AND(標準可否!C26=1,低温可否!C26=1,HUAWEI製ＰＣＳ接続枚数計算ツール!$C$108&gt;=C$2,枚数!C26&gt;0,低電圧接続!C26&gt;0),枚数!C26,"-"))</f>
        <v>-</v>
      </c>
      <c r="D26" s="128" t="str">
        <f>IF(AND(高温可否!D26=1,低温可否!D26=1,標準可否!D26=1,HUAWEI製ＰＣＳ接続枚数計算ツール!$C$108&gt;=D$2,HUAWEI製ＰＣＳ接続枚数計算ツール!$E$108&lt;=D$2,枚数!D26&gt;0),枚数!D26,IF(AND(標準可否!D26=1,低温可否!D26=1,HUAWEI製ＰＣＳ接続枚数計算ツール!$C$108&gt;=D$2,枚数!D26&gt;0,低電圧接続!D26&gt;0),枚数!D26,"-"))</f>
        <v>-</v>
      </c>
      <c r="E26" s="127" t="str">
        <f>IF(AND(高温可否!E26=1,低温可否!E26=1,標準可否!E26=1,HUAWEI製ＰＣＳ接続枚数計算ツール!$C$108&gt;=E$2,HUAWEI製ＰＣＳ接続枚数計算ツール!$E$108&lt;=E$2,枚数!E26&gt;0),枚数!E26,IF(AND(標準可否!E26=1,低温可否!E26=1,HUAWEI製ＰＣＳ接続枚数計算ツール!$C$108&gt;=E$2,枚数!E26&gt;0,低電圧接続!E26&gt;0),枚数!E26,"-"))</f>
        <v>-</v>
      </c>
      <c r="F26" s="128" t="str">
        <f>IF(AND(高温可否!F26=1,低温可否!F26=1,標準可否!F26=1,HUAWEI製ＰＣＳ接続枚数計算ツール!$C$108&gt;=F$2,HUAWEI製ＰＣＳ接続枚数計算ツール!$E$108&lt;=F$2,枚数!F26&gt;0),枚数!F26,IF(AND(標準可否!F26=1,低温可否!F26=1,HUAWEI製ＰＣＳ接続枚数計算ツール!$C$108&gt;=F$2,枚数!F26&gt;0,低電圧接続!F26&gt;0),枚数!F26,"-"))</f>
        <v>-</v>
      </c>
      <c r="G26" s="127" t="str">
        <f>IF(AND(高温可否!G26=1,低温可否!G26=1,標準可否!G26=1,HUAWEI製ＰＣＳ接続枚数計算ツール!$C$108&gt;=G$2,HUAWEI製ＰＣＳ接続枚数計算ツール!$E$108&lt;=G$2,枚数!G26&gt;0),枚数!G26,IF(AND(標準可否!G26=1,低温可否!G26=1,HUAWEI製ＰＣＳ接続枚数計算ツール!$C$108&gt;=G$2,枚数!G26&gt;0,低電圧接続!G26&gt;0),枚数!G26,"-"))</f>
        <v>-</v>
      </c>
      <c r="H26" s="128" t="str">
        <f>IF(AND(高温可否!H26=1,低温可否!H26=1,標準可否!H26=1,HUAWEI製ＰＣＳ接続枚数計算ツール!$C$108&gt;=H$2,HUAWEI製ＰＣＳ接続枚数計算ツール!$E$108&lt;=H$2,枚数!H26&gt;0),枚数!H26,IF(AND(標準可否!H26=1,低温可否!H26=1,HUAWEI製ＰＣＳ接続枚数計算ツール!$C$108&gt;=H$2,枚数!H26&gt;0,低電圧接続!H26&gt;0),枚数!H26,"-"))</f>
        <v>-</v>
      </c>
      <c r="I26" s="127" t="str">
        <f>IF(AND(高温可否!I26=1,低温可否!I26=1,標準可否!I26=1,HUAWEI製ＰＣＳ接続枚数計算ツール!$C$108&gt;=I$2,HUAWEI製ＰＣＳ接続枚数計算ツール!$E$108&lt;=I$2,枚数!I26&gt;0),枚数!I26,IF(AND(標準可否!I26=1,低温可否!I26=1,HUAWEI製ＰＣＳ接続枚数計算ツール!$C$108&gt;=I$2,枚数!I26&gt;0,低電圧接続!I26&gt;0),枚数!I26,"-"))</f>
        <v>-</v>
      </c>
      <c r="J26" s="128" t="str">
        <f>IF(AND(高温可否!J26=1,低温可否!J26=1,標準可否!J26=1,HUAWEI製ＰＣＳ接続枚数計算ツール!$C$108&gt;=J$2,HUAWEI製ＰＣＳ接続枚数計算ツール!$E$108&lt;=J$2,枚数!J26&gt;0),枚数!J26,IF(AND(標準可否!J26=1,低温可否!J26=1,HUAWEI製ＰＣＳ接続枚数計算ツール!$C$108&gt;=J$2,枚数!J26&gt;0,低電圧接続!J26&gt;0),枚数!J26,"-"))</f>
        <v>-</v>
      </c>
      <c r="K26" s="127" t="str">
        <f>IF(AND(高温可否!K26=1,低温可否!K26=1,標準可否!K26=1,HUAWEI製ＰＣＳ接続枚数計算ツール!$C$108&gt;=K$2,HUAWEI製ＰＣＳ接続枚数計算ツール!$E$108&lt;=K$2,枚数!K26&gt;0),枚数!K26,IF(AND(標準可否!K26=1,低温可否!K26=1,HUAWEI製ＰＣＳ接続枚数計算ツール!$C$108&gt;=K$2,枚数!K26&gt;0,低電圧接続!K26&gt;0),枚数!K26,"-"))</f>
        <v>-</v>
      </c>
      <c r="L26" s="128" t="str">
        <f>IF(AND(高温可否!L26=1,低温可否!L26=1,標準可否!L26=1,HUAWEI製ＰＣＳ接続枚数計算ツール!$C$108&gt;=L$2,HUAWEI製ＰＣＳ接続枚数計算ツール!$E$108&lt;=L$2,枚数!L26&gt;0),枚数!L26,IF(AND(標準可否!L26=1,低温可否!L26=1,HUAWEI製ＰＣＳ接続枚数計算ツール!$C$108&gt;=L$2,枚数!L26&gt;0,低電圧接続!L26&gt;0),枚数!L26,"-"))</f>
        <v>-</v>
      </c>
      <c r="M26" s="127" t="str">
        <f>IF(AND(高温可否!M26=1,低温可否!M26=1,標準可否!M26=1,HUAWEI製ＰＣＳ接続枚数計算ツール!$C$108&gt;=M$2,HUAWEI製ＰＣＳ接続枚数計算ツール!$E$108&lt;=M$2,枚数!M26&gt;0),枚数!M26,IF(AND(標準可否!M26=1,低温可否!M26=1,HUAWEI製ＰＣＳ接続枚数計算ツール!$C$108&gt;=M$2,枚数!M26&gt;0,低電圧接続!M26&gt;0),枚数!M26,"-"))</f>
        <v>-</v>
      </c>
      <c r="N26" s="128" t="str">
        <f>IF(AND(高温可否!N26=1,低温可否!N26=1,標準可否!N26=1,HUAWEI製ＰＣＳ接続枚数計算ツール!$C$108&gt;=N$2,HUAWEI製ＰＣＳ接続枚数計算ツール!$E$108&lt;=N$2,枚数!N26&gt;0),枚数!N26,IF(AND(標準可否!N26=1,低温可否!N26=1,HUAWEI製ＰＣＳ接続枚数計算ツール!$C$108&gt;=N$2,枚数!N26&gt;0,低電圧接続!N26&gt;0),枚数!N26,"-"))</f>
        <v>-</v>
      </c>
      <c r="O26" s="127" t="str">
        <f>IF(AND(高温可否!O26=1,低温可否!O26=1,標準可否!O26=1,HUAWEI製ＰＣＳ接続枚数計算ツール!$C$108&gt;=O$2,HUAWEI製ＰＣＳ接続枚数計算ツール!$E$108&lt;=O$2,枚数!O26&gt;0),枚数!O26,IF(AND(標準可否!O26=1,低温可否!O26=1,HUAWEI製ＰＣＳ接続枚数計算ツール!$C$108&gt;=O$2,枚数!O26&gt;0,低電圧接続!O26&gt;0),枚数!O26,"-"))</f>
        <v>-</v>
      </c>
      <c r="P26" s="128" t="str">
        <f>IF(AND(高温可否!P26=1,低温可否!P26=1,標準可否!P26=1,HUAWEI製ＰＣＳ接続枚数計算ツール!$C$108&gt;=P$2,HUAWEI製ＰＣＳ接続枚数計算ツール!$E$108&lt;=P$2,枚数!P26&gt;0),枚数!P26,IF(AND(標準可否!P26=1,低温可否!P26=1,HUAWEI製ＰＣＳ接続枚数計算ツール!$C$108&gt;=P$2,枚数!P26&gt;0,低電圧接続!P26&gt;0),枚数!P26,"-"))</f>
        <v>-</v>
      </c>
      <c r="Q26" s="127" t="str">
        <f>IF(AND(高温可否!Q26=1,低温可否!Q26=1,標準可否!Q26=1,HUAWEI製ＰＣＳ接続枚数計算ツール!$C$108&gt;=Q$2,HUAWEI製ＰＣＳ接続枚数計算ツール!$E$108&lt;=Q$2,枚数!Q26&gt;0),枚数!Q26,IF(AND(標準可否!Q26=1,低温可否!Q26=1,HUAWEI製ＰＣＳ接続枚数計算ツール!$C$108&gt;=Q$2,枚数!Q26&gt;0,低電圧接続!Q26&gt;0),枚数!Q26,"-"))</f>
        <v>-</v>
      </c>
      <c r="R26" s="128" t="str">
        <f>IF(AND(高温可否!R26=1,低温可否!R26=1,標準可否!R26=1,HUAWEI製ＰＣＳ接続枚数計算ツール!$C$108&gt;=R$2,HUAWEI製ＰＣＳ接続枚数計算ツール!$E$108&lt;=R$2,枚数!R26&gt;0),枚数!R26,IF(AND(標準可否!R26=1,低温可否!R26=1,HUAWEI製ＰＣＳ接続枚数計算ツール!$C$108&gt;=R$2,枚数!R26&gt;0,低電圧接続!R26&gt;0),枚数!R26,"-"))</f>
        <v>-</v>
      </c>
      <c r="S26" s="127" t="str">
        <f>IF(AND(高温可否!S26=1,低温可否!S26=1,標準可否!S26=1,HUAWEI製ＰＣＳ接続枚数計算ツール!$C$108&gt;=S$2,HUAWEI製ＰＣＳ接続枚数計算ツール!$E$108&lt;=S$2,枚数!S26&gt;0),枚数!S26,IF(AND(標準可否!S26=1,低温可否!S26=1,HUAWEI製ＰＣＳ接続枚数計算ツール!$C$108&gt;=S$2,枚数!S26&gt;0,低電圧接続!S26&gt;0),枚数!S26,"-"))</f>
        <v>-</v>
      </c>
      <c r="T26" s="128" t="str">
        <f>IF(AND(高温可否!T26=1,低温可否!T26=1,標準可否!T26=1,HUAWEI製ＰＣＳ接続枚数計算ツール!$C$108&gt;=T$2,HUAWEI製ＰＣＳ接続枚数計算ツール!$E$108&lt;=T$2,枚数!T26&gt;0),枚数!T26,IF(AND(標準可否!T26=1,低温可否!T26=1,HUAWEI製ＰＣＳ接続枚数計算ツール!$C$108&gt;=T$2,枚数!T26&gt;0,低電圧接続!T26&gt;0),枚数!T26,"-"))</f>
        <v>-</v>
      </c>
      <c r="U26" s="127" t="str">
        <f>IF(AND(高温可否!U26=1,低温可否!U26=1,標準可否!U26=1,HUAWEI製ＰＣＳ接続枚数計算ツール!$C$108&gt;=U$2,HUAWEI製ＰＣＳ接続枚数計算ツール!$E$108&lt;=U$2,枚数!U26&gt;0),枚数!U26,IF(AND(標準可否!U26=1,低温可否!U26=1,HUAWEI製ＰＣＳ接続枚数計算ツール!$C$108&gt;=U$2,枚数!U26&gt;0,低電圧接続!U26&gt;0),枚数!U26,"-"))</f>
        <v>-</v>
      </c>
      <c r="V26" s="128" t="str">
        <f>IF(AND(高温可否!V26=1,低温可否!V26=1,標準可否!V26=1,HUAWEI製ＰＣＳ接続枚数計算ツール!$C$108&gt;=V$2,HUAWEI製ＰＣＳ接続枚数計算ツール!$E$108&lt;=V$2,枚数!V26&gt;0),枚数!V26,IF(AND(標準可否!V26=1,低温可否!V26=1,HUAWEI製ＰＣＳ接続枚数計算ツール!$C$108&gt;=V$2,枚数!V26&gt;0,低電圧接続!V26&gt;0),枚数!V26,"-"))</f>
        <v>-</v>
      </c>
      <c r="W26" s="127" t="str">
        <f>IF(AND(高温可否!W26=1,低温可否!W26=1,標準可否!W26=1,HUAWEI製ＰＣＳ接続枚数計算ツール!$C$108&gt;=W$2,HUAWEI製ＰＣＳ接続枚数計算ツール!$E$108&lt;=W$2,枚数!W26&gt;0),枚数!W26,IF(AND(標準可否!W26=1,低温可否!W26=1,HUAWEI製ＰＣＳ接続枚数計算ツール!$C$108&gt;=W$2,枚数!W26&gt;0,低電圧接続!W26&gt;0),枚数!W26,"-"))</f>
        <v>-</v>
      </c>
      <c r="X26" s="128" t="str">
        <f>IF(AND(高温可否!X26=1,低温可否!X26=1,標準可否!X26=1,HUAWEI製ＰＣＳ接続枚数計算ツール!$C$108&gt;=X$2,HUAWEI製ＰＣＳ接続枚数計算ツール!$E$108&lt;=X$2,枚数!X26&gt;0),枚数!X26,IF(AND(標準可否!X26=1,低温可否!X26=1,HUAWEI製ＰＣＳ接続枚数計算ツール!$C$108&gt;=X$2,枚数!X26&gt;0,低電圧接続!X26&gt;0),枚数!X26,"-"))</f>
        <v>-</v>
      </c>
      <c r="Y26" s="127" t="str">
        <f>IF(AND(高温可否!Y26=1,低温可否!Y26=1,標準可否!Y26=1,HUAWEI製ＰＣＳ接続枚数計算ツール!$C$108&gt;=Y$2,HUAWEI製ＰＣＳ接続枚数計算ツール!$E$108&lt;=Y$2,枚数!Y26&gt;0),枚数!Y26,IF(AND(標準可否!Y26=1,低温可否!Y26=1,HUAWEI製ＰＣＳ接続枚数計算ツール!$C$108&gt;=Y$2,枚数!Y26&gt;0,低電圧接続!Y26&gt;0),枚数!Y26,"-"))</f>
        <v>-</v>
      </c>
      <c r="Z26" s="128" t="str">
        <f>IF(AND(高温可否!Z26=1,低温可否!Z26=1,標準可否!Z26=1,HUAWEI製ＰＣＳ接続枚数計算ツール!$C$108&gt;=Z$2,HUAWEI製ＰＣＳ接続枚数計算ツール!$E$108&lt;=Z$2,枚数!Z26&gt;0),枚数!Z26,IF(AND(標準可否!Z26=1,低温可否!Z26=1,HUAWEI製ＰＣＳ接続枚数計算ツール!$C$108&gt;=Z$2,枚数!Z26&gt;0,低電圧接続!Z26&gt;0),枚数!Z26,"-"))</f>
        <v>-</v>
      </c>
      <c r="AA26" s="127" t="str">
        <f>IF(AND(高温可否!AA26=1,低温可否!AA26=1,標準可否!AA26=1,HUAWEI製ＰＣＳ接続枚数計算ツール!$C$108&gt;=AA$2,HUAWEI製ＰＣＳ接続枚数計算ツール!$E$108&lt;=AA$2,枚数!AA26&gt;0),枚数!AA26,IF(AND(標準可否!AA26=1,低温可否!AA26=1,HUAWEI製ＰＣＳ接続枚数計算ツール!$C$108&gt;=AA$2,枚数!AA26&gt;0,低電圧接続!AA26&gt;0),枚数!AA26,"-"))</f>
        <v>-</v>
      </c>
      <c r="AB26" s="128" t="str">
        <f>IF(AND(高温可否!AB26=1,低温可否!AB26=1,標準可否!AB26=1,HUAWEI製ＰＣＳ接続枚数計算ツール!$C$108&gt;=AB$2,HUAWEI製ＰＣＳ接続枚数計算ツール!$E$108&lt;=AB$2,枚数!AB26&gt;0),枚数!AB26,IF(AND(標準可否!AB26=1,低温可否!AB26=1,HUAWEI製ＰＣＳ接続枚数計算ツール!$C$108&gt;=AB$2,枚数!AB26&gt;0,低電圧接続!AB26&gt;0),枚数!AB26,"-"))</f>
        <v>-</v>
      </c>
      <c r="AC26" s="127" t="str">
        <f>IF(AND(高温可否!AC26=1,低温可否!AC26=1,標準可否!AC26=1,HUAWEI製ＰＣＳ接続枚数計算ツール!$C$108&gt;=AC$2,HUAWEI製ＰＣＳ接続枚数計算ツール!$E$108&lt;=AC$2,枚数!AC26&gt;0),枚数!AC26,IF(AND(標準可否!AC26=1,低温可否!AC26=1,HUAWEI製ＰＣＳ接続枚数計算ツール!$C$108&gt;=AC$2,枚数!AC26&gt;0,低電圧接続!AC26&gt;0),枚数!AC26,"-"))</f>
        <v>-</v>
      </c>
      <c r="AD26" s="128" t="str">
        <f>IF(AND(高温可否!AD26=1,低温可否!AD26=1,標準可否!AD26=1,HUAWEI製ＰＣＳ接続枚数計算ツール!$C$108&gt;=AD$2,HUAWEI製ＰＣＳ接続枚数計算ツール!$E$108&lt;=AD$2,枚数!AD26&gt;0),枚数!AD26,IF(AND(標準可否!AD26=1,低温可否!AD26=1,HUAWEI製ＰＣＳ接続枚数計算ツール!$C$108&gt;=AD$2,枚数!AD26&gt;0,低電圧接続!AD26&gt;0),枚数!AD26,"-"))</f>
        <v>-</v>
      </c>
      <c r="AE26" s="127" t="str">
        <f>IF(AND(高温可否!AE26=1,低温可否!AE26=1,標準可否!AE26=1,HUAWEI製ＰＣＳ接続枚数計算ツール!$C$108&gt;=AE$2,HUAWEI製ＰＣＳ接続枚数計算ツール!$E$108&lt;=AE$2,枚数!AE26&gt;0),枚数!AE26,IF(AND(標準可否!AE26=1,低温可否!AE26=1,HUAWEI製ＰＣＳ接続枚数計算ツール!$C$108&gt;=AE$2,枚数!AE26&gt;0,低電圧接続!AE26&gt;0),枚数!AE26,"-"))</f>
        <v>-</v>
      </c>
      <c r="AF26" s="128" t="str">
        <f>IF(AND(高温可否!AF26=1,低温可否!AF26=1,標準可否!AF26=1,HUAWEI製ＰＣＳ接続枚数計算ツール!$C$108&gt;=AF$2,HUAWEI製ＰＣＳ接続枚数計算ツール!$E$108&lt;=AF$2,枚数!AF26&gt;0),枚数!AF26,IF(AND(標準可否!AF26=1,低温可否!AF26=1,HUAWEI製ＰＣＳ接続枚数計算ツール!$C$108&gt;=AF$2,枚数!AF26&gt;0,低電圧接続!AF26&gt;0),枚数!AF26,"-"))</f>
        <v>-</v>
      </c>
      <c r="AG26" s="127" t="str">
        <f>IF(AND(高温可否!AG26=1,低温可否!AG26=1,標準可否!AG26=1,HUAWEI製ＰＣＳ接続枚数計算ツール!$C$108&gt;=AG$2,HUAWEI製ＰＣＳ接続枚数計算ツール!$E$108&lt;=AG$2,枚数!AG26&gt;0),枚数!AG26,IF(AND(標準可否!AG26=1,低温可否!AG26=1,HUAWEI製ＰＣＳ接続枚数計算ツール!$C$108&gt;=AG$2,枚数!AG26&gt;0,低電圧接続!AG26&gt;0),枚数!AG26,"-"))</f>
        <v>-</v>
      </c>
      <c r="AH26" s="128" t="str">
        <f>IF(AND(高温可否!AH26=1,低温可否!AH26=1,標準可否!AH26=1,HUAWEI製ＰＣＳ接続枚数計算ツール!$C$108&gt;=AH$2,HUAWEI製ＰＣＳ接続枚数計算ツール!$E$108&lt;=AH$2,枚数!AH26&gt;0),枚数!AH26,IF(AND(標準可否!AH26=1,低温可否!AH26=1,HUAWEI製ＰＣＳ接続枚数計算ツール!$C$108&gt;=AH$2,枚数!AH26&gt;0,低電圧接続!AH26&gt;0),枚数!AH26,"-"))</f>
        <v>-</v>
      </c>
      <c r="AI26" s="127" t="str">
        <f>IF(AND(高温可否!AI26=1,低温可否!AI26=1,標準可否!AI26=1,HUAWEI製ＰＣＳ接続枚数計算ツール!$C$108&gt;=AI$2,HUAWEI製ＰＣＳ接続枚数計算ツール!$E$108&lt;=AI$2,枚数!AI26&gt;0),枚数!AI26,IF(AND(標準可否!AI26=1,低温可否!AI26=1,HUAWEI製ＰＣＳ接続枚数計算ツール!$C$108&gt;=AI$2,枚数!AI26&gt;0,低電圧接続!AI26&gt;0),枚数!AI26,"-"))</f>
        <v>-</v>
      </c>
      <c r="AJ26" s="128" t="str">
        <f>IF(AND(高温可否!AJ26=1,低温可否!AJ26=1,標準可否!AJ26=1,HUAWEI製ＰＣＳ接続枚数計算ツール!$C$108&gt;=AJ$2,HUAWEI製ＰＣＳ接続枚数計算ツール!$E$108&lt;=AJ$2,枚数!AJ26&gt;0),枚数!AJ26,IF(AND(標準可否!AJ26=1,低温可否!AJ26=1,HUAWEI製ＰＣＳ接続枚数計算ツール!$C$108&gt;=AJ$2,枚数!AJ26&gt;0,低電圧接続!AJ26&gt;0),枚数!AJ26,"-"))</f>
        <v>-</v>
      </c>
      <c r="AK26" s="127" t="str">
        <f>IF(AND(高温可否!AK26=1,低温可否!AK26=1,標準可否!AK26=1,HUAWEI製ＰＣＳ接続枚数計算ツール!$C$108&gt;=AK$2,HUAWEI製ＰＣＳ接続枚数計算ツール!$E$108&lt;=AK$2,枚数!AK26&gt;0),枚数!AK26,IF(AND(標準可否!AK26=1,低温可否!AK26=1,HUAWEI製ＰＣＳ接続枚数計算ツール!$C$108&gt;=AK$2,枚数!AK26&gt;0,低電圧接続!AK26&gt;0),枚数!AK26,"-"))</f>
        <v>-</v>
      </c>
      <c r="AL26" s="128" t="str">
        <f>IF(AND(高温可否!AL26=1,低温可否!AL26=1,標準可否!AL26=1,HUAWEI製ＰＣＳ接続枚数計算ツール!$C$108&gt;=AL$2,HUAWEI製ＰＣＳ接続枚数計算ツール!$E$108&lt;=AL$2,枚数!AL26&gt;0),枚数!AL26,IF(AND(標準可否!AL26=1,低温可否!AL26=1,HUAWEI製ＰＣＳ接続枚数計算ツール!$C$108&gt;=AL$2,枚数!AL26&gt;0,低電圧接続!AL26&gt;0),枚数!AL26,"-"))</f>
        <v>-</v>
      </c>
      <c r="AM26" s="127" t="str">
        <f>IF(AND(高温可否!AM26=1,低温可否!AM26=1,標準可否!AM26=1,HUAWEI製ＰＣＳ接続枚数計算ツール!$C$108&gt;=AM$2,HUAWEI製ＰＣＳ接続枚数計算ツール!$E$108&lt;=AM$2,枚数!AM26&gt;0),枚数!AM26,IF(AND(標準可否!AM26=1,低温可否!AM26=1,HUAWEI製ＰＣＳ接続枚数計算ツール!$C$108&gt;=AM$2,枚数!AM26&gt;0,低電圧接続!AM26&gt;0),枚数!AM26,"-"))</f>
        <v>-</v>
      </c>
      <c r="AN26" s="128" t="str">
        <f>IF(AND(高温可否!AN26=1,低温可否!AN26=1,標準可否!AN26=1,HUAWEI製ＰＣＳ接続枚数計算ツール!$C$108&gt;=AN$2,HUAWEI製ＰＣＳ接続枚数計算ツール!$E$108&lt;=AN$2,枚数!AN26&gt;0),枚数!AN26,IF(AND(標準可否!AN26=1,低温可否!AN26=1,HUAWEI製ＰＣＳ接続枚数計算ツール!$C$108&gt;=AN$2,枚数!AN26&gt;0,低電圧接続!AN26&gt;0),枚数!AN26,"-"))</f>
        <v>-</v>
      </c>
      <c r="AO26" s="129" t="str">
        <f>IF(AND(高温可否!AO26=1,低温可否!AO26=1,標準可否!AO26=1,HUAWEI製ＰＣＳ接続枚数計算ツール!$C$108&gt;=AO$2,HUAWEI製ＰＣＳ接続枚数計算ツール!$E$108&lt;=AO$2,枚数!AO26&gt;0),枚数!AO26,IF(AND(標準可否!AO26=1,低温可否!AO26=1,HUAWEI製ＰＣＳ接続枚数計算ツール!$C$108&gt;=AO$2,枚数!AO26&gt;0,低電圧接続!AO26&gt;0),枚数!AO26,"-"))</f>
        <v>-</v>
      </c>
    </row>
    <row r="27" spans="1:41">
      <c r="A27" s="120"/>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row>
    <row r="28" spans="1:41">
      <c r="A28" s="120"/>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row>
    <row r="29" spans="1:41">
      <c r="A29" s="120"/>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row>
    <row r="30" spans="1:41">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row>
  </sheetData>
  <phoneticPr fontId="21"/>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id="{2417CA44-924A-47DD-800A-4C676EC3D409}">
            <xm:f>AND(標準可否!B3=1,低温可否!B3=1,HUAWEI製ＰＣＳ接続枚数計算ツール!$C$107&gt;=B$2,枚数!B3&gt;0,低電圧接続!B3&gt;0)</xm:f>
            <x14:dxf>
              <font>
                <color rgb="FF00B0F0"/>
              </font>
            </x14:dxf>
          </x14:cfRule>
          <xm:sqref>B3:AO26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27"/>
  <sheetViews>
    <sheetView workbookViewId="0">
      <selection activeCell="AI30" sqref="AI30"/>
    </sheetView>
  </sheetViews>
  <sheetFormatPr defaultRowHeight="14.1"/>
  <cols>
    <col min="1" max="1" width="14.5" customWidth="1"/>
    <col min="2" max="20" width="5.5" hidden="1" customWidth="1"/>
    <col min="21" max="41" width="5.5" customWidth="1"/>
    <col min="42" max="51" width="4.375" customWidth="1"/>
  </cols>
  <sheetData>
    <row r="1" spans="1:41">
      <c r="A1" t="s">
        <v>2039</v>
      </c>
      <c r="Y1" t="s">
        <v>2041</v>
      </c>
      <c r="Z1">
        <v>2</v>
      </c>
    </row>
    <row r="3" spans="1:41">
      <c r="A3" s="109" t="s">
        <v>2040</v>
      </c>
      <c r="B3" s="117">
        <v>1</v>
      </c>
      <c r="C3" s="118">
        <v>2</v>
      </c>
      <c r="D3" s="117">
        <v>3</v>
      </c>
      <c r="E3" s="118">
        <v>4</v>
      </c>
      <c r="F3" s="117">
        <v>5</v>
      </c>
      <c r="G3" s="118">
        <v>6</v>
      </c>
      <c r="H3" s="117">
        <v>7</v>
      </c>
      <c r="I3" s="118">
        <v>8</v>
      </c>
      <c r="J3" s="117">
        <v>9</v>
      </c>
      <c r="K3" s="118">
        <v>10</v>
      </c>
      <c r="L3" s="117">
        <v>11</v>
      </c>
      <c r="M3" s="118">
        <v>12</v>
      </c>
      <c r="N3" s="117">
        <v>13</v>
      </c>
      <c r="O3" s="118">
        <v>14</v>
      </c>
      <c r="P3" s="117">
        <v>15</v>
      </c>
      <c r="Q3" s="118">
        <v>16</v>
      </c>
      <c r="R3" s="117">
        <v>17</v>
      </c>
      <c r="S3" s="118">
        <v>18</v>
      </c>
      <c r="T3" s="117">
        <v>19</v>
      </c>
      <c r="U3" s="118">
        <v>20</v>
      </c>
      <c r="V3" s="117">
        <v>21</v>
      </c>
      <c r="W3" s="118">
        <v>22</v>
      </c>
      <c r="X3" s="117">
        <v>23</v>
      </c>
      <c r="Y3" s="118">
        <v>24</v>
      </c>
      <c r="Z3" s="117">
        <v>25</v>
      </c>
      <c r="AA3" s="118">
        <v>26</v>
      </c>
      <c r="AB3" s="117">
        <v>27</v>
      </c>
      <c r="AC3" s="118">
        <v>28</v>
      </c>
      <c r="AD3" s="117">
        <v>29</v>
      </c>
      <c r="AE3" s="118">
        <v>30</v>
      </c>
      <c r="AF3" s="117">
        <v>31</v>
      </c>
      <c r="AG3" s="118">
        <v>32</v>
      </c>
      <c r="AH3" s="117">
        <v>33</v>
      </c>
      <c r="AI3" s="118">
        <v>34</v>
      </c>
      <c r="AJ3" s="117">
        <v>35</v>
      </c>
      <c r="AK3" s="118">
        <v>36</v>
      </c>
      <c r="AL3" s="117">
        <v>37</v>
      </c>
      <c r="AM3" s="118">
        <v>38</v>
      </c>
      <c r="AN3" s="117">
        <v>39</v>
      </c>
      <c r="AO3" s="119">
        <v>40</v>
      </c>
    </row>
    <row r="4" spans="1:41">
      <c r="A4" s="114">
        <v>1</v>
      </c>
      <c r="B4" s="121" t="e">
        <f>Z1*IF(AND(高温可否!B3=1,低温可否!B3=1,HUAWEI製ＰＣＳ接続枚数計算ツール!$C$108&gt;=B$3,HUAWEI製ＰＣＳ接続枚数計算ツール!$E$108&lt;=B$3,枚数!B3&gt;0),枚数!B3,IF(AND(低温可否!B3=1,HUAWEI製ＰＣＳ接続枚数計算ツール!$C$108&gt;=B$3,枚数!B3&gt;0,低電圧接続!B3&gt;0),枚数!B3,"-"))</f>
        <v>#VALUE!</v>
      </c>
      <c r="C4" s="108" t="e">
        <f>Z1*IF(AND(高温可否!C3=1,低温可否!C3=1,HUAWEI製ＰＣＳ接続枚数計算ツール!$C$108&gt;=C$3,HUAWEI製ＰＣＳ接続枚数計算ツール!$E$108&lt;=C$3,枚数!C3&gt;0),枚数!C3,IF(AND(低温可否!C3=1,HUAWEI製ＰＣＳ接続枚数計算ツール!$C$108&gt;=C$3,枚数!C3&gt;0,低電圧接続!C3&gt;0),枚数!C3,"-"))</f>
        <v>#VALUE!</v>
      </c>
      <c r="D4" s="107" t="e">
        <f>Z1*IF(AND(高温可否!D3=1,低温可否!D3=1,HUAWEI製ＰＣＳ接続枚数計算ツール!$C$108&gt;=D$3,HUAWEI製ＰＣＳ接続枚数計算ツール!$E$108&lt;=D$3,枚数!D3&gt;0),枚数!D3,IF(AND(低温可否!D3=1,HUAWEI製ＰＣＳ接続枚数計算ツール!$C$108&gt;=D$3,枚数!D3&gt;0,低電圧接続!D3&gt;0),枚数!D3,"-"))</f>
        <v>#VALUE!</v>
      </c>
      <c r="E4" s="108" t="e">
        <f>Z1*IF(AND(高温可否!E3=1,低温可否!E3=1,HUAWEI製ＰＣＳ接続枚数計算ツール!$C$108&gt;=E$3,HUAWEI製ＰＣＳ接続枚数計算ツール!$E$108&lt;=E$3,枚数!E3&gt;0),枚数!E3,IF(AND(低温可否!E3=1,HUAWEI製ＰＣＳ接続枚数計算ツール!$C$108&gt;=E$3,枚数!E3&gt;0,低電圧接続!E3&gt;0),枚数!E3,"-"))</f>
        <v>#VALUE!</v>
      </c>
      <c r="F4" s="107" t="e">
        <f>Z1*IF(AND(高温可否!F3=1,低温可否!F3=1,HUAWEI製ＰＣＳ接続枚数計算ツール!$C$108&gt;=F$3,HUAWEI製ＰＣＳ接続枚数計算ツール!$E$108&lt;=F$3,枚数!F3&gt;0),枚数!F3,IF(AND(低温可否!F3=1,HUAWEI製ＰＣＳ接続枚数計算ツール!$C$108&gt;=F$3,枚数!F3&gt;0,低電圧接続!F3&gt;0),枚数!F3,"-"))</f>
        <v>#VALUE!</v>
      </c>
      <c r="G4" s="108" t="e">
        <f>Z1*IF(AND(高温可否!G3=1,低温可否!G3=1,HUAWEI製ＰＣＳ接続枚数計算ツール!$C$108&gt;=G$3,HUAWEI製ＰＣＳ接続枚数計算ツール!$E$108&lt;=G$3,枚数!G3&gt;0),枚数!G3,IF(AND(低温可否!G3=1,HUAWEI製ＰＣＳ接続枚数計算ツール!$C$108&gt;=G$3,枚数!G3&gt;0,低電圧接続!G3&gt;0),枚数!G3,"-"))</f>
        <v>#VALUE!</v>
      </c>
      <c r="H4" s="107" t="e">
        <f>Z1*IF(AND(高温可否!H3=1,低温可否!H3=1,HUAWEI製ＰＣＳ接続枚数計算ツール!$C$108&gt;=H$3,HUAWEI製ＰＣＳ接続枚数計算ツール!$E$108&lt;=H$3,枚数!H3&gt;0),枚数!H3,IF(AND(低温可否!H3=1,HUAWEI製ＰＣＳ接続枚数計算ツール!$C$108&gt;=H$3,枚数!H3&gt;0,低電圧接続!H3&gt;0),枚数!H3,"-"))</f>
        <v>#VALUE!</v>
      </c>
      <c r="I4" s="108" t="e">
        <f>Z1*IF(AND(高温可否!I3=1,低温可否!I3=1,HUAWEI製ＰＣＳ接続枚数計算ツール!$C$108&gt;=I$3,HUAWEI製ＰＣＳ接続枚数計算ツール!$E$108&lt;=I$3,枚数!I3&gt;0),枚数!I3,IF(AND(低温可否!I3=1,HUAWEI製ＰＣＳ接続枚数計算ツール!$C$108&gt;=I$3,枚数!I3&gt;0,低電圧接続!I3&gt;0),枚数!I3,"-"))</f>
        <v>#VALUE!</v>
      </c>
      <c r="J4" s="107" t="e">
        <f>Z1*IF(AND(高温可否!J3=1,低温可否!J3=1,HUAWEI製ＰＣＳ接続枚数計算ツール!$C$108&gt;=J$3,HUAWEI製ＰＣＳ接続枚数計算ツール!$E$108&lt;=J$3,枚数!J3&gt;0),枚数!J3,IF(AND(低温可否!J3=1,HUAWEI製ＰＣＳ接続枚数計算ツール!$C$108&gt;=J$3,枚数!J3&gt;0,低電圧接続!J3&gt;0),枚数!J3,"-"))</f>
        <v>#VALUE!</v>
      </c>
      <c r="K4" s="108" t="e">
        <f>Z1*IF(AND(高温可否!K3=1,低温可否!K3=1,HUAWEI製ＰＣＳ接続枚数計算ツール!$C$108&gt;=K$3,HUAWEI製ＰＣＳ接続枚数計算ツール!$E$108&lt;=K$3,枚数!K3&gt;0),枚数!K3,IF(AND(低温可否!K3=1,HUAWEI製ＰＣＳ接続枚数計算ツール!$C$108&gt;=K$3,枚数!K3&gt;0,低電圧接続!K3&gt;0),枚数!K3,"-"))</f>
        <v>#VALUE!</v>
      </c>
      <c r="L4" s="107" t="e">
        <f>Z1*IF(AND(高温可否!L3=1,低温可否!L3=1,HUAWEI製ＰＣＳ接続枚数計算ツール!$C$108&gt;=L$3,HUAWEI製ＰＣＳ接続枚数計算ツール!$E$108&lt;=L$3,枚数!L3&gt;0),枚数!L3,IF(AND(低温可否!L3=1,HUAWEI製ＰＣＳ接続枚数計算ツール!$C$108&gt;=L$3,枚数!L3&gt;0,低電圧接続!L3&gt;0),枚数!L3,"-"))</f>
        <v>#VALUE!</v>
      </c>
      <c r="M4" s="108" t="e">
        <f>Z1*IF(AND(高温可否!M3=1,低温可否!M3=1,HUAWEI製ＰＣＳ接続枚数計算ツール!$C$108&gt;=M$3,HUAWEI製ＰＣＳ接続枚数計算ツール!$E$108&lt;=M$3,枚数!M3&gt;0),枚数!M3,IF(AND(低温可否!M3=1,HUAWEI製ＰＣＳ接続枚数計算ツール!$C$108&gt;=M$3,枚数!M3&gt;0,低電圧接続!M3&gt;0),枚数!M3,"-"))</f>
        <v>#VALUE!</v>
      </c>
      <c r="N4" s="107" t="e">
        <f>Z1*IF(AND(高温可否!N3=1,低温可否!N3=1,HUAWEI製ＰＣＳ接続枚数計算ツール!$C$108&gt;=N$3,HUAWEI製ＰＣＳ接続枚数計算ツール!$E$108&lt;=N$3,枚数!N3&gt;0),枚数!N3,IF(AND(低温可否!N3=1,HUAWEI製ＰＣＳ接続枚数計算ツール!$C$108&gt;=N$3,枚数!N3&gt;0,低電圧接続!N3&gt;0),枚数!N3,"-"))</f>
        <v>#VALUE!</v>
      </c>
      <c r="O4" s="108">
        <f>Z1*IF(AND(高温可否!O3=1,低温可否!O3=1,HUAWEI製ＰＣＳ接続枚数計算ツール!$C$108&gt;=O$3,HUAWEI製ＰＣＳ接続枚数計算ツール!$E$108&lt;=O$3,枚数!O3&gt;0),枚数!O3,IF(AND(低温可否!O3=1,HUAWEI製ＰＣＳ接続枚数計算ツール!$C$108&gt;=O$3,枚数!O3&gt;0,低電圧接続!O3&gt;0),枚数!O3,"-"))</f>
        <v>28</v>
      </c>
      <c r="P4" s="107">
        <f>Z1*IF(AND(高温可否!P3=1,低温可否!P3=1,HUAWEI製ＰＣＳ接続枚数計算ツール!$C$108&gt;=P$3,HUAWEI製ＰＣＳ接続枚数計算ツール!$E$108&lt;=P$3,枚数!P3&gt;0),枚数!P3,IF(AND(低温可否!P3=1,HUAWEI製ＰＣＳ接続枚数計算ツール!$C$108&gt;=P$3,枚数!P3&gt;0,低電圧接続!P3&gt;0),枚数!P3,"-"))</f>
        <v>30</v>
      </c>
      <c r="Q4" s="108">
        <f>Z1*IF(AND(高温可否!Q3=1,低温可否!Q3=1,HUAWEI製ＰＣＳ接続枚数計算ツール!$C$108&gt;=Q$3,HUAWEI製ＰＣＳ接続枚数計算ツール!$E$108&lt;=Q$3,枚数!Q3&gt;0),枚数!Q3,IF(AND(低温可否!Q3=1,HUAWEI製ＰＣＳ接続枚数計算ツール!$C$108&gt;=Q$3,枚数!Q3&gt;0,低電圧接続!Q3&gt;0),枚数!Q3,"-"))</f>
        <v>32</v>
      </c>
      <c r="R4" s="107">
        <f>Z1*IF(AND(高温可否!R3=1,低温可否!R3=1,HUAWEI製ＰＣＳ接続枚数計算ツール!$C$108&gt;=R$3,HUAWEI製ＰＣＳ接続枚数計算ツール!$E$108&lt;=R$3,枚数!R3&gt;0),枚数!R3,IF(AND(低温可否!R3=1,HUAWEI製ＰＣＳ接続枚数計算ツール!$C$108&gt;=R$3,枚数!R3&gt;0,低電圧接続!R3&gt;0),枚数!R3,"-"))</f>
        <v>34</v>
      </c>
      <c r="S4" s="108">
        <f>Z1*IF(AND(高温可否!S3=1,低温可否!S3=1,HUAWEI製ＰＣＳ接続枚数計算ツール!$C$108&gt;=S$3,HUAWEI製ＰＣＳ接続枚数計算ツール!$E$108&lt;=S$3,枚数!S3&gt;0),枚数!S3,IF(AND(低温可否!S3=1,HUAWEI製ＰＣＳ接続枚数計算ツール!$C$108&gt;=S$3,枚数!S3&gt;0,低電圧接続!S3&gt;0),枚数!S3,"-"))</f>
        <v>36</v>
      </c>
      <c r="T4" s="107">
        <f>Z1*IF(AND(高温可否!T3=1,低温可否!T3=1,HUAWEI製ＰＣＳ接続枚数計算ツール!$C$108&gt;=T$3,HUAWEI製ＰＣＳ接続枚数計算ツール!$E$108&lt;=T$3,枚数!T3&gt;0),枚数!T3,IF(AND(低温可否!T3=1,HUAWEI製ＰＣＳ接続枚数計算ツール!$C$108&gt;=T$3,枚数!T3&gt;0,低電圧接続!T3&gt;0),枚数!T3,"-"))</f>
        <v>38</v>
      </c>
      <c r="U4" s="108">
        <f>Z1*IF(AND(高温可否!U3=1,低温可否!U3=1,HUAWEI製ＰＣＳ接続枚数計算ツール!$C$108&gt;=U$3,HUAWEI製ＰＣＳ接続枚数計算ツール!$E$108&lt;=U$3,枚数!U3&gt;0),枚数!U3,IF(AND(低温可否!U3=1,HUAWEI製ＰＣＳ接続枚数計算ツール!$C$108&gt;=U$3,枚数!U3&gt;0,低電圧接続!U3&gt;0),枚数!U3,"-"))</f>
        <v>40</v>
      </c>
      <c r="V4" s="107">
        <f>Z1*IF(AND(高温可否!V3=1,低温可否!V3=1,HUAWEI製ＰＣＳ接続枚数計算ツール!$C$108&gt;=V$3,HUAWEI製ＰＣＳ接続枚数計算ツール!$E$108&lt;=V$3,枚数!V3&gt;0),枚数!V3,IF(AND(低温可否!V3=1,HUAWEI製ＰＣＳ接続枚数計算ツール!$C$108&gt;=V$3,枚数!V3&gt;0,低電圧接続!V3&gt;0),枚数!V3,"-"))</f>
        <v>42</v>
      </c>
      <c r="W4" s="108">
        <f>Z1*IF(AND(高温可否!W3=1,低温可否!W3=1,HUAWEI製ＰＣＳ接続枚数計算ツール!$C$108&gt;=W$3,HUAWEI製ＰＣＳ接続枚数計算ツール!$E$108&lt;=W$3,枚数!W3&gt;0),枚数!W3,IF(AND(低温可否!W3=1,HUAWEI製ＰＣＳ接続枚数計算ツール!$C$108&gt;=W$3,枚数!W3&gt;0,低電圧接続!W3&gt;0),枚数!W3,"-"))</f>
        <v>44</v>
      </c>
      <c r="X4" s="107">
        <f>Z1*IF(AND(高温可否!X3=1,低温可否!X3=1,HUAWEI製ＰＣＳ接続枚数計算ツール!$C$108&gt;=X$3,HUAWEI製ＰＣＳ接続枚数計算ツール!$E$108&lt;=X$3,枚数!X3&gt;0),枚数!X3,IF(AND(低温可否!X3=1,HUAWEI製ＰＣＳ接続枚数計算ツール!$C$108&gt;=X$3,枚数!X3&gt;0,低電圧接続!X3&gt;0),枚数!X3,"-"))</f>
        <v>46</v>
      </c>
      <c r="Y4" s="108">
        <f>Z1*IF(AND(高温可否!Y3=1,低温可否!Y3=1,HUAWEI製ＰＣＳ接続枚数計算ツール!$C$108&gt;=Y$3,HUAWEI製ＰＣＳ接続枚数計算ツール!$E$108&lt;=Y$3,枚数!Y3&gt;0),枚数!Y3,IF(AND(低温可否!Y3=1,HUAWEI製ＰＣＳ接続枚数計算ツール!$C$108&gt;=Y$3,枚数!Y3&gt;0,低電圧接続!Y3&gt;0),枚数!Y3,"-"))</f>
        <v>48</v>
      </c>
      <c r="Z4" s="107">
        <f>Z1*IF(AND(高温可否!Z3=1,低温可否!Z3=1,HUAWEI製ＰＣＳ接続枚数計算ツール!$C$108&gt;=Z$3,HUAWEI製ＰＣＳ接続枚数計算ツール!$E$108&lt;=Z$3,枚数!Z3&gt;0),枚数!Z3,IF(AND(低温可否!Z3=1,HUAWEI製ＰＣＳ接続枚数計算ツール!$C$108&gt;=Z$3,枚数!Z3&gt;0,低電圧接続!Z3&gt;0),枚数!Z3,"-"))</f>
        <v>50</v>
      </c>
      <c r="AA4" s="108" t="e">
        <f>Z1*IF(AND(高温可否!AA3=1,低温可否!AA3=1,HUAWEI製ＰＣＳ接続枚数計算ツール!$C$108&gt;=AA$3,HUAWEI製ＰＣＳ接続枚数計算ツール!$E$108&lt;=AA$3,枚数!AA3&gt;0),枚数!AA3,IF(AND(低温可否!AA3=1,HUAWEI製ＰＣＳ接続枚数計算ツール!$C$108&gt;=AA$3,枚数!AA3&gt;0,低電圧接続!AA3&gt;0),枚数!AA3,"-"))</f>
        <v>#VALUE!</v>
      </c>
      <c r="AB4" s="107" t="e">
        <f>Z1*IF(AND(高温可否!AB3=1,低温可否!AB3=1,HUAWEI製ＰＣＳ接続枚数計算ツール!$C$108&gt;=AB$3,HUAWEI製ＰＣＳ接続枚数計算ツール!$E$108&lt;=AB$3,枚数!AB3&gt;0),枚数!AB3,IF(AND(低温可否!AB3=1,HUAWEI製ＰＣＳ接続枚数計算ツール!$C$108&gt;=AB$3,枚数!AB3&gt;0,低電圧接続!AB3&gt;0),枚数!AB3,"-"))</f>
        <v>#VALUE!</v>
      </c>
      <c r="AC4" s="108" t="e">
        <f>Z1*IF(AND(高温可否!AC3=1,低温可否!AC3=1,HUAWEI製ＰＣＳ接続枚数計算ツール!$C$108&gt;=AC$3,HUAWEI製ＰＣＳ接続枚数計算ツール!$E$108&lt;=AC$3,枚数!AC3&gt;0),枚数!AC3,IF(AND(低温可否!AC3=1,HUAWEI製ＰＣＳ接続枚数計算ツール!$C$108&gt;=AC$3,枚数!AC3&gt;0,低電圧接続!AC3&gt;0),枚数!AC3,"-"))</f>
        <v>#VALUE!</v>
      </c>
      <c r="AD4" s="107" t="e">
        <f>Z1*IF(AND(高温可否!AD3=1,低温可否!AD3=1,HUAWEI製ＰＣＳ接続枚数計算ツール!$C$108&gt;=AD$3,HUAWEI製ＰＣＳ接続枚数計算ツール!$E$108&lt;=AD$3,枚数!AD3&gt;0),枚数!AD3,IF(AND(低温可否!AD3=1,HUAWEI製ＰＣＳ接続枚数計算ツール!$C$108&gt;=AD$3,枚数!AD3&gt;0,低電圧接続!AD3&gt;0),枚数!AD3,"-"))</f>
        <v>#VALUE!</v>
      </c>
      <c r="AE4" s="108" t="e">
        <f>Z1*IF(AND(高温可否!AE3=1,低温可否!AE3=1,HUAWEI製ＰＣＳ接続枚数計算ツール!$C$108&gt;=AE$3,HUAWEI製ＰＣＳ接続枚数計算ツール!$E$108&lt;=AE$3,枚数!AE3&gt;0),枚数!AE3,IF(AND(低温可否!AE3=1,HUAWEI製ＰＣＳ接続枚数計算ツール!$C$108&gt;=AE$3,枚数!AE3&gt;0,低電圧接続!AE3&gt;0),枚数!AE3,"-"))</f>
        <v>#VALUE!</v>
      </c>
      <c r="AF4" s="107" t="e">
        <f>Z1*IF(AND(高温可否!AF3=1,低温可否!AF3=1,HUAWEI製ＰＣＳ接続枚数計算ツール!$C$108&gt;=AF$3,HUAWEI製ＰＣＳ接続枚数計算ツール!$E$108&lt;=AF$3,枚数!AF3&gt;0),枚数!AF3,IF(AND(低温可否!AF3=1,HUAWEI製ＰＣＳ接続枚数計算ツール!$C$108&gt;=AF$3,枚数!AF3&gt;0,低電圧接続!AF3&gt;0),枚数!AF3,"-"))</f>
        <v>#VALUE!</v>
      </c>
      <c r="AG4" s="108" t="e">
        <f>Z1*IF(AND(高温可否!AG3=1,低温可否!AG3=1,HUAWEI製ＰＣＳ接続枚数計算ツール!$C$108&gt;=AG$3,HUAWEI製ＰＣＳ接続枚数計算ツール!$E$108&lt;=AG$3,枚数!AG3&gt;0),枚数!AG3,IF(AND(低温可否!AG3=1,HUAWEI製ＰＣＳ接続枚数計算ツール!$C$108&gt;=AG$3,枚数!AG3&gt;0,低電圧接続!AG3&gt;0),枚数!AG3,"-"))</f>
        <v>#VALUE!</v>
      </c>
      <c r="AH4" s="107" t="e">
        <f>Z1*IF(AND(高温可否!AH3=1,低温可否!AH3=1,HUAWEI製ＰＣＳ接続枚数計算ツール!$C$108&gt;=AH$3,HUAWEI製ＰＣＳ接続枚数計算ツール!$E$108&lt;=AH$3,枚数!AH3&gt;0),枚数!AH3,IF(AND(低温可否!AH3=1,HUAWEI製ＰＣＳ接続枚数計算ツール!$C$108&gt;=AH$3,枚数!AH3&gt;0,低電圧接続!AH3&gt;0),枚数!AH3,"-"))</f>
        <v>#VALUE!</v>
      </c>
      <c r="AI4" s="108" t="e">
        <f>Z1*IF(AND(高温可否!AI3=1,低温可否!AI3=1,HUAWEI製ＰＣＳ接続枚数計算ツール!$C$108&gt;=AI$3,HUAWEI製ＰＣＳ接続枚数計算ツール!$E$108&lt;=AI$3,枚数!AI3&gt;0),枚数!AI3,IF(AND(低温可否!AI3=1,HUAWEI製ＰＣＳ接続枚数計算ツール!$C$108&gt;=AI$3,枚数!AI3&gt;0,低電圧接続!AI3&gt;0),枚数!AI3,"-"))</f>
        <v>#VALUE!</v>
      </c>
      <c r="AJ4" s="107" t="e">
        <f>Z1*IF(AND(高温可否!AJ3=1,低温可否!AJ3=1,HUAWEI製ＰＣＳ接続枚数計算ツール!$C$108&gt;=AJ$3,HUAWEI製ＰＣＳ接続枚数計算ツール!$E$108&lt;=AJ$3,枚数!AJ3&gt;0),枚数!AJ3,IF(AND(低温可否!AJ3=1,HUAWEI製ＰＣＳ接続枚数計算ツール!$C$108&gt;=AJ$3,枚数!AJ3&gt;0,低電圧接続!AJ3&gt;0),枚数!AJ3,"-"))</f>
        <v>#VALUE!</v>
      </c>
      <c r="AK4" s="108" t="e">
        <f>Z1*IF(AND(高温可否!AK3=1,低温可否!AK3=1,HUAWEI製ＰＣＳ接続枚数計算ツール!$C$108&gt;=AK$3,HUAWEI製ＰＣＳ接続枚数計算ツール!$E$108&lt;=AK$3,枚数!AK3&gt;0),枚数!AK3,IF(AND(低温可否!AK3=1,HUAWEI製ＰＣＳ接続枚数計算ツール!$C$108&gt;=AK$3,枚数!AK3&gt;0,低電圧接続!AK3&gt;0),枚数!AK3,"-"))</f>
        <v>#VALUE!</v>
      </c>
      <c r="AL4" s="107" t="e">
        <f>Z1*IF(AND(高温可否!AL3=1,低温可否!AL3=1,HUAWEI製ＰＣＳ接続枚数計算ツール!$C$108&gt;=AL$3,HUAWEI製ＰＣＳ接続枚数計算ツール!$E$108&lt;=AL$3,枚数!AL3&gt;0),枚数!AL3,IF(AND(低温可否!AL3=1,HUAWEI製ＰＣＳ接続枚数計算ツール!$C$108&gt;=AL$3,枚数!AL3&gt;0,低電圧接続!AL3&gt;0),枚数!AL3,"-"))</f>
        <v>#VALUE!</v>
      </c>
      <c r="AM4" s="108" t="e">
        <f>Z1*IF(AND(高温可否!AM3=1,低温可否!AM3=1,HUAWEI製ＰＣＳ接続枚数計算ツール!$C$108&gt;=AM$3,HUAWEI製ＰＣＳ接続枚数計算ツール!$E$108&lt;=AM$3,枚数!AM3&gt;0),枚数!AM3,IF(AND(低温可否!AM3=1,HUAWEI製ＰＣＳ接続枚数計算ツール!$C$108&gt;=AM$3,枚数!AM3&gt;0,低電圧接続!AM3&gt;0),枚数!AM3,"-"))</f>
        <v>#VALUE!</v>
      </c>
      <c r="AN4" s="107" t="e">
        <f>Z1*IF(AND(高温可否!AN3=1,低温可否!AN3=1,HUAWEI製ＰＣＳ接続枚数計算ツール!$C$108&gt;=AN$3,HUAWEI製ＰＣＳ接続枚数計算ツール!$E$108&lt;=AN$3,枚数!AN3&gt;0),枚数!AN3,IF(AND(低温可否!AN3=1,HUAWEI製ＰＣＳ接続枚数計算ツール!$C$108&gt;=AN$3,枚数!AN3&gt;0,低電圧接続!AN3&gt;0),枚数!AN3,"-"))</f>
        <v>#VALUE!</v>
      </c>
      <c r="AO4" s="110" t="e">
        <f>Z1*IF(AND(高温可否!AO3=1,低温可否!AO3=1,HUAWEI製ＰＣＳ接続枚数計算ツール!$C$108&gt;=AO$3,HUAWEI製ＰＣＳ接続枚数計算ツール!$E$108&lt;=AO$3,枚数!AO3&gt;0),枚数!AO3,IF(AND(低温可否!AO3=1,HUAWEI製ＰＣＳ接続枚数計算ツール!$C$108&gt;=AO$3,枚数!AO3&gt;0,低電圧接続!AO3&gt;0),枚数!AO3,"-"))</f>
        <v>#VALUE!</v>
      </c>
    </row>
    <row r="5" spans="1:41">
      <c r="A5" s="115">
        <v>2</v>
      </c>
      <c r="B5" s="126" t="e">
        <f>Z1*IF(AND(高温可否!B4=1,低温可否!B4=1,HUAWEI製ＰＣＳ接続枚数計算ツール!$C$108&gt;=B$3,HUAWEI製ＰＣＳ接続枚数計算ツール!$E$108&lt;=B$3,枚数!B4&gt;0),枚数!B4,IF(AND(低温可否!B4=1,HUAWEI製ＰＣＳ接続枚数計算ツール!$C$108&gt;=B$3,枚数!B4&gt;0,低電圧接続!B4&gt;0),枚数!B4,"-"))</f>
        <v>#VALUE!</v>
      </c>
      <c r="C5" s="127" t="e">
        <f>Z1*IF(AND(高温可否!C4=1,低温可否!C4=1,HUAWEI製ＰＣＳ接続枚数計算ツール!$C$108&gt;=C$3,HUAWEI製ＰＣＳ接続枚数計算ツール!$E$108&lt;=C$3,枚数!C4&gt;0),枚数!C4,IF(AND(低温可否!C4=1,HUAWEI製ＰＣＳ接続枚数計算ツール!$C$108&gt;=C$3,枚数!C4&gt;0,低電圧接続!C4&gt;0),枚数!C4,"-"))</f>
        <v>#VALUE!</v>
      </c>
      <c r="D5" s="128" t="e">
        <f>Z1*IF(AND(高温可否!D4=1,低温可否!D4=1,HUAWEI製ＰＣＳ接続枚数計算ツール!$C$108&gt;=D$3,HUAWEI製ＰＣＳ接続枚数計算ツール!$E$108&lt;=D$3,枚数!D4&gt;0),枚数!D4,IF(AND(低温可否!D4=1,HUAWEI製ＰＣＳ接続枚数計算ツール!$C$108&gt;=D$3,枚数!D4&gt;0,低電圧接続!D4&gt;0),枚数!D4,"-"))</f>
        <v>#VALUE!</v>
      </c>
      <c r="E5" s="127" t="e">
        <f>Z1*IF(AND(高温可否!E4=1,低温可否!E4=1,HUAWEI製ＰＣＳ接続枚数計算ツール!$C$108&gt;=E$3,HUAWEI製ＰＣＳ接続枚数計算ツール!$E$108&lt;=E$3,枚数!E4&gt;0),枚数!E4,IF(AND(低温可否!E4=1,HUAWEI製ＰＣＳ接続枚数計算ツール!$C$108&gt;=E$3,枚数!E4&gt;0,低電圧接続!E4&gt;0),枚数!E4,"-"))</f>
        <v>#VALUE!</v>
      </c>
      <c r="F5" s="128" t="e">
        <f>Z1*IF(AND(高温可否!F4=1,低温可否!F4=1,HUAWEI製ＰＣＳ接続枚数計算ツール!$C$108&gt;=F$3,HUAWEI製ＰＣＳ接続枚数計算ツール!$E$108&lt;=F$3,枚数!F4&gt;0),枚数!F4,IF(AND(低温可否!F4=1,HUAWEI製ＰＣＳ接続枚数計算ツール!$C$108&gt;=F$3,枚数!F4&gt;0,低電圧接続!F4&gt;0),枚数!F4,"-"))</f>
        <v>#VALUE!</v>
      </c>
      <c r="G5" s="127" t="e">
        <f>Z1*IF(AND(高温可否!G4=1,低温可否!G4=1,HUAWEI製ＰＣＳ接続枚数計算ツール!$C$108&gt;=G$3,HUAWEI製ＰＣＳ接続枚数計算ツール!$E$108&lt;=G$3,枚数!G4&gt;0),枚数!G4,IF(AND(低温可否!G4=1,HUAWEI製ＰＣＳ接続枚数計算ツール!$C$108&gt;=G$3,枚数!G4&gt;0,低電圧接続!G4&gt;0),枚数!G4,"-"))</f>
        <v>#VALUE!</v>
      </c>
      <c r="H5" s="128" t="e">
        <f>Z1*IF(AND(高温可否!H4=1,低温可否!H4=1,HUAWEI製ＰＣＳ接続枚数計算ツール!$C$108&gt;=H$3,HUAWEI製ＰＣＳ接続枚数計算ツール!$E$108&lt;=H$3,枚数!H4&gt;0),枚数!H4,IF(AND(低温可否!H4=1,HUAWEI製ＰＣＳ接続枚数計算ツール!$C$108&gt;=H$3,枚数!H4&gt;0,低電圧接続!H4&gt;0),枚数!H4,"-"))</f>
        <v>#VALUE!</v>
      </c>
      <c r="I5" s="127" t="e">
        <f>Z1*IF(AND(高温可否!I4=1,低温可否!I4=1,HUAWEI製ＰＣＳ接続枚数計算ツール!$C$108&gt;=I$3,HUAWEI製ＰＣＳ接続枚数計算ツール!$E$108&lt;=I$3,枚数!I4&gt;0),枚数!I4,IF(AND(低温可否!I4=1,HUAWEI製ＰＣＳ接続枚数計算ツール!$C$108&gt;=I$3,枚数!I4&gt;0,低電圧接続!I4&gt;0),枚数!I4,"-"))</f>
        <v>#VALUE!</v>
      </c>
      <c r="J5" s="128" t="e">
        <f>Z1*IF(AND(高温可否!J4=1,低温可否!J4=1,HUAWEI製ＰＣＳ接続枚数計算ツール!$C$108&gt;=J$3,HUAWEI製ＰＣＳ接続枚数計算ツール!$E$108&lt;=J$3,枚数!J4&gt;0),枚数!J4,IF(AND(低温可否!J4=1,HUAWEI製ＰＣＳ接続枚数計算ツール!$C$108&gt;=J$3,枚数!J4&gt;0,低電圧接続!J4&gt;0),枚数!J4,"-"))</f>
        <v>#VALUE!</v>
      </c>
      <c r="K5" s="127" t="e">
        <f>Z1*IF(AND(高温可否!K4=1,低温可否!K4=1,HUAWEI製ＰＣＳ接続枚数計算ツール!$C$108&gt;=K$3,HUAWEI製ＰＣＳ接続枚数計算ツール!$E$108&lt;=K$3,枚数!K4&gt;0),枚数!K4,IF(AND(低温可否!K4=1,HUAWEI製ＰＣＳ接続枚数計算ツール!$C$108&gt;=K$3,枚数!K4&gt;0,低電圧接続!K4&gt;0),枚数!K4,"-"))</f>
        <v>#VALUE!</v>
      </c>
      <c r="L5" s="128" t="e">
        <f>Z1*IF(AND(高温可否!L4=1,低温可否!L4=1,HUAWEI製ＰＣＳ接続枚数計算ツール!$C$108&gt;=L$3,HUAWEI製ＰＣＳ接続枚数計算ツール!$E$108&lt;=L$3,枚数!L4&gt;0),枚数!L4,IF(AND(低温可否!L4=1,HUAWEI製ＰＣＳ接続枚数計算ツール!$C$108&gt;=L$3,枚数!L4&gt;0,低電圧接続!L4&gt;0),枚数!L4,"-"))</f>
        <v>#VALUE!</v>
      </c>
      <c r="M5" s="127" t="e">
        <f>Z1*IF(AND(高温可否!M4=1,低温可否!M4=1,HUAWEI製ＰＣＳ接続枚数計算ツール!$C$108&gt;=M$3,HUAWEI製ＰＣＳ接続枚数計算ツール!$E$108&lt;=M$3,枚数!M4&gt;0),枚数!M4,IF(AND(低温可否!M4=1,HUAWEI製ＰＣＳ接続枚数計算ツール!$C$108&gt;=M$3,枚数!M4&gt;0,低電圧接続!M4&gt;0),枚数!M4,"-"))</f>
        <v>#VALUE!</v>
      </c>
      <c r="N5" s="128" t="e">
        <f>Z1*IF(AND(高温可否!N4=1,低温可否!N4=1,HUAWEI製ＰＣＳ接続枚数計算ツール!$C$108&gt;=N$3,HUAWEI製ＰＣＳ接続枚数計算ツール!$E$108&lt;=N$3,枚数!N4&gt;0),枚数!N4,IF(AND(低温可否!N4=1,HUAWEI製ＰＣＳ接続枚数計算ツール!$C$108&gt;=N$3,枚数!N4&gt;0,低電圧接続!N4&gt;0),枚数!N4,"-"))</f>
        <v>#VALUE!</v>
      </c>
      <c r="O5" s="127">
        <f>Z1*IF(AND(高温可否!O4=1,低温可否!O4=1,HUAWEI製ＰＣＳ接続枚数計算ツール!$C$108&gt;=O$3,HUAWEI製ＰＣＳ接続枚数計算ツール!$E$108&lt;=O$3,枚数!O4&gt;0),枚数!O4,IF(AND(低温可否!O4=1,HUAWEI製ＰＣＳ接続枚数計算ツール!$C$108&gt;=O$3,枚数!O4&gt;0,低電圧接続!O4&gt;0),枚数!O4,"-"))</f>
        <v>56</v>
      </c>
      <c r="P5" s="128">
        <f>Z1*IF(AND(高温可否!P4=1,低温可否!P4=1,HUAWEI製ＰＣＳ接続枚数計算ツール!$C$108&gt;=P$3,HUAWEI製ＰＣＳ接続枚数計算ツール!$E$108&lt;=P$3,枚数!P4&gt;0),枚数!P4,IF(AND(低温可否!P4=1,HUAWEI製ＰＣＳ接続枚数計算ツール!$C$108&gt;=P$3,枚数!P4&gt;0,低電圧接続!P4&gt;0),枚数!P4,"-"))</f>
        <v>60</v>
      </c>
      <c r="Q5" s="127">
        <f>Z1*IF(AND(高温可否!Q4=1,低温可否!Q4=1,HUAWEI製ＰＣＳ接続枚数計算ツール!$C$108&gt;=Q$3,HUAWEI製ＰＣＳ接続枚数計算ツール!$E$108&lt;=Q$3,枚数!Q4&gt;0),枚数!Q4,IF(AND(低温可否!Q4=1,HUAWEI製ＰＣＳ接続枚数計算ツール!$C$108&gt;=Q$3,枚数!Q4&gt;0,低電圧接続!Q4&gt;0),枚数!Q4,"-"))</f>
        <v>64</v>
      </c>
      <c r="R5" s="128">
        <f>Z1*IF(AND(高温可否!R4=1,低温可否!R4=1,HUAWEI製ＰＣＳ接続枚数計算ツール!$C$108&gt;=R$3,HUAWEI製ＰＣＳ接続枚数計算ツール!$E$108&lt;=R$3,枚数!R4&gt;0),枚数!R4,IF(AND(低温可否!R4=1,HUAWEI製ＰＣＳ接続枚数計算ツール!$C$108&gt;=R$3,枚数!R4&gt;0,低電圧接続!R4&gt;0),枚数!R4,"-"))</f>
        <v>68</v>
      </c>
      <c r="S5" s="127">
        <f>Z1*IF(AND(高温可否!S4=1,低温可否!S4=1,HUAWEI製ＰＣＳ接続枚数計算ツール!$C$108&gt;=S$3,HUAWEI製ＰＣＳ接続枚数計算ツール!$E$108&lt;=S$3,枚数!S4&gt;0),枚数!S4,IF(AND(低温可否!S4=1,HUAWEI製ＰＣＳ接続枚数計算ツール!$C$108&gt;=S$3,枚数!S4&gt;0,低電圧接続!S4&gt;0),枚数!S4,"-"))</f>
        <v>72</v>
      </c>
      <c r="T5" s="128">
        <f>Z1*IF(AND(高温可否!T4=1,低温可否!T4=1,HUAWEI製ＰＣＳ接続枚数計算ツール!$C$108&gt;=T$3,HUAWEI製ＰＣＳ接続枚数計算ツール!$E$108&lt;=T$3,枚数!T4&gt;0),枚数!T4,IF(AND(低温可否!T4=1,HUAWEI製ＰＣＳ接続枚数計算ツール!$C$108&gt;=T$3,枚数!T4&gt;0,低電圧接続!T4&gt;0),枚数!T4,"-"))</f>
        <v>76</v>
      </c>
      <c r="U5" s="127">
        <f>Z1*IF(AND(高温可否!U4=1,低温可否!U4=1,HUAWEI製ＰＣＳ接続枚数計算ツール!$C$108&gt;=U$3,HUAWEI製ＰＣＳ接続枚数計算ツール!$E$108&lt;=U$3,枚数!U4&gt;0),枚数!U4,IF(AND(低温可否!U4=1,HUAWEI製ＰＣＳ接続枚数計算ツール!$C$108&gt;=U$3,枚数!U4&gt;0,低電圧接続!U4&gt;0),枚数!U4,"-"))</f>
        <v>80</v>
      </c>
      <c r="V5" s="128">
        <f>Z1*IF(AND(高温可否!V4=1,低温可否!V4=1,HUAWEI製ＰＣＳ接続枚数計算ツール!$C$108&gt;=V$3,HUAWEI製ＰＣＳ接続枚数計算ツール!$E$108&lt;=V$3,枚数!V4&gt;0),枚数!V4,IF(AND(低温可否!V4=1,HUAWEI製ＰＣＳ接続枚数計算ツール!$C$108&gt;=V$3,枚数!V4&gt;0,低電圧接続!V4&gt;0),枚数!V4,"-"))</f>
        <v>84</v>
      </c>
      <c r="W5" s="127">
        <f>Z1*IF(AND(高温可否!W4=1,低温可否!W4=1,HUAWEI製ＰＣＳ接続枚数計算ツール!$C$108&gt;=W$3,HUAWEI製ＰＣＳ接続枚数計算ツール!$E$108&lt;=W$3,枚数!W4&gt;0),枚数!W4,IF(AND(低温可否!W4=1,HUAWEI製ＰＣＳ接続枚数計算ツール!$C$108&gt;=W$3,枚数!W4&gt;0,低電圧接続!W4&gt;0),枚数!W4,"-"))</f>
        <v>88</v>
      </c>
      <c r="X5" s="128">
        <f>Z1*IF(AND(高温可否!X4=1,低温可否!X4=1,HUAWEI製ＰＣＳ接続枚数計算ツール!$C$108&gt;=X$3,HUAWEI製ＰＣＳ接続枚数計算ツール!$E$108&lt;=X$3,枚数!X4&gt;0),枚数!X4,IF(AND(低温可否!X4=1,HUAWEI製ＰＣＳ接続枚数計算ツール!$C$108&gt;=X$3,枚数!X4&gt;0,低電圧接続!X4&gt;0),枚数!X4,"-"))</f>
        <v>92</v>
      </c>
      <c r="Y5" s="127">
        <f>Z1*IF(AND(高温可否!Y4=1,低温可否!Y4=1,HUAWEI製ＰＣＳ接続枚数計算ツール!$C$108&gt;=Y$3,HUAWEI製ＰＣＳ接続枚数計算ツール!$E$108&lt;=Y$3,枚数!Y4&gt;0),枚数!Y4,IF(AND(低温可否!Y4=1,HUAWEI製ＰＣＳ接続枚数計算ツール!$C$108&gt;=Y$3,枚数!Y4&gt;0,低電圧接続!Y4&gt;0),枚数!Y4,"-"))</f>
        <v>96</v>
      </c>
      <c r="Z5" s="128">
        <f>Z1*IF(AND(高温可否!Z4=1,低温可否!Z4=1,HUAWEI製ＰＣＳ接続枚数計算ツール!$C$108&gt;=Z$3,HUAWEI製ＰＣＳ接続枚数計算ツール!$E$108&lt;=Z$3,枚数!Z4&gt;0),枚数!Z4,IF(AND(低温可否!Z4=1,HUAWEI製ＰＣＳ接続枚数計算ツール!$C$108&gt;=Z$3,枚数!Z4&gt;0,低電圧接続!Z4&gt;0),枚数!Z4,"-"))</f>
        <v>100</v>
      </c>
      <c r="AA5" s="127" t="e">
        <f>Z1*IF(AND(高温可否!AA4=1,低温可否!AA4=1,HUAWEI製ＰＣＳ接続枚数計算ツール!$C$108&gt;=AA$3,HUAWEI製ＰＣＳ接続枚数計算ツール!$E$108&lt;=AA$3,枚数!AA4&gt;0),枚数!AA4,IF(AND(低温可否!AA4=1,HUAWEI製ＰＣＳ接続枚数計算ツール!$C$108&gt;=AA$3,枚数!AA4&gt;0,低電圧接続!AA4&gt;0),枚数!AA4,"-"))</f>
        <v>#VALUE!</v>
      </c>
      <c r="AB5" s="128" t="e">
        <f>Z1*IF(AND(高温可否!AB4=1,低温可否!AB4=1,HUAWEI製ＰＣＳ接続枚数計算ツール!$C$108&gt;=AB$3,HUAWEI製ＰＣＳ接続枚数計算ツール!$E$108&lt;=AB$3,枚数!AB4&gt;0),枚数!AB4,IF(AND(低温可否!AB4=1,HUAWEI製ＰＣＳ接続枚数計算ツール!$C$108&gt;=AB$3,枚数!AB4&gt;0,低電圧接続!AB4&gt;0),枚数!AB4,"-"))</f>
        <v>#VALUE!</v>
      </c>
      <c r="AC5" s="127" t="e">
        <f>Z1*IF(AND(高温可否!AC4=1,低温可否!AC4=1,HUAWEI製ＰＣＳ接続枚数計算ツール!$C$108&gt;=AC$3,HUAWEI製ＰＣＳ接続枚数計算ツール!$E$108&lt;=AC$3,枚数!AC4&gt;0),枚数!AC4,IF(AND(低温可否!AC4=1,HUAWEI製ＰＣＳ接続枚数計算ツール!$C$108&gt;=AC$3,枚数!AC4&gt;0,低電圧接続!AC4&gt;0),枚数!AC4,"-"))</f>
        <v>#VALUE!</v>
      </c>
      <c r="AD5" s="128" t="e">
        <f>Z1*IF(AND(高温可否!AD4=1,低温可否!AD4=1,HUAWEI製ＰＣＳ接続枚数計算ツール!$C$108&gt;=AD$3,HUAWEI製ＰＣＳ接続枚数計算ツール!$E$108&lt;=AD$3,枚数!AD4&gt;0),枚数!AD4,IF(AND(低温可否!AD4=1,HUAWEI製ＰＣＳ接続枚数計算ツール!$C$108&gt;=AD$3,枚数!AD4&gt;0,低電圧接続!AD4&gt;0),枚数!AD4,"-"))</f>
        <v>#VALUE!</v>
      </c>
      <c r="AE5" s="127" t="e">
        <f>Z1*IF(AND(高温可否!AE4=1,低温可否!AE4=1,HUAWEI製ＰＣＳ接続枚数計算ツール!$C$108&gt;=AE$3,HUAWEI製ＰＣＳ接続枚数計算ツール!$E$108&lt;=AE$3,枚数!AE4&gt;0),枚数!AE4,IF(AND(低温可否!AE4=1,HUAWEI製ＰＣＳ接続枚数計算ツール!$C$108&gt;=AE$3,枚数!AE4&gt;0,低電圧接続!AE4&gt;0),枚数!AE4,"-"))</f>
        <v>#VALUE!</v>
      </c>
      <c r="AF5" s="128" t="e">
        <f>Z1*IF(AND(高温可否!AF4=1,低温可否!AF4=1,HUAWEI製ＰＣＳ接続枚数計算ツール!$C$108&gt;=AF$3,HUAWEI製ＰＣＳ接続枚数計算ツール!$E$108&lt;=AF$3,枚数!AF4&gt;0),枚数!AF4,IF(AND(低温可否!AF4=1,HUAWEI製ＰＣＳ接続枚数計算ツール!$C$108&gt;=AF$3,枚数!AF4&gt;0,低電圧接続!AF4&gt;0),枚数!AF4,"-"))</f>
        <v>#VALUE!</v>
      </c>
      <c r="AG5" s="127" t="e">
        <f>Z1*IF(AND(高温可否!AG4=1,低温可否!AG4=1,HUAWEI製ＰＣＳ接続枚数計算ツール!$C$108&gt;=AG$3,HUAWEI製ＰＣＳ接続枚数計算ツール!$E$108&lt;=AG$3,枚数!AG4&gt;0),枚数!AG4,IF(AND(低温可否!AG4=1,HUAWEI製ＰＣＳ接続枚数計算ツール!$C$108&gt;=AG$3,枚数!AG4&gt;0,低電圧接続!AG4&gt;0),枚数!AG4,"-"))</f>
        <v>#VALUE!</v>
      </c>
      <c r="AH5" s="128" t="e">
        <f>Z1*IF(AND(高温可否!AH4=1,低温可否!AH4=1,HUAWEI製ＰＣＳ接続枚数計算ツール!$C$108&gt;=AH$3,HUAWEI製ＰＣＳ接続枚数計算ツール!$E$108&lt;=AH$3,枚数!AH4&gt;0),枚数!AH4,IF(AND(低温可否!AH4=1,HUAWEI製ＰＣＳ接続枚数計算ツール!$C$108&gt;=AH$3,枚数!AH4&gt;0,低電圧接続!AH4&gt;0),枚数!AH4,"-"))</f>
        <v>#VALUE!</v>
      </c>
      <c r="AI5" s="127" t="e">
        <f>Z1*IF(AND(高温可否!AI4=1,低温可否!AI4=1,HUAWEI製ＰＣＳ接続枚数計算ツール!$C$108&gt;=AI$3,HUAWEI製ＰＣＳ接続枚数計算ツール!$E$108&lt;=AI$3,枚数!AI4&gt;0),枚数!AI4,IF(AND(低温可否!AI4=1,HUAWEI製ＰＣＳ接続枚数計算ツール!$C$108&gt;=AI$3,枚数!AI4&gt;0,低電圧接続!AI4&gt;0),枚数!AI4,"-"))</f>
        <v>#VALUE!</v>
      </c>
      <c r="AJ5" s="128" t="e">
        <f>Z1*IF(AND(高温可否!AJ4=1,低温可否!AJ4=1,HUAWEI製ＰＣＳ接続枚数計算ツール!$C$108&gt;=AJ$3,HUAWEI製ＰＣＳ接続枚数計算ツール!$E$108&lt;=AJ$3,枚数!AJ4&gt;0),枚数!AJ4,IF(AND(低温可否!AJ4=1,HUAWEI製ＰＣＳ接続枚数計算ツール!$C$108&gt;=AJ$3,枚数!AJ4&gt;0,低電圧接続!AJ4&gt;0),枚数!AJ4,"-"))</f>
        <v>#VALUE!</v>
      </c>
      <c r="AK5" s="127" t="e">
        <f>Z1*IF(AND(高温可否!AK4=1,低温可否!AK4=1,HUAWEI製ＰＣＳ接続枚数計算ツール!$C$108&gt;=AK$3,HUAWEI製ＰＣＳ接続枚数計算ツール!$E$108&lt;=AK$3,枚数!AK4&gt;0),枚数!AK4,IF(AND(低温可否!AK4=1,HUAWEI製ＰＣＳ接続枚数計算ツール!$C$108&gt;=AK$3,枚数!AK4&gt;0,低電圧接続!AK4&gt;0),枚数!AK4,"-"))</f>
        <v>#VALUE!</v>
      </c>
      <c r="AL5" s="128" t="e">
        <f>Z1*IF(AND(高温可否!AL4=1,低温可否!AL4=1,HUAWEI製ＰＣＳ接続枚数計算ツール!$C$108&gt;=AL$3,HUAWEI製ＰＣＳ接続枚数計算ツール!$E$108&lt;=AL$3,枚数!AL4&gt;0),枚数!AL4,IF(AND(低温可否!AL4=1,HUAWEI製ＰＣＳ接続枚数計算ツール!$C$108&gt;=AL$3,枚数!AL4&gt;0,低電圧接続!AL4&gt;0),枚数!AL4,"-"))</f>
        <v>#VALUE!</v>
      </c>
      <c r="AM5" s="127" t="e">
        <f>Z1*IF(AND(高温可否!AM4=1,低温可否!AM4=1,HUAWEI製ＰＣＳ接続枚数計算ツール!$C$108&gt;=AM$3,HUAWEI製ＰＣＳ接続枚数計算ツール!$E$108&lt;=AM$3,枚数!AM4&gt;0),枚数!AM4,IF(AND(低温可否!AM4=1,HUAWEI製ＰＣＳ接続枚数計算ツール!$C$108&gt;=AM$3,枚数!AM4&gt;0,低電圧接続!AM4&gt;0),枚数!AM4,"-"))</f>
        <v>#VALUE!</v>
      </c>
      <c r="AN5" s="128" t="e">
        <f>Z1*IF(AND(高温可否!AN4=1,低温可否!AN4=1,HUAWEI製ＰＣＳ接続枚数計算ツール!$C$108&gt;=AN$3,HUAWEI製ＰＣＳ接続枚数計算ツール!$E$108&lt;=AN$3,枚数!AN4&gt;0),枚数!AN4,IF(AND(低温可否!AN4=1,HUAWEI製ＰＣＳ接続枚数計算ツール!$C$108&gt;=AN$3,枚数!AN4&gt;0,低電圧接続!AN4&gt;0),枚数!AN4,"-"))</f>
        <v>#VALUE!</v>
      </c>
      <c r="AO5" s="129" t="e">
        <f>Z1*IF(AND(高温可否!AO4=1,低温可否!AO4=1,HUAWEI製ＰＣＳ接続枚数計算ツール!$C$108&gt;=AO$3,HUAWEI製ＰＣＳ接続枚数計算ツール!$E$108&lt;=AO$3,枚数!AO4&gt;0),枚数!AO4,IF(AND(低温可否!AO4=1,HUAWEI製ＰＣＳ接続枚数計算ツール!$C$108&gt;=AO$3,枚数!AO4&gt;0,低電圧接続!AO4&gt;0),枚数!AO4,"-"))</f>
        <v>#VALUE!</v>
      </c>
    </row>
    <row r="6" spans="1:41">
      <c r="A6" s="116">
        <v>3</v>
      </c>
      <c r="B6" s="122" t="e">
        <f>Z1*IF(AND(高温可否!B5=1,低温可否!B5=1,HUAWEI製ＰＣＳ接続枚数計算ツール!$C$108&gt;=B$3,HUAWEI製ＰＣＳ接続枚数計算ツール!$E$108&lt;=B$3,枚数!B5&gt;0),枚数!B5,IF(AND(低温可否!B5=1,HUAWEI製ＰＣＳ接続枚数計算ツール!$C$108&gt;=B$3,枚数!B5&gt;0,低電圧接続!B5&gt;0),枚数!B5,"-"))</f>
        <v>#VALUE!</v>
      </c>
      <c r="C6" s="123" t="e">
        <f>Z1*IF(AND(高温可否!C5=1,低温可否!C5=1,HUAWEI製ＰＣＳ接続枚数計算ツール!$C$108&gt;=C$3,HUAWEI製ＰＣＳ接続枚数計算ツール!$E$108&lt;=C$3,枚数!C5&gt;0),枚数!C5,IF(AND(低温可否!C5=1,HUAWEI製ＰＣＳ接続枚数計算ツール!$C$108&gt;=C$3,枚数!C5&gt;0,低電圧接続!C5&gt;0),枚数!C5,"-"))</f>
        <v>#VALUE!</v>
      </c>
      <c r="D6" s="124" t="e">
        <f>Z1*IF(AND(高温可否!D5=1,低温可否!D5=1,HUAWEI製ＰＣＳ接続枚数計算ツール!$C$108&gt;=D$3,HUAWEI製ＰＣＳ接続枚数計算ツール!$E$108&lt;=D$3,枚数!D5&gt;0),枚数!D5,IF(AND(低温可否!D5=1,HUAWEI製ＰＣＳ接続枚数計算ツール!$C$108&gt;=D$3,枚数!D5&gt;0,低電圧接続!D5&gt;0),枚数!D5,"-"))</f>
        <v>#VALUE!</v>
      </c>
      <c r="E6" s="123" t="e">
        <f>Z1*IF(AND(高温可否!E5=1,低温可否!E5=1,HUAWEI製ＰＣＳ接続枚数計算ツール!$C$108&gt;=E$3,HUAWEI製ＰＣＳ接続枚数計算ツール!$E$108&lt;=E$3,枚数!E5&gt;0),枚数!E5,IF(AND(低温可否!E5=1,HUAWEI製ＰＣＳ接続枚数計算ツール!$C$108&gt;=E$3,枚数!E5&gt;0,低電圧接続!E5&gt;0),枚数!E5,"-"))</f>
        <v>#VALUE!</v>
      </c>
      <c r="F6" s="124" t="e">
        <f>Z1*IF(AND(高温可否!F5=1,低温可否!F5=1,HUAWEI製ＰＣＳ接続枚数計算ツール!$C$108&gt;=F$3,HUAWEI製ＰＣＳ接続枚数計算ツール!$E$108&lt;=F$3,枚数!F5&gt;0),枚数!F5,IF(AND(低温可否!F5=1,HUAWEI製ＰＣＳ接続枚数計算ツール!$C$108&gt;=F$3,枚数!F5&gt;0,低電圧接続!F5&gt;0),枚数!F5,"-"))</f>
        <v>#VALUE!</v>
      </c>
      <c r="G6" s="123" t="e">
        <f>Z1*IF(AND(高温可否!G5=1,低温可否!G5=1,HUAWEI製ＰＣＳ接続枚数計算ツール!$C$108&gt;=G$3,HUAWEI製ＰＣＳ接続枚数計算ツール!$E$108&lt;=G$3,枚数!G5&gt;0),枚数!G5,IF(AND(低温可否!G5=1,HUAWEI製ＰＣＳ接続枚数計算ツール!$C$108&gt;=G$3,枚数!G5&gt;0,低電圧接続!G5&gt;0),枚数!G5,"-"))</f>
        <v>#VALUE!</v>
      </c>
      <c r="H6" s="124" t="e">
        <f>Z1*IF(AND(高温可否!H5=1,低温可否!H5=1,HUAWEI製ＰＣＳ接続枚数計算ツール!$C$108&gt;=H$3,HUAWEI製ＰＣＳ接続枚数計算ツール!$E$108&lt;=H$3,枚数!H5&gt;0),枚数!H5,IF(AND(低温可否!H5=1,HUAWEI製ＰＣＳ接続枚数計算ツール!$C$108&gt;=H$3,枚数!H5&gt;0,低電圧接続!H5&gt;0),枚数!H5,"-"))</f>
        <v>#VALUE!</v>
      </c>
      <c r="I6" s="123" t="e">
        <f>Z1*IF(AND(高温可否!I5=1,低温可否!I5=1,HUAWEI製ＰＣＳ接続枚数計算ツール!$C$108&gt;=I$3,HUAWEI製ＰＣＳ接続枚数計算ツール!$E$108&lt;=I$3,枚数!I5&gt;0),枚数!I5,IF(AND(低温可否!I5=1,HUAWEI製ＰＣＳ接続枚数計算ツール!$C$108&gt;=I$3,枚数!I5&gt;0,低電圧接続!I5&gt;0),枚数!I5,"-"))</f>
        <v>#VALUE!</v>
      </c>
      <c r="J6" s="124" t="e">
        <f>Z1*IF(AND(高温可否!J5=1,低温可否!J5=1,HUAWEI製ＰＣＳ接続枚数計算ツール!$C$108&gt;=J$3,HUAWEI製ＰＣＳ接続枚数計算ツール!$E$108&lt;=J$3,枚数!J5&gt;0),枚数!J5,IF(AND(低温可否!J5=1,HUAWEI製ＰＣＳ接続枚数計算ツール!$C$108&gt;=J$3,枚数!J5&gt;0,低電圧接続!J5&gt;0),枚数!J5,"-"))</f>
        <v>#VALUE!</v>
      </c>
      <c r="K6" s="123" t="e">
        <f>Z1*IF(AND(高温可否!K5=1,低温可否!K5=1,HUAWEI製ＰＣＳ接続枚数計算ツール!$C$108&gt;=K$3,HUAWEI製ＰＣＳ接続枚数計算ツール!$E$108&lt;=K$3,枚数!K5&gt;0),枚数!K5,IF(AND(低温可否!K5=1,HUAWEI製ＰＣＳ接続枚数計算ツール!$C$108&gt;=K$3,枚数!K5&gt;0,低電圧接続!K5&gt;0),枚数!K5,"-"))</f>
        <v>#VALUE!</v>
      </c>
      <c r="L6" s="124" t="e">
        <f>Z1*IF(AND(高温可否!L5=1,低温可否!L5=1,HUAWEI製ＰＣＳ接続枚数計算ツール!$C$108&gt;=L$3,HUAWEI製ＰＣＳ接続枚数計算ツール!$E$108&lt;=L$3,枚数!L5&gt;0),枚数!L5,IF(AND(低温可否!L5=1,HUAWEI製ＰＣＳ接続枚数計算ツール!$C$108&gt;=L$3,枚数!L5&gt;0,低電圧接続!L5&gt;0),枚数!L5,"-"))</f>
        <v>#VALUE!</v>
      </c>
      <c r="M6" s="123" t="e">
        <f>Z1*IF(AND(高温可否!M5=1,低温可否!M5=1,HUAWEI製ＰＣＳ接続枚数計算ツール!$C$108&gt;=M$3,HUAWEI製ＰＣＳ接続枚数計算ツール!$E$108&lt;=M$3,枚数!M5&gt;0),枚数!M5,IF(AND(低温可否!M5=1,HUAWEI製ＰＣＳ接続枚数計算ツール!$C$108&gt;=M$3,枚数!M5&gt;0,低電圧接続!M5&gt;0),枚数!M5,"-"))</f>
        <v>#VALUE!</v>
      </c>
      <c r="N6" s="124" t="e">
        <f>Z1*IF(AND(高温可否!N5=1,低温可否!N5=1,HUAWEI製ＰＣＳ接続枚数計算ツール!$C$108&gt;=N$3,HUAWEI製ＰＣＳ接続枚数計算ツール!$E$108&lt;=N$3,枚数!N5&gt;0),枚数!N5,IF(AND(低温可否!N5=1,HUAWEI製ＰＣＳ接続枚数計算ツール!$C$108&gt;=N$3,枚数!N5&gt;0,低電圧接続!N5&gt;0),枚数!N5,"-"))</f>
        <v>#VALUE!</v>
      </c>
      <c r="O6" s="123">
        <f>Z1*IF(AND(高温可否!O5=1,低温可否!O5=1,HUAWEI製ＰＣＳ接続枚数計算ツール!$C$108&gt;=O$3,HUAWEI製ＰＣＳ接続枚数計算ツール!$E$108&lt;=O$3,枚数!O5&gt;0),枚数!O5,IF(AND(低温可否!O5=1,HUAWEI製ＰＣＳ接続枚数計算ツール!$C$108&gt;=O$3,枚数!O5&gt;0,低電圧接続!O5&gt;0),枚数!O5,"-"))</f>
        <v>84</v>
      </c>
      <c r="P6" s="124">
        <f>Z1*IF(AND(高温可否!P5=1,低温可否!P5=1,HUAWEI製ＰＣＳ接続枚数計算ツール!$C$108&gt;=P$3,HUAWEI製ＰＣＳ接続枚数計算ツール!$E$108&lt;=P$3,枚数!P5&gt;0),枚数!P5,IF(AND(低温可否!P5=1,HUAWEI製ＰＣＳ接続枚数計算ツール!$C$108&gt;=P$3,枚数!P5&gt;0,低電圧接続!P5&gt;0),枚数!P5,"-"))</f>
        <v>90</v>
      </c>
      <c r="Q6" s="123">
        <f>Z1*IF(AND(高温可否!Q5=1,低温可否!Q5=1,HUAWEI製ＰＣＳ接続枚数計算ツール!$C$108&gt;=Q$3,HUAWEI製ＰＣＳ接続枚数計算ツール!$E$108&lt;=Q$3,枚数!Q5&gt;0),枚数!Q5,IF(AND(低温可否!Q5=1,HUAWEI製ＰＣＳ接続枚数計算ツール!$C$108&gt;=Q$3,枚数!Q5&gt;0,低電圧接続!Q5&gt;0),枚数!Q5,"-"))</f>
        <v>96</v>
      </c>
      <c r="R6" s="124">
        <f>Z1*IF(AND(高温可否!R5=1,低温可否!R5=1,HUAWEI製ＰＣＳ接続枚数計算ツール!$C$108&gt;=R$3,HUAWEI製ＰＣＳ接続枚数計算ツール!$E$108&lt;=R$3,枚数!R5&gt;0),枚数!R5,IF(AND(低温可否!R5=1,HUAWEI製ＰＣＳ接続枚数計算ツール!$C$108&gt;=R$3,枚数!R5&gt;0,低電圧接続!R5&gt;0),枚数!R5,"-"))</f>
        <v>102</v>
      </c>
      <c r="S6" s="123">
        <f>Z1*IF(AND(高温可否!S5=1,低温可否!S5=1,HUAWEI製ＰＣＳ接続枚数計算ツール!$C$108&gt;=S$3,HUAWEI製ＰＣＳ接続枚数計算ツール!$E$108&lt;=S$3,枚数!S5&gt;0),枚数!S5,IF(AND(低温可否!S5=1,HUAWEI製ＰＣＳ接続枚数計算ツール!$C$108&gt;=S$3,枚数!S5&gt;0,低電圧接続!S5&gt;0),枚数!S5,"-"))</f>
        <v>108</v>
      </c>
      <c r="T6" s="124">
        <f>Z1*IF(AND(高温可否!T5=1,低温可否!T5=1,HUAWEI製ＰＣＳ接続枚数計算ツール!$C$108&gt;=T$3,HUAWEI製ＰＣＳ接続枚数計算ツール!$E$108&lt;=T$3,枚数!T5&gt;0),枚数!T5,IF(AND(低温可否!T5=1,HUAWEI製ＰＣＳ接続枚数計算ツール!$C$108&gt;=T$3,枚数!T5&gt;0,低電圧接続!T5&gt;0),枚数!T5,"-"))</f>
        <v>114</v>
      </c>
      <c r="U6" s="123">
        <f>Z1*IF(AND(高温可否!U5=1,低温可否!U5=1,HUAWEI製ＰＣＳ接続枚数計算ツール!$C$108&gt;=U$3,HUAWEI製ＰＣＳ接続枚数計算ツール!$E$108&lt;=U$3,枚数!U5&gt;0),枚数!U5,IF(AND(低温可否!U5=1,HUAWEI製ＰＣＳ接続枚数計算ツール!$C$108&gt;=U$3,枚数!U5&gt;0,低電圧接続!U5&gt;0),枚数!U5,"-"))</f>
        <v>120</v>
      </c>
      <c r="V6" s="124">
        <f>Z1*IF(AND(高温可否!V5=1,低温可否!V5=1,HUAWEI製ＰＣＳ接続枚数計算ツール!$C$108&gt;=V$3,HUAWEI製ＰＣＳ接続枚数計算ツール!$E$108&lt;=V$3,枚数!V5&gt;0),枚数!V5,IF(AND(低温可否!V5=1,HUAWEI製ＰＣＳ接続枚数計算ツール!$C$108&gt;=V$3,枚数!V5&gt;0,低電圧接続!V5&gt;0),枚数!V5,"-"))</f>
        <v>126</v>
      </c>
      <c r="W6" s="123">
        <f>Z1*IF(AND(高温可否!W5=1,低温可否!W5=1,HUAWEI製ＰＣＳ接続枚数計算ツール!$C$108&gt;=W$3,HUAWEI製ＰＣＳ接続枚数計算ツール!$E$108&lt;=W$3,枚数!W5&gt;0),枚数!W5,IF(AND(低温可否!W5=1,HUAWEI製ＰＣＳ接続枚数計算ツール!$C$108&gt;=W$3,枚数!W5&gt;0,低電圧接続!W5&gt;0),枚数!W5,"-"))</f>
        <v>132</v>
      </c>
      <c r="X6" s="124">
        <f>Z1*IF(AND(高温可否!X5=1,低温可否!X5=1,HUAWEI製ＰＣＳ接続枚数計算ツール!$C$108&gt;=X$3,HUAWEI製ＰＣＳ接続枚数計算ツール!$E$108&lt;=X$3,枚数!X5&gt;0),枚数!X5,IF(AND(低温可否!X5=1,HUAWEI製ＰＣＳ接続枚数計算ツール!$C$108&gt;=X$3,枚数!X5&gt;0,低電圧接続!X5&gt;0),枚数!X5,"-"))</f>
        <v>138</v>
      </c>
      <c r="Y6" s="123">
        <f>Z1*IF(AND(高温可否!Y5=1,低温可否!Y5=1,HUAWEI製ＰＣＳ接続枚数計算ツール!$C$108&gt;=Y$3,HUAWEI製ＰＣＳ接続枚数計算ツール!$E$108&lt;=Y$3,枚数!Y5&gt;0),枚数!Y5,IF(AND(低温可否!Y5=1,HUAWEI製ＰＣＳ接続枚数計算ツール!$C$108&gt;=Y$3,枚数!Y5&gt;0,低電圧接続!Y5&gt;0),枚数!Y5,"-"))</f>
        <v>144</v>
      </c>
      <c r="Z6" s="124">
        <f>Z1*IF(AND(高温可否!Z5=1,低温可否!Z5=1,HUAWEI製ＰＣＳ接続枚数計算ツール!$C$108&gt;=Z$3,HUAWEI製ＰＣＳ接続枚数計算ツール!$E$108&lt;=Z$3,枚数!Z5&gt;0),枚数!Z5,IF(AND(低温可否!Z5=1,HUAWEI製ＰＣＳ接続枚数計算ツール!$C$108&gt;=Z$3,枚数!Z5&gt;0,低電圧接続!Z5&gt;0),枚数!Z5,"-"))</f>
        <v>150</v>
      </c>
      <c r="AA6" s="123" t="e">
        <f>Z1*IF(AND(高温可否!AA5=1,低温可否!AA5=1,HUAWEI製ＰＣＳ接続枚数計算ツール!$C$108&gt;=AA$3,HUAWEI製ＰＣＳ接続枚数計算ツール!$E$108&lt;=AA$3,枚数!AA5&gt;0),枚数!AA5,IF(AND(低温可否!AA5=1,HUAWEI製ＰＣＳ接続枚数計算ツール!$C$108&gt;=AA$3,枚数!AA5&gt;0,低電圧接続!AA5&gt;0),枚数!AA5,"-"))</f>
        <v>#VALUE!</v>
      </c>
      <c r="AB6" s="124" t="e">
        <f>Z1*IF(AND(高温可否!AB5=1,低温可否!AB5=1,HUAWEI製ＰＣＳ接続枚数計算ツール!$C$108&gt;=AB$3,HUAWEI製ＰＣＳ接続枚数計算ツール!$E$108&lt;=AB$3,枚数!AB5&gt;0),枚数!AB5,IF(AND(低温可否!AB5=1,HUAWEI製ＰＣＳ接続枚数計算ツール!$C$108&gt;=AB$3,枚数!AB5&gt;0,低電圧接続!AB5&gt;0),枚数!AB5,"-"))</f>
        <v>#VALUE!</v>
      </c>
      <c r="AC6" s="123" t="e">
        <f>Z1*IF(AND(高温可否!AC5=1,低温可否!AC5=1,HUAWEI製ＰＣＳ接続枚数計算ツール!$C$108&gt;=AC$3,HUAWEI製ＰＣＳ接続枚数計算ツール!$E$108&lt;=AC$3,枚数!AC5&gt;0),枚数!AC5,IF(AND(低温可否!AC5=1,HUAWEI製ＰＣＳ接続枚数計算ツール!$C$108&gt;=AC$3,枚数!AC5&gt;0,低電圧接続!AC5&gt;0),枚数!AC5,"-"))</f>
        <v>#VALUE!</v>
      </c>
      <c r="AD6" s="124" t="e">
        <f>Z1*IF(AND(高温可否!AD5=1,低温可否!AD5=1,HUAWEI製ＰＣＳ接続枚数計算ツール!$C$108&gt;=AD$3,HUAWEI製ＰＣＳ接続枚数計算ツール!$E$108&lt;=AD$3,枚数!AD5&gt;0),枚数!AD5,IF(AND(低温可否!AD5=1,HUAWEI製ＰＣＳ接続枚数計算ツール!$C$108&gt;=AD$3,枚数!AD5&gt;0,低電圧接続!AD5&gt;0),枚数!AD5,"-"))</f>
        <v>#VALUE!</v>
      </c>
      <c r="AE6" s="123" t="e">
        <f>Z1*IF(AND(高温可否!AE5=1,低温可否!AE5=1,HUAWEI製ＰＣＳ接続枚数計算ツール!$C$108&gt;=AE$3,HUAWEI製ＰＣＳ接続枚数計算ツール!$E$108&lt;=AE$3,枚数!AE5&gt;0),枚数!AE5,IF(AND(低温可否!AE5=1,HUAWEI製ＰＣＳ接続枚数計算ツール!$C$108&gt;=AE$3,枚数!AE5&gt;0,低電圧接続!AE5&gt;0),枚数!AE5,"-"))</f>
        <v>#VALUE!</v>
      </c>
      <c r="AF6" s="124" t="e">
        <f>Z1*IF(AND(高温可否!AF5=1,低温可否!AF5=1,HUAWEI製ＰＣＳ接続枚数計算ツール!$C$108&gt;=AF$3,HUAWEI製ＰＣＳ接続枚数計算ツール!$E$108&lt;=AF$3,枚数!AF5&gt;0),枚数!AF5,IF(AND(低温可否!AF5=1,HUAWEI製ＰＣＳ接続枚数計算ツール!$C$108&gt;=AF$3,枚数!AF5&gt;0,低電圧接続!AF5&gt;0),枚数!AF5,"-"))</f>
        <v>#VALUE!</v>
      </c>
      <c r="AG6" s="123" t="e">
        <f>Z1*IF(AND(高温可否!AG5=1,低温可否!AG5=1,HUAWEI製ＰＣＳ接続枚数計算ツール!$C$108&gt;=AG$3,HUAWEI製ＰＣＳ接続枚数計算ツール!$E$108&lt;=AG$3,枚数!AG5&gt;0),枚数!AG5,IF(AND(低温可否!AG5=1,HUAWEI製ＰＣＳ接続枚数計算ツール!$C$108&gt;=AG$3,枚数!AG5&gt;0,低電圧接続!AG5&gt;0),枚数!AG5,"-"))</f>
        <v>#VALUE!</v>
      </c>
      <c r="AH6" s="124" t="e">
        <f>Z1*IF(AND(高温可否!AH5=1,低温可否!AH5=1,HUAWEI製ＰＣＳ接続枚数計算ツール!$C$108&gt;=AH$3,HUAWEI製ＰＣＳ接続枚数計算ツール!$E$108&lt;=AH$3,枚数!AH5&gt;0),枚数!AH5,IF(AND(低温可否!AH5=1,HUAWEI製ＰＣＳ接続枚数計算ツール!$C$108&gt;=AH$3,枚数!AH5&gt;0,低電圧接続!AH5&gt;0),枚数!AH5,"-"))</f>
        <v>#VALUE!</v>
      </c>
      <c r="AI6" s="123" t="e">
        <f>Z1*IF(AND(高温可否!AI5=1,低温可否!AI5=1,HUAWEI製ＰＣＳ接続枚数計算ツール!$C$108&gt;=AI$3,HUAWEI製ＰＣＳ接続枚数計算ツール!$E$108&lt;=AI$3,枚数!AI5&gt;0),枚数!AI5,IF(AND(低温可否!AI5=1,HUAWEI製ＰＣＳ接続枚数計算ツール!$C$108&gt;=AI$3,枚数!AI5&gt;0,低電圧接続!AI5&gt;0),枚数!AI5,"-"))</f>
        <v>#VALUE!</v>
      </c>
      <c r="AJ6" s="124" t="e">
        <f>Z1*IF(AND(高温可否!AJ5=1,低温可否!AJ5=1,HUAWEI製ＰＣＳ接続枚数計算ツール!$C$108&gt;=AJ$3,HUAWEI製ＰＣＳ接続枚数計算ツール!$E$108&lt;=AJ$3,枚数!AJ5&gt;0),枚数!AJ5,IF(AND(低温可否!AJ5=1,HUAWEI製ＰＣＳ接続枚数計算ツール!$C$108&gt;=AJ$3,枚数!AJ5&gt;0,低電圧接続!AJ5&gt;0),枚数!AJ5,"-"))</f>
        <v>#VALUE!</v>
      </c>
      <c r="AK6" s="123" t="e">
        <f>Z1*IF(AND(高温可否!AK5=1,低温可否!AK5=1,HUAWEI製ＰＣＳ接続枚数計算ツール!$C$108&gt;=AK$3,HUAWEI製ＰＣＳ接続枚数計算ツール!$E$108&lt;=AK$3,枚数!AK5&gt;0),枚数!AK5,IF(AND(低温可否!AK5=1,HUAWEI製ＰＣＳ接続枚数計算ツール!$C$108&gt;=AK$3,枚数!AK5&gt;0,低電圧接続!AK5&gt;0),枚数!AK5,"-"))</f>
        <v>#VALUE!</v>
      </c>
      <c r="AL6" s="124" t="e">
        <f>Z1*IF(AND(高温可否!AL5=1,低温可否!AL5=1,HUAWEI製ＰＣＳ接続枚数計算ツール!$C$108&gt;=AL$3,HUAWEI製ＰＣＳ接続枚数計算ツール!$E$108&lt;=AL$3,枚数!AL5&gt;0),枚数!AL5,IF(AND(低温可否!AL5=1,HUAWEI製ＰＣＳ接続枚数計算ツール!$C$108&gt;=AL$3,枚数!AL5&gt;0,低電圧接続!AL5&gt;0),枚数!AL5,"-"))</f>
        <v>#VALUE!</v>
      </c>
      <c r="AM6" s="123" t="e">
        <f>Z1*IF(AND(高温可否!AM5=1,低温可否!AM5=1,HUAWEI製ＰＣＳ接続枚数計算ツール!$C$108&gt;=AM$3,HUAWEI製ＰＣＳ接続枚数計算ツール!$E$108&lt;=AM$3,枚数!AM5&gt;0),枚数!AM5,IF(AND(低温可否!AM5=1,HUAWEI製ＰＣＳ接続枚数計算ツール!$C$108&gt;=AM$3,枚数!AM5&gt;0,低電圧接続!AM5&gt;0),枚数!AM5,"-"))</f>
        <v>#VALUE!</v>
      </c>
      <c r="AN6" s="124" t="e">
        <f>Z1*IF(AND(高温可否!AN5=1,低温可否!AN5=1,HUAWEI製ＰＣＳ接続枚数計算ツール!$C$108&gt;=AN$3,HUAWEI製ＰＣＳ接続枚数計算ツール!$E$108&lt;=AN$3,枚数!AN5&gt;0),枚数!AN5,IF(AND(低温可否!AN5=1,HUAWEI製ＰＣＳ接続枚数計算ツール!$C$108&gt;=AN$3,枚数!AN5&gt;0,低電圧接続!AN5&gt;0),枚数!AN5,"-"))</f>
        <v>#VALUE!</v>
      </c>
      <c r="AO6" s="125" t="e">
        <f>Z1*IF(AND(高温可否!AO5=1,低温可否!AO5=1,HUAWEI製ＰＣＳ接続枚数計算ツール!$C$108&gt;=AO$3,HUAWEI製ＰＣＳ接続枚数計算ツール!$E$108&lt;=AO$3,枚数!AO5&gt;0),枚数!AO5,IF(AND(低温可否!AO5=1,HUAWEI製ＰＣＳ接続枚数計算ツール!$C$108&gt;=AO$3,枚数!AO5&gt;0,低電圧接続!AO5&gt;0),枚数!AO5,"-"))</f>
        <v>#VALUE!</v>
      </c>
    </row>
    <row r="7" spans="1:41">
      <c r="A7" s="115">
        <v>4</v>
      </c>
      <c r="B7" s="126" t="e">
        <f>Z1*IF(AND(高温可否!B6=1,低温可否!B6=1,HUAWEI製ＰＣＳ接続枚数計算ツール!$C$108&gt;=B$3,HUAWEI製ＰＣＳ接続枚数計算ツール!$E$108&lt;=B$3,枚数!B6&gt;0),枚数!B6,IF(AND(低温可否!B6=1,HUAWEI製ＰＣＳ接続枚数計算ツール!$C$108&gt;=B$3,枚数!B6&gt;0,低電圧接続!B6&gt;0),枚数!B6,"-"))</f>
        <v>#VALUE!</v>
      </c>
      <c r="C7" s="127" t="e">
        <f>Z1*IF(AND(高温可否!C6=1,低温可否!C6=1,HUAWEI製ＰＣＳ接続枚数計算ツール!$C$108&gt;=C$3,HUAWEI製ＰＣＳ接続枚数計算ツール!$E$108&lt;=C$3,枚数!C6&gt;0),枚数!C6,IF(AND(低温可否!C6=1,HUAWEI製ＰＣＳ接続枚数計算ツール!$C$108&gt;=C$3,枚数!C6&gt;0,低電圧接続!C6&gt;0),枚数!C6,"-"))</f>
        <v>#VALUE!</v>
      </c>
      <c r="D7" s="128" t="e">
        <f>Z1*IF(AND(高温可否!D6=1,低温可否!D6=1,HUAWEI製ＰＣＳ接続枚数計算ツール!$C$108&gt;=D$3,HUAWEI製ＰＣＳ接続枚数計算ツール!$E$108&lt;=D$3,枚数!D6&gt;0),枚数!D6,IF(AND(低温可否!D6=1,HUAWEI製ＰＣＳ接続枚数計算ツール!$C$108&gt;=D$3,枚数!D6&gt;0,低電圧接続!D6&gt;0),枚数!D6,"-"))</f>
        <v>#VALUE!</v>
      </c>
      <c r="E7" s="127" t="e">
        <f>Z1*IF(AND(高温可否!E6=1,低温可否!E6=1,HUAWEI製ＰＣＳ接続枚数計算ツール!$C$108&gt;=E$3,HUAWEI製ＰＣＳ接続枚数計算ツール!$E$108&lt;=E$3,枚数!E6&gt;0),枚数!E6,IF(AND(低温可否!E6=1,HUAWEI製ＰＣＳ接続枚数計算ツール!$C$108&gt;=E$3,枚数!E6&gt;0,低電圧接続!E6&gt;0),枚数!E6,"-"))</f>
        <v>#VALUE!</v>
      </c>
      <c r="F7" s="128" t="e">
        <f>Z1*IF(AND(高温可否!F6=1,低温可否!F6=1,HUAWEI製ＰＣＳ接続枚数計算ツール!$C$108&gt;=F$3,HUAWEI製ＰＣＳ接続枚数計算ツール!$E$108&lt;=F$3,枚数!F6&gt;0),枚数!F6,IF(AND(低温可否!F6=1,HUAWEI製ＰＣＳ接続枚数計算ツール!$C$108&gt;=F$3,枚数!F6&gt;0,低電圧接続!F6&gt;0),枚数!F6,"-"))</f>
        <v>#VALUE!</v>
      </c>
      <c r="G7" s="127" t="e">
        <f>Z1*IF(AND(高温可否!G6=1,低温可否!G6=1,HUAWEI製ＰＣＳ接続枚数計算ツール!$C$108&gt;=G$3,HUAWEI製ＰＣＳ接続枚数計算ツール!$E$108&lt;=G$3,枚数!G6&gt;0),枚数!G6,IF(AND(低温可否!G6=1,HUAWEI製ＰＣＳ接続枚数計算ツール!$C$108&gt;=G$3,枚数!G6&gt;0,低電圧接続!G6&gt;0),枚数!G6,"-"))</f>
        <v>#VALUE!</v>
      </c>
      <c r="H7" s="128" t="e">
        <f>Z1*IF(AND(高温可否!H6=1,低温可否!H6=1,HUAWEI製ＰＣＳ接続枚数計算ツール!$C$108&gt;=H$3,HUAWEI製ＰＣＳ接続枚数計算ツール!$E$108&lt;=H$3,枚数!H6&gt;0),枚数!H6,IF(AND(低温可否!H6=1,HUAWEI製ＰＣＳ接続枚数計算ツール!$C$108&gt;=H$3,枚数!H6&gt;0,低電圧接続!H6&gt;0),枚数!H6,"-"))</f>
        <v>#VALUE!</v>
      </c>
      <c r="I7" s="127" t="e">
        <f>Z1*IF(AND(高温可否!I6=1,低温可否!I6=1,HUAWEI製ＰＣＳ接続枚数計算ツール!$C$108&gt;=I$3,HUAWEI製ＰＣＳ接続枚数計算ツール!$E$108&lt;=I$3,枚数!I6&gt;0),枚数!I6,IF(AND(低温可否!I6=1,HUAWEI製ＰＣＳ接続枚数計算ツール!$C$108&gt;=I$3,枚数!I6&gt;0,低電圧接続!I6&gt;0),枚数!I6,"-"))</f>
        <v>#VALUE!</v>
      </c>
      <c r="J7" s="128" t="e">
        <f>Z1*IF(AND(高温可否!J6=1,低温可否!J6=1,HUAWEI製ＰＣＳ接続枚数計算ツール!$C$108&gt;=J$3,HUAWEI製ＰＣＳ接続枚数計算ツール!$E$108&lt;=J$3,枚数!J6&gt;0),枚数!J6,IF(AND(低温可否!J6=1,HUAWEI製ＰＣＳ接続枚数計算ツール!$C$108&gt;=J$3,枚数!J6&gt;0,低電圧接続!J6&gt;0),枚数!J6,"-"))</f>
        <v>#VALUE!</v>
      </c>
      <c r="K7" s="127" t="e">
        <f>Z1*IF(AND(高温可否!K6=1,低温可否!K6=1,HUAWEI製ＰＣＳ接続枚数計算ツール!$C$108&gt;=K$3,HUAWEI製ＰＣＳ接続枚数計算ツール!$E$108&lt;=K$3,枚数!K6&gt;0),枚数!K6,IF(AND(低温可否!K6=1,HUAWEI製ＰＣＳ接続枚数計算ツール!$C$108&gt;=K$3,枚数!K6&gt;0,低電圧接続!K6&gt;0),枚数!K6,"-"))</f>
        <v>#VALUE!</v>
      </c>
      <c r="L7" s="128" t="e">
        <f>Z1*IF(AND(高温可否!L6=1,低温可否!L6=1,HUAWEI製ＰＣＳ接続枚数計算ツール!$C$108&gt;=L$3,HUAWEI製ＰＣＳ接続枚数計算ツール!$E$108&lt;=L$3,枚数!L6&gt;0),枚数!L6,IF(AND(低温可否!L6=1,HUAWEI製ＰＣＳ接続枚数計算ツール!$C$108&gt;=L$3,枚数!L6&gt;0,低電圧接続!L6&gt;0),枚数!L6,"-"))</f>
        <v>#VALUE!</v>
      </c>
      <c r="M7" s="127" t="e">
        <f>Z1*IF(AND(高温可否!M6=1,低温可否!M6=1,HUAWEI製ＰＣＳ接続枚数計算ツール!$C$108&gt;=M$3,HUAWEI製ＰＣＳ接続枚数計算ツール!$E$108&lt;=M$3,枚数!M6&gt;0),枚数!M6,IF(AND(低温可否!M6=1,HUAWEI製ＰＣＳ接続枚数計算ツール!$C$108&gt;=M$3,枚数!M6&gt;0,低電圧接続!M6&gt;0),枚数!M6,"-"))</f>
        <v>#VALUE!</v>
      </c>
      <c r="N7" s="128" t="e">
        <f>Z1*IF(AND(高温可否!N6=1,低温可否!N6=1,HUAWEI製ＰＣＳ接続枚数計算ツール!$C$108&gt;=N$3,HUAWEI製ＰＣＳ接続枚数計算ツール!$E$108&lt;=N$3,枚数!N6&gt;0),枚数!N6,IF(AND(低温可否!N6=1,HUAWEI製ＰＣＳ接続枚数計算ツール!$C$108&gt;=N$3,枚数!N6&gt;0,低電圧接続!N6&gt;0),枚数!N6,"-"))</f>
        <v>#VALUE!</v>
      </c>
      <c r="O7" s="127">
        <f>Z1*IF(AND(高温可否!O6=1,低温可否!O6=1,HUAWEI製ＰＣＳ接続枚数計算ツール!$C$108&gt;=O$3,HUAWEI製ＰＣＳ接続枚数計算ツール!$E$108&lt;=O$3,枚数!O6&gt;0),枚数!O6,IF(AND(低温可否!O6=1,HUAWEI製ＰＣＳ接続枚数計算ツール!$C$108&gt;=O$3,枚数!O6&gt;0,低電圧接続!O6&gt;0),枚数!O6,"-"))</f>
        <v>112</v>
      </c>
      <c r="P7" s="128">
        <f>Z1*IF(AND(高温可否!P6=1,低温可否!P6=1,HUAWEI製ＰＣＳ接続枚数計算ツール!$C$108&gt;=P$3,HUAWEI製ＰＣＳ接続枚数計算ツール!$E$108&lt;=P$3,枚数!P6&gt;0),枚数!P6,IF(AND(低温可否!P6=1,HUAWEI製ＰＣＳ接続枚数計算ツール!$C$108&gt;=P$3,枚数!P6&gt;0,低電圧接続!P6&gt;0),枚数!P6,"-"))</f>
        <v>120</v>
      </c>
      <c r="Q7" s="127">
        <f>Z1*IF(AND(高温可否!Q6=1,低温可否!Q6=1,HUAWEI製ＰＣＳ接続枚数計算ツール!$C$108&gt;=Q$3,HUAWEI製ＰＣＳ接続枚数計算ツール!$E$108&lt;=Q$3,枚数!Q6&gt;0),枚数!Q6,IF(AND(低温可否!Q6=1,HUAWEI製ＰＣＳ接続枚数計算ツール!$C$108&gt;=Q$3,枚数!Q6&gt;0,低電圧接続!Q6&gt;0),枚数!Q6,"-"))</f>
        <v>128</v>
      </c>
      <c r="R7" s="128">
        <f>Z1*IF(AND(高温可否!R6=1,低温可否!R6=1,HUAWEI製ＰＣＳ接続枚数計算ツール!$C$108&gt;=R$3,HUAWEI製ＰＣＳ接続枚数計算ツール!$E$108&lt;=R$3,枚数!R6&gt;0),枚数!R6,IF(AND(低温可否!R6=1,HUAWEI製ＰＣＳ接続枚数計算ツール!$C$108&gt;=R$3,枚数!R6&gt;0,低電圧接続!R6&gt;0),枚数!R6,"-"))</f>
        <v>136</v>
      </c>
      <c r="S7" s="127">
        <f>Z1*IF(AND(高温可否!S6=1,低温可否!S6=1,HUAWEI製ＰＣＳ接続枚数計算ツール!$C$108&gt;=S$3,HUAWEI製ＰＣＳ接続枚数計算ツール!$E$108&lt;=S$3,枚数!S6&gt;0),枚数!S6,IF(AND(低温可否!S6=1,HUAWEI製ＰＣＳ接続枚数計算ツール!$C$108&gt;=S$3,枚数!S6&gt;0,低電圧接続!S6&gt;0),枚数!S6,"-"))</f>
        <v>144</v>
      </c>
      <c r="T7" s="128">
        <f>Z1*IF(AND(高温可否!T6=1,低温可否!T6=1,HUAWEI製ＰＣＳ接続枚数計算ツール!$C$108&gt;=T$3,HUAWEI製ＰＣＳ接続枚数計算ツール!$E$108&lt;=T$3,枚数!T6&gt;0),枚数!T6,IF(AND(低温可否!T6=1,HUAWEI製ＰＣＳ接続枚数計算ツール!$C$108&gt;=T$3,枚数!T6&gt;0,低電圧接続!T6&gt;0),枚数!T6,"-"))</f>
        <v>152</v>
      </c>
      <c r="U7" s="127">
        <f>Z1*IF(AND(高温可否!U6=1,低温可否!U6=1,HUAWEI製ＰＣＳ接続枚数計算ツール!$C$108&gt;=U$3,HUAWEI製ＰＣＳ接続枚数計算ツール!$E$108&lt;=U$3,枚数!U6&gt;0),枚数!U6,IF(AND(低温可否!U6=1,HUAWEI製ＰＣＳ接続枚数計算ツール!$C$108&gt;=U$3,枚数!U6&gt;0,低電圧接続!U6&gt;0),枚数!U6,"-"))</f>
        <v>160</v>
      </c>
      <c r="V7" s="128">
        <f>Z1*IF(AND(高温可否!V6=1,低温可否!V6=1,HUAWEI製ＰＣＳ接続枚数計算ツール!$C$108&gt;=V$3,HUAWEI製ＰＣＳ接続枚数計算ツール!$E$108&lt;=V$3,枚数!V6&gt;0),枚数!V6,IF(AND(低温可否!V6=1,HUAWEI製ＰＣＳ接続枚数計算ツール!$C$108&gt;=V$3,枚数!V6&gt;0,低電圧接続!V6&gt;0),枚数!V6,"-"))</f>
        <v>168</v>
      </c>
      <c r="W7" s="127">
        <f>Z1*IF(AND(高温可否!W6=1,低温可否!W6=1,HUAWEI製ＰＣＳ接続枚数計算ツール!$C$108&gt;=W$3,HUAWEI製ＰＣＳ接続枚数計算ツール!$E$108&lt;=W$3,枚数!W6&gt;0),枚数!W6,IF(AND(低温可否!W6=1,HUAWEI製ＰＣＳ接続枚数計算ツール!$C$108&gt;=W$3,枚数!W6&gt;0,低電圧接続!W6&gt;0),枚数!W6,"-"))</f>
        <v>176</v>
      </c>
      <c r="X7" s="128">
        <f>Z1*IF(AND(高温可否!X6=1,低温可否!X6=1,HUAWEI製ＰＣＳ接続枚数計算ツール!$C$108&gt;=X$3,HUAWEI製ＰＣＳ接続枚数計算ツール!$E$108&lt;=X$3,枚数!X6&gt;0),枚数!X6,IF(AND(低温可否!X6=1,HUAWEI製ＰＣＳ接続枚数計算ツール!$C$108&gt;=X$3,枚数!X6&gt;0,低電圧接続!X6&gt;0),枚数!X6,"-"))</f>
        <v>184</v>
      </c>
      <c r="Y7" s="127">
        <f>Z1*IF(AND(高温可否!Y6=1,低温可否!Y6=1,HUAWEI製ＰＣＳ接続枚数計算ツール!$C$108&gt;=Y$3,HUAWEI製ＰＣＳ接続枚数計算ツール!$E$108&lt;=Y$3,枚数!Y6&gt;0),枚数!Y6,IF(AND(低温可否!Y6=1,HUAWEI製ＰＣＳ接続枚数計算ツール!$C$108&gt;=Y$3,枚数!Y6&gt;0,低電圧接続!Y6&gt;0),枚数!Y6,"-"))</f>
        <v>192</v>
      </c>
      <c r="Z7" s="128">
        <f>Z1*IF(AND(高温可否!Z6=1,低温可否!Z6=1,HUAWEI製ＰＣＳ接続枚数計算ツール!$C$108&gt;=Z$3,HUAWEI製ＰＣＳ接続枚数計算ツール!$E$108&lt;=Z$3,枚数!Z6&gt;0),枚数!Z6,IF(AND(低温可否!Z6=1,HUAWEI製ＰＣＳ接続枚数計算ツール!$C$108&gt;=Z$3,枚数!Z6&gt;0,低電圧接続!Z6&gt;0),枚数!Z6,"-"))</f>
        <v>200</v>
      </c>
      <c r="AA7" s="127" t="e">
        <f>Z1*IF(AND(高温可否!AA6=1,低温可否!AA6=1,HUAWEI製ＰＣＳ接続枚数計算ツール!$C$108&gt;=AA$3,HUAWEI製ＰＣＳ接続枚数計算ツール!$E$108&lt;=AA$3,枚数!AA6&gt;0),枚数!AA6,IF(AND(低温可否!AA6=1,HUAWEI製ＰＣＳ接続枚数計算ツール!$C$108&gt;=AA$3,枚数!AA6&gt;0,低電圧接続!AA6&gt;0),枚数!AA6,"-"))</f>
        <v>#VALUE!</v>
      </c>
      <c r="AB7" s="128" t="e">
        <f>Z1*IF(AND(高温可否!AB6=1,低温可否!AB6=1,HUAWEI製ＰＣＳ接続枚数計算ツール!$C$108&gt;=AB$3,HUAWEI製ＰＣＳ接続枚数計算ツール!$E$108&lt;=AB$3,枚数!AB6&gt;0),枚数!AB6,IF(AND(低温可否!AB6=1,HUAWEI製ＰＣＳ接続枚数計算ツール!$C$108&gt;=AB$3,枚数!AB6&gt;0,低電圧接続!AB6&gt;0),枚数!AB6,"-"))</f>
        <v>#VALUE!</v>
      </c>
      <c r="AC7" s="127" t="e">
        <f>Z1*IF(AND(高温可否!AC6=1,低温可否!AC6=1,HUAWEI製ＰＣＳ接続枚数計算ツール!$C$108&gt;=AC$3,HUAWEI製ＰＣＳ接続枚数計算ツール!$E$108&lt;=AC$3,枚数!AC6&gt;0),枚数!AC6,IF(AND(低温可否!AC6=1,HUAWEI製ＰＣＳ接続枚数計算ツール!$C$108&gt;=AC$3,枚数!AC6&gt;0,低電圧接続!AC6&gt;0),枚数!AC6,"-"))</f>
        <v>#VALUE!</v>
      </c>
      <c r="AD7" s="128" t="e">
        <f>Z1*IF(AND(高温可否!AD6=1,低温可否!AD6=1,HUAWEI製ＰＣＳ接続枚数計算ツール!$C$108&gt;=AD$3,HUAWEI製ＰＣＳ接続枚数計算ツール!$E$108&lt;=AD$3,枚数!AD6&gt;0),枚数!AD6,IF(AND(低温可否!AD6=1,HUAWEI製ＰＣＳ接続枚数計算ツール!$C$108&gt;=AD$3,枚数!AD6&gt;0,低電圧接続!AD6&gt;0),枚数!AD6,"-"))</f>
        <v>#VALUE!</v>
      </c>
      <c r="AE7" s="127" t="e">
        <f>Z1*IF(AND(高温可否!AE6=1,低温可否!AE6=1,HUAWEI製ＰＣＳ接続枚数計算ツール!$C$108&gt;=AE$3,HUAWEI製ＰＣＳ接続枚数計算ツール!$E$108&lt;=AE$3,枚数!AE6&gt;0),枚数!AE6,IF(AND(低温可否!AE6=1,HUAWEI製ＰＣＳ接続枚数計算ツール!$C$108&gt;=AE$3,枚数!AE6&gt;0,低電圧接続!AE6&gt;0),枚数!AE6,"-"))</f>
        <v>#VALUE!</v>
      </c>
      <c r="AF7" s="128" t="e">
        <f>Z1*IF(AND(高温可否!AF6=1,低温可否!AF6=1,HUAWEI製ＰＣＳ接続枚数計算ツール!$C$108&gt;=AF$3,HUAWEI製ＰＣＳ接続枚数計算ツール!$E$108&lt;=AF$3,枚数!AF6&gt;0),枚数!AF6,IF(AND(低温可否!AF6=1,HUAWEI製ＰＣＳ接続枚数計算ツール!$C$108&gt;=AF$3,枚数!AF6&gt;0,低電圧接続!AF6&gt;0),枚数!AF6,"-"))</f>
        <v>#VALUE!</v>
      </c>
      <c r="AG7" s="127" t="e">
        <f>Z1*IF(AND(高温可否!AG6=1,低温可否!AG6=1,HUAWEI製ＰＣＳ接続枚数計算ツール!$C$108&gt;=AG$3,HUAWEI製ＰＣＳ接続枚数計算ツール!$E$108&lt;=AG$3,枚数!AG6&gt;0),枚数!AG6,IF(AND(低温可否!AG6=1,HUAWEI製ＰＣＳ接続枚数計算ツール!$C$108&gt;=AG$3,枚数!AG6&gt;0,低電圧接続!AG6&gt;0),枚数!AG6,"-"))</f>
        <v>#VALUE!</v>
      </c>
      <c r="AH7" s="128" t="e">
        <f>Z1*IF(AND(高温可否!AH6=1,低温可否!AH6=1,HUAWEI製ＰＣＳ接続枚数計算ツール!$C$108&gt;=AH$3,HUAWEI製ＰＣＳ接続枚数計算ツール!$E$108&lt;=AH$3,枚数!AH6&gt;0),枚数!AH6,IF(AND(低温可否!AH6=1,HUAWEI製ＰＣＳ接続枚数計算ツール!$C$108&gt;=AH$3,枚数!AH6&gt;0,低電圧接続!AH6&gt;0),枚数!AH6,"-"))</f>
        <v>#VALUE!</v>
      </c>
      <c r="AI7" s="127" t="e">
        <f>Z1*IF(AND(高温可否!AI6=1,低温可否!AI6=1,HUAWEI製ＰＣＳ接続枚数計算ツール!$C$108&gt;=AI$3,HUAWEI製ＰＣＳ接続枚数計算ツール!$E$108&lt;=AI$3,枚数!AI6&gt;0),枚数!AI6,IF(AND(低温可否!AI6=1,HUAWEI製ＰＣＳ接続枚数計算ツール!$C$108&gt;=AI$3,枚数!AI6&gt;0,低電圧接続!AI6&gt;0),枚数!AI6,"-"))</f>
        <v>#VALUE!</v>
      </c>
      <c r="AJ7" s="128" t="e">
        <f>Z1*IF(AND(高温可否!AJ6=1,低温可否!AJ6=1,HUAWEI製ＰＣＳ接続枚数計算ツール!$C$108&gt;=AJ$3,HUAWEI製ＰＣＳ接続枚数計算ツール!$E$108&lt;=AJ$3,枚数!AJ6&gt;0),枚数!AJ6,IF(AND(低温可否!AJ6=1,HUAWEI製ＰＣＳ接続枚数計算ツール!$C$108&gt;=AJ$3,枚数!AJ6&gt;0,低電圧接続!AJ6&gt;0),枚数!AJ6,"-"))</f>
        <v>#VALUE!</v>
      </c>
      <c r="AK7" s="127" t="e">
        <f>Z1*IF(AND(高温可否!AK6=1,低温可否!AK6=1,HUAWEI製ＰＣＳ接続枚数計算ツール!$C$108&gt;=AK$3,HUAWEI製ＰＣＳ接続枚数計算ツール!$E$108&lt;=AK$3,枚数!AK6&gt;0),枚数!AK6,IF(AND(低温可否!AK6=1,HUAWEI製ＰＣＳ接続枚数計算ツール!$C$108&gt;=AK$3,枚数!AK6&gt;0,低電圧接続!AK6&gt;0),枚数!AK6,"-"))</f>
        <v>#VALUE!</v>
      </c>
      <c r="AL7" s="128" t="e">
        <f>Z1*IF(AND(高温可否!AL6=1,低温可否!AL6=1,HUAWEI製ＰＣＳ接続枚数計算ツール!$C$108&gt;=AL$3,HUAWEI製ＰＣＳ接続枚数計算ツール!$E$108&lt;=AL$3,枚数!AL6&gt;0),枚数!AL6,IF(AND(低温可否!AL6=1,HUAWEI製ＰＣＳ接続枚数計算ツール!$C$108&gt;=AL$3,枚数!AL6&gt;0,低電圧接続!AL6&gt;0),枚数!AL6,"-"))</f>
        <v>#VALUE!</v>
      </c>
      <c r="AM7" s="127" t="e">
        <f>Z1*IF(AND(高温可否!AM6=1,低温可否!AM6=1,HUAWEI製ＰＣＳ接続枚数計算ツール!$C$108&gt;=AM$3,HUAWEI製ＰＣＳ接続枚数計算ツール!$E$108&lt;=AM$3,枚数!AM6&gt;0),枚数!AM6,IF(AND(低温可否!AM6=1,HUAWEI製ＰＣＳ接続枚数計算ツール!$C$108&gt;=AM$3,枚数!AM6&gt;0,低電圧接続!AM6&gt;0),枚数!AM6,"-"))</f>
        <v>#VALUE!</v>
      </c>
      <c r="AN7" s="128" t="e">
        <f>Z1*IF(AND(高温可否!AN6=1,低温可否!AN6=1,HUAWEI製ＰＣＳ接続枚数計算ツール!$C$108&gt;=AN$3,HUAWEI製ＰＣＳ接続枚数計算ツール!$E$108&lt;=AN$3,枚数!AN6&gt;0),枚数!AN6,IF(AND(低温可否!AN6=1,HUAWEI製ＰＣＳ接続枚数計算ツール!$C$108&gt;=AN$3,枚数!AN6&gt;0,低電圧接続!AN6&gt;0),枚数!AN6,"-"))</f>
        <v>#VALUE!</v>
      </c>
      <c r="AO7" s="129" t="e">
        <f>Z1*IF(AND(高温可否!AO6=1,低温可否!AO6=1,HUAWEI製ＰＣＳ接続枚数計算ツール!$C$108&gt;=AO$3,HUAWEI製ＰＣＳ接続枚数計算ツール!$E$108&lt;=AO$3,枚数!AO6&gt;0),枚数!AO6,IF(AND(低温可否!AO6=1,HUAWEI製ＰＣＳ接続枚数計算ツール!$C$108&gt;=AO$3,枚数!AO6&gt;0,低電圧接続!AO6&gt;0),枚数!AO6,"-"))</f>
        <v>#VALUE!</v>
      </c>
    </row>
    <row r="8" spans="1:41">
      <c r="A8" s="116">
        <v>5</v>
      </c>
      <c r="B8" s="122" t="e">
        <f>Z1*IF(AND(高温可否!B7=1,低温可否!B7=1,HUAWEI製ＰＣＳ接続枚数計算ツール!$C$108&gt;=B$3,HUAWEI製ＰＣＳ接続枚数計算ツール!$E$108&lt;=B$3,枚数!B7&gt;0),枚数!B7,IF(AND(低温可否!B7=1,HUAWEI製ＰＣＳ接続枚数計算ツール!$C$108&gt;=B$3,枚数!B7&gt;0,低電圧接続!B7&gt;0),枚数!B7,"-"))</f>
        <v>#VALUE!</v>
      </c>
      <c r="C8" s="123" t="e">
        <f>Z1*IF(AND(高温可否!C7=1,低温可否!C7=1,HUAWEI製ＰＣＳ接続枚数計算ツール!$C$108&gt;=C$3,HUAWEI製ＰＣＳ接続枚数計算ツール!$E$108&lt;=C$3,枚数!C7&gt;0),枚数!C7,IF(AND(低温可否!C7=1,HUAWEI製ＰＣＳ接続枚数計算ツール!$C$108&gt;=C$3,枚数!C7&gt;0,低電圧接続!C7&gt;0),枚数!C7,"-"))</f>
        <v>#VALUE!</v>
      </c>
      <c r="D8" s="124" t="e">
        <f>Z1*IF(AND(高温可否!D7=1,低温可否!D7=1,HUAWEI製ＰＣＳ接続枚数計算ツール!$C$108&gt;=D$3,HUAWEI製ＰＣＳ接続枚数計算ツール!$E$108&lt;=D$3,枚数!D7&gt;0),枚数!D7,IF(AND(低温可否!D7=1,HUAWEI製ＰＣＳ接続枚数計算ツール!$C$108&gt;=D$3,枚数!D7&gt;0,低電圧接続!D7&gt;0),枚数!D7,"-"))</f>
        <v>#VALUE!</v>
      </c>
      <c r="E8" s="123" t="e">
        <f>Z1*IF(AND(高温可否!E7=1,低温可否!E7=1,HUAWEI製ＰＣＳ接続枚数計算ツール!$C$108&gt;=E$3,HUAWEI製ＰＣＳ接続枚数計算ツール!$E$108&lt;=E$3,枚数!E7&gt;0),枚数!E7,IF(AND(低温可否!E7=1,HUAWEI製ＰＣＳ接続枚数計算ツール!$C$108&gt;=E$3,枚数!E7&gt;0,低電圧接続!E7&gt;0),枚数!E7,"-"))</f>
        <v>#VALUE!</v>
      </c>
      <c r="F8" s="124" t="e">
        <f>Z1*IF(AND(高温可否!F7=1,低温可否!F7=1,HUAWEI製ＰＣＳ接続枚数計算ツール!$C$108&gt;=F$3,HUAWEI製ＰＣＳ接続枚数計算ツール!$E$108&lt;=F$3,枚数!F7&gt;0),枚数!F7,IF(AND(低温可否!F7=1,HUAWEI製ＰＣＳ接続枚数計算ツール!$C$108&gt;=F$3,枚数!F7&gt;0,低電圧接続!F7&gt;0),枚数!F7,"-"))</f>
        <v>#VALUE!</v>
      </c>
      <c r="G8" s="123" t="e">
        <f>Z1*IF(AND(高温可否!G7=1,低温可否!G7=1,HUAWEI製ＰＣＳ接続枚数計算ツール!$C$108&gt;=G$3,HUAWEI製ＰＣＳ接続枚数計算ツール!$E$108&lt;=G$3,枚数!G7&gt;0),枚数!G7,IF(AND(低温可否!G7=1,HUAWEI製ＰＣＳ接続枚数計算ツール!$C$108&gt;=G$3,枚数!G7&gt;0,低電圧接続!G7&gt;0),枚数!G7,"-"))</f>
        <v>#VALUE!</v>
      </c>
      <c r="H8" s="124" t="e">
        <f>Z1*IF(AND(高温可否!H7=1,低温可否!H7=1,HUAWEI製ＰＣＳ接続枚数計算ツール!$C$108&gt;=H$3,HUAWEI製ＰＣＳ接続枚数計算ツール!$E$108&lt;=H$3,枚数!H7&gt;0),枚数!H7,IF(AND(低温可否!H7=1,HUAWEI製ＰＣＳ接続枚数計算ツール!$C$108&gt;=H$3,枚数!H7&gt;0,低電圧接続!H7&gt;0),枚数!H7,"-"))</f>
        <v>#VALUE!</v>
      </c>
      <c r="I8" s="123" t="e">
        <f>Z1*IF(AND(高温可否!I7=1,低温可否!I7=1,HUAWEI製ＰＣＳ接続枚数計算ツール!$C$108&gt;=I$3,HUAWEI製ＰＣＳ接続枚数計算ツール!$E$108&lt;=I$3,枚数!I7&gt;0),枚数!I7,IF(AND(低温可否!I7=1,HUAWEI製ＰＣＳ接続枚数計算ツール!$C$108&gt;=I$3,枚数!I7&gt;0,低電圧接続!I7&gt;0),枚数!I7,"-"))</f>
        <v>#VALUE!</v>
      </c>
      <c r="J8" s="124" t="e">
        <f>Z1*IF(AND(高温可否!J7=1,低温可否!J7=1,HUAWEI製ＰＣＳ接続枚数計算ツール!$C$108&gt;=J$3,HUAWEI製ＰＣＳ接続枚数計算ツール!$E$108&lt;=J$3,枚数!J7&gt;0),枚数!J7,IF(AND(低温可否!J7=1,HUAWEI製ＰＣＳ接続枚数計算ツール!$C$108&gt;=J$3,枚数!J7&gt;0,低電圧接続!J7&gt;0),枚数!J7,"-"))</f>
        <v>#VALUE!</v>
      </c>
      <c r="K8" s="123" t="e">
        <f>Z1*IF(AND(高温可否!K7=1,低温可否!K7=1,HUAWEI製ＰＣＳ接続枚数計算ツール!$C$108&gt;=K$3,HUAWEI製ＰＣＳ接続枚数計算ツール!$E$108&lt;=K$3,枚数!K7&gt;0),枚数!K7,IF(AND(低温可否!K7=1,HUAWEI製ＰＣＳ接続枚数計算ツール!$C$108&gt;=K$3,枚数!K7&gt;0,低電圧接続!K7&gt;0),枚数!K7,"-"))</f>
        <v>#VALUE!</v>
      </c>
      <c r="L8" s="124" t="e">
        <f>Z1*IF(AND(高温可否!L7=1,低温可否!L7=1,HUAWEI製ＰＣＳ接続枚数計算ツール!$C$108&gt;=L$3,HUAWEI製ＰＣＳ接続枚数計算ツール!$E$108&lt;=L$3,枚数!L7&gt;0),枚数!L7,IF(AND(低温可否!L7=1,HUAWEI製ＰＣＳ接続枚数計算ツール!$C$108&gt;=L$3,枚数!L7&gt;0,低電圧接続!L7&gt;0),枚数!L7,"-"))</f>
        <v>#VALUE!</v>
      </c>
      <c r="M8" s="123" t="e">
        <f>Z1*IF(AND(高温可否!M7=1,低温可否!M7=1,HUAWEI製ＰＣＳ接続枚数計算ツール!$C$108&gt;=M$3,HUAWEI製ＰＣＳ接続枚数計算ツール!$E$108&lt;=M$3,枚数!M7&gt;0),枚数!M7,IF(AND(低温可否!M7=1,HUAWEI製ＰＣＳ接続枚数計算ツール!$C$108&gt;=M$3,枚数!M7&gt;0,低電圧接続!M7&gt;0),枚数!M7,"-"))</f>
        <v>#VALUE!</v>
      </c>
      <c r="N8" s="124" t="e">
        <f>Z1*IF(AND(高温可否!N7=1,低温可否!N7=1,HUAWEI製ＰＣＳ接続枚数計算ツール!$C$108&gt;=N$3,HUAWEI製ＰＣＳ接続枚数計算ツール!$E$108&lt;=N$3,枚数!N7&gt;0),枚数!N7,IF(AND(低温可否!N7=1,HUAWEI製ＰＣＳ接続枚数計算ツール!$C$108&gt;=N$3,枚数!N7&gt;0,低電圧接続!N7&gt;0),枚数!N7,"-"))</f>
        <v>#VALUE!</v>
      </c>
      <c r="O8" s="123">
        <f>Z1*IF(AND(高温可否!O7=1,低温可否!O7=1,HUAWEI製ＰＣＳ接続枚数計算ツール!$C$108&gt;=O$3,HUAWEI製ＰＣＳ接続枚数計算ツール!$E$108&lt;=O$3,枚数!O7&gt;0),枚数!O7,IF(AND(低温可否!O7=1,HUAWEI製ＰＣＳ接続枚数計算ツール!$C$108&gt;=O$3,枚数!O7&gt;0,低電圧接続!O7&gt;0),枚数!O7,"-"))</f>
        <v>140</v>
      </c>
      <c r="P8" s="124">
        <f>Z1*IF(AND(高温可否!P7=1,低温可否!P7=1,HUAWEI製ＰＣＳ接続枚数計算ツール!$C$108&gt;=P$3,HUAWEI製ＰＣＳ接続枚数計算ツール!$E$108&lt;=P$3,枚数!P7&gt;0),枚数!P7,IF(AND(低温可否!P7=1,HUAWEI製ＰＣＳ接続枚数計算ツール!$C$108&gt;=P$3,枚数!P7&gt;0,低電圧接続!P7&gt;0),枚数!P7,"-"))</f>
        <v>150</v>
      </c>
      <c r="Q8" s="123">
        <f>Z1*IF(AND(高温可否!Q7=1,低温可否!Q7=1,HUAWEI製ＰＣＳ接続枚数計算ツール!$C$108&gt;=Q$3,HUAWEI製ＰＣＳ接続枚数計算ツール!$E$108&lt;=Q$3,枚数!Q7&gt;0),枚数!Q7,IF(AND(低温可否!Q7=1,HUAWEI製ＰＣＳ接続枚数計算ツール!$C$108&gt;=Q$3,枚数!Q7&gt;0,低電圧接続!Q7&gt;0),枚数!Q7,"-"))</f>
        <v>160</v>
      </c>
      <c r="R8" s="124">
        <f>Z1*IF(AND(高温可否!R7=1,低温可否!R7=1,HUAWEI製ＰＣＳ接続枚数計算ツール!$C$108&gt;=R$3,HUAWEI製ＰＣＳ接続枚数計算ツール!$E$108&lt;=R$3,枚数!R7&gt;0),枚数!R7,IF(AND(低温可否!R7=1,HUAWEI製ＰＣＳ接続枚数計算ツール!$C$108&gt;=R$3,枚数!R7&gt;0,低電圧接続!R7&gt;0),枚数!R7,"-"))</f>
        <v>170</v>
      </c>
      <c r="S8" s="123">
        <f>Z1*IF(AND(高温可否!S7=1,低温可否!S7=1,HUAWEI製ＰＣＳ接続枚数計算ツール!$C$108&gt;=S$3,HUAWEI製ＰＣＳ接続枚数計算ツール!$E$108&lt;=S$3,枚数!S7&gt;0),枚数!S7,IF(AND(低温可否!S7=1,HUAWEI製ＰＣＳ接続枚数計算ツール!$C$108&gt;=S$3,枚数!S7&gt;0,低電圧接続!S7&gt;0),枚数!S7,"-"))</f>
        <v>180</v>
      </c>
      <c r="T8" s="124">
        <f>Z1*IF(AND(高温可否!T7=1,低温可否!T7=1,HUAWEI製ＰＣＳ接続枚数計算ツール!$C$108&gt;=T$3,HUAWEI製ＰＣＳ接続枚数計算ツール!$E$108&lt;=T$3,枚数!T7&gt;0),枚数!T7,IF(AND(低温可否!T7=1,HUAWEI製ＰＣＳ接続枚数計算ツール!$C$108&gt;=T$3,枚数!T7&gt;0,低電圧接続!T7&gt;0),枚数!T7,"-"))</f>
        <v>190</v>
      </c>
      <c r="U8" s="123">
        <f>Z1*IF(AND(高温可否!U7=1,低温可否!U7=1,HUAWEI製ＰＣＳ接続枚数計算ツール!$C$108&gt;=U$3,HUAWEI製ＰＣＳ接続枚数計算ツール!$E$108&lt;=U$3,枚数!U7&gt;0),枚数!U7,IF(AND(低温可否!U7=1,HUAWEI製ＰＣＳ接続枚数計算ツール!$C$108&gt;=U$3,枚数!U7&gt;0,低電圧接続!U7&gt;0),枚数!U7,"-"))</f>
        <v>200</v>
      </c>
      <c r="V8" s="124">
        <f>Z1*IF(AND(高温可否!V7=1,低温可否!V7=1,HUAWEI製ＰＣＳ接続枚数計算ツール!$C$108&gt;=V$3,HUAWEI製ＰＣＳ接続枚数計算ツール!$E$108&lt;=V$3,枚数!V7&gt;0),枚数!V7,IF(AND(低温可否!V7=1,HUAWEI製ＰＣＳ接続枚数計算ツール!$C$108&gt;=V$3,枚数!V7&gt;0,低電圧接続!V7&gt;0),枚数!V7,"-"))</f>
        <v>210</v>
      </c>
      <c r="W8" s="123">
        <f>Z1*IF(AND(高温可否!W7=1,低温可否!W7=1,HUAWEI製ＰＣＳ接続枚数計算ツール!$C$108&gt;=W$3,HUAWEI製ＰＣＳ接続枚数計算ツール!$E$108&lt;=W$3,枚数!W7&gt;0),枚数!W7,IF(AND(低温可否!W7=1,HUAWEI製ＰＣＳ接続枚数計算ツール!$C$108&gt;=W$3,枚数!W7&gt;0,低電圧接続!W7&gt;0),枚数!W7,"-"))</f>
        <v>220</v>
      </c>
      <c r="X8" s="124">
        <f>Z1*IF(AND(高温可否!X7=1,低温可否!X7=1,HUAWEI製ＰＣＳ接続枚数計算ツール!$C$108&gt;=X$3,HUAWEI製ＰＣＳ接続枚数計算ツール!$E$108&lt;=X$3,枚数!X7&gt;0),枚数!X7,IF(AND(低温可否!X7=1,HUAWEI製ＰＣＳ接続枚数計算ツール!$C$108&gt;=X$3,枚数!X7&gt;0,低電圧接続!X7&gt;0),枚数!X7,"-"))</f>
        <v>230</v>
      </c>
      <c r="Y8" s="123">
        <f>Z1*IF(AND(高温可否!Y7=1,低温可否!Y7=1,HUAWEI製ＰＣＳ接続枚数計算ツール!$C$108&gt;=Y$3,HUAWEI製ＰＣＳ接続枚数計算ツール!$E$108&lt;=Y$3,枚数!Y7&gt;0),枚数!Y7,IF(AND(低温可否!Y7=1,HUAWEI製ＰＣＳ接続枚数計算ツール!$C$108&gt;=Y$3,枚数!Y7&gt;0,低電圧接続!Y7&gt;0),枚数!Y7,"-"))</f>
        <v>240</v>
      </c>
      <c r="Z8" s="124">
        <f>Z1*IF(AND(高温可否!Z7=1,低温可否!Z7=1,HUAWEI製ＰＣＳ接続枚数計算ツール!$C$108&gt;=Z$3,HUAWEI製ＰＣＳ接続枚数計算ツール!$E$108&lt;=Z$3,枚数!Z7&gt;0),枚数!Z7,IF(AND(低温可否!Z7=1,HUAWEI製ＰＣＳ接続枚数計算ツール!$C$108&gt;=Z$3,枚数!Z7&gt;0,低電圧接続!Z7&gt;0),枚数!Z7,"-"))</f>
        <v>250</v>
      </c>
      <c r="AA8" s="123" t="e">
        <f>Z1*IF(AND(高温可否!AA7=1,低温可否!AA7=1,HUAWEI製ＰＣＳ接続枚数計算ツール!$C$108&gt;=AA$3,HUAWEI製ＰＣＳ接続枚数計算ツール!$E$108&lt;=AA$3,枚数!AA7&gt;0),枚数!AA7,IF(AND(低温可否!AA7=1,HUAWEI製ＰＣＳ接続枚数計算ツール!$C$108&gt;=AA$3,枚数!AA7&gt;0,低電圧接続!AA7&gt;0),枚数!AA7,"-"))</f>
        <v>#VALUE!</v>
      </c>
      <c r="AB8" s="124" t="e">
        <f>Z1*IF(AND(高温可否!AB7=1,低温可否!AB7=1,HUAWEI製ＰＣＳ接続枚数計算ツール!$C$108&gt;=AB$3,HUAWEI製ＰＣＳ接続枚数計算ツール!$E$108&lt;=AB$3,枚数!AB7&gt;0),枚数!AB7,IF(AND(低温可否!AB7=1,HUAWEI製ＰＣＳ接続枚数計算ツール!$C$108&gt;=AB$3,枚数!AB7&gt;0,低電圧接続!AB7&gt;0),枚数!AB7,"-"))</f>
        <v>#VALUE!</v>
      </c>
      <c r="AC8" s="123" t="e">
        <f>Z1*IF(AND(高温可否!AC7=1,低温可否!AC7=1,HUAWEI製ＰＣＳ接続枚数計算ツール!$C$108&gt;=AC$3,HUAWEI製ＰＣＳ接続枚数計算ツール!$E$108&lt;=AC$3,枚数!AC7&gt;0),枚数!AC7,IF(AND(低温可否!AC7=1,HUAWEI製ＰＣＳ接続枚数計算ツール!$C$108&gt;=AC$3,枚数!AC7&gt;0,低電圧接続!AC7&gt;0),枚数!AC7,"-"))</f>
        <v>#VALUE!</v>
      </c>
      <c r="AD8" s="124" t="e">
        <f>Z1*IF(AND(高温可否!AD7=1,低温可否!AD7=1,HUAWEI製ＰＣＳ接続枚数計算ツール!$C$108&gt;=AD$3,HUAWEI製ＰＣＳ接続枚数計算ツール!$E$108&lt;=AD$3,枚数!AD7&gt;0),枚数!AD7,IF(AND(低温可否!AD7=1,HUAWEI製ＰＣＳ接続枚数計算ツール!$C$108&gt;=AD$3,枚数!AD7&gt;0,低電圧接続!AD7&gt;0),枚数!AD7,"-"))</f>
        <v>#VALUE!</v>
      </c>
      <c r="AE8" s="123" t="e">
        <f>Z1*IF(AND(高温可否!AE7=1,低温可否!AE7=1,HUAWEI製ＰＣＳ接続枚数計算ツール!$C$108&gt;=AE$3,HUAWEI製ＰＣＳ接続枚数計算ツール!$E$108&lt;=AE$3,枚数!AE7&gt;0),枚数!AE7,IF(AND(低温可否!AE7=1,HUAWEI製ＰＣＳ接続枚数計算ツール!$C$108&gt;=AE$3,枚数!AE7&gt;0,低電圧接続!AE7&gt;0),枚数!AE7,"-"))</f>
        <v>#VALUE!</v>
      </c>
      <c r="AF8" s="124" t="e">
        <f>Z1*IF(AND(高温可否!AF7=1,低温可否!AF7=1,HUAWEI製ＰＣＳ接続枚数計算ツール!$C$108&gt;=AF$3,HUAWEI製ＰＣＳ接続枚数計算ツール!$E$108&lt;=AF$3,枚数!AF7&gt;0),枚数!AF7,IF(AND(低温可否!AF7=1,HUAWEI製ＰＣＳ接続枚数計算ツール!$C$108&gt;=AF$3,枚数!AF7&gt;0,低電圧接続!AF7&gt;0),枚数!AF7,"-"))</f>
        <v>#VALUE!</v>
      </c>
      <c r="AG8" s="123" t="e">
        <f>Z1*IF(AND(高温可否!AG7=1,低温可否!AG7=1,HUAWEI製ＰＣＳ接続枚数計算ツール!$C$108&gt;=AG$3,HUAWEI製ＰＣＳ接続枚数計算ツール!$E$108&lt;=AG$3,枚数!AG7&gt;0),枚数!AG7,IF(AND(低温可否!AG7=1,HUAWEI製ＰＣＳ接続枚数計算ツール!$C$108&gt;=AG$3,枚数!AG7&gt;0,低電圧接続!AG7&gt;0),枚数!AG7,"-"))</f>
        <v>#VALUE!</v>
      </c>
      <c r="AH8" s="124" t="e">
        <f>Z1*IF(AND(高温可否!AH7=1,低温可否!AH7=1,HUAWEI製ＰＣＳ接続枚数計算ツール!$C$108&gt;=AH$3,HUAWEI製ＰＣＳ接続枚数計算ツール!$E$108&lt;=AH$3,枚数!AH7&gt;0),枚数!AH7,IF(AND(低温可否!AH7=1,HUAWEI製ＰＣＳ接続枚数計算ツール!$C$108&gt;=AH$3,枚数!AH7&gt;0,低電圧接続!AH7&gt;0),枚数!AH7,"-"))</f>
        <v>#VALUE!</v>
      </c>
      <c r="AI8" s="123" t="e">
        <f>Z1*IF(AND(高温可否!AI7=1,低温可否!AI7=1,HUAWEI製ＰＣＳ接続枚数計算ツール!$C$108&gt;=AI$3,HUAWEI製ＰＣＳ接続枚数計算ツール!$E$108&lt;=AI$3,枚数!AI7&gt;0),枚数!AI7,IF(AND(低温可否!AI7=1,HUAWEI製ＰＣＳ接続枚数計算ツール!$C$108&gt;=AI$3,枚数!AI7&gt;0,低電圧接続!AI7&gt;0),枚数!AI7,"-"))</f>
        <v>#VALUE!</v>
      </c>
      <c r="AJ8" s="124" t="e">
        <f>Z1*IF(AND(高温可否!AJ7=1,低温可否!AJ7=1,HUAWEI製ＰＣＳ接続枚数計算ツール!$C$108&gt;=AJ$3,HUAWEI製ＰＣＳ接続枚数計算ツール!$E$108&lt;=AJ$3,枚数!AJ7&gt;0),枚数!AJ7,IF(AND(低温可否!AJ7=1,HUAWEI製ＰＣＳ接続枚数計算ツール!$C$108&gt;=AJ$3,枚数!AJ7&gt;0,低電圧接続!AJ7&gt;0),枚数!AJ7,"-"))</f>
        <v>#VALUE!</v>
      </c>
      <c r="AK8" s="123" t="e">
        <f>Z1*IF(AND(高温可否!AK7=1,低温可否!AK7=1,HUAWEI製ＰＣＳ接続枚数計算ツール!$C$108&gt;=AK$3,HUAWEI製ＰＣＳ接続枚数計算ツール!$E$108&lt;=AK$3,枚数!AK7&gt;0),枚数!AK7,IF(AND(低温可否!AK7=1,HUAWEI製ＰＣＳ接続枚数計算ツール!$C$108&gt;=AK$3,枚数!AK7&gt;0,低電圧接続!AK7&gt;0),枚数!AK7,"-"))</f>
        <v>#VALUE!</v>
      </c>
      <c r="AL8" s="124" t="e">
        <f>Z1*IF(AND(高温可否!AL7=1,低温可否!AL7=1,HUAWEI製ＰＣＳ接続枚数計算ツール!$C$108&gt;=AL$3,HUAWEI製ＰＣＳ接続枚数計算ツール!$E$108&lt;=AL$3,枚数!AL7&gt;0),枚数!AL7,IF(AND(低温可否!AL7=1,HUAWEI製ＰＣＳ接続枚数計算ツール!$C$108&gt;=AL$3,枚数!AL7&gt;0,低電圧接続!AL7&gt;0),枚数!AL7,"-"))</f>
        <v>#VALUE!</v>
      </c>
      <c r="AM8" s="123" t="e">
        <f>Z1*IF(AND(高温可否!AM7=1,低温可否!AM7=1,HUAWEI製ＰＣＳ接続枚数計算ツール!$C$108&gt;=AM$3,HUAWEI製ＰＣＳ接続枚数計算ツール!$E$108&lt;=AM$3,枚数!AM7&gt;0),枚数!AM7,IF(AND(低温可否!AM7=1,HUAWEI製ＰＣＳ接続枚数計算ツール!$C$108&gt;=AM$3,枚数!AM7&gt;0,低電圧接続!AM7&gt;0),枚数!AM7,"-"))</f>
        <v>#VALUE!</v>
      </c>
      <c r="AN8" s="124" t="e">
        <f>Z1*IF(AND(高温可否!AN7=1,低温可否!AN7=1,HUAWEI製ＰＣＳ接続枚数計算ツール!$C$108&gt;=AN$3,HUAWEI製ＰＣＳ接続枚数計算ツール!$E$108&lt;=AN$3,枚数!AN7&gt;0),枚数!AN7,IF(AND(低温可否!AN7=1,HUAWEI製ＰＣＳ接続枚数計算ツール!$C$108&gt;=AN$3,枚数!AN7&gt;0,低電圧接続!AN7&gt;0),枚数!AN7,"-"))</f>
        <v>#VALUE!</v>
      </c>
      <c r="AO8" s="125" t="e">
        <f>Z1*IF(AND(高温可否!AO7=1,低温可否!AO7=1,HUAWEI製ＰＣＳ接続枚数計算ツール!$C$108&gt;=AO$3,HUAWEI製ＰＣＳ接続枚数計算ツール!$E$108&lt;=AO$3,枚数!AO7&gt;0),枚数!AO7,IF(AND(低温可否!AO7=1,HUAWEI製ＰＣＳ接続枚数計算ツール!$C$108&gt;=AO$3,枚数!AO7&gt;0,低電圧接続!AO7&gt;0),枚数!AO7,"-"))</f>
        <v>#VALUE!</v>
      </c>
    </row>
    <row r="9" spans="1:41">
      <c r="A9" s="115">
        <v>6</v>
      </c>
      <c r="B9" s="126" t="e">
        <f>Z1*IF(AND(高温可否!B8=1,低温可否!B8=1,HUAWEI製ＰＣＳ接続枚数計算ツール!$C$108&gt;=B$3,HUAWEI製ＰＣＳ接続枚数計算ツール!$E$108&lt;=B$3,枚数!B8&gt;0),枚数!B8,IF(AND(低温可否!B8=1,HUAWEI製ＰＣＳ接続枚数計算ツール!$C$108&gt;=B$3,枚数!B8&gt;0,低電圧接続!B8&gt;0),枚数!B8,"-"))</f>
        <v>#VALUE!</v>
      </c>
      <c r="C9" s="127" t="e">
        <f>Z1*IF(AND(高温可否!C8=1,低温可否!C8=1,HUAWEI製ＰＣＳ接続枚数計算ツール!$C$108&gt;=C$3,HUAWEI製ＰＣＳ接続枚数計算ツール!$E$108&lt;=C$3,枚数!C8&gt;0),枚数!C8,IF(AND(低温可否!C8=1,HUAWEI製ＰＣＳ接続枚数計算ツール!$C$108&gt;=C$3,枚数!C8&gt;0,低電圧接続!C8&gt;0),枚数!C8,"-"))</f>
        <v>#VALUE!</v>
      </c>
      <c r="D9" s="128" t="e">
        <f>Z1*IF(AND(高温可否!D8=1,低温可否!D8=1,HUAWEI製ＰＣＳ接続枚数計算ツール!$C$108&gt;=D$3,HUAWEI製ＰＣＳ接続枚数計算ツール!$E$108&lt;=D$3,枚数!D8&gt;0),枚数!D8,IF(AND(低温可否!D8=1,HUAWEI製ＰＣＳ接続枚数計算ツール!$C$108&gt;=D$3,枚数!D8&gt;0,低電圧接続!D8&gt;0),枚数!D8,"-"))</f>
        <v>#VALUE!</v>
      </c>
      <c r="E9" s="127" t="e">
        <f>Z1*IF(AND(高温可否!E8=1,低温可否!E8=1,HUAWEI製ＰＣＳ接続枚数計算ツール!$C$108&gt;=E$3,HUAWEI製ＰＣＳ接続枚数計算ツール!$E$108&lt;=E$3,枚数!E8&gt;0),枚数!E8,IF(AND(低温可否!E8=1,HUAWEI製ＰＣＳ接続枚数計算ツール!$C$108&gt;=E$3,枚数!E8&gt;0,低電圧接続!E8&gt;0),枚数!E8,"-"))</f>
        <v>#VALUE!</v>
      </c>
      <c r="F9" s="128" t="e">
        <f>Z1*IF(AND(高温可否!F8=1,低温可否!F8=1,HUAWEI製ＰＣＳ接続枚数計算ツール!$C$108&gt;=F$3,HUAWEI製ＰＣＳ接続枚数計算ツール!$E$108&lt;=F$3,枚数!F8&gt;0),枚数!F8,IF(AND(低温可否!F8=1,HUAWEI製ＰＣＳ接続枚数計算ツール!$C$108&gt;=F$3,枚数!F8&gt;0,低電圧接続!F8&gt;0),枚数!F8,"-"))</f>
        <v>#VALUE!</v>
      </c>
      <c r="G9" s="127" t="e">
        <f>Z1*IF(AND(高温可否!G8=1,低温可否!G8=1,HUAWEI製ＰＣＳ接続枚数計算ツール!$C$108&gt;=G$3,HUAWEI製ＰＣＳ接続枚数計算ツール!$E$108&lt;=G$3,枚数!G8&gt;0),枚数!G8,IF(AND(低温可否!G8=1,HUAWEI製ＰＣＳ接続枚数計算ツール!$C$108&gt;=G$3,枚数!G8&gt;0,低電圧接続!G8&gt;0),枚数!G8,"-"))</f>
        <v>#VALUE!</v>
      </c>
      <c r="H9" s="128" t="e">
        <f>Z1*IF(AND(高温可否!H8=1,低温可否!H8=1,HUAWEI製ＰＣＳ接続枚数計算ツール!$C$108&gt;=H$3,HUAWEI製ＰＣＳ接続枚数計算ツール!$E$108&lt;=H$3,枚数!H8&gt;0),枚数!H8,IF(AND(低温可否!H8=1,HUAWEI製ＰＣＳ接続枚数計算ツール!$C$108&gt;=H$3,枚数!H8&gt;0,低電圧接続!H8&gt;0),枚数!H8,"-"))</f>
        <v>#VALUE!</v>
      </c>
      <c r="I9" s="127" t="e">
        <f>Z1*IF(AND(高温可否!I8=1,低温可否!I8=1,HUAWEI製ＰＣＳ接続枚数計算ツール!$C$108&gt;=I$3,HUAWEI製ＰＣＳ接続枚数計算ツール!$E$108&lt;=I$3,枚数!I8&gt;0),枚数!I8,IF(AND(低温可否!I8=1,HUAWEI製ＰＣＳ接続枚数計算ツール!$C$108&gt;=I$3,枚数!I8&gt;0,低電圧接続!I8&gt;0),枚数!I8,"-"))</f>
        <v>#VALUE!</v>
      </c>
      <c r="J9" s="128" t="e">
        <f>Z1*IF(AND(高温可否!J8=1,低温可否!J8=1,HUAWEI製ＰＣＳ接続枚数計算ツール!$C$108&gt;=J$3,HUAWEI製ＰＣＳ接続枚数計算ツール!$E$108&lt;=J$3,枚数!J8&gt;0),枚数!J8,IF(AND(低温可否!J8=1,HUAWEI製ＰＣＳ接続枚数計算ツール!$C$108&gt;=J$3,枚数!J8&gt;0,低電圧接続!J8&gt;0),枚数!J8,"-"))</f>
        <v>#VALUE!</v>
      </c>
      <c r="K9" s="127" t="e">
        <f>Z1*IF(AND(高温可否!K8=1,低温可否!K8=1,HUAWEI製ＰＣＳ接続枚数計算ツール!$C$108&gt;=K$3,HUAWEI製ＰＣＳ接続枚数計算ツール!$E$108&lt;=K$3,枚数!K8&gt;0),枚数!K8,IF(AND(低温可否!K8=1,HUAWEI製ＰＣＳ接続枚数計算ツール!$C$108&gt;=K$3,枚数!K8&gt;0,低電圧接続!K8&gt;0),枚数!K8,"-"))</f>
        <v>#VALUE!</v>
      </c>
      <c r="L9" s="128" t="e">
        <f>Z1*IF(AND(高温可否!L8=1,低温可否!L8=1,HUAWEI製ＰＣＳ接続枚数計算ツール!$C$108&gt;=L$3,HUAWEI製ＰＣＳ接続枚数計算ツール!$E$108&lt;=L$3,枚数!L8&gt;0),枚数!L8,IF(AND(低温可否!L8=1,HUAWEI製ＰＣＳ接続枚数計算ツール!$C$108&gt;=L$3,枚数!L8&gt;0,低電圧接続!L8&gt;0),枚数!L8,"-"))</f>
        <v>#VALUE!</v>
      </c>
      <c r="M9" s="127" t="e">
        <f>Z1*IF(AND(高温可否!M8=1,低温可否!M8=1,HUAWEI製ＰＣＳ接続枚数計算ツール!$C$108&gt;=M$3,HUAWEI製ＰＣＳ接続枚数計算ツール!$E$108&lt;=M$3,枚数!M8&gt;0),枚数!M8,IF(AND(低温可否!M8=1,HUAWEI製ＰＣＳ接続枚数計算ツール!$C$108&gt;=M$3,枚数!M8&gt;0,低電圧接続!M8&gt;0),枚数!M8,"-"))</f>
        <v>#VALUE!</v>
      </c>
      <c r="N9" s="128" t="e">
        <f>Z1*IF(AND(高温可否!N8=1,低温可否!N8=1,HUAWEI製ＰＣＳ接続枚数計算ツール!$C$108&gt;=N$3,HUAWEI製ＰＣＳ接続枚数計算ツール!$E$108&lt;=N$3,枚数!N8&gt;0),枚数!N8,IF(AND(低温可否!N8=1,HUAWEI製ＰＣＳ接続枚数計算ツール!$C$108&gt;=N$3,枚数!N8&gt;0,低電圧接続!N8&gt;0),枚数!N8,"-"))</f>
        <v>#VALUE!</v>
      </c>
      <c r="O9" s="127">
        <f>Z1*IF(AND(高温可否!O8=1,低温可否!O8=1,HUAWEI製ＰＣＳ接続枚数計算ツール!$C$108&gt;=O$3,HUAWEI製ＰＣＳ接続枚数計算ツール!$E$108&lt;=O$3,枚数!O8&gt;0),枚数!O8,IF(AND(低温可否!O8=1,HUAWEI製ＰＣＳ接続枚数計算ツール!$C$108&gt;=O$3,枚数!O8&gt;0,低電圧接続!O8&gt;0),枚数!O8,"-"))</f>
        <v>168</v>
      </c>
      <c r="P9" s="128">
        <f>Z1*IF(AND(高温可否!P8=1,低温可否!P8=1,HUAWEI製ＰＣＳ接続枚数計算ツール!$C$108&gt;=P$3,HUAWEI製ＰＣＳ接続枚数計算ツール!$E$108&lt;=P$3,枚数!P8&gt;0),枚数!P8,IF(AND(低温可否!P8=1,HUAWEI製ＰＣＳ接続枚数計算ツール!$C$108&gt;=P$3,枚数!P8&gt;0,低電圧接続!P8&gt;0),枚数!P8,"-"))</f>
        <v>180</v>
      </c>
      <c r="Q9" s="127">
        <f>Z1*IF(AND(高温可否!Q8=1,低温可否!Q8=1,HUAWEI製ＰＣＳ接続枚数計算ツール!$C$108&gt;=Q$3,HUAWEI製ＰＣＳ接続枚数計算ツール!$E$108&lt;=Q$3,枚数!Q8&gt;0),枚数!Q8,IF(AND(低温可否!Q8=1,HUAWEI製ＰＣＳ接続枚数計算ツール!$C$108&gt;=Q$3,枚数!Q8&gt;0,低電圧接続!Q8&gt;0),枚数!Q8,"-"))</f>
        <v>192</v>
      </c>
      <c r="R9" s="128">
        <f>Z1*IF(AND(高温可否!R8=1,低温可否!R8=1,HUAWEI製ＰＣＳ接続枚数計算ツール!$C$108&gt;=R$3,HUAWEI製ＰＣＳ接続枚数計算ツール!$E$108&lt;=R$3,枚数!R8&gt;0),枚数!R8,IF(AND(低温可否!R8=1,HUAWEI製ＰＣＳ接続枚数計算ツール!$C$108&gt;=R$3,枚数!R8&gt;0,低電圧接続!R8&gt;0),枚数!R8,"-"))</f>
        <v>204</v>
      </c>
      <c r="S9" s="127">
        <f>Z1*IF(AND(高温可否!S8=1,低温可否!S8=1,HUAWEI製ＰＣＳ接続枚数計算ツール!$C$108&gt;=S$3,HUAWEI製ＰＣＳ接続枚数計算ツール!$E$108&lt;=S$3,枚数!S8&gt;0),枚数!S8,IF(AND(低温可否!S8=1,HUAWEI製ＰＣＳ接続枚数計算ツール!$C$108&gt;=S$3,枚数!S8&gt;0,低電圧接続!S8&gt;0),枚数!S8,"-"))</f>
        <v>216</v>
      </c>
      <c r="T9" s="128">
        <f>Z1*IF(AND(高温可否!T8=1,低温可否!T8=1,HUAWEI製ＰＣＳ接続枚数計算ツール!$C$108&gt;=T$3,HUAWEI製ＰＣＳ接続枚数計算ツール!$E$108&lt;=T$3,枚数!T8&gt;0),枚数!T8,IF(AND(低温可否!T8=1,HUAWEI製ＰＣＳ接続枚数計算ツール!$C$108&gt;=T$3,枚数!T8&gt;0,低電圧接続!T8&gt;0),枚数!T8,"-"))</f>
        <v>228</v>
      </c>
      <c r="U9" s="127">
        <f>Z1*IF(AND(高温可否!U8=1,低温可否!U8=1,HUAWEI製ＰＣＳ接続枚数計算ツール!$C$108&gt;=U$3,HUAWEI製ＰＣＳ接続枚数計算ツール!$E$108&lt;=U$3,枚数!U8&gt;0),枚数!U8,IF(AND(低温可否!U8=1,HUAWEI製ＰＣＳ接続枚数計算ツール!$C$108&gt;=U$3,枚数!U8&gt;0,低電圧接続!U8&gt;0),枚数!U8,"-"))</f>
        <v>240</v>
      </c>
      <c r="V9" s="128">
        <f>Z1*IF(AND(高温可否!V8=1,低温可否!V8=1,HUAWEI製ＰＣＳ接続枚数計算ツール!$C$108&gt;=V$3,HUAWEI製ＰＣＳ接続枚数計算ツール!$E$108&lt;=V$3,枚数!V8&gt;0),枚数!V8,IF(AND(低温可否!V8=1,HUAWEI製ＰＣＳ接続枚数計算ツール!$C$108&gt;=V$3,枚数!V8&gt;0,低電圧接続!V8&gt;0),枚数!V8,"-"))</f>
        <v>252</v>
      </c>
      <c r="W9" s="127">
        <f>Z1*IF(AND(高温可否!W8=1,低温可否!W8=1,HUAWEI製ＰＣＳ接続枚数計算ツール!$C$108&gt;=W$3,HUAWEI製ＰＣＳ接続枚数計算ツール!$E$108&lt;=W$3,枚数!W8&gt;0),枚数!W8,IF(AND(低温可否!W8=1,HUAWEI製ＰＣＳ接続枚数計算ツール!$C$108&gt;=W$3,枚数!W8&gt;0,低電圧接続!W8&gt;0),枚数!W8,"-"))</f>
        <v>264</v>
      </c>
      <c r="X9" s="128">
        <f>Z1*IF(AND(高温可否!X8=1,低温可否!X8=1,HUAWEI製ＰＣＳ接続枚数計算ツール!$C$108&gt;=X$3,HUAWEI製ＰＣＳ接続枚数計算ツール!$E$108&lt;=X$3,枚数!X8&gt;0),枚数!X8,IF(AND(低温可否!X8=1,HUAWEI製ＰＣＳ接続枚数計算ツール!$C$108&gt;=X$3,枚数!X8&gt;0,低電圧接続!X8&gt;0),枚数!X8,"-"))</f>
        <v>276</v>
      </c>
      <c r="Y9" s="127">
        <f>Z1*IF(AND(高温可否!Y8=1,低温可否!Y8=1,HUAWEI製ＰＣＳ接続枚数計算ツール!$C$108&gt;=Y$3,HUAWEI製ＰＣＳ接続枚数計算ツール!$E$108&lt;=Y$3,枚数!Y8&gt;0),枚数!Y8,IF(AND(低温可否!Y8=1,HUAWEI製ＰＣＳ接続枚数計算ツール!$C$108&gt;=Y$3,枚数!Y8&gt;0,低電圧接続!Y8&gt;0),枚数!Y8,"-"))</f>
        <v>288</v>
      </c>
      <c r="Z9" s="128">
        <f>Z1*IF(AND(高温可否!Z8=1,低温可否!Z8=1,HUAWEI製ＰＣＳ接続枚数計算ツール!$C$108&gt;=Z$3,HUAWEI製ＰＣＳ接続枚数計算ツール!$E$108&lt;=Z$3,枚数!Z8&gt;0),枚数!Z8,IF(AND(低温可否!Z8=1,HUAWEI製ＰＣＳ接続枚数計算ツール!$C$108&gt;=Z$3,枚数!Z8&gt;0,低電圧接続!Z8&gt;0),枚数!Z8,"-"))</f>
        <v>300</v>
      </c>
      <c r="AA9" s="127" t="e">
        <f>Z1*IF(AND(高温可否!AA8=1,低温可否!AA8=1,HUAWEI製ＰＣＳ接続枚数計算ツール!$C$108&gt;=AA$3,HUAWEI製ＰＣＳ接続枚数計算ツール!$E$108&lt;=AA$3,枚数!AA8&gt;0),枚数!AA8,IF(AND(低温可否!AA8=1,HUAWEI製ＰＣＳ接続枚数計算ツール!$C$108&gt;=AA$3,枚数!AA8&gt;0,低電圧接続!AA8&gt;0),枚数!AA8,"-"))</f>
        <v>#VALUE!</v>
      </c>
      <c r="AB9" s="128" t="e">
        <f>Z1*IF(AND(高温可否!AB8=1,低温可否!AB8=1,HUAWEI製ＰＣＳ接続枚数計算ツール!$C$108&gt;=AB$3,HUAWEI製ＰＣＳ接続枚数計算ツール!$E$108&lt;=AB$3,枚数!AB8&gt;0),枚数!AB8,IF(AND(低温可否!AB8=1,HUAWEI製ＰＣＳ接続枚数計算ツール!$C$108&gt;=AB$3,枚数!AB8&gt;0,低電圧接続!AB8&gt;0),枚数!AB8,"-"))</f>
        <v>#VALUE!</v>
      </c>
      <c r="AC9" s="127" t="e">
        <f>Z1*IF(AND(高温可否!AC8=1,低温可否!AC8=1,HUAWEI製ＰＣＳ接続枚数計算ツール!$C$108&gt;=AC$3,HUAWEI製ＰＣＳ接続枚数計算ツール!$E$108&lt;=AC$3,枚数!AC8&gt;0),枚数!AC8,IF(AND(低温可否!AC8=1,HUAWEI製ＰＣＳ接続枚数計算ツール!$C$108&gt;=AC$3,枚数!AC8&gt;0,低電圧接続!AC8&gt;0),枚数!AC8,"-"))</f>
        <v>#VALUE!</v>
      </c>
      <c r="AD9" s="128" t="e">
        <f>Z1*IF(AND(高温可否!AD8=1,低温可否!AD8=1,HUAWEI製ＰＣＳ接続枚数計算ツール!$C$108&gt;=AD$3,HUAWEI製ＰＣＳ接続枚数計算ツール!$E$108&lt;=AD$3,枚数!AD8&gt;0),枚数!AD8,IF(AND(低温可否!AD8=1,HUAWEI製ＰＣＳ接続枚数計算ツール!$C$108&gt;=AD$3,枚数!AD8&gt;0,低電圧接続!AD8&gt;0),枚数!AD8,"-"))</f>
        <v>#VALUE!</v>
      </c>
      <c r="AE9" s="127" t="e">
        <f>Z1*IF(AND(高温可否!AE8=1,低温可否!AE8=1,HUAWEI製ＰＣＳ接続枚数計算ツール!$C$108&gt;=AE$3,HUAWEI製ＰＣＳ接続枚数計算ツール!$E$108&lt;=AE$3,枚数!AE8&gt;0),枚数!AE8,IF(AND(低温可否!AE8=1,HUAWEI製ＰＣＳ接続枚数計算ツール!$C$108&gt;=AE$3,枚数!AE8&gt;0,低電圧接続!AE8&gt;0),枚数!AE8,"-"))</f>
        <v>#VALUE!</v>
      </c>
      <c r="AF9" s="128" t="e">
        <f>Z1*IF(AND(高温可否!AF8=1,低温可否!AF8=1,HUAWEI製ＰＣＳ接続枚数計算ツール!$C$108&gt;=AF$3,HUAWEI製ＰＣＳ接続枚数計算ツール!$E$108&lt;=AF$3,枚数!AF8&gt;0),枚数!AF8,IF(AND(低温可否!AF8=1,HUAWEI製ＰＣＳ接続枚数計算ツール!$C$108&gt;=AF$3,枚数!AF8&gt;0,低電圧接続!AF8&gt;0),枚数!AF8,"-"))</f>
        <v>#VALUE!</v>
      </c>
      <c r="AG9" s="127" t="e">
        <f>Z1*IF(AND(高温可否!AG8=1,低温可否!AG8=1,HUAWEI製ＰＣＳ接続枚数計算ツール!$C$108&gt;=AG$3,HUAWEI製ＰＣＳ接続枚数計算ツール!$E$108&lt;=AG$3,枚数!AG8&gt;0),枚数!AG8,IF(AND(低温可否!AG8=1,HUAWEI製ＰＣＳ接続枚数計算ツール!$C$108&gt;=AG$3,枚数!AG8&gt;0,低電圧接続!AG8&gt;0),枚数!AG8,"-"))</f>
        <v>#VALUE!</v>
      </c>
      <c r="AH9" s="128" t="e">
        <f>Z1*IF(AND(高温可否!AH8=1,低温可否!AH8=1,HUAWEI製ＰＣＳ接続枚数計算ツール!$C$108&gt;=AH$3,HUAWEI製ＰＣＳ接続枚数計算ツール!$E$108&lt;=AH$3,枚数!AH8&gt;0),枚数!AH8,IF(AND(低温可否!AH8=1,HUAWEI製ＰＣＳ接続枚数計算ツール!$C$108&gt;=AH$3,枚数!AH8&gt;0,低電圧接続!AH8&gt;0),枚数!AH8,"-"))</f>
        <v>#VALUE!</v>
      </c>
      <c r="AI9" s="127" t="e">
        <f>Z1*IF(AND(高温可否!AI8=1,低温可否!AI8=1,HUAWEI製ＰＣＳ接続枚数計算ツール!$C$108&gt;=AI$3,HUAWEI製ＰＣＳ接続枚数計算ツール!$E$108&lt;=AI$3,枚数!AI8&gt;0),枚数!AI8,IF(AND(低温可否!AI8=1,HUAWEI製ＰＣＳ接続枚数計算ツール!$C$108&gt;=AI$3,枚数!AI8&gt;0,低電圧接続!AI8&gt;0),枚数!AI8,"-"))</f>
        <v>#VALUE!</v>
      </c>
      <c r="AJ9" s="128" t="e">
        <f>Z1*IF(AND(高温可否!AJ8=1,低温可否!AJ8=1,HUAWEI製ＰＣＳ接続枚数計算ツール!$C$108&gt;=AJ$3,HUAWEI製ＰＣＳ接続枚数計算ツール!$E$108&lt;=AJ$3,枚数!AJ8&gt;0),枚数!AJ8,IF(AND(低温可否!AJ8=1,HUAWEI製ＰＣＳ接続枚数計算ツール!$C$108&gt;=AJ$3,枚数!AJ8&gt;0,低電圧接続!AJ8&gt;0),枚数!AJ8,"-"))</f>
        <v>#VALUE!</v>
      </c>
      <c r="AK9" s="127" t="e">
        <f>Z1*IF(AND(高温可否!AK8=1,低温可否!AK8=1,HUAWEI製ＰＣＳ接続枚数計算ツール!$C$108&gt;=AK$3,HUAWEI製ＰＣＳ接続枚数計算ツール!$E$108&lt;=AK$3,枚数!AK8&gt;0),枚数!AK8,IF(AND(低温可否!AK8=1,HUAWEI製ＰＣＳ接続枚数計算ツール!$C$108&gt;=AK$3,枚数!AK8&gt;0,低電圧接続!AK8&gt;0),枚数!AK8,"-"))</f>
        <v>#VALUE!</v>
      </c>
      <c r="AL9" s="128" t="e">
        <f>Z1*IF(AND(高温可否!AL8=1,低温可否!AL8=1,HUAWEI製ＰＣＳ接続枚数計算ツール!$C$108&gt;=AL$3,HUAWEI製ＰＣＳ接続枚数計算ツール!$E$108&lt;=AL$3,枚数!AL8&gt;0),枚数!AL8,IF(AND(低温可否!AL8=1,HUAWEI製ＰＣＳ接続枚数計算ツール!$C$108&gt;=AL$3,枚数!AL8&gt;0,低電圧接続!AL8&gt;0),枚数!AL8,"-"))</f>
        <v>#VALUE!</v>
      </c>
      <c r="AM9" s="127" t="e">
        <f>Z1*IF(AND(高温可否!AM8=1,低温可否!AM8=1,HUAWEI製ＰＣＳ接続枚数計算ツール!$C$108&gt;=AM$3,HUAWEI製ＰＣＳ接続枚数計算ツール!$E$108&lt;=AM$3,枚数!AM8&gt;0),枚数!AM8,IF(AND(低温可否!AM8=1,HUAWEI製ＰＣＳ接続枚数計算ツール!$C$108&gt;=AM$3,枚数!AM8&gt;0,低電圧接続!AM8&gt;0),枚数!AM8,"-"))</f>
        <v>#VALUE!</v>
      </c>
      <c r="AN9" s="128" t="e">
        <f>Z1*IF(AND(高温可否!AN8=1,低温可否!AN8=1,HUAWEI製ＰＣＳ接続枚数計算ツール!$C$108&gt;=AN$3,HUAWEI製ＰＣＳ接続枚数計算ツール!$E$108&lt;=AN$3,枚数!AN8&gt;0),枚数!AN8,IF(AND(低温可否!AN8=1,HUAWEI製ＰＣＳ接続枚数計算ツール!$C$108&gt;=AN$3,枚数!AN8&gt;0,低電圧接続!AN8&gt;0),枚数!AN8,"-"))</f>
        <v>#VALUE!</v>
      </c>
      <c r="AO9" s="129" t="e">
        <f>Z1*IF(AND(高温可否!AO8=1,低温可否!AO8=1,HUAWEI製ＰＣＳ接続枚数計算ツール!$C$108&gt;=AO$3,HUAWEI製ＰＣＳ接続枚数計算ツール!$E$108&lt;=AO$3,枚数!AO8&gt;0),枚数!AO8,IF(AND(低温可否!AO8=1,HUAWEI製ＰＣＳ接続枚数計算ツール!$C$108&gt;=AO$3,枚数!AO8&gt;0,低電圧接続!AO8&gt;0),枚数!AO8,"-"))</f>
        <v>#VALUE!</v>
      </c>
    </row>
    <row r="10" spans="1:41">
      <c r="A10" s="116">
        <v>7</v>
      </c>
      <c r="B10" s="122" t="e">
        <f>Z1*IF(AND(高温可否!B9=1,低温可否!B9=1,HUAWEI製ＰＣＳ接続枚数計算ツール!$C$108&gt;=B$3,HUAWEI製ＰＣＳ接続枚数計算ツール!$E$108&lt;=B$3,枚数!B9&gt;0),枚数!B9,IF(AND(低温可否!B9=1,HUAWEI製ＰＣＳ接続枚数計算ツール!$C$108&gt;=B$3,枚数!B9&gt;0,低電圧接続!B9&gt;0),枚数!B9,"-"))</f>
        <v>#VALUE!</v>
      </c>
      <c r="C10" s="123" t="e">
        <f>Z1*IF(AND(高温可否!C9=1,低温可否!C9=1,HUAWEI製ＰＣＳ接続枚数計算ツール!$C$108&gt;=C$3,HUAWEI製ＰＣＳ接続枚数計算ツール!$E$108&lt;=C$3,枚数!C9&gt;0),枚数!C9,IF(AND(低温可否!C9=1,HUAWEI製ＰＣＳ接続枚数計算ツール!$C$108&gt;=C$3,枚数!C9&gt;0,低電圧接続!C9&gt;0),枚数!C9,"-"))</f>
        <v>#VALUE!</v>
      </c>
      <c r="D10" s="124" t="e">
        <f>Z1*IF(AND(高温可否!D9=1,低温可否!D9=1,HUAWEI製ＰＣＳ接続枚数計算ツール!$C$108&gt;=D$3,HUAWEI製ＰＣＳ接続枚数計算ツール!$E$108&lt;=D$3,枚数!D9&gt;0),枚数!D9,IF(AND(低温可否!D9=1,HUAWEI製ＰＣＳ接続枚数計算ツール!$C$108&gt;=D$3,枚数!D9&gt;0,低電圧接続!D9&gt;0),枚数!D9,"-"))</f>
        <v>#VALUE!</v>
      </c>
      <c r="E10" s="123" t="e">
        <f>Z1*IF(AND(高温可否!E9=1,低温可否!E9=1,HUAWEI製ＰＣＳ接続枚数計算ツール!$C$108&gt;=E$3,HUAWEI製ＰＣＳ接続枚数計算ツール!$E$108&lt;=E$3,枚数!E9&gt;0),枚数!E9,IF(AND(低温可否!E9=1,HUAWEI製ＰＣＳ接続枚数計算ツール!$C$108&gt;=E$3,枚数!E9&gt;0,低電圧接続!E9&gt;0),枚数!E9,"-"))</f>
        <v>#VALUE!</v>
      </c>
      <c r="F10" s="124" t="e">
        <f>Z1*IF(AND(高温可否!F9=1,低温可否!F9=1,HUAWEI製ＰＣＳ接続枚数計算ツール!$C$108&gt;=F$3,HUAWEI製ＰＣＳ接続枚数計算ツール!$E$108&lt;=F$3,枚数!F9&gt;0),枚数!F9,IF(AND(低温可否!F9=1,HUAWEI製ＰＣＳ接続枚数計算ツール!$C$108&gt;=F$3,枚数!F9&gt;0,低電圧接続!F9&gt;0),枚数!F9,"-"))</f>
        <v>#VALUE!</v>
      </c>
      <c r="G10" s="123" t="e">
        <f>Z1*IF(AND(高温可否!G9=1,低温可否!G9=1,HUAWEI製ＰＣＳ接続枚数計算ツール!$C$108&gt;=G$3,HUAWEI製ＰＣＳ接続枚数計算ツール!$E$108&lt;=G$3,枚数!G9&gt;0),枚数!G9,IF(AND(低温可否!G9=1,HUAWEI製ＰＣＳ接続枚数計算ツール!$C$108&gt;=G$3,枚数!G9&gt;0,低電圧接続!G9&gt;0),枚数!G9,"-"))</f>
        <v>#VALUE!</v>
      </c>
      <c r="H10" s="124" t="e">
        <f>Z1*IF(AND(高温可否!H9=1,低温可否!H9=1,HUAWEI製ＰＣＳ接続枚数計算ツール!$C$108&gt;=H$3,HUAWEI製ＰＣＳ接続枚数計算ツール!$E$108&lt;=H$3,枚数!H9&gt;0),枚数!H9,IF(AND(低温可否!H9=1,HUAWEI製ＰＣＳ接続枚数計算ツール!$C$108&gt;=H$3,枚数!H9&gt;0,低電圧接続!H9&gt;0),枚数!H9,"-"))</f>
        <v>#VALUE!</v>
      </c>
      <c r="I10" s="123" t="e">
        <f>Z1*IF(AND(高温可否!I9=1,低温可否!I9=1,HUAWEI製ＰＣＳ接続枚数計算ツール!$C$108&gt;=I$3,HUAWEI製ＰＣＳ接続枚数計算ツール!$E$108&lt;=I$3,枚数!I9&gt;0),枚数!I9,IF(AND(低温可否!I9=1,HUAWEI製ＰＣＳ接続枚数計算ツール!$C$108&gt;=I$3,枚数!I9&gt;0,低電圧接続!I9&gt;0),枚数!I9,"-"))</f>
        <v>#VALUE!</v>
      </c>
      <c r="J10" s="124" t="e">
        <f>Z1*IF(AND(高温可否!J9=1,低温可否!J9=1,HUAWEI製ＰＣＳ接続枚数計算ツール!$C$108&gt;=J$3,HUAWEI製ＰＣＳ接続枚数計算ツール!$E$108&lt;=J$3,枚数!J9&gt;0),枚数!J9,IF(AND(低温可否!J9=1,HUAWEI製ＰＣＳ接続枚数計算ツール!$C$108&gt;=J$3,枚数!J9&gt;0,低電圧接続!J9&gt;0),枚数!J9,"-"))</f>
        <v>#VALUE!</v>
      </c>
      <c r="K10" s="123" t="e">
        <f>Z1*IF(AND(高温可否!K9=1,低温可否!K9=1,HUAWEI製ＰＣＳ接続枚数計算ツール!$C$108&gt;=K$3,HUAWEI製ＰＣＳ接続枚数計算ツール!$E$108&lt;=K$3,枚数!K9&gt;0),枚数!K9,IF(AND(低温可否!K9=1,HUAWEI製ＰＣＳ接続枚数計算ツール!$C$108&gt;=K$3,枚数!K9&gt;0,低電圧接続!K9&gt;0),枚数!K9,"-"))</f>
        <v>#VALUE!</v>
      </c>
      <c r="L10" s="124" t="e">
        <f>Z1*IF(AND(高温可否!L9=1,低温可否!L9=1,HUAWEI製ＰＣＳ接続枚数計算ツール!$C$108&gt;=L$3,HUAWEI製ＰＣＳ接続枚数計算ツール!$E$108&lt;=L$3,枚数!L9&gt;0),枚数!L9,IF(AND(低温可否!L9=1,HUAWEI製ＰＣＳ接続枚数計算ツール!$C$108&gt;=L$3,枚数!L9&gt;0,低電圧接続!L9&gt;0),枚数!L9,"-"))</f>
        <v>#VALUE!</v>
      </c>
      <c r="M10" s="123" t="e">
        <f>Z1*IF(AND(高温可否!M9=1,低温可否!M9=1,HUAWEI製ＰＣＳ接続枚数計算ツール!$C$108&gt;=M$3,HUAWEI製ＰＣＳ接続枚数計算ツール!$E$108&lt;=M$3,枚数!M9&gt;0),枚数!M9,IF(AND(低温可否!M9=1,HUAWEI製ＰＣＳ接続枚数計算ツール!$C$108&gt;=M$3,枚数!M9&gt;0,低電圧接続!M9&gt;0),枚数!M9,"-"))</f>
        <v>#VALUE!</v>
      </c>
      <c r="N10" s="124" t="e">
        <f>Z1*IF(AND(高温可否!N9=1,低温可否!N9=1,HUAWEI製ＰＣＳ接続枚数計算ツール!$C$108&gt;=N$3,HUAWEI製ＰＣＳ接続枚数計算ツール!$E$108&lt;=N$3,枚数!N9&gt;0),枚数!N9,IF(AND(低温可否!N9=1,HUAWEI製ＰＣＳ接続枚数計算ツール!$C$108&gt;=N$3,枚数!N9&gt;0,低電圧接続!N9&gt;0),枚数!N9,"-"))</f>
        <v>#VALUE!</v>
      </c>
      <c r="O10" s="123">
        <f>Z1*IF(AND(高温可否!O9=1,低温可否!O9=1,HUAWEI製ＰＣＳ接続枚数計算ツール!$C$108&gt;=O$3,HUAWEI製ＰＣＳ接続枚数計算ツール!$E$108&lt;=O$3,枚数!O9&gt;0),枚数!O9,IF(AND(低温可否!O9=1,HUAWEI製ＰＣＳ接続枚数計算ツール!$C$108&gt;=O$3,枚数!O9&gt;0,低電圧接続!O9&gt;0),枚数!O9,"-"))</f>
        <v>196</v>
      </c>
      <c r="P10" s="124">
        <f>Z1*IF(AND(高温可否!P9=1,低温可否!P9=1,HUAWEI製ＰＣＳ接続枚数計算ツール!$C$108&gt;=P$3,HUAWEI製ＰＣＳ接続枚数計算ツール!$E$108&lt;=P$3,枚数!P9&gt;0),枚数!P9,IF(AND(低温可否!P9=1,HUAWEI製ＰＣＳ接続枚数計算ツール!$C$108&gt;=P$3,枚数!P9&gt;0,低電圧接続!P9&gt;0),枚数!P9,"-"))</f>
        <v>210</v>
      </c>
      <c r="Q10" s="123">
        <f>Z1*IF(AND(高温可否!Q9=1,低温可否!Q9=1,HUAWEI製ＰＣＳ接続枚数計算ツール!$C$108&gt;=Q$3,HUAWEI製ＰＣＳ接続枚数計算ツール!$E$108&lt;=Q$3,枚数!Q9&gt;0),枚数!Q9,IF(AND(低温可否!Q9=1,HUAWEI製ＰＣＳ接続枚数計算ツール!$C$108&gt;=Q$3,枚数!Q9&gt;0,低電圧接続!Q9&gt;0),枚数!Q9,"-"))</f>
        <v>224</v>
      </c>
      <c r="R10" s="124">
        <f>Z1*IF(AND(高温可否!R9=1,低温可否!R9=1,HUAWEI製ＰＣＳ接続枚数計算ツール!$C$108&gt;=R$3,HUAWEI製ＰＣＳ接続枚数計算ツール!$E$108&lt;=R$3,枚数!R9&gt;0),枚数!R9,IF(AND(低温可否!R9=1,HUAWEI製ＰＣＳ接続枚数計算ツール!$C$108&gt;=R$3,枚数!R9&gt;0,低電圧接続!R9&gt;0),枚数!R9,"-"))</f>
        <v>238</v>
      </c>
      <c r="S10" s="123">
        <f>Z1*IF(AND(高温可否!S9=1,低温可否!S9=1,HUAWEI製ＰＣＳ接続枚数計算ツール!$C$108&gt;=S$3,HUAWEI製ＰＣＳ接続枚数計算ツール!$E$108&lt;=S$3,枚数!S9&gt;0),枚数!S9,IF(AND(低温可否!S9=1,HUAWEI製ＰＣＳ接続枚数計算ツール!$C$108&gt;=S$3,枚数!S9&gt;0,低電圧接続!S9&gt;0),枚数!S9,"-"))</f>
        <v>252</v>
      </c>
      <c r="T10" s="124">
        <f>Z1*IF(AND(高温可否!T9=1,低温可否!T9=1,HUAWEI製ＰＣＳ接続枚数計算ツール!$C$108&gt;=T$3,HUAWEI製ＰＣＳ接続枚数計算ツール!$E$108&lt;=T$3,枚数!T9&gt;0),枚数!T9,IF(AND(低温可否!T9=1,HUAWEI製ＰＣＳ接続枚数計算ツール!$C$108&gt;=T$3,枚数!T9&gt;0,低電圧接続!T9&gt;0),枚数!T9,"-"))</f>
        <v>266</v>
      </c>
      <c r="U10" s="123">
        <f>Z1*IF(AND(高温可否!U9=1,低温可否!U9=1,HUAWEI製ＰＣＳ接続枚数計算ツール!$C$108&gt;=U$3,HUAWEI製ＰＣＳ接続枚数計算ツール!$E$108&lt;=U$3,枚数!U9&gt;0),枚数!U9,IF(AND(低温可否!U9=1,HUAWEI製ＰＣＳ接続枚数計算ツール!$C$108&gt;=U$3,枚数!U9&gt;0,低電圧接続!U9&gt;0),枚数!U9,"-"))</f>
        <v>280</v>
      </c>
      <c r="V10" s="124">
        <f>Z1*IF(AND(高温可否!V9=1,低温可否!V9=1,HUAWEI製ＰＣＳ接続枚数計算ツール!$C$108&gt;=V$3,HUAWEI製ＰＣＳ接続枚数計算ツール!$E$108&lt;=V$3,枚数!V9&gt;0),枚数!V9,IF(AND(低温可否!V9=1,HUAWEI製ＰＣＳ接続枚数計算ツール!$C$108&gt;=V$3,枚数!V9&gt;0,低電圧接続!V9&gt;0),枚数!V9,"-"))</f>
        <v>294</v>
      </c>
      <c r="W10" s="123">
        <f>Z1*IF(AND(高温可否!W9=1,低温可否!W9=1,HUAWEI製ＰＣＳ接続枚数計算ツール!$C$108&gt;=W$3,HUAWEI製ＰＣＳ接続枚数計算ツール!$E$108&lt;=W$3,枚数!W9&gt;0),枚数!W9,IF(AND(低温可否!W9=1,HUAWEI製ＰＣＳ接続枚数計算ツール!$C$108&gt;=W$3,枚数!W9&gt;0,低電圧接続!W9&gt;0),枚数!W9,"-"))</f>
        <v>308</v>
      </c>
      <c r="X10" s="124">
        <f>Z1*IF(AND(高温可否!X9=1,低温可否!X9=1,HUAWEI製ＰＣＳ接続枚数計算ツール!$C$108&gt;=X$3,HUAWEI製ＰＣＳ接続枚数計算ツール!$E$108&lt;=X$3,枚数!X9&gt;0),枚数!X9,IF(AND(低温可否!X9=1,HUAWEI製ＰＣＳ接続枚数計算ツール!$C$108&gt;=X$3,枚数!X9&gt;0,低電圧接続!X9&gt;0),枚数!X9,"-"))</f>
        <v>322</v>
      </c>
      <c r="Y10" s="123">
        <f>Z1*IF(AND(高温可否!Y9=1,低温可否!Y9=1,HUAWEI製ＰＣＳ接続枚数計算ツール!$C$108&gt;=Y$3,HUAWEI製ＰＣＳ接続枚数計算ツール!$E$108&lt;=Y$3,枚数!Y9&gt;0),枚数!Y9,IF(AND(低温可否!Y9=1,HUAWEI製ＰＣＳ接続枚数計算ツール!$C$108&gt;=Y$3,枚数!Y9&gt;0,低電圧接続!Y9&gt;0),枚数!Y9,"-"))</f>
        <v>336</v>
      </c>
      <c r="Z10" s="124">
        <f>Z1*IF(AND(高温可否!Z9=1,低温可否!Z9=1,HUAWEI製ＰＣＳ接続枚数計算ツール!$C$108&gt;=Z$3,HUAWEI製ＰＣＳ接続枚数計算ツール!$E$108&lt;=Z$3,枚数!Z9&gt;0),枚数!Z9,IF(AND(低温可否!Z9=1,HUAWEI製ＰＣＳ接続枚数計算ツール!$C$108&gt;=Z$3,枚数!Z9&gt;0,低電圧接続!Z9&gt;0),枚数!Z9,"-"))</f>
        <v>350</v>
      </c>
      <c r="AA10" s="123" t="e">
        <f>Z1*IF(AND(高温可否!AA9=1,低温可否!AA9=1,HUAWEI製ＰＣＳ接続枚数計算ツール!$C$108&gt;=AA$3,HUAWEI製ＰＣＳ接続枚数計算ツール!$E$108&lt;=AA$3,枚数!AA9&gt;0),枚数!AA9,IF(AND(低温可否!AA9=1,HUAWEI製ＰＣＳ接続枚数計算ツール!$C$108&gt;=AA$3,枚数!AA9&gt;0,低電圧接続!AA9&gt;0),枚数!AA9,"-"))</f>
        <v>#VALUE!</v>
      </c>
      <c r="AB10" s="124" t="e">
        <f>Z1*IF(AND(高温可否!AB9=1,低温可否!AB9=1,HUAWEI製ＰＣＳ接続枚数計算ツール!$C$108&gt;=AB$3,HUAWEI製ＰＣＳ接続枚数計算ツール!$E$108&lt;=AB$3,枚数!AB9&gt;0),枚数!AB9,IF(AND(低温可否!AB9=1,HUAWEI製ＰＣＳ接続枚数計算ツール!$C$108&gt;=AB$3,枚数!AB9&gt;0,低電圧接続!AB9&gt;0),枚数!AB9,"-"))</f>
        <v>#VALUE!</v>
      </c>
      <c r="AC10" s="123" t="e">
        <f>Z1*IF(AND(高温可否!AC9=1,低温可否!AC9=1,HUAWEI製ＰＣＳ接続枚数計算ツール!$C$108&gt;=AC$3,HUAWEI製ＰＣＳ接続枚数計算ツール!$E$108&lt;=AC$3,枚数!AC9&gt;0),枚数!AC9,IF(AND(低温可否!AC9=1,HUAWEI製ＰＣＳ接続枚数計算ツール!$C$108&gt;=AC$3,枚数!AC9&gt;0,低電圧接続!AC9&gt;0),枚数!AC9,"-"))</f>
        <v>#VALUE!</v>
      </c>
      <c r="AD10" s="124" t="e">
        <f>Z1*IF(AND(高温可否!AD9=1,低温可否!AD9=1,HUAWEI製ＰＣＳ接続枚数計算ツール!$C$108&gt;=AD$3,HUAWEI製ＰＣＳ接続枚数計算ツール!$E$108&lt;=AD$3,枚数!AD9&gt;0),枚数!AD9,IF(AND(低温可否!AD9=1,HUAWEI製ＰＣＳ接続枚数計算ツール!$C$108&gt;=AD$3,枚数!AD9&gt;0,低電圧接続!AD9&gt;0),枚数!AD9,"-"))</f>
        <v>#VALUE!</v>
      </c>
      <c r="AE10" s="123" t="e">
        <f>Z1*IF(AND(高温可否!AE9=1,低温可否!AE9=1,HUAWEI製ＰＣＳ接続枚数計算ツール!$C$108&gt;=AE$3,HUAWEI製ＰＣＳ接続枚数計算ツール!$E$108&lt;=AE$3,枚数!AE9&gt;0),枚数!AE9,IF(AND(低温可否!AE9=1,HUAWEI製ＰＣＳ接続枚数計算ツール!$C$108&gt;=AE$3,枚数!AE9&gt;0,低電圧接続!AE9&gt;0),枚数!AE9,"-"))</f>
        <v>#VALUE!</v>
      </c>
      <c r="AF10" s="124" t="e">
        <f>Z1*IF(AND(高温可否!AF9=1,低温可否!AF9=1,HUAWEI製ＰＣＳ接続枚数計算ツール!$C$108&gt;=AF$3,HUAWEI製ＰＣＳ接続枚数計算ツール!$E$108&lt;=AF$3,枚数!AF9&gt;0),枚数!AF9,IF(AND(低温可否!AF9=1,HUAWEI製ＰＣＳ接続枚数計算ツール!$C$108&gt;=AF$3,枚数!AF9&gt;0,低電圧接続!AF9&gt;0),枚数!AF9,"-"))</f>
        <v>#VALUE!</v>
      </c>
      <c r="AG10" s="123" t="e">
        <f>Z1*IF(AND(高温可否!AG9=1,低温可否!AG9=1,HUAWEI製ＰＣＳ接続枚数計算ツール!$C$108&gt;=AG$3,HUAWEI製ＰＣＳ接続枚数計算ツール!$E$108&lt;=AG$3,枚数!AG9&gt;0),枚数!AG9,IF(AND(低温可否!AG9=1,HUAWEI製ＰＣＳ接続枚数計算ツール!$C$108&gt;=AG$3,枚数!AG9&gt;0,低電圧接続!AG9&gt;0),枚数!AG9,"-"))</f>
        <v>#VALUE!</v>
      </c>
      <c r="AH10" s="124" t="e">
        <f>Z1*IF(AND(高温可否!AH9=1,低温可否!AH9=1,HUAWEI製ＰＣＳ接続枚数計算ツール!$C$108&gt;=AH$3,HUAWEI製ＰＣＳ接続枚数計算ツール!$E$108&lt;=AH$3,枚数!AH9&gt;0),枚数!AH9,IF(AND(低温可否!AH9=1,HUAWEI製ＰＣＳ接続枚数計算ツール!$C$108&gt;=AH$3,枚数!AH9&gt;0,低電圧接続!AH9&gt;0),枚数!AH9,"-"))</f>
        <v>#VALUE!</v>
      </c>
      <c r="AI10" s="123" t="e">
        <f>Z1*IF(AND(高温可否!AI9=1,低温可否!AI9=1,HUAWEI製ＰＣＳ接続枚数計算ツール!$C$108&gt;=AI$3,HUAWEI製ＰＣＳ接続枚数計算ツール!$E$108&lt;=AI$3,枚数!AI9&gt;0),枚数!AI9,IF(AND(低温可否!AI9=1,HUAWEI製ＰＣＳ接続枚数計算ツール!$C$108&gt;=AI$3,枚数!AI9&gt;0,低電圧接続!AI9&gt;0),枚数!AI9,"-"))</f>
        <v>#VALUE!</v>
      </c>
      <c r="AJ10" s="124" t="e">
        <f>Z1*IF(AND(高温可否!AJ9=1,低温可否!AJ9=1,HUAWEI製ＰＣＳ接続枚数計算ツール!$C$108&gt;=AJ$3,HUAWEI製ＰＣＳ接続枚数計算ツール!$E$108&lt;=AJ$3,枚数!AJ9&gt;0),枚数!AJ9,IF(AND(低温可否!AJ9=1,HUAWEI製ＰＣＳ接続枚数計算ツール!$C$108&gt;=AJ$3,枚数!AJ9&gt;0,低電圧接続!AJ9&gt;0),枚数!AJ9,"-"))</f>
        <v>#VALUE!</v>
      </c>
      <c r="AK10" s="123" t="e">
        <f>Z1*IF(AND(高温可否!AK9=1,低温可否!AK9=1,HUAWEI製ＰＣＳ接続枚数計算ツール!$C$108&gt;=AK$3,HUAWEI製ＰＣＳ接続枚数計算ツール!$E$108&lt;=AK$3,枚数!AK9&gt;0),枚数!AK9,IF(AND(低温可否!AK9=1,HUAWEI製ＰＣＳ接続枚数計算ツール!$C$108&gt;=AK$3,枚数!AK9&gt;0,低電圧接続!AK9&gt;0),枚数!AK9,"-"))</f>
        <v>#VALUE!</v>
      </c>
      <c r="AL10" s="124" t="e">
        <f>Z1*IF(AND(高温可否!AL9=1,低温可否!AL9=1,HUAWEI製ＰＣＳ接続枚数計算ツール!$C$108&gt;=AL$3,HUAWEI製ＰＣＳ接続枚数計算ツール!$E$108&lt;=AL$3,枚数!AL9&gt;0),枚数!AL9,IF(AND(低温可否!AL9=1,HUAWEI製ＰＣＳ接続枚数計算ツール!$C$108&gt;=AL$3,枚数!AL9&gt;0,低電圧接続!AL9&gt;0),枚数!AL9,"-"))</f>
        <v>#VALUE!</v>
      </c>
      <c r="AM10" s="123" t="e">
        <f>Z1*IF(AND(高温可否!AM9=1,低温可否!AM9=1,HUAWEI製ＰＣＳ接続枚数計算ツール!$C$108&gt;=AM$3,HUAWEI製ＰＣＳ接続枚数計算ツール!$E$108&lt;=AM$3,枚数!AM9&gt;0),枚数!AM9,IF(AND(低温可否!AM9=1,HUAWEI製ＰＣＳ接続枚数計算ツール!$C$108&gt;=AM$3,枚数!AM9&gt;0,低電圧接続!AM9&gt;0),枚数!AM9,"-"))</f>
        <v>#VALUE!</v>
      </c>
      <c r="AN10" s="124" t="e">
        <f>Z1*IF(AND(高温可否!AN9=1,低温可否!AN9=1,HUAWEI製ＰＣＳ接続枚数計算ツール!$C$108&gt;=AN$3,HUAWEI製ＰＣＳ接続枚数計算ツール!$E$108&lt;=AN$3,枚数!AN9&gt;0),枚数!AN9,IF(AND(低温可否!AN9=1,HUAWEI製ＰＣＳ接続枚数計算ツール!$C$108&gt;=AN$3,枚数!AN9&gt;0,低電圧接続!AN9&gt;0),枚数!AN9,"-"))</f>
        <v>#VALUE!</v>
      </c>
      <c r="AO10" s="125" t="e">
        <f>Z1*IF(AND(高温可否!AO9=1,低温可否!AO9=1,HUAWEI製ＰＣＳ接続枚数計算ツール!$C$108&gt;=AO$3,HUAWEI製ＰＣＳ接続枚数計算ツール!$E$108&lt;=AO$3,枚数!AO9&gt;0),枚数!AO9,IF(AND(低温可否!AO9=1,HUAWEI製ＰＣＳ接続枚数計算ツール!$C$108&gt;=AO$3,枚数!AO9&gt;0,低電圧接続!AO9&gt;0),枚数!AO9,"-"))</f>
        <v>#VALUE!</v>
      </c>
    </row>
    <row r="11" spans="1:41">
      <c r="A11" s="115">
        <v>8</v>
      </c>
      <c r="B11" s="126" t="e">
        <f>Z1*IF(AND(高温可否!B10=1,低温可否!B10=1,HUAWEI製ＰＣＳ接続枚数計算ツール!$C$108&gt;=B$3,HUAWEI製ＰＣＳ接続枚数計算ツール!$E$108&lt;=B$3,枚数!B10&gt;0),枚数!B10,IF(AND(低温可否!B10=1,HUAWEI製ＰＣＳ接続枚数計算ツール!$C$108&gt;=B$3,枚数!B10&gt;0,低電圧接続!B10&gt;0),枚数!B10,"-"))</f>
        <v>#VALUE!</v>
      </c>
      <c r="C11" s="127" t="e">
        <f>Z1*IF(AND(高温可否!C10=1,低温可否!C10=1,HUAWEI製ＰＣＳ接続枚数計算ツール!$C$108&gt;=C$3,HUAWEI製ＰＣＳ接続枚数計算ツール!$E$108&lt;=C$3,枚数!C10&gt;0),枚数!C10,IF(AND(低温可否!C10=1,HUAWEI製ＰＣＳ接続枚数計算ツール!$C$108&gt;=C$3,枚数!C10&gt;0,低電圧接続!C10&gt;0),枚数!C10,"-"))</f>
        <v>#VALUE!</v>
      </c>
      <c r="D11" s="128" t="e">
        <f>Z1*IF(AND(高温可否!D10=1,低温可否!D10=1,HUAWEI製ＰＣＳ接続枚数計算ツール!$C$108&gt;=D$3,HUAWEI製ＰＣＳ接続枚数計算ツール!$E$108&lt;=D$3,枚数!D10&gt;0),枚数!D10,IF(AND(低温可否!D10=1,HUAWEI製ＰＣＳ接続枚数計算ツール!$C$108&gt;=D$3,枚数!D10&gt;0,低電圧接続!D10&gt;0),枚数!D10,"-"))</f>
        <v>#VALUE!</v>
      </c>
      <c r="E11" s="127" t="e">
        <f>Z1*IF(AND(高温可否!E10=1,低温可否!E10=1,HUAWEI製ＰＣＳ接続枚数計算ツール!$C$108&gt;=E$3,HUAWEI製ＰＣＳ接続枚数計算ツール!$E$108&lt;=E$3,枚数!E10&gt;0),枚数!E10,IF(AND(低温可否!E10=1,HUAWEI製ＰＣＳ接続枚数計算ツール!$C$108&gt;=E$3,枚数!E10&gt;0,低電圧接続!E10&gt;0),枚数!E10,"-"))</f>
        <v>#VALUE!</v>
      </c>
      <c r="F11" s="128" t="e">
        <f>Z1*IF(AND(高温可否!F10=1,低温可否!F10=1,HUAWEI製ＰＣＳ接続枚数計算ツール!$C$108&gt;=F$3,HUAWEI製ＰＣＳ接続枚数計算ツール!$E$108&lt;=F$3,枚数!F10&gt;0),枚数!F10,IF(AND(低温可否!F10=1,HUAWEI製ＰＣＳ接続枚数計算ツール!$C$108&gt;=F$3,枚数!F10&gt;0,低電圧接続!F10&gt;0),枚数!F10,"-"))</f>
        <v>#VALUE!</v>
      </c>
      <c r="G11" s="127" t="e">
        <f>Z1*IF(AND(高温可否!G10=1,低温可否!G10=1,HUAWEI製ＰＣＳ接続枚数計算ツール!$C$108&gt;=G$3,HUAWEI製ＰＣＳ接続枚数計算ツール!$E$108&lt;=G$3,枚数!G10&gt;0),枚数!G10,IF(AND(低温可否!G10=1,HUAWEI製ＰＣＳ接続枚数計算ツール!$C$108&gt;=G$3,枚数!G10&gt;0,低電圧接続!G10&gt;0),枚数!G10,"-"))</f>
        <v>#VALUE!</v>
      </c>
      <c r="H11" s="128" t="e">
        <f>Z1*IF(AND(高温可否!H10=1,低温可否!H10=1,HUAWEI製ＰＣＳ接続枚数計算ツール!$C$108&gt;=H$3,HUAWEI製ＰＣＳ接続枚数計算ツール!$E$108&lt;=H$3,枚数!H10&gt;0),枚数!H10,IF(AND(低温可否!H10=1,HUAWEI製ＰＣＳ接続枚数計算ツール!$C$108&gt;=H$3,枚数!H10&gt;0,低電圧接続!H10&gt;0),枚数!H10,"-"))</f>
        <v>#VALUE!</v>
      </c>
      <c r="I11" s="127" t="e">
        <f>Z1*IF(AND(高温可否!I10=1,低温可否!I10=1,HUAWEI製ＰＣＳ接続枚数計算ツール!$C$108&gt;=I$3,HUAWEI製ＰＣＳ接続枚数計算ツール!$E$108&lt;=I$3,枚数!I10&gt;0),枚数!I10,IF(AND(低温可否!I10=1,HUAWEI製ＰＣＳ接続枚数計算ツール!$C$108&gt;=I$3,枚数!I10&gt;0,低電圧接続!I10&gt;0),枚数!I10,"-"))</f>
        <v>#VALUE!</v>
      </c>
      <c r="J11" s="128" t="e">
        <f>Z1*IF(AND(高温可否!J10=1,低温可否!J10=1,HUAWEI製ＰＣＳ接続枚数計算ツール!$C$108&gt;=J$3,HUAWEI製ＰＣＳ接続枚数計算ツール!$E$108&lt;=J$3,枚数!J10&gt;0),枚数!J10,IF(AND(低温可否!J10=1,HUAWEI製ＰＣＳ接続枚数計算ツール!$C$108&gt;=J$3,枚数!J10&gt;0,低電圧接続!J10&gt;0),枚数!J10,"-"))</f>
        <v>#VALUE!</v>
      </c>
      <c r="K11" s="127" t="e">
        <f>Z1*IF(AND(高温可否!K10=1,低温可否!K10=1,HUAWEI製ＰＣＳ接続枚数計算ツール!$C$108&gt;=K$3,HUAWEI製ＰＣＳ接続枚数計算ツール!$E$108&lt;=K$3,枚数!K10&gt;0),枚数!K10,IF(AND(低温可否!K10=1,HUAWEI製ＰＣＳ接続枚数計算ツール!$C$108&gt;=K$3,枚数!K10&gt;0,低電圧接続!K10&gt;0),枚数!K10,"-"))</f>
        <v>#VALUE!</v>
      </c>
      <c r="L11" s="128" t="e">
        <f>Z1*IF(AND(高温可否!L10=1,低温可否!L10=1,HUAWEI製ＰＣＳ接続枚数計算ツール!$C$108&gt;=L$3,HUAWEI製ＰＣＳ接続枚数計算ツール!$E$108&lt;=L$3,枚数!L10&gt;0),枚数!L10,IF(AND(低温可否!L10=1,HUAWEI製ＰＣＳ接続枚数計算ツール!$C$108&gt;=L$3,枚数!L10&gt;0,低電圧接続!L10&gt;0),枚数!L10,"-"))</f>
        <v>#VALUE!</v>
      </c>
      <c r="M11" s="127" t="e">
        <f>Z1*IF(AND(高温可否!M10=1,低温可否!M10=1,HUAWEI製ＰＣＳ接続枚数計算ツール!$C$108&gt;=M$3,HUAWEI製ＰＣＳ接続枚数計算ツール!$E$108&lt;=M$3,枚数!M10&gt;0),枚数!M10,IF(AND(低温可否!M10=1,HUAWEI製ＰＣＳ接続枚数計算ツール!$C$108&gt;=M$3,枚数!M10&gt;0,低電圧接続!M10&gt;0),枚数!M10,"-"))</f>
        <v>#VALUE!</v>
      </c>
      <c r="N11" s="128" t="e">
        <f>Z1*IF(AND(高温可否!N10=1,低温可否!N10=1,HUAWEI製ＰＣＳ接続枚数計算ツール!$C$108&gt;=N$3,HUAWEI製ＰＣＳ接続枚数計算ツール!$E$108&lt;=N$3,枚数!N10&gt;0),枚数!N10,IF(AND(低温可否!N10=1,HUAWEI製ＰＣＳ接続枚数計算ツール!$C$108&gt;=N$3,枚数!N10&gt;0,低電圧接続!N10&gt;0),枚数!N10,"-"))</f>
        <v>#VALUE!</v>
      </c>
      <c r="O11" s="127">
        <f>Z1*IF(AND(高温可否!O10=1,低温可否!O10=1,HUAWEI製ＰＣＳ接続枚数計算ツール!$C$108&gt;=O$3,HUAWEI製ＰＣＳ接続枚数計算ツール!$E$108&lt;=O$3,枚数!O10&gt;0),枚数!O10,IF(AND(低温可否!O10=1,HUAWEI製ＰＣＳ接続枚数計算ツール!$C$108&gt;=O$3,枚数!O10&gt;0,低電圧接続!O10&gt;0),枚数!O10,"-"))</f>
        <v>224</v>
      </c>
      <c r="P11" s="128">
        <f>Z1*IF(AND(高温可否!P10=1,低温可否!P10=1,HUAWEI製ＰＣＳ接続枚数計算ツール!$C$108&gt;=P$3,HUAWEI製ＰＣＳ接続枚数計算ツール!$E$108&lt;=P$3,枚数!P10&gt;0),枚数!P10,IF(AND(低温可否!P10=1,HUAWEI製ＰＣＳ接続枚数計算ツール!$C$108&gt;=P$3,枚数!P10&gt;0,低電圧接続!P10&gt;0),枚数!P10,"-"))</f>
        <v>240</v>
      </c>
      <c r="Q11" s="127">
        <f>Z1*IF(AND(高温可否!Q10=1,低温可否!Q10=1,HUAWEI製ＰＣＳ接続枚数計算ツール!$C$108&gt;=Q$3,HUAWEI製ＰＣＳ接続枚数計算ツール!$E$108&lt;=Q$3,枚数!Q10&gt;0),枚数!Q10,IF(AND(低温可否!Q10=1,HUAWEI製ＰＣＳ接続枚数計算ツール!$C$108&gt;=Q$3,枚数!Q10&gt;0,低電圧接続!Q10&gt;0),枚数!Q10,"-"))</f>
        <v>256</v>
      </c>
      <c r="R11" s="128">
        <f>Z1*IF(AND(高温可否!R10=1,低温可否!R10=1,HUAWEI製ＰＣＳ接続枚数計算ツール!$C$108&gt;=R$3,HUAWEI製ＰＣＳ接続枚数計算ツール!$E$108&lt;=R$3,枚数!R10&gt;0),枚数!R10,IF(AND(低温可否!R10=1,HUAWEI製ＰＣＳ接続枚数計算ツール!$C$108&gt;=R$3,枚数!R10&gt;0,低電圧接続!R10&gt;0),枚数!R10,"-"))</f>
        <v>272</v>
      </c>
      <c r="S11" s="127">
        <f>Z1*IF(AND(高温可否!S10=1,低温可否!S10=1,HUAWEI製ＰＣＳ接続枚数計算ツール!$C$108&gt;=S$3,HUAWEI製ＰＣＳ接続枚数計算ツール!$E$108&lt;=S$3,枚数!S10&gt;0),枚数!S10,IF(AND(低温可否!S10=1,HUAWEI製ＰＣＳ接続枚数計算ツール!$C$108&gt;=S$3,枚数!S10&gt;0,低電圧接続!S10&gt;0),枚数!S10,"-"))</f>
        <v>288</v>
      </c>
      <c r="T11" s="128">
        <f>Z1*IF(AND(高温可否!T10=1,低温可否!T10=1,HUAWEI製ＰＣＳ接続枚数計算ツール!$C$108&gt;=T$3,HUAWEI製ＰＣＳ接続枚数計算ツール!$E$108&lt;=T$3,枚数!T10&gt;0),枚数!T10,IF(AND(低温可否!T10=1,HUAWEI製ＰＣＳ接続枚数計算ツール!$C$108&gt;=T$3,枚数!T10&gt;0,低電圧接続!T10&gt;0),枚数!T10,"-"))</f>
        <v>304</v>
      </c>
      <c r="U11" s="127">
        <f>Z1*IF(AND(高温可否!U10=1,低温可否!U10=1,HUAWEI製ＰＣＳ接続枚数計算ツール!$C$108&gt;=U$3,HUAWEI製ＰＣＳ接続枚数計算ツール!$E$108&lt;=U$3,枚数!U10&gt;0),枚数!U10,IF(AND(低温可否!U10=1,HUAWEI製ＰＣＳ接続枚数計算ツール!$C$108&gt;=U$3,枚数!U10&gt;0,低電圧接続!U10&gt;0),枚数!U10,"-"))</f>
        <v>320</v>
      </c>
      <c r="V11" s="128">
        <f>Z1*IF(AND(高温可否!V10=1,低温可否!V10=1,HUAWEI製ＰＣＳ接続枚数計算ツール!$C$108&gt;=V$3,HUAWEI製ＰＣＳ接続枚数計算ツール!$E$108&lt;=V$3,枚数!V10&gt;0),枚数!V10,IF(AND(低温可否!V10=1,HUAWEI製ＰＣＳ接続枚数計算ツール!$C$108&gt;=V$3,枚数!V10&gt;0,低電圧接続!V10&gt;0),枚数!V10,"-"))</f>
        <v>336</v>
      </c>
      <c r="W11" s="127">
        <f>Z1*IF(AND(高温可否!W10=1,低温可否!W10=1,HUAWEI製ＰＣＳ接続枚数計算ツール!$C$108&gt;=W$3,HUAWEI製ＰＣＳ接続枚数計算ツール!$E$108&lt;=W$3,枚数!W10&gt;0),枚数!W10,IF(AND(低温可否!W10=1,HUAWEI製ＰＣＳ接続枚数計算ツール!$C$108&gt;=W$3,枚数!W10&gt;0,低電圧接続!W10&gt;0),枚数!W10,"-"))</f>
        <v>352</v>
      </c>
      <c r="X11" s="128">
        <f>Z1*IF(AND(高温可否!X10=1,低温可否!X10=1,HUAWEI製ＰＣＳ接続枚数計算ツール!$C$108&gt;=X$3,HUAWEI製ＰＣＳ接続枚数計算ツール!$E$108&lt;=X$3,枚数!X10&gt;0),枚数!X10,IF(AND(低温可否!X10=1,HUAWEI製ＰＣＳ接続枚数計算ツール!$C$108&gt;=X$3,枚数!X10&gt;0,低電圧接続!X10&gt;0),枚数!X10,"-"))</f>
        <v>368</v>
      </c>
      <c r="Y11" s="127">
        <f>Z1*IF(AND(高温可否!Y10=1,低温可否!Y10=1,HUAWEI製ＰＣＳ接続枚数計算ツール!$C$108&gt;=Y$3,HUAWEI製ＰＣＳ接続枚数計算ツール!$E$108&lt;=Y$3,枚数!Y10&gt;0),枚数!Y10,IF(AND(低温可否!Y10=1,HUAWEI製ＰＣＳ接続枚数計算ツール!$C$108&gt;=Y$3,枚数!Y10&gt;0,低電圧接続!Y10&gt;0),枚数!Y10,"-"))</f>
        <v>384</v>
      </c>
      <c r="Z11" s="128">
        <f>Z1*IF(AND(高温可否!Z10=1,低温可否!Z10=1,HUAWEI製ＰＣＳ接続枚数計算ツール!$C$108&gt;=Z$3,HUAWEI製ＰＣＳ接続枚数計算ツール!$E$108&lt;=Z$3,枚数!Z10&gt;0),枚数!Z10,IF(AND(低温可否!Z10=1,HUAWEI製ＰＣＳ接続枚数計算ツール!$C$108&gt;=Z$3,枚数!Z10&gt;0,低電圧接続!Z10&gt;0),枚数!Z10,"-"))</f>
        <v>400</v>
      </c>
      <c r="AA11" s="127" t="e">
        <f>Z1*IF(AND(高温可否!AA10=1,低温可否!AA10=1,HUAWEI製ＰＣＳ接続枚数計算ツール!$C$108&gt;=AA$3,HUAWEI製ＰＣＳ接続枚数計算ツール!$E$108&lt;=AA$3,枚数!AA10&gt;0),枚数!AA10,IF(AND(低温可否!AA10=1,HUAWEI製ＰＣＳ接続枚数計算ツール!$C$108&gt;=AA$3,枚数!AA10&gt;0,低電圧接続!AA10&gt;0),枚数!AA10,"-"))</f>
        <v>#VALUE!</v>
      </c>
      <c r="AB11" s="128" t="e">
        <f>Z1*IF(AND(高温可否!AB10=1,低温可否!AB10=1,HUAWEI製ＰＣＳ接続枚数計算ツール!$C$108&gt;=AB$3,HUAWEI製ＰＣＳ接続枚数計算ツール!$E$108&lt;=AB$3,枚数!AB10&gt;0),枚数!AB10,IF(AND(低温可否!AB10=1,HUAWEI製ＰＣＳ接続枚数計算ツール!$C$108&gt;=AB$3,枚数!AB10&gt;0,低電圧接続!AB10&gt;0),枚数!AB10,"-"))</f>
        <v>#VALUE!</v>
      </c>
      <c r="AC11" s="127" t="e">
        <f>Z1*IF(AND(高温可否!AC10=1,低温可否!AC10=1,HUAWEI製ＰＣＳ接続枚数計算ツール!$C$108&gt;=AC$3,HUAWEI製ＰＣＳ接続枚数計算ツール!$E$108&lt;=AC$3,枚数!AC10&gt;0),枚数!AC10,IF(AND(低温可否!AC10=1,HUAWEI製ＰＣＳ接続枚数計算ツール!$C$108&gt;=AC$3,枚数!AC10&gt;0,低電圧接続!AC10&gt;0),枚数!AC10,"-"))</f>
        <v>#VALUE!</v>
      </c>
      <c r="AD11" s="128" t="e">
        <f>Z1*IF(AND(高温可否!AD10=1,低温可否!AD10=1,HUAWEI製ＰＣＳ接続枚数計算ツール!$C$108&gt;=AD$3,HUAWEI製ＰＣＳ接続枚数計算ツール!$E$108&lt;=AD$3,枚数!AD10&gt;0),枚数!AD10,IF(AND(低温可否!AD10=1,HUAWEI製ＰＣＳ接続枚数計算ツール!$C$108&gt;=AD$3,枚数!AD10&gt;0,低電圧接続!AD10&gt;0),枚数!AD10,"-"))</f>
        <v>#VALUE!</v>
      </c>
      <c r="AE11" s="127" t="e">
        <f>Z1*IF(AND(高温可否!AE10=1,低温可否!AE10=1,HUAWEI製ＰＣＳ接続枚数計算ツール!$C$108&gt;=AE$3,HUAWEI製ＰＣＳ接続枚数計算ツール!$E$108&lt;=AE$3,枚数!AE10&gt;0),枚数!AE10,IF(AND(低温可否!AE10=1,HUAWEI製ＰＣＳ接続枚数計算ツール!$C$108&gt;=AE$3,枚数!AE10&gt;0,低電圧接続!AE10&gt;0),枚数!AE10,"-"))</f>
        <v>#VALUE!</v>
      </c>
      <c r="AF11" s="128" t="e">
        <f>Z1*IF(AND(高温可否!AF10=1,低温可否!AF10=1,HUAWEI製ＰＣＳ接続枚数計算ツール!$C$108&gt;=AF$3,HUAWEI製ＰＣＳ接続枚数計算ツール!$E$108&lt;=AF$3,枚数!AF10&gt;0),枚数!AF10,IF(AND(低温可否!AF10=1,HUAWEI製ＰＣＳ接続枚数計算ツール!$C$108&gt;=AF$3,枚数!AF10&gt;0,低電圧接続!AF10&gt;0),枚数!AF10,"-"))</f>
        <v>#VALUE!</v>
      </c>
      <c r="AG11" s="127" t="e">
        <f>Z1*IF(AND(高温可否!AG10=1,低温可否!AG10=1,HUAWEI製ＰＣＳ接続枚数計算ツール!$C$108&gt;=AG$3,HUAWEI製ＰＣＳ接続枚数計算ツール!$E$108&lt;=AG$3,枚数!AG10&gt;0),枚数!AG10,IF(AND(低温可否!AG10=1,HUAWEI製ＰＣＳ接続枚数計算ツール!$C$108&gt;=AG$3,枚数!AG10&gt;0,低電圧接続!AG10&gt;0),枚数!AG10,"-"))</f>
        <v>#VALUE!</v>
      </c>
      <c r="AH11" s="128" t="e">
        <f>Z1*IF(AND(高温可否!AH10=1,低温可否!AH10=1,HUAWEI製ＰＣＳ接続枚数計算ツール!$C$108&gt;=AH$3,HUAWEI製ＰＣＳ接続枚数計算ツール!$E$108&lt;=AH$3,枚数!AH10&gt;0),枚数!AH10,IF(AND(低温可否!AH10=1,HUAWEI製ＰＣＳ接続枚数計算ツール!$C$108&gt;=AH$3,枚数!AH10&gt;0,低電圧接続!AH10&gt;0),枚数!AH10,"-"))</f>
        <v>#VALUE!</v>
      </c>
      <c r="AI11" s="127" t="e">
        <f>Z1*IF(AND(高温可否!AI10=1,低温可否!AI10=1,HUAWEI製ＰＣＳ接続枚数計算ツール!$C$108&gt;=AI$3,HUAWEI製ＰＣＳ接続枚数計算ツール!$E$108&lt;=AI$3,枚数!AI10&gt;0),枚数!AI10,IF(AND(低温可否!AI10=1,HUAWEI製ＰＣＳ接続枚数計算ツール!$C$108&gt;=AI$3,枚数!AI10&gt;0,低電圧接続!AI10&gt;0),枚数!AI10,"-"))</f>
        <v>#VALUE!</v>
      </c>
      <c r="AJ11" s="128" t="e">
        <f>Z1*IF(AND(高温可否!AJ10=1,低温可否!AJ10=1,HUAWEI製ＰＣＳ接続枚数計算ツール!$C$108&gt;=AJ$3,HUAWEI製ＰＣＳ接続枚数計算ツール!$E$108&lt;=AJ$3,枚数!AJ10&gt;0),枚数!AJ10,IF(AND(低温可否!AJ10=1,HUAWEI製ＰＣＳ接続枚数計算ツール!$C$108&gt;=AJ$3,枚数!AJ10&gt;0,低電圧接続!AJ10&gt;0),枚数!AJ10,"-"))</f>
        <v>#VALUE!</v>
      </c>
      <c r="AK11" s="127" t="e">
        <f>Z1*IF(AND(高温可否!AK10=1,低温可否!AK10=1,HUAWEI製ＰＣＳ接続枚数計算ツール!$C$108&gt;=AK$3,HUAWEI製ＰＣＳ接続枚数計算ツール!$E$108&lt;=AK$3,枚数!AK10&gt;0),枚数!AK10,IF(AND(低温可否!AK10=1,HUAWEI製ＰＣＳ接続枚数計算ツール!$C$108&gt;=AK$3,枚数!AK10&gt;0,低電圧接続!AK10&gt;0),枚数!AK10,"-"))</f>
        <v>#VALUE!</v>
      </c>
      <c r="AL11" s="128" t="e">
        <f>Z1*IF(AND(高温可否!AL10=1,低温可否!AL10=1,HUAWEI製ＰＣＳ接続枚数計算ツール!$C$108&gt;=AL$3,HUAWEI製ＰＣＳ接続枚数計算ツール!$E$108&lt;=AL$3,枚数!AL10&gt;0),枚数!AL10,IF(AND(低温可否!AL10=1,HUAWEI製ＰＣＳ接続枚数計算ツール!$C$108&gt;=AL$3,枚数!AL10&gt;0,低電圧接続!AL10&gt;0),枚数!AL10,"-"))</f>
        <v>#VALUE!</v>
      </c>
      <c r="AM11" s="127" t="e">
        <f>Z1*IF(AND(高温可否!AM10=1,低温可否!AM10=1,HUAWEI製ＰＣＳ接続枚数計算ツール!$C$108&gt;=AM$3,HUAWEI製ＰＣＳ接続枚数計算ツール!$E$108&lt;=AM$3,枚数!AM10&gt;0),枚数!AM10,IF(AND(低温可否!AM10=1,HUAWEI製ＰＣＳ接続枚数計算ツール!$C$108&gt;=AM$3,枚数!AM10&gt;0,低電圧接続!AM10&gt;0),枚数!AM10,"-"))</f>
        <v>#VALUE!</v>
      </c>
      <c r="AN11" s="128" t="e">
        <f>Z1*IF(AND(高温可否!AN10=1,低温可否!AN10=1,HUAWEI製ＰＣＳ接続枚数計算ツール!$C$108&gt;=AN$3,HUAWEI製ＰＣＳ接続枚数計算ツール!$E$108&lt;=AN$3,枚数!AN10&gt;0),枚数!AN10,IF(AND(低温可否!AN10=1,HUAWEI製ＰＣＳ接続枚数計算ツール!$C$108&gt;=AN$3,枚数!AN10&gt;0,低電圧接続!AN10&gt;0),枚数!AN10,"-"))</f>
        <v>#VALUE!</v>
      </c>
      <c r="AO11" s="129" t="e">
        <f>Z1*IF(AND(高温可否!AO10=1,低温可否!AO10=1,HUAWEI製ＰＣＳ接続枚数計算ツール!$C$108&gt;=AO$3,HUAWEI製ＰＣＳ接続枚数計算ツール!$E$108&lt;=AO$3,枚数!AO10&gt;0),枚数!AO10,IF(AND(低温可否!AO10=1,HUAWEI製ＰＣＳ接続枚数計算ツール!$C$108&gt;=AO$3,枚数!AO10&gt;0,低電圧接続!AO10&gt;0),枚数!AO10,"-"))</f>
        <v>#VALUE!</v>
      </c>
    </row>
    <row r="12" spans="1:41">
      <c r="A12" s="116">
        <v>9</v>
      </c>
      <c r="B12" s="122" t="e">
        <f>Z1*IF(AND(高温可否!B11=1,低温可否!B11=1,HUAWEI製ＰＣＳ接続枚数計算ツール!$C$108&gt;=B$3,HUAWEI製ＰＣＳ接続枚数計算ツール!$E$108&lt;=B$3,枚数!B11&gt;0),枚数!B11,IF(AND(低温可否!B11=1,HUAWEI製ＰＣＳ接続枚数計算ツール!$C$108&gt;=B$3,枚数!B11&gt;0,低電圧接続!B11&gt;0),枚数!B11,"-"))</f>
        <v>#VALUE!</v>
      </c>
      <c r="C12" s="123" t="e">
        <f>Z1*IF(AND(高温可否!C11=1,低温可否!C11=1,HUAWEI製ＰＣＳ接続枚数計算ツール!$C$108&gt;=C$3,HUAWEI製ＰＣＳ接続枚数計算ツール!$E$108&lt;=C$3,枚数!C11&gt;0),枚数!C11,IF(AND(低温可否!C11=1,HUAWEI製ＰＣＳ接続枚数計算ツール!$C$108&gt;=C$3,枚数!C11&gt;0,低電圧接続!C11&gt;0),枚数!C11,"-"))</f>
        <v>#VALUE!</v>
      </c>
      <c r="D12" s="124" t="e">
        <f>Z1*IF(AND(高温可否!D11=1,低温可否!D11=1,HUAWEI製ＰＣＳ接続枚数計算ツール!$C$108&gt;=D$3,HUAWEI製ＰＣＳ接続枚数計算ツール!$E$108&lt;=D$3,枚数!D11&gt;0),枚数!D11,IF(AND(低温可否!D11=1,HUAWEI製ＰＣＳ接続枚数計算ツール!$C$108&gt;=D$3,枚数!D11&gt;0,低電圧接続!D11&gt;0),枚数!D11,"-"))</f>
        <v>#VALUE!</v>
      </c>
      <c r="E12" s="123" t="e">
        <f>Z1*IF(AND(高温可否!E11=1,低温可否!E11=1,HUAWEI製ＰＣＳ接続枚数計算ツール!$C$108&gt;=E$3,HUAWEI製ＰＣＳ接続枚数計算ツール!$E$108&lt;=E$3,枚数!E11&gt;0),枚数!E11,IF(AND(低温可否!E11=1,HUAWEI製ＰＣＳ接続枚数計算ツール!$C$108&gt;=E$3,枚数!E11&gt;0,低電圧接続!E11&gt;0),枚数!E11,"-"))</f>
        <v>#VALUE!</v>
      </c>
      <c r="F12" s="124" t="e">
        <f>Z1*IF(AND(高温可否!F11=1,低温可否!F11=1,HUAWEI製ＰＣＳ接続枚数計算ツール!$C$108&gt;=F$3,HUAWEI製ＰＣＳ接続枚数計算ツール!$E$108&lt;=F$3,枚数!F11&gt;0),枚数!F11,IF(AND(低温可否!F11=1,HUAWEI製ＰＣＳ接続枚数計算ツール!$C$108&gt;=F$3,枚数!F11&gt;0,低電圧接続!F11&gt;0),枚数!F11,"-"))</f>
        <v>#VALUE!</v>
      </c>
      <c r="G12" s="123" t="e">
        <f>Z1*IF(AND(高温可否!G11=1,低温可否!G11=1,HUAWEI製ＰＣＳ接続枚数計算ツール!$C$108&gt;=G$3,HUAWEI製ＰＣＳ接続枚数計算ツール!$E$108&lt;=G$3,枚数!G11&gt;0),枚数!G11,IF(AND(低温可否!G11=1,HUAWEI製ＰＣＳ接続枚数計算ツール!$C$108&gt;=G$3,枚数!G11&gt;0,低電圧接続!G11&gt;0),枚数!G11,"-"))</f>
        <v>#VALUE!</v>
      </c>
      <c r="H12" s="124" t="e">
        <f>Z1*IF(AND(高温可否!H11=1,低温可否!H11=1,HUAWEI製ＰＣＳ接続枚数計算ツール!$C$108&gt;=H$3,HUAWEI製ＰＣＳ接続枚数計算ツール!$E$108&lt;=H$3,枚数!H11&gt;0),枚数!H11,IF(AND(低温可否!H11=1,HUAWEI製ＰＣＳ接続枚数計算ツール!$C$108&gt;=H$3,枚数!H11&gt;0,低電圧接続!H11&gt;0),枚数!H11,"-"))</f>
        <v>#VALUE!</v>
      </c>
      <c r="I12" s="123" t="e">
        <f>Z1*IF(AND(高温可否!I11=1,低温可否!I11=1,HUAWEI製ＰＣＳ接続枚数計算ツール!$C$108&gt;=I$3,HUAWEI製ＰＣＳ接続枚数計算ツール!$E$108&lt;=I$3,枚数!I11&gt;0),枚数!I11,IF(AND(低温可否!I11=1,HUAWEI製ＰＣＳ接続枚数計算ツール!$C$108&gt;=I$3,枚数!I11&gt;0,低電圧接続!I11&gt;0),枚数!I11,"-"))</f>
        <v>#VALUE!</v>
      </c>
      <c r="J12" s="124" t="e">
        <f>Z1*IF(AND(高温可否!J11=1,低温可否!J11=1,HUAWEI製ＰＣＳ接続枚数計算ツール!$C$108&gt;=J$3,HUAWEI製ＰＣＳ接続枚数計算ツール!$E$108&lt;=J$3,枚数!J11&gt;0),枚数!J11,IF(AND(低温可否!J11=1,HUAWEI製ＰＣＳ接続枚数計算ツール!$C$108&gt;=J$3,枚数!J11&gt;0,低電圧接続!J11&gt;0),枚数!J11,"-"))</f>
        <v>#VALUE!</v>
      </c>
      <c r="K12" s="123" t="e">
        <f>Z1*IF(AND(高温可否!K11=1,低温可否!K11=1,HUAWEI製ＰＣＳ接続枚数計算ツール!$C$108&gt;=K$3,HUAWEI製ＰＣＳ接続枚数計算ツール!$E$108&lt;=K$3,枚数!K11&gt;0),枚数!K11,IF(AND(低温可否!K11=1,HUAWEI製ＰＣＳ接続枚数計算ツール!$C$108&gt;=K$3,枚数!K11&gt;0,低電圧接続!K11&gt;0),枚数!K11,"-"))</f>
        <v>#VALUE!</v>
      </c>
      <c r="L12" s="124" t="e">
        <f>Z1*IF(AND(高温可否!L11=1,低温可否!L11=1,HUAWEI製ＰＣＳ接続枚数計算ツール!$C$108&gt;=L$3,HUAWEI製ＰＣＳ接続枚数計算ツール!$E$108&lt;=L$3,枚数!L11&gt;0),枚数!L11,IF(AND(低温可否!L11=1,HUAWEI製ＰＣＳ接続枚数計算ツール!$C$108&gt;=L$3,枚数!L11&gt;0,低電圧接続!L11&gt;0),枚数!L11,"-"))</f>
        <v>#VALUE!</v>
      </c>
      <c r="M12" s="123" t="e">
        <f>Z1*IF(AND(高温可否!M11=1,低温可否!M11=1,HUAWEI製ＰＣＳ接続枚数計算ツール!$C$108&gt;=M$3,HUAWEI製ＰＣＳ接続枚数計算ツール!$E$108&lt;=M$3,枚数!M11&gt;0),枚数!M11,IF(AND(低温可否!M11=1,HUAWEI製ＰＣＳ接続枚数計算ツール!$C$108&gt;=M$3,枚数!M11&gt;0,低電圧接続!M11&gt;0),枚数!M11,"-"))</f>
        <v>#VALUE!</v>
      </c>
      <c r="N12" s="124" t="e">
        <f>Z1*IF(AND(高温可否!N11=1,低温可否!N11=1,HUAWEI製ＰＣＳ接続枚数計算ツール!$C$108&gt;=N$3,HUAWEI製ＰＣＳ接続枚数計算ツール!$E$108&lt;=N$3,枚数!N11&gt;0),枚数!N11,IF(AND(低温可否!N11=1,HUAWEI製ＰＣＳ接続枚数計算ツール!$C$108&gt;=N$3,枚数!N11&gt;0,低電圧接続!N11&gt;0),枚数!N11,"-"))</f>
        <v>#VALUE!</v>
      </c>
      <c r="O12" s="123">
        <f>Z1*IF(AND(高温可否!O11=1,低温可否!O11=1,HUAWEI製ＰＣＳ接続枚数計算ツール!$C$108&gt;=O$3,HUAWEI製ＰＣＳ接続枚数計算ツール!$E$108&lt;=O$3,枚数!O11&gt;0),枚数!O11,IF(AND(低温可否!O11=1,HUAWEI製ＰＣＳ接続枚数計算ツール!$C$108&gt;=O$3,枚数!O11&gt;0,低電圧接続!O11&gt;0),枚数!O11,"-"))</f>
        <v>252</v>
      </c>
      <c r="P12" s="124">
        <f>Z1*IF(AND(高温可否!P11=1,低温可否!P11=1,HUAWEI製ＰＣＳ接続枚数計算ツール!$C$108&gt;=P$3,HUAWEI製ＰＣＳ接続枚数計算ツール!$E$108&lt;=P$3,枚数!P11&gt;0),枚数!P11,IF(AND(低温可否!P11=1,HUAWEI製ＰＣＳ接続枚数計算ツール!$C$108&gt;=P$3,枚数!P11&gt;0,低電圧接続!P11&gt;0),枚数!P11,"-"))</f>
        <v>270</v>
      </c>
      <c r="Q12" s="123">
        <f>Z1*IF(AND(高温可否!Q11=1,低温可否!Q11=1,HUAWEI製ＰＣＳ接続枚数計算ツール!$C$108&gt;=Q$3,HUAWEI製ＰＣＳ接続枚数計算ツール!$E$108&lt;=Q$3,枚数!Q11&gt;0),枚数!Q11,IF(AND(低温可否!Q11=1,HUAWEI製ＰＣＳ接続枚数計算ツール!$C$108&gt;=Q$3,枚数!Q11&gt;0,低電圧接続!Q11&gt;0),枚数!Q11,"-"))</f>
        <v>288</v>
      </c>
      <c r="R12" s="124">
        <f>Z1*IF(AND(高温可否!R11=1,低温可否!R11=1,HUAWEI製ＰＣＳ接続枚数計算ツール!$C$108&gt;=R$3,HUAWEI製ＰＣＳ接続枚数計算ツール!$E$108&lt;=R$3,枚数!R11&gt;0),枚数!R11,IF(AND(低温可否!R11=1,HUAWEI製ＰＣＳ接続枚数計算ツール!$C$108&gt;=R$3,枚数!R11&gt;0,低電圧接続!R11&gt;0),枚数!R11,"-"))</f>
        <v>306</v>
      </c>
      <c r="S12" s="123">
        <f>Z1*IF(AND(高温可否!S11=1,低温可否!S11=1,HUAWEI製ＰＣＳ接続枚数計算ツール!$C$108&gt;=S$3,HUAWEI製ＰＣＳ接続枚数計算ツール!$E$108&lt;=S$3,枚数!S11&gt;0),枚数!S11,IF(AND(低温可否!S11=1,HUAWEI製ＰＣＳ接続枚数計算ツール!$C$108&gt;=S$3,枚数!S11&gt;0,低電圧接続!S11&gt;0),枚数!S11,"-"))</f>
        <v>324</v>
      </c>
      <c r="T12" s="124">
        <f>Z1*IF(AND(高温可否!T11=1,低温可否!T11=1,HUAWEI製ＰＣＳ接続枚数計算ツール!$C$108&gt;=T$3,HUAWEI製ＰＣＳ接続枚数計算ツール!$E$108&lt;=T$3,枚数!T11&gt;0),枚数!T11,IF(AND(低温可否!T11=1,HUAWEI製ＰＣＳ接続枚数計算ツール!$C$108&gt;=T$3,枚数!T11&gt;0,低電圧接続!T11&gt;0),枚数!T11,"-"))</f>
        <v>342</v>
      </c>
      <c r="U12" s="123">
        <f>Z1*IF(AND(高温可否!U11=1,低温可否!U11=1,HUAWEI製ＰＣＳ接続枚数計算ツール!$C$108&gt;=U$3,HUAWEI製ＰＣＳ接続枚数計算ツール!$E$108&lt;=U$3,枚数!U11&gt;0),枚数!U11,IF(AND(低温可否!U11=1,HUAWEI製ＰＣＳ接続枚数計算ツール!$C$108&gt;=U$3,枚数!U11&gt;0,低電圧接続!U11&gt;0),枚数!U11,"-"))</f>
        <v>360</v>
      </c>
      <c r="V12" s="124">
        <f>Z1*IF(AND(高温可否!V11=1,低温可否!V11=1,HUAWEI製ＰＣＳ接続枚数計算ツール!$C$108&gt;=V$3,HUAWEI製ＰＣＳ接続枚数計算ツール!$E$108&lt;=V$3,枚数!V11&gt;0),枚数!V11,IF(AND(低温可否!V11=1,HUAWEI製ＰＣＳ接続枚数計算ツール!$C$108&gt;=V$3,枚数!V11&gt;0,低電圧接続!V11&gt;0),枚数!V11,"-"))</f>
        <v>378</v>
      </c>
      <c r="W12" s="123">
        <f>Z1*IF(AND(高温可否!W11=1,低温可否!W11=1,HUAWEI製ＰＣＳ接続枚数計算ツール!$C$108&gt;=W$3,HUAWEI製ＰＣＳ接続枚数計算ツール!$E$108&lt;=W$3,枚数!W11&gt;0),枚数!W11,IF(AND(低温可否!W11=1,HUAWEI製ＰＣＳ接続枚数計算ツール!$C$108&gt;=W$3,枚数!W11&gt;0,低電圧接続!W11&gt;0),枚数!W11,"-"))</f>
        <v>396</v>
      </c>
      <c r="X12" s="124">
        <f>Z1*IF(AND(高温可否!X11=1,低温可否!X11=1,HUAWEI製ＰＣＳ接続枚数計算ツール!$C$108&gt;=X$3,HUAWEI製ＰＣＳ接続枚数計算ツール!$E$108&lt;=X$3,枚数!X11&gt;0),枚数!X11,IF(AND(低温可否!X11=1,HUAWEI製ＰＣＳ接続枚数計算ツール!$C$108&gt;=X$3,枚数!X11&gt;0,低電圧接続!X11&gt;0),枚数!X11,"-"))</f>
        <v>414</v>
      </c>
      <c r="Y12" s="123" t="e">
        <f>Z1*IF(AND(高温可否!Y11=1,低温可否!Y11=1,HUAWEI製ＰＣＳ接続枚数計算ツール!$C$108&gt;=Y$3,HUAWEI製ＰＣＳ接続枚数計算ツール!$E$108&lt;=Y$3,枚数!Y11&gt;0),枚数!Y11,IF(AND(低温可否!Y11=1,HUAWEI製ＰＣＳ接続枚数計算ツール!$C$108&gt;=Y$3,枚数!Y11&gt;0,低電圧接続!Y11&gt;0),枚数!Y11,"-"))</f>
        <v>#VALUE!</v>
      </c>
      <c r="Z12" s="124" t="e">
        <f>Z1*IF(AND(高温可否!Z11=1,低温可否!Z11=1,HUAWEI製ＰＣＳ接続枚数計算ツール!$C$108&gt;=Z$3,HUAWEI製ＰＣＳ接続枚数計算ツール!$E$108&lt;=Z$3,枚数!Z11&gt;0),枚数!Z11,IF(AND(低温可否!Z11=1,HUAWEI製ＰＣＳ接続枚数計算ツール!$C$108&gt;=Z$3,枚数!Z11&gt;0,低電圧接続!Z11&gt;0),枚数!Z11,"-"))</f>
        <v>#VALUE!</v>
      </c>
      <c r="AA12" s="123" t="e">
        <f>Z1*IF(AND(高温可否!AA11=1,低温可否!AA11=1,HUAWEI製ＰＣＳ接続枚数計算ツール!$C$108&gt;=AA$3,HUAWEI製ＰＣＳ接続枚数計算ツール!$E$108&lt;=AA$3,枚数!AA11&gt;0),枚数!AA11,IF(AND(低温可否!AA11=1,HUAWEI製ＰＣＳ接続枚数計算ツール!$C$108&gt;=AA$3,枚数!AA11&gt;0,低電圧接続!AA11&gt;0),枚数!AA11,"-"))</f>
        <v>#VALUE!</v>
      </c>
      <c r="AB12" s="124" t="e">
        <f>Z1*IF(AND(高温可否!AB11=1,低温可否!AB11=1,HUAWEI製ＰＣＳ接続枚数計算ツール!$C$108&gt;=AB$3,HUAWEI製ＰＣＳ接続枚数計算ツール!$E$108&lt;=AB$3,枚数!AB11&gt;0),枚数!AB11,IF(AND(低温可否!AB11=1,HUAWEI製ＰＣＳ接続枚数計算ツール!$C$108&gt;=AB$3,枚数!AB11&gt;0,低電圧接続!AB11&gt;0),枚数!AB11,"-"))</f>
        <v>#VALUE!</v>
      </c>
      <c r="AC12" s="123" t="e">
        <f>Z1*IF(AND(高温可否!AC11=1,低温可否!AC11=1,HUAWEI製ＰＣＳ接続枚数計算ツール!$C$108&gt;=AC$3,HUAWEI製ＰＣＳ接続枚数計算ツール!$E$108&lt;=AC$3,枚数!AC11&gt;0),枚数!AC11,IF(AND(低温可否!AC11=1,HUAWEI製ＰＣＳ接続枚数計算ツール!$C$108&gt;=AC$3,枚数!AC11&gt;0,低電圧接続!AC11&gt;0),枚数!AC11,"-"))</f>
        <v>#VALUE!</v>
      </c>
      <c r="AD12" s="124" t="e">
        <f>Z1*IF(AND(高温可否!AD11=1,低温可否!AD11=1,HUAWEI製ＰＣＳ接続枚数計算ツール!$C$108&gt;=AD$3,HUAWEI製ＰＣＳ接続枚数計算ツール!$E$108&lt;=AD$3,枚数!AD11&gt;0),枚数!AD11,IF(AND(低温可否!AD11=1,HUAWEI製ＰＣＳ接続枚数計算ツール!$C$108&gt;=AD$3,枚数!AD11&gt;0,低電圧接続!AD11&gt;0),枚数!AD11,"-"))</f>
        <v>#VALUE!</v>
      </c>
      <c r="AE12" s="123" t="e">
        <f>Z1*IF(AND(高温可否!AE11=1,低温可否!AE11=1,HUAWEI製ＰＣＳ接続枚数計算ツール!$C$108&gt;=AE$3,HUAWEI製ＰＣＳ接続枚数計算ツール!$E$108&lt;=AE$3,枚数!AE11&gt;0),枚数!AE11,IF(AND(低温可否!AE11=1,HUAWEI製ＰＣＳ接続枚数計算ツール!$C$108&gt;=AE$3,枚数!AE11&gt;0,低電圧接続!AE11&gt;0),枚数!AE11,"-"))</f>
        <v>#VALUE!</v>
      </c>
      <c r="AF12" s="124" t="e">
        <f>Z1*IF(AND(高温可否!AF11=1,低温可否!AF11=1,HUAWEI製ＰＣＳ接続枚数計算ツール!$C$108&gt;=AF$3,HUAWEI製ＰＣＳ接続枚数計算ツール!$E$108&lt;=AF$3,枚数!AF11&gt;0),枚数!AF11,IF(AND(低温可否!AF11=1,HUAWEI製ＰＣＳ接続枚数計算ツール!$C$108&gt;=AF$3,枚数!AF11&gt;0,低電圧接続!AF11&gt;0),枚数!AF11,"-"))</f>
        <v>#VALUE!</v>
      </c>
      <c r="AG12" s="123" t="e">
        <f>Z1*IF(AND(高温可否!AG11=1,低温可否!AG11=1,HUAWEI製ＰＣＳ接続枚数計算ツール!$C$108&gt;=AG$3,HUAWEI製ＰＣＳ接続枚数計算ツール!$E$108&lt;=AG$3,枚数!AG11&gt;0),枚数!AG11,IF(AND(低温可否!AG11=1,HUAWEI製ＰＣＳ接続枚数計算ツール!$C$108&gt;=AG$3,枚数!AG11&gt;0,低電圧接続!AG11&gt;0),枚数!AG11,"-"))</f>
        <v>#VALUE!</v>
      </c>
      <c r="AH12" s="124" t="e">
        <f>Z1*IF(AND(高温可否!AH11=1,低温可否!AH11=1,HUAWEI製ＰＣＳ接続枚数計算ツール!$C$108&gt;=AH$3,HUAWEI製ＰＣＳ接続枚数計算ツール!$E$108&lt;=AH$3,枚数!AH11&gt;0),枚数!AH11,IF(AND(低温可否!AH11=1,HUAWEI製ＰＣＳ接続枚数計算ツール!$C$108&gt;=AH$3,枚数!AH11&gt;0,低電圧接続!AH11&gt;0),枚数!AH11,"-"))</f>
        <v>#VALUE!</v>
      </c>
      <c r="AI12" s="123" t="e">
        <f>Z1*IF(AND(高温可否!AI11=1,低温可否!AI11=1,HUAWEI製ＰＣＳ接続枚数計算ツール!$C$108&gt;=AI$3,HUAWEI製ＰＣＳ接続枚数計算ツール!$E$108&lt;=AI$3,枚数!AI11&gt;0),枚数!AI11,IF(AND(低温可否!AI11=1,HUAWEI製ＰＣＳ接続枚数計算ツール!$C$108&gt;=AI$3,枚数!AI11&gt;0,低電圧接続!AI11&gt;0),枚数!AI11,"-"))</f>
        <v>#VALUE!</v>
      </c>
      <c r="AJ12" s="124" t="e">
        <f>Z1*IF(AND(高温可否!AJ11=1,低温可否!AJ11=1,HUAWEI製ＰＣＳ接続枚数計算ツール!$C$108&gt;=AJ$3,HUAWEI製ＰＣＳ接続枚数計算ツール!$E$108&lt;=AJ$3,枚数!AJ11&gt;0),枚数!AJ11,IF(AND(低温可否!AJ11=1,HUAWEI製ＰＣＳ接続枚数計算ツール!$C$108&gt;=AJ$3,枚数!AJ11&gt;0,低電圧接続!AJ11&gt;0),枚数!AJ11,"-"))</f>
        <v>#VALUE!</v>
      </c>
      <c r="AK12" s="123" t="e">
        <f>Z1*IF(AND(高温可否!AK11=1,低温可否!AK11=1,HUAWEI製ＰＣＳ接続枚数計算ツール!$C$108&gt;=AK$3,HUAWEI製ＰＣＳ接続枚数計算ツール!$E$108&lt;=AK$3,枚数!AK11&gt;0),枚数!AK11,IF(AND(低温可否!AK11=1,HUAWEI製ＰＣＳ接続枚数計算ツール!$C$108&gt;=AK$3,枚数!AK11&gt;0,低電圧接続!AK11&gt;0),枚数!AK11,"-"))</f>
        <v>#VALUE!</v>
      </c>
      <c r="AL12" s="124" t="e">
        <f>Z1*IF(AND(高温可否!AL11=1,低温可否!AL11=1,HUAWEI製ＰＣＳ接続枚数計算ツール!$C$108&gt;=AL$3,HUAWEI製ＰＣＳ接続枚数計算ツール!$E$108&lt;=AL$3,枚数!AL11&gt;0),枚数!AL11,IF(AND(低温可否!AL11=1,HUAWEI製ＰＣＳ接続枚数計算ツール!$C$108&gt;=AL$3,枚数!AL11&gt;0,低電圧接続!AL11&gt;0),枚数!AL11,"-"))</f>
        <v>#VALUE!</v>
      </c>
      <c r="AM12" s="123" t="e">
        <f>Z1*IF(AND(高温可否!AM11=1,低温可否!AM11=1,HUAWEI製ＰＣＳ接続枚数計算ツール!$C$108&gt;=AM$3,HUAWEI製ＰＣＳ接続枚数計算ツール!$E$108&lt;=AM$3,枚数!AM11&gt;0),枚数!AM11,IF(AND(低温可否!AM11=1,HUAWEI製ＰＣＳ接続枚数計算ツール!$C$108&gt;=AM$3,枚数!AM11&gt;0,低電圧接続!AM11&gt;0),枚数!AM11,"-"))</f>
        <v>#VALUE!</v>
      </c>
      <c r="AN12" s="124" t="e">
        <f>Z1*IF(AND(高温可否!AN11=1,低温可否!AN11=1,HUAWEI製ＰＣＳ接続枚数計算ツール!$C$108&gt;=AN$3,HUAWEI製ＰＣＳ接続枚数計算ツール!$E$108&lt;=AN$3,枚数!AN11&gt;0),枚数!AN11,IF(AND(低温可否!AN11=1,HUAWEI製ＰＣＳ接続枚数計算ツール!$C$108&gt;=AN$3,枚数!AN11&gt;0,低電圧接続!AN11&gt;0),枚数!AN11,"-"))</f>
        <v>#VALUE!</v>
      </c>
      <c r="AO12" s="125" t="e">
        <f>Z1*IF(AND(高温可否!AO11=1,低温可否!AO11=1,HUAWEI製ＰＣＳ接続枚数計算ツール!$C$108&gt;=AO$3,HUAWEI製ＰＣＳ接続枚数計算ツール!$E$108&lt;=AO$3,枚数!AO11&gt;0),枚数!AO11,IF(AND(低温可否!AO11=1,HUAWEI製ＰＣＳ接続枚数計算ツール!$C$108&gt;=AO$3,枚数!AO11&gt;0,低電圧接続!AO11&gt;0),枚数!AO11,"-"))</f>
        <v>#VALUE!</v>
      </c>
    </row>
    <row r="13" spans="1:41">
      <c r="A13" s="115">
        <v>10</v>
      </c>
      <c r="B13" s="126" t="e">
        <f>Z1*IF(AND(高温可否!B12=1,低温可否!B12=1,HUAWEI製ＰＣＳ接続枚数計算ツール!$C$108&gt;=B$3,HUAWEI製ＰＣＳ接続枚数計算ツール!$E$108&lt;=B$3,枚数!B12&gt;0),枚数!B12,IF(AND(低温可否!B12=1,HUAWEI製ＰＣＳ接続枚数計算ツール!$C$108&gt;=B$3,枚数!B12&gt;0,低電圧接続!B12&gt;0),枚数!B12,"-"))</f>
        <v>#VALUE!</v>
      </c>
      <c r="C13" s="127" t="e">
        <f>Z1*IF(AND(高温可否!C12=1,低温可否!C12=1,HUAWEI製ＰＣＳ接続枚数計算ツール!$C$108&gt;=C$3,HUAWEI製ＰＣＳ接続枚数計算ツール!$E$108&lt;=C$3,枚数!C12&gt;0),枚数!C12,IF(AND(低温可否!C12=1,HUAWEI製ＰＣＳ接続枚数計算ツール!$C$108&gt;=C$3,枚数!C12&gt;0,低電圧接続!C12&gt;0),枚数!C12,"-"))</f>
        <v>#VALUE!</v>
      </c>
      <c r="D13" s="128" t="e">
        <f>Z1*IF(AND(高温可否!D12=1,低温可否!D12=1,HUAWEI製ＰＣＳ接続枚数計算ツール!$C$108&gt;=D$3,HUAWEI製ＰＣＳ接続枚数計算ツール!$E$108&lt;=D$3,枚数!D12&gt;0),枚数!D12,IF(AND(低温可否!D12=1,HUAWEI製ＰＣＳ接続枚数計算ツール!$C$108&gt;=D$3,枚数!D12&gt;0,低電圧接続!D12&gt;0),枚数!D12,"-"))</f>
        <v>#VALUE!</v>
      </c>
      <c r="E13" s="127" t="e">
        <f>Z1*IF(AND(高温可否!E12=1,低温可否!E12=1,HUAWEI製ＰＣＳ接続枚数計算ツール!$C$108&gt;=E$3,HUAWEI製ＰＣＳ接続枚数計算ツール!$E$108&lt;=E$3,枚数!E12&gt;0),枚数!E12,IF(AND(低温可否!E12=1,HUAWEI製ＰＣＳ接続枚数計算ツール!$C$108&gt;=E$3,枚数!E12&gt;0,低電圧接続!E12&gt;0),枚数!E12,"-"))</f>
        <v>#VALUE!</v>
      </c>
      <c r="F13" s="128" t="e">
        <f>Z1*IF(AND(高温可否!F12=1,低温可否!F12=1,HUAWEI製ＰＣＳ接続枚数計算ツール!$C$108&gt;=F$3,HUAWEI製ＰＣＳ接続枚数計算ツール!$E$108&lt;=F$3,枚数!F12&gt;0),枚数!F12,IF(AND(低温可否!F12=1,HUAWEI製ＰＣＳ接続枚数計算ツール!$C$108&gt;=F$3,枚数!F12&gt;0,低電圧接続!F12&gt;0),枚数!F12,"-"))</f>
        <v>#VALUE!</v>
      </c>
      <c r="G13" s="127" t="e">
        <f>Z1*IF(AND(高温可否!G12=1,低温可否!G12=1,HUAWEI製ＰＣＳ接続枚数計算ツール!$C$108&gt;=G$3,HUAWEI製ＰＣＳ接続枚数計算ツール!$E$108&lt;=G$3,枚数!G12&gt;0),枚数!G12,IF(AND(低温可否!G12=1,HUAWEI製ＰＣＳ接続枚数計算ツール!$C$108&gt;=G$3,枚数!G12&gt;0,低電圧接続!G12&gt;0),枚数!G12,"-"))</f>
        <v>#VALUE!</v>
      </c>
      <c r="H13" s="128" t="e">
        <f>Z1*IF(AND(高温可否!H12=1,低温可否!H12=1,HUAWEI製ＰＣＳ接続枚数計算ツール!$C$108&gt;=H$3,HUAWEI製ＰＣＳ接続枚数計算ツール!$E$108&lt;=H$3,枚数!H12&gt;0),枚数!H12,IF(AND(低温可否!H12=1,HUAWEI製ＰＣＳ接続枚数計算ツール!$C$108&gt;=H$3,枚数!H12&gt;0,低電圧接続!H12&gt;0),枚数!H12,"-"))</f>
        <v>#VALUE!</v>
      </c>
      <c r="I13" s="127" t="e">
        <f>Z1*IF(AND(高温可否!I12=1,低温可否!I12=1,HUAWEI製ＰＣＳ接続枚数計算ツール!$C$108&gt;=I$3,HUAWEI製ＰＣＳ接続枚数計算ツール!$E$108&lt;=I$3,枚数!I12&gt;0),枚数!I12,IF(AND(低温可否!I12=1,HUAWEI製ＰＣＳ接続枚数計算ツール!$C$108&gt;=I$3,枚数!I12&gt;0,低電圧接続!I12&gt;0),枚数!I12,"-"))</f>
        <v>#VALUE!</v>
      </c>
      <c r="J13" s="128" t="e">
        <f>Z1*IF(AND(高温可否!J12=1,低温可否!J12=1,HUAWEI製ＰＣＳ接続枚数計算ツール!$C$108&gt;=J$3,HUAWEI製ＰＣＳ接続枚数計算ツール!$E$108&lt;=J$3,枚数!J12&gt;0),枚数!J12,IF(AND(低温可否!J12=1,HUAWEI製ＰＣＳ接続枚数計算ツール!$C$108&gt;=J$3,枚数!J12&gt;0,低電圧接続!J12&gt;0),枚数!J12,"-"))</f>
        <v>#VALUE!</v>
      </c>
      <c r="K13" s="127" t="e">
        <f>Z1*IF(AND(高温可否!K12=1,低温可否!K12=1,HUAWEI製ＰＣＳ接続枚数計算ツール!$C$108&gt;=K$3,HUAWEI製ＰＣＳ接続枚数計算ツール!$E$108&lt;=K$3,枚数!K12&gt;0),枚数!K12,IF(AND(低温可否!K12=1,HUAWEI製ＰＣＳ接続枚数計算ツール!$C$108&gt;=K$3,枚数!K12&gt;0,低電圧接続!K12&gt;0),枚数!K12,"-"))</f>
        <v>#VALUE!</v>
      </c>
      <c r="L13" s="128" t="e">
        <f>Z1*IF(AND(高温可否!L12=1,低温可否!L12=1,HUAWEI製ＰＣＳ接続枚数計算ツール!$C$108&gt;=L$3,HUAWEI製ＰＣＳ接続枚数計算ツール!$E$108&lt;=L$3,枚数!L12&gt;0),枚数!L12,IF(AND(低温可否!L12=1,HUAWEI製ＰＣＳ接続枚数計算ツール!$C$108&gt;=L$3,枚数!L12&gt;0,低電圧接続!L12&gt;0),枚数!L12,"-"))</f>
        <v>#VALUE!</v>
      </c>
      <c r="M13" s="127" t="e">
        <f>Z1*IF(AND(高温可否!M12=1,低温可否!M12=1,HUAWEI製ＰＣＳ接続枚数計算ツール!$C$108&gt;=M$3,HUAWEI製ＰＣＳ接続枚数計算ツール!$E$108&lt;=M$3,枚数!M12&gt;0),枚数!M12,IF(AND(低温可否!M12=1,HUAWEI製ＰＣＳ接続枚数計算ツール!$C$108&gt;=M$3,枚数!M12&gt;0,低電圧接続!M12&gt;0),枚数!M12,"-"))</f>
        <v>#VALUE!</v>
      </c>
      <c r="N13" s="128" t="e">
        <f>Z1*IF(AND(高温可否!N12=1,低温可否!N12=1,HUAWEI製ＰＣＳ接続枚数計算ツール!$C$108&gt;=N$3,HUAWEI製ＰＣＳ接続枚数計算ツール!$E$108&lt;=N$3,枚数!N12&gt;0),枚数!N12,IF(AND(低温可否!N12=1,HUAWEI製ＰＣＳ接続枚数計算ツール!$C$108&gt;=N$3,枚数!N12&gt;0,低電圧接続!N12&gt;0),枚数!N12,"-"))</f>
        <v>#VALUE!</v>
      </c>
      <c r="O13" s="127">
        <f>Z1*IF(AND(高温可否!O12=1,低温可否!O12=1,HUAWEI製ＰＣＳ接続枚数計算ツール!$C$108&gt;=O$3,HUAWEI製ＰＣＳ接続枚数計算ツール!$E$108&lt;=O$3,枚数!O12&gt;0),枚数!O12,IF(AND(低温可否!O12=1,HUAWEI製ＰＣＳ接続枚数計算ツール!$C$108&gt;=O$3,枚数!O12&gt;0,低電圧接続!O12&gt;0),枚数!O12,"-"))</f>
        <v>280</v>
      </c>
      <c r="P13" s="128">
        <f>Z1*IF(AND(高温可否!P12=1,低温可否!P12=1,HUAWEI製ＰＣＳ接続枚数計算ツール!$C$108&gt;=P$3,HUAWEI製ＰＣＳ接続枚数計算ツール!$E$108&lt;=P$3,枚数!P12&gt;0),枚数!P12,IF(AND(低温可否!P12=1,HUAWEI製ＰＣＳ接続枚数計算ツール!$C$108&gt;=P$3,枚数!P12&gt;0,低電圧接続!P12&gt;0),枚数!P12,"-"))</f>
        <v>300</v>
      </c>
      <c r="Q13" s="127">
        <f>Z1*IF(AND(高温可否!Q12=1,低温可否!Q12=1,HUAWEI製ＰＣＳ接続枚数計算ツール!$C$108&gt;=Q$3,HUAWEI製ＰＣＳ接続枚数計算ツール!$E$108&lt;=Q$3,枚数!Q12&gt;0),枚数!Q12,IF(AND(低温可否!Q12=1,HUAWEI製ＰＣＳ接続枚数計算ツール!$C$108&gt;=Q$3,枚数!Q12&gt;0,低電圧接続!Q12&gt;0),枚数!Q12,"-"))</f>
        <v>320</v>
      </c>
      <c r="R13" s="128">
        <f>Z1*IF(AND(高温可否!R12=1,低温可否!R12=1,HUAWEI製ＰＣＳ接続枚数計算ツール!$C$108&gt;=R$3,HUAWEI製ＰＣＳ接続枚数計算ツール!$E$108&lt;=R$3,枚数!R12&gt;0),枚数!R12,IF(AND(低温可否!R12=1,HUAWEI製ＰＣＳ接続枚数計算ツール!$C$108&gt;=R$3,枚数!R12&gt;0,低電圧接続!R12&gt;0),枚数!R12,"-"))</f>
        <v>340</v>
      </c>
      <c r="S13" s="127">
        <f>Z1*IF(AND(高温可否!S12=1,低温可否!S12=1,HUAWEI製ＰＣＳ接続枚数計算ツール!$C$108&gt;=S$3,HUAWEI製ＰＣＳ接続枚数計算ツール!$E$108&lt;=S$3,枚数!S12&gt;0),枚数!S12,IF(AND(低温可否!S12=1,HUAWEI製ＰＣＳ接続枚数計算ツール!$C$108&gt;=S$3,枚数!S12&gt;0,低電圧接続!S12&gt;0),枚数!S12,"-"))</f>
        <v>360</v>
      </c>
      <c r="T13" s="128">
        <f>Z1*IF(AND(高温可否!T12=1,低温可否!T12=1,HUAWEI製ＰＣＳ接続枚数計算ツール!$C$108&gt;=T$3,HUAWEI製ＰＣＳ接続枚数計算ツール!$E$108&lt;=T$3,枚数!T12&gt;0),枚数!T12,IF(AND(低温可否!T12=1,HUAWEI製ＰＣＳ接続枚数計算ツール!$C$108&gt;=T$3,枚数!T12&gt;0,低電圧接続!T12&gt;0),枚数!T12,"-"))</f>
        <v>380</v>
      </c>
      <c r="U13" s="127">
        <f>Z1*IF(AND(高温可否!U12=1,低温可否!U12=1,HUAWEI製ＰＣＳ接続枚数計算ツール!$C$108&gt;=U$3,HUAWEI製ＰＣＳ接続枚数計算ツール!$E$108&lt;=U$3,枚数!U12&gt;0),枚数!U12,IF(AND(低温可否!U12=1,HUAWEI製ＰＣＳ接続枚数計算ツール!$C$108&gt;=U$3,枚数!U12&gt;0,低電圧接続!U12&gt;0),枚数!U12,"-"))</f>
        <v>400</v>
      </c>
      <c r="V13" s="128">
        <f>Z1*IF(AND(高温可否!V12=1,低温可否!V12=1,HUAWEI製ＰＣＳ接続枚数計算ツール!$C$108&gt;=V$3,HUAWEI製ＰＣＳ接続枚数計算ツール!$E$108&lt;=V$3,枚数!V12&gt;0),枚数!V12,IF(AND(低温可否!V12=1,HUAWEI製ＰＣＳ接続枚数計算ツール!$C$108&gt;=V$3,枚数!V12&gt;0,低電圧接続!V12&gt;0),枚数!V12,"-"))</f>
        <v>420</v>
      </c>
      <c r="W13" s="127">
        <f>Z1*IF(AND(高温可否!W12=1,低温可否!W12=1,HUAWEI製ＰＣＳ接続枚数計算ツール!$C$108&gt;=W$3,HUAWEI製ＰＣＳ接続枚数計算ツール!$E$108&lt;=W$3,枚数!W12&gt;0),枚数!W12,IF(AND(低温可否!W12=1,HUAWEI製ＰＣＳ接続枚数計算ツール!$C$108&gt;=W$3,枚数!W12&gt;0,低電圧接続!W12&gt;0),枚数!W12,"-"))</f>
        <v>440</v>
      </c>
      <c r="X13" s="128">
        <f>Z1*IF(AND(高温可否!X12=1,低温可否!X12=1,HUAWEI製ＰＣＳ接続枚数計算ツール!$C$108&gt;=X$3,HUAWEI製ＰＣＳ接続枚数計算ツール!$E$108&lt;=X$3,枚数!X12&gt;0),枚数!X12,IF(AND(低温可否!X12=1,HUAWEI製ＰＣＳ接続枚数計算ツール!$C$108&gt;=X$3,枚数!X12&gt;0,低電圧接続!X12&gt;0),枚数!X12,"-"))</f>
        <v>460</v>
      </c>
      <c r="Y13" s="127" t="e">
        <f>Z1*IF(AND(高温可否!Y12=1,低温可否!Y12=1,HUAWEI製ＰＣＳ接続枚数計算ツール!$C$108&gt;=Y$3,HUAWEI製ＰＣＳ接続枚数計算ツール!$E$108&lt;=Y$3,枚数!Y12&gt;0),枚数!Y12,IF(AND(低温可否!Y12=1,HUAWEI製ＰＣＳ接続枚数計算ツール!$C$108&gt;=Y$3,枚数!Y12&gt;0,低電圧接続!Y12&gt;0),枚数!Y12,"-"))</f>
        <v>#VALUE!</v>
      </c>
      <c r="Z13" s="128" t="e">
        <f>Z1*IF(AND(高温可否!Z12=1,低温可否!Z12=1,HUAWEI製ＰＣＳ接続枚数計算ツール!$C$108&gt;=Z$3,HUAWEI製ＰＣＳ接続枚数計算ツール!$E$108&lt;=Z$3,枚数!Z12&gt;0),枚数!Z12,IF(AND(低温可否!Z12=1,HUAWEI製ＰＣＳ接続枚数計算ツール!$C$108&gt;=Z$3,枚数!Z12&gt;0,低電圧接続!Z12&gt;0),枚数!Z12,"-"))</f>
        <v>#VALUE!</v>
      </c>
      <c r="AA13" s="127" t="e">
        <f>Z1*IF(AND(高温可否!AA12=1,低温可否!AA12=1,HUAWEI製ＰＣＳ接続枚数計算ツール!$C$108&gt;=AA$3,HUAWEI製ＰＣＳ接続枚数計算ツール!$E$108&lt;=AA$3,枚数!AA12&gt;0),枚数!AA12,IF(AND(低温可否!AA12=1,HUAWEI製ＰＣＳ接続枚数計算ツール!$C$108&gt;=AA$3,枚数!AA12&gt;0,低電圧接続!AA12&gt;0),枚数!AA12,"-"))</f>
        <v>#VALUE!</v>
      </c>
      <c r="AB13" s="128" t="e">
        <f>Z1*IF(AND(高温可否!AB12=1,低温可否!AB12=1,HUAWEI製ＰＣＳ接続枚数計算ツール!$C$108&gt;=AB$3,HUAWEI製ＰＣＳ接続枚数計算ツール!$E$108&lt;=AB$3,枚数!AB12&gt;0),枚数!AB12,IF(AND(低温可否!AB12=1,HUAWEI製ＰＣＳ接続枚数計算ツール!$C$108&gt;=AB$3,枚数!AB12&gt;0,低電圧接続!AB12&gt;0),枚数!AB12,"-"))</f>
        <v>#VALUE!</v>
      </c>
      <c r="AC13" s="127" t="e">
        <f>Z1*IF(AND(高温可否!AC12=1,低温可否!AC12=1,HUAWEI製ＰＣＳ接続枚数計算ツール!$C$108&gt;=AC$3,HUAWEI製ＰＣＳ接続枚数計算ツール!$E$108&lt;=AC$3,枚数!AC12&gt;0),枚数!AC12,IF(AND(低温可否!AC12=1,HUAWEI製ＰＣＳ接続枚数計算ツール!$C$108&gt;=AC$3,枚数!AC12&gt;0,低電圧接続!AC12&gt;0),枚数!AC12,"-"))</f>
        <v>#VALUE!</v>
      </c>
      <c r="AD13" s="128" t="e">
        <f>Z1*IF(AND(高温可否!AD12=1,低温可否!AD12=1,HUAWEI製ＰＣＳ接続枚数計算ツール!$C$108&gt;=AD$3,HUAWEI製ＰＣＳ接続枚数計算ツール!$E$108&lt;=AD$3,枚数!AD12&gt;0),枚数!AD12,IF(AND(低温可否!AD12=1,HUAWEI製ＰＣＳ接続枚数計算ツール!$C$108&gt;=AD$3,枚数!AD12&gt;0,低電圧接続!AD12&gt;0),枚数!AD12,"-"))</f>
        <v>#VALUE!</v>
      </c>
      <c r="AE13" s="127" t="e">
        <f>Z1*IF(AND(高温可否!AE12=1,低温可否!AE12=1,HUAWEI製ＰＣＳ接続枚数計算ツール!$C$108&gt;=AE$3,HUAWEI製ＰＣＳ接続枚数計算ツール!$E$108&lt;=AE$3,枚数!AE12&gt;0),枚数!AE12,IF(AND(低温可否!AE12=1,HUAWEI製ＰＣＳ接続枚数計算ツール!$C$108&gt;=AE$3,枚数!AE12&gt;0,低電圧接続!AE12&gt;0),枚数!AE12,"-"))</f>
        <v>#VALUE!</v>
      </c>
      <c r="AF13" s="128" t="e">
        <f>Z1*IF(AND(高温可否!AF12=1,低温可否!AF12=1,HUAWEI製ＰＣＳ接続枚数計算ツール!$C$108&gt;=AF$3,HUAWEI製ＰＣＳ接続枚数計算ツール!$E$108&lt;=AF$3,枚数!AF12&gt;0),枚数!AF12,IF(AND(低温可否!AF12=1,HUAWEI製ＰＣＳ接続枚数計算ツール!$C$108&gt;=AF$3,枚数!AF12&gt;0,低電圧接続!AF12&gt;0),枚数!AF12,"-"))</f>
        <v>#VALUE!</v>
      </c>
      <c r="AG13" s="127" t="e">
        <f>Z1*IF(AND(高温可否!AG12=1,低温可否!AG12=1,HUAWEI製ＰＣＳ接続枚数計算ツール!$C$108&gt;=AG$3,HUAWEI製ＰＣＳ接続枚数計算ツール!$E$108&lt;=AG$3,枚数!AG12&gt;0),枚数!AG12,IF(AND(低温可否!AG12=1,HUAWEI製ＰＣＳ接続枚数計算ツール!$C$108&gt;=AG$3,枚数!AG12&gt;0,低電圧接続!AG12&gt;0),枚数!AG12,"-"))</f>
        <v>#VALUE!</v>
      </c>
      <c r="AH13" s="128" t="e">
        <f>Z1*IF(AND(高温可否!AH12=1,低温可否!AH12=1,HUAWEI製ＰＣＳ接続枚数計算ツール!$C$108&gt;=AH$3,HUAWEI製ＰＣＳ接続枚数計算ツール!$E$108&lt;=AH$3,枚数!AH12&gt;0),枚数!AH12,IF(AND(低温可否!AH12=1,HUAWEI製ＰＣＳ接続枚数計算ツール!$C$108&gt;=AH$3,枚数!AH12&gt;0,低電圧接続!AH12&gt;0),枚数!AH12,"-"))</f>
        <v>#VALUE!</v>
      </c>
      <c r="AI13" s="127" t="e">
        <f>Z1*IF(AND(高温可否!AI12=1,低温可否!AI12=1,HUAWEI製ＰＣＳ接続枚数計算ツール!$C$108&gt;=AI$3,HUAWEI製ＰＣＳ接続枚数計算ツール!$E$108&lt;=AI$3,枚数!AI12&gt;0),枚数!AI12,IF(AND(低温可否!AI12=1,HUAWEI製ＰＣＳ接続枚数計算ツール!$C$108&gt;=AI$3,枚数!AI12&gt;0,低電圧接続!AI12&gt;0),枚数!AI12,"-"))</f>
        <v>#VALUE!</v>
      </c>
      <c r="AJ13" s="128" t="e">
        <f>Z1*IF(AND(高温可否!AJ12=1,低温可否!AJ12=1,HUAWEI製ＰＣＳ接続枚数計算ツール!$C$108&gt;=AJ$3,HUAWEI製ＰＣＳ接続枚数計算ツール!$E$108&lt;=AJ$3,枚数!AJ12&gt;0),枚数!AJ12,IF(AND(低温可否!AJ12=1,HUAWEI製ＰＣＳ接続枚数計算ツール!$C$108&gt;=AJ$3,枚数!AJ12&gt;0,低電圧接続!AJ12&gt;0),枚数!AJ12,"-"))</f>
        <v>#VALUE!</v>
      </c>
      <c r="AK13" s="127" t="e">
        <f>Z1*IF(AND(高温可否!AK12=1,低温可否!AK12=1,HUAWEI製ＰＣＳ接続枚数計算ツール!$C$108&gt;=AK$3,HUAWEI製ＰＣＳ接続枚数計算ツール!$E$108&lt;=AK$3,枚数!AK12&gt;0),枚数!AK12,IF(AND(低温可否!AK12=1,HUAWEI製ＰＣＳ接続枚数計算ツール!$C$108&gt;=AK$3,枚数!AK12&gt;0,低電圧接続!AK12&gt;0),枚数!AK12,"-"))</f>
        <v>#VALUE!</v>
      </c>
      <c r="AL13" s="128" t="e">
        <f>Z1*IF(AND(高温可否!AL12=1,低温可否!AL12=1,HUAWEI製ＰＣＳ接続枚数計算ツール!$C$108&gt;=AL$3,HUAWEI製ＰＣＳ接続枚数計算ツール!$E$108&lt;=AL$3,枚数!AL12&gt;0),枚数!AL12,IF(AND(低温可否!AL12=1,HUAWEI製ＰＣＳ接続枚数計算ツール!$C$108&gt;=AL$3,枚数!AL12&gt;0,低電圧接続!AL12&gt;0),枚数!AL12,"-"))</f>
        <v>#VALUE!</v>
      </c>
      <c r="AM13" s="127" t="e">
        <f>Z1*IF(AND(高温可否!AM12=1,低温可否!AM12=1,HUAWEI製ＰＣＳ接続枚数計算ツール!$C$108&gt;=AM$3,HUAWEI製ＰＣＳ接続枚数計算ツール!$E$108&lt;=AM$3,枚数!AM12&gt;0),枚数!AM12,IF(AND(低温可否!AM12=1,HUAWEI製ＰＣＳ接続枚数計算ツール!$C$108&gt;=AM$3,枚数!AM12&gt;0,低電圧接続!AM12&gt;0),枚数!AM12,"-"))</f>
        <v>#VALUE!</v>
      </c>
      <c r="AN13" s="128" t="e">
        <f>Z1*IF(AND(高温可否!AN12=1,低温可否!AN12=1,HUAWEI製ＰＣＳ接続枚数計算ツール!$C$108&gt;=AN$3,HUAWEI製ＰＣＳ接続枚数計算ツール!$E$108&lt;=AN$3,枚数!AN12&gt;0),枚数!AN12,IF(AND(低温可否!AN12=1,HUAWEI製ＰＣＳ接続枚数計算ツール!$C$108&gt;=AN$3,枚数!AN12&gt;0,低電圧接続!AN12&gt;0),枚数!AN12,"-"))</f>
        <v>#VALUE!</v>
      </c>
      <c r="AO13" s="129" t="e">
        <f>Z1*IF(AND(高温可否!AO12=1,低温可否!AO12=1,HUAWEI製ＰＣＳ接続枚数計算ツール!$C$108&gt;=AO$3,HUAWEI製ＰＣＳ接続枚数計算ツール!$E$108&lt;=AO$3,枚数!AO12&gt;0),枚数!AO12,IF(AND(低温可否!AO12=1,HUAWEI製ＰＣＳ接続枚数計算ツール!$C$108&gt;=AO$3,枚数!AO12&gt;0,低電圧接続!AO12&gt;0),枚数!AO12,"-"))</f>
        <v>#VALUE!</v>
      </c>
    </row>
    <row r="14" spans="1:41">
      <c r="A14" s="116">
        <v>11</v>
      </c>
      <c r="B14" s="122" t="e">
        <f>Z1*IF(AND(高温可否!B13=1,低温可否!B13=1,HUAWEI製ＰＣＳ接続枚数計算ツール!$C$108&gt;=B$3,HUAWEI製ＰＣＳ接続枚数計算ツール!$E$108&lt;=B$3,枚数!B13&gt;0),枚数!B13,IF(AND(低温可否!B13=1,HUAWEI製ＰＣＳ接続枚数計算ツール!$C$108&gt;=B$3,枚数!B13&gt;0,低電圧接続!B13&gt;0),枚数!B13,"-"))</f>
        <v>#VALUE!</v>
      </c>
      <c r="C14" s="123" t="e">
        <f>Z1*IF(AND(高温可否!C13=1,低温可否!C13=1,HUAWEI製ＰＣＳ接続枚数計算ツール!$C$108&gt;=C$3,HUAWEI製ＰＣＳ接続枚数計算ツール!$E$108&lt;=C$3,枚数!C13&gt;0),枚数!C13,IF(AND(低温可否!C13=1,HUAWEI製ＰＣＳ接続枚数計算ツール!$C$108&gt;=C$3,枚数!C13&gt;0,低電圧接続!C13&gt;0),枚数!C13,"-"))</f>
        <v>#VALUE!</v>
      </c>
      <c r="D14" s="124" t="e">
        <f>Z1*IF(AND(高温可否!D13=1,低温可否!D13=1,HUAWEI製ＰＣＳ接続枚数計算ツール!$C$108&gt;=D$3,HUAWEI製ＰＣＳ接続枚数計算ツール!$E$108&lt;=D$3,枚数!D13&gt;0),枚数!D13,IF(AND(低温可否!D13=1,HUAWEI製ＰＣＳ接続枚数計算ツール!$C$108&gt;=D$3,枚数!D13&gt;0,低電圧接続!D13&gt;0),枚数!D13,"-"))</f>
        <v>#VALUE!</v>
      </c>
      <c r="E14" s="123" t="e">
        <f>Z1*IF(AND(高温可否!E13=1,低温可否!E13=1,HUAWEI製ＰＣＳ接続枚数計算ツール!$C$108&gt;=E$3,HUAWEI製ＰＣＳ接続枚数計算ツール!$E$108&lt;=E$3,枚数!E13&gt;0),枚数!E13,IF(AND(低温可否!E13=1,HUAWEI製ＰＣＳ接続枚数計算ツール!$C$108&gt;=E$3,枚数!E13&gt;0,低電圧接続!E13&gt;0),枚数!E13,"-"))</f>
        <v>#VALUE!</v>
      </c>
      <c r="F14" s="124" t="e">
        <f>Z1*IF(AND(高温可否!F13=1,低温可否!F13=1,HUAWEI製ＰＣＳ接続枚数計算ツール!$C$108&gt;=F$3,HUAWEI製ＰＣＳ接続枚数計算ツール!$E$108&lt;=F$3,枚数!F13&gt;0),枚数!F13,IF(AND(低温可否!F13=1,HUAWEI製ＰＣＳ接続枚数計算ツール!$C$108&gt;=F$3,枚数!F13&gt;0,低電圧接続!F13&gt;0),枚数!F13,"-"))</f>
        <v>#VALUE!</v>
      </c>
      <c r="G14" s="123" t="e">
        <f>Z1*IF(AND(高温可否!G13=1,低温可否!G13=1,HUAWEI製ＰＣＳ接続枚数計算ツール!$C$108&gt;=G$3,HUAWEI製ＰＣＳ接続枚数計算ツール!$E$108&lt;=G$3,枚数!G13&gt;0),枚数!G13,IF(AND(低温可否!G13=1,HUAWEI製ＰＣＳ接続枚数計算ツール!$C$108&gt;=G$3,枚数!G13&gt;0,低電圧接続!G13&gt;0),枚数!G13,"-"))</f>
        <v>#VALUE!</v>
      </c>
      <c r="H14" s="124" t="e">
        <f>Z1*IF(AND(高温可否!H13=1,低温可否!H13=1,HUAWEI製ＰＣＳ接続枚数計算ツール!$C$108&gt;=H$3,HUAWEI製ＰＣＳ接続枚数計算ツール!$E$108&lt;=H$3,枚数!H13&gt;0),枚数!H13,IF(AND(低温可否!H13=1,HUAWEI製ＰＣＳ接続枚数計算ツール!$C$108&gt;=H$3,枚数!H13&gt;0,低電圧接続!H13&gt;0),枚数!H13,"-"))</f>
        <v>#VALUE!</v>
      </c>
      <c r="I14" s="123" t="e">
        <f>Z1*IF(AND(高温可否!I13=1,低温可否!I13=1,HUAWEI製ＰＣＳ接続枚数計算ツール!$C$108&gt;=I$3,HUAWEI製ＰＣＳ接続枚数計算ツール!$E$108&lt;=I$3,枚数!I13&gt;0),枚数!I13,IF(AND(低温可否!I13=1,HUAWEI製ＰＣＳ接続枚数計算ツール!$C$108&gt;=I$3,枚数!I13&gt;0,低電圧接続!I13&gt;0),枚数!I13,"-"))</f>
        <v>#VALUE!</v>
      </c>
      <c r="J14" s="124" t="e">
        <f>Z1*IF(AND(高温可否!J13=1,低温可否!J13=1,HUAWEI製ＰＣＳ接続枚数計算ツール!$C$108&gt;=J$3,HUAWEI製ＰＣＳ接続枚数計算ツール!$E$108&lt;=J$3,枚数!J13&gt;0),枚数!J13,IF(AND(低温可否!J13=1,HUAWEI製ＰＣＳ接続枚数計算ツール!$C$108&gt;=J$3,枚数!J13&gt;0,低電圧接続!J13&gt;0),枚数!J13,"-"))</f>
        <v>#VALUE!</v>
      </c>
      <c r="K14" s="123" t="e">
        <f>Z1*IF(AND(高温可否!K13=1,低温可否!K13=1,HUAWEI製ＰＣＳ接続枚数計算ツール!$C$108&gt;=K$3,HUAWEI製ＰＣＳ接続枚数計算ツール!$E$108&lt;=K$3,枚数!K13&gt;0),枚数!K13,IF(AND(低温可否!K13=1,HUAWEI製ＰＣＳ接続枚数計算ツール!$C$108&gt;=K$3,枚数!K13&gt;0,低電圧接続!K13&gt;0),枚数!K13,"-"))</f>
        <v>#VALUE!</v>
      </c>
      <c r="L14" s="124" t="e">
        <f>Z1*IF(AND(高温可否!L13=1,低温可否!L13=1,HUAWEI製ＰＣＳ接続枚数計算ツール!$C$108&gt;=L$3,HUAWEI製ＰＣＳ接続枚数計算ツール!$E$108&lt;=L$3,枚数!L13&gt;0),枚数!L13,IF(AND(低温可否!L13=1,HUAWEI製ＰＣＳ接続枚数計算ツール!$C$108&gt;=L$3,枚数!L13&gt;0,低電圧接続!L13&gt;0),枚数!L13,"-"))</f>
        <v>#VALUE!</v>
      </c>
      <c r="M14" s="123" t="e">
        <f>Z1*IF(AND(高温可否!M13=1,低温可否!M13=1,HUAWEI製ＰＣＳ接続枚数計算ツール!$C$108&gt;=M$3,HUAWEI製ＰＣＳ接続枚数計算ツール!$E$108&lt;=M$3,枚数!M13&gt;0),枚数!M13,IF(AND(低温可否!M13=1,HUAWEI製ＰＣＳ接続枚数計算ツール!$C$108&gt;=M$3,枚数!M13&gt;0,低電圧接続!M13&gt;0),枚数!M13,"-"))</f>
        <v>#VALUE!</v>
      </c>
      <c r="N14" s="124" t="e">
        <f>Z1*IF(AND(高温可否!N13=1,低温可否!N13=1,HUAWEI製ＰＣＳ接続枚数計算ツール!$C$108&gt;=N$3,HUAWEI製ＰＣＳ接続枚数計算ツール!$E$108&lt;=N$3,枚数!N13&gt;0),枚数!N13,IF(AND(低温可否!N13=1,HUAWEI製ＰＣＳ接続枚数計算ツール!$C$108&gt;=N$3,枚数!N13&gt;0,低電圧接続!N13&gt;0),枚数!N13,"-"))</f>
        <v>#VALUE!</v>
      </c>
      <c r="O14" s="123" t="e">
        <f>Z1*IF(AND(高温可否!O13=1,低温可否!O13=1,HUAWEI製ＰＣＳ接続枚数計算ツール!$C$108&gt;=O$3,HUAWEI製ＰＣＳ接続枚数計算ツール!$E$108&lt;=O$3,枚数!O13&gt;0),枚数!O13,IF(AND(低温可否!O13=1,HUAWEI製ＰＣＳ接続枚数計算ツール!$C$108&gt;=O$3,枚数!O13&gt;0,低電圧接続!O13&gt;0),枚数!O13,"-"))</f>
        <v>#VALUE!</v>
      </c>
      <c r="P14" s="124">
        <f>Z1*IF(AND(高温可否!P13=1,低温可否!P13=1,HUAWEI製ＰＣＳ接続枚数計算ツール!$C$108&gt;=P$3,HUAWEI製ＰＣＳ接続枚数計算ツール!$E$108&lt;=P$3,枚数!P13&gt;0),枚数!P13,IF(AND(低温可否!P13=1,HUAWEI製ＰＣＳ接続枚数計算ツール!$C$108&gt;=P$3,枚数!P13&gt;0,低電圧接続!P13&gt;0),枚数!P13,"-"))</f>
        <v>330</v>
      </c>
      <c r="Q14" s="123">
        <f>Z1*IF(AND(高温可否!Q13=1,低温可否!Q13=1,HUAWEI製ＰＣＳ接続枚数計算ツール!$C$108&gt;=Q$3,HUAWEI製ＰＣＳ接続枚数計算ツール!$E$108&lt;=Q$3,枚数!Q13&gt;0),枚数!Q13,IF(AND(低温可否!Q13=1,HUAWEI製ＰＣＳ接続枚数計算ツール!$C$108&gt;=Q$3,枚数!Q13&gt;0,低電圧接続!Q13&gt;0),枚数!Q13,"-"))</f>
        <v>352</v>
      </c>
      <c r="R14" s="124">
        <f>Z1*IF(AND(高温可否!R13=1,低温可否!R13=1,HUAWEI製ＰＣＳ接続枚数計算ツール!$C$108&gt;=R$3,HUAWEI製ＰＣＳ接続枚数計算ツール!$E$108&lt;=R$3,枚数!R13&gt;0),枚数!R13,IF(AND(低温可否!R13=1,HUAWEI製ＰＣＳ接続枚数計算ツール!$C$108&gt;=R$3,枚数!R13&gt;0,低電圧接続!R13&gt;0),枚数!R13,"-"))</f>
        <v>374</v>
      </c>
      <c r="S14" s="123">
        <f>Z1*IF(AND(高温可否!S13=1,低温可否!S13=1,HUAWEI製ＰＣＳ接続枚数計算ツール!$C$108&gt;=S$3,HUAWEI製ＰＣＳ接続枚数計算ツール!$E$108&lt;=S$3,枚数!S13&gt;0),枚数!S13,IF(AND(低温可否!S13=1,HUAWEI製ＰＣＳ接続枚数計算ツール!$C$108&gt;=S$3,枚数!S13&gt;0,低電圧接続!S13&gt;0),枚数!S13,"-"))</f>
        <v>396</v>
      </c>
      <c r="T14" s="124" t="e">
        <f>Z1*IF(AND(高温可否!T13=1,低温可否!T13=1,HUAWEI製ＰＣＳ接続枚数計算ツール!$C$108&gt;=T$3,HUAWEI製ＰＣＳ接続枚数計算ツール!$E$108&lt;=T$3,枚数!T13&gt;0),枚数!T13,IF(AND(低温可否!T13=1,HUAWEI製ＰＣＳ接続枚数計算ツール!$C$108&gt;=T$3,枚数!T13&gt;0,低電圧接続!T13&gt;0),枚数!T13,"-"))</f>
        <v>#VALUE!</v>
      </c>
      <c r="U14" s="123" t="e">
        <f>Z1*IF(AND(高温可否!U13=1,低温可否!U13=1,HUAWEI製ＰＣＳ接続枚数計算ツール!$C$108&gt;=U$3,HUAWEI製ＰＣＳ接続枚数計算ツール!$E$108&lt;=U$3,枚数!U13&gt;0),枚数!U13,IF(AND(低温可否!U13=1,HUAWEI製ＰＣＳ接続枚数計算ツール!$C$108&gt;=U$3,枚数!U13&gt;0,低電圧接続!U13&gt;0),枚数!U13,"-"))</f>
        <v>#VALUE!</v>
      </c>
      <c r="V14" s="124">
        <f>Z1*IF(AND(高温可否!V13=1,低温可否!V13=1,HUAWEI製ＰＣＳ接続枚数計算ツール!$C$108&gt;=V$3,HUAWEI製ＰＣＳ接続枚数計算ツール!$E$108&lt;=V$3,枚数!V13&gt;0),枚数!V13,IF(AND(低温可否!V13=1,HUAWEI製ＰＣＳ接続枚数計算ツール!$C$108&gt;=V$3,枚数!V13&gt;0,低電圧接続!V13&gt;0),枚数!V13,"-"))</f>
        <v>462</v>
      </c>
      <c r="W14" s="123">
        <f>Z1*IF(AND(高温可否!W13=1,低温可否!W13=1,HUAWEI製ＰＣＳ接続枚数計算ツール!$C$108&gt;=W$3,HUAWEI製ＰＣＳ接続枚数計算ツール!$E$108&lt;=W$3,枚数!W13&gt;0),枚数!W13,IF(AND(低温可否!W13=1,HUAWEI製ＰＣＳ接続枚数計算ツール!$C$108&gt;=W$3,枚数!W13&gt;0,低電圧接続!W13&gt;0),枚数!W13,"-"))</f>
        <v>484</v>
      </c>
      <c r="X14" s="124" t="e">
        <f>Z1*IF(AND(高温可否!X13=1,低温可否!X13=1,HUAWEI製ＰＣＳ接続枚数計算ツール!$C$108&gt;=X$3,HUAWEI製ＰＣＳ接続枚数計算ツール!$E$108&lt;=X$3,枚数!X13&gt;0),枚数!X13,IF(AND(低温可否!X13=1,HUAWEI製ＰＣＳ接続枚数計算ツール!$C$108&gt;=X$3,枚数!X13&gt;0,低電圧接続!X13&gt;0),枚数!X13,"-"))</f>
        <v>#VALUE!</v>
      </c>
      <c r="Y14" s="123" t="e">
        <f>Z1*IF(AND(高温可否!Y13=1,低温可否!Y13=1,HUAWEI製ＰＣＳ接続枚数計算ツール!$C$108&gt;=Y$3,HUAWEI製ＰＣＳ接続枚数計算ツール!$E$108&lt;=Y$3,枚数!Y13&gt;0),枚数!Y13,IF(AND(低温可否!Y13=1,HUAWEI製ＰＣＳ接続枚数計算ツール!$C$108&gt;=Y$3,枚数!Y13&gt;0,低電圧接続!Y13&gt;0),枚数!Y13,"-"))</f>
        <v>#VALUE!</v>
      </c>
      <c r="Z14" s="124" t="e">
        <f>Z1*IF(AND(高温可否!Z13=1,低温可否!Z13=1,HUAWEI製ＰＣＳ接続枚数計算ツール!$C$108&gt;=Z$3,HUAWEI製ＰＣＳ接続枚数計算ツール!$E$108&lt;=Z$3,枚数!Z13&gt;0),枚数!Z13,IF(AND(低温可否!Z13=1,HUAWEI製ＰＣＳ接続枚数計算ツール!$C$108&gt;=Z$3,枚数!Z13&gt;0,低電圧接続!Z13&gt;0),枚数!Z13,"-"))</f>
        <v>#VALUE!</v>
      </c>
      <c r="AA14" s="123" t="e">
        <f>Z1*IF(AND(高温可否!AA13=1,低温可否!AA13=1,HUAWEI製ＰＣＳ接続枚数計算ツール!$C$108&gt;=AA$3,HUAWEI製ＰＣＳ接続枚数計算ツール!$E$108&lt;=AA$3,枚数!AA13&gt;0),枚数!AA13,IF(AND(低温可否!AA13=1,HUAWEI製ＰＣＳ接続枚数計算ツール!$C$108&gt;=AA$3,枚数!AA13&gt;0,低電圧接続!AA13&gt;0),枚数!AA13,"-"))</f>
        <v>#VALUE!</v>
      </c>
      <c r="AB14" s="124" t="e">
        <f>Z1*IF(AND(高温可否!AB13=1,低温可否!AB13=1,HUAWEI製ＰＣＳ接続枚数計算ツール!$C$108&gt;=AB$3,HUAWEI製ＰＣＳ接続枚数計算ツール!$E$108&lt;=AB$3,枚数!AB13&gt;0),枚数!AB13,IF(AND(低温可否!AB13=1,HUAWEI製ＰＣＳ接続枚数計算ツール!$C$108&gt;=AB$3,枚数!AB13&gt;0,低電圧接続!AB13&gt;0),枚数!AB13,"-"))</f>
        <v>#VALUE!</v>
      </c>
      <c r="AC14" s="123" t="e">
        <f>Z1*IF(AND(高温可否!AC13=1,低温可否!AC13=1,HUAWEI製ＰＣＳ接続枚数計算ツール!$C$108&gt;=AC$3,HUAWEI製ＰＣＳ接続枚数計算ツール!$E$108&lt;=AC$3,枚数!AC13&gt;0),枚数!AC13,IF(AND(低温可否!AC13=1,HUAWEI製ＰＣＳ接続枚数計算ツール!$C$108&gt;=AC$3,枚数!AC13&gt;0,低電圧接続!AC13&gt;0),枚数!AC13,"-"))</f>
        <v>#VALUE!</v>
      </c>
      <c r="AD14" s="124" t="e">
        <f>Z1*IF(AND(高温可否!AD13=1,低温可否!AD13=1,HUAWEI製ＰＣＳ接続枚数計算ツール!$C$108&gt;=AD$3,HUAWEI製ＰＣＳ接続枚数計算ツール!$E$108&lt;=AD$3,枚数!AD13&gt;0),枚数!AD13,IF(AND(低温可否!AD13=1,HUAWEI製ＰＣＳ接続枚数計算ツール!$C$108&gt;=AD$3,枚数!AD13&gt;0,低電圧接続!AD13&gt;0),枚数!AD13,"-"))</f>
        <v>#VALUE!</v>
      </c>
      <c r="AE14" s="123" t="e">
        <f>Z1*IF(AND(高温可否!AE13=1,低温可否!AE13=1,HUAWEI製ＰＣＳ接続枚数計算ツール!$C$108&gt;=AE$3,HUAWEI製ＰＣＳ接続枚数計算ツール!$E$108&lt;=AE$3,枚数!AE13&gt;0),枚数!AE13,IF(AND(低温可否!AE13=1,HUAWEI製ＰＣＳ接続枚数計算ツール!$C$108&gt;=AE$3,枚数!AE13&gt;0,低電圧接続!AE13&gt;0),枚数!AE13,"-"))</f>
        <v>#VALUE!</v>
      </c>
      <c r="AF14" s="124" t="e">
        <f>Z1*IF(AND(高温可否!AF13=1,低温可否!AF13=1,HUAWEI製ＰＣＳ接続枚数計算ツール!$C$108&gt;=AF$3,HUAWEI製ＰＣＳ接続枚数計算ツール!$E$108&lt;=AF$3,枚数!AF13&gt;0),枚数!AF13,IF(AND(低温可否!AF13=1,HUAWEI製ＰＣＳ接続枚数計算ツール!$C$108&gt;=AF$3,枚数!AF13&gt;0,低電圧接続!AF13&gt;0),枚数!AF13,"-"))</f>
        <v>#VALUE!</v>
      </c>
      <c r="AG14" s="123" t="e">
        <f>Z1*IF(AND(高温可否!AG13=1,低温可否!AG13=1,HUAWEI製ＰＣＳ接続枚数計算ツール!$C$108&gt;=AG$3,HUAWEI製ＰＣＳ接続枚数計算ツール!$E$108&lt;=AG$3,枚数!AG13&gt;0),枚数!AG13,IF(AND(低温可否!AG13=1,HUAWEI製ＰＣＳ接続枚数計算ツール!$C$108&gt;=AG$3,枚数!AG13&gt;0,低電圧接続!AG13&gt;0),枚数!AG13,"-"))</f>
        <v>#VALUE!</v>
      </c>
      <c r="AH14" s="124" t="e">
        <f>Z1*IF(AND(高温可否!AH13=1,低温可否!AH13=1,HUAWEI製ＰＣＳ接続枚数計算ツール!$C$108&gt;=AH$3,HUAWEI製ＰＣＳ接続枚数計算ツール!$E$108&lt;=AH$3,枚数!AH13&gt;0),枚数!AH13,IF(AND(低温可否!AH13=1,HUAWEI製ＰＣＳ接続枚数計算ツール!$C$108&gt;=AH$3,枚数!AH13&gt;0,低電圧接続!AH13&gt;0),枚数!AH13,"-"))</f>
        <v>#VALUE!</v>
      </c>
      <c r="AI14" s="123" t="e">
        <f>Z1*IF(AND(高温可否!AI13=1,低温可否!AI13=1,HUAWEI製ＰＣＳ接続枚数計算ツール!$C$108&gt;=AI$3,HUAWEI製ＰＣＳ接続枚数計算ツール!$E$108&lt;=AI$3,枚数!AI13&gt;0),枚数!AI13,IF(AND(低温可否!AI13=1,HUAWEI製ＰＣＳ接続枚数計算ツール!$C$108&gt;=AI$3,枚数!AI13&gt;0,低電圧接続!AI13&gt;0),枚数!AI13,"-"))</f>
        <v>#VALUE!</v>
      </c>
      <c r="AJ14" s="124" t="e">
        <f>Z1*IF(AND(高温可否!AJ13=1,低温可否!AJ13=1,HUAWEI製ＰＣＳ接続枚数計算ツール!$C$108&gt;=AJ$3,HUAWEI製ＰＣＳ接続枚数計算ツール!$E$108&lt;=AJ$3,枚数!AJ13&gt;0),枚数!AJ13,IF(AND(低温可否!AJ13=1,HUAWEI製ＰＣＳ接続枚数計算ツール!$C$108&gt;=AJ$3,枚数!AJ13&gt;0,低電圧接続!AJ13&gt;0),枚数!AJ13,"-"))</f>
        <v>#VALUE!</v>
      </c>
      <c r="AK14" s="123" t="e">
        <f>Z1*IF(AND(高温可否!AK13=1,低温可否!AK13=1,HUAWEI製ＰＣＳ接続枚数計算ツール!$C$108&gt;=AK$3,HUAWEI製ＰＣＳ接続枚数計算ツール!$E$108&lt;=AK$3,枚数!AK13&gt;0),枚数!AK13,IF(AND(低温可否!AK13=1,HUAWEI製ＰＣＳ接続枚数計算ツール!$C$108&gt;=AK$3,枚数!AK13&gt;0,低電圧接続!AK13&gt;0),枚数!AK13,"-"))</f>
        <v>#VALUE!</v>
      </c>
      <c r="AL14" s="124" t="e">
        <f>Z1*IF(AND(高温可否!AL13=1,低温可否!AL13=1,HUAWEI製ＰＣＳ接続枚数計算ツール!$C$108&gt;=AL$3,HUAWEI製ＰＣＳ接続枚数計算ツール!$E$108&lt;=AL$3,枚数!AL13&gt;0),枚数!AL13,IF(AND(低温可否!AL13=1,HUAWEI製ＰＣＳ接続枚数計算ツール!$C$108&gt;=AL$3,枚数!AL13&gt;0,低電圧接続!AL13&gt;0),枚数!AL13,"-"))</f>
        <v>#VALUE!</v>
      </c>
      <c r="AM14" s="123" t="e">
        <f>Z1*IF(AND(高温可否!AM13=1,低温可否!AM13=1,HUAWEI製ＰＣＳ接続枚数計算ツール!$C$108&gt;=AM$3,HUAWEI製ＰＣＳ接続枚数計算ツール!$E$108&lt;=AM$3,枚数!AM13&gt;0),枚数!AM13,IF(AND(低温可否!AM13=1,HUAWEI製ＰＣＳ接続枚数計算ツール!$C$108&gt;=AM$3,枚数!AM13&gt;0,低電圧接続!AM13&gt;0),枚数!AM13,"-"))</f>
        <v>#VALUE!</v>
      </c>
      <c r="AN14" s="124" t="e">
        <f>Z1*IF(AND(高温可否!AN13=1,低温可否!AN13=1,HUAWEI製ＰＣＳ接続枚数計算ツール!$C$108&gt;=AN$3,HUAWEI製ＰＣＳ接続枚数計算ツール!$E$108&lt;=AN$3,枚数!AN13&gt;0),枚数!AN13,IF(AND(低温可否!AN13=1,HUAWEI製ＰＣＳ接続枚数計算ツール!$C$108&gt;=AN$3,枚数!AN13&gt;0,低電圧接続!AN13&gt;0),枚数!AN13,"-"))</f>
        <v>#VALUE!</v>
      </c>
      <c r="AO14" s="125" t="e">
        <f>Z1*IF(AND(高温可否!AO13=1,低温可否!AO13=1,HUAWEI製ＰＣＳ接続枚数計算ツール!$C$108&gt;=AO$3,HUAWEI製ＰＣＳ接続枚数計算ツール!$E$108&lt;=AO$3,枚数!AO13&gt;0),枚数!AO13,IF(AND(低温可否!AO13=1,HUAWEI製ＰＣＳ接続枚数計算ツール!$C$108&gt;=AO$3,枚数!AO13&gt;0,低電圧接続!AO13&gt;0),枚数!AO13,"-"))</f>
        <v>#VALUE!</v>
      </c>
    </row>
    <row r="15" spans="1:41">
      <c r="A15" s="115">
        <v>12</v>
      </c>
      <c r="B15" s="126" t="e">
        <f>Z1*IF(AND(高温可否!B14=1,低温可否!B14=1,HUAWEI製ＰＣＳ接続枚数計算ツール!$C$108&gt;=B$3,HUAWEI製ＰＣＳ接続枚数計算ツール!$E$108&lt;=B$3,枚数!B14&gt;0),枚数!B14,IF(AND(低温可否!B14=1,HUAWEI製ＰＣＳ接続枚数計算ツール!$C$108&gt;=B$3,枚数!B14&gt;0,低電圧接続!B14&gt;0),枚数!B14,"-"))</f>
        <v>#VALUE!</v>
      </c>
      <c r="C15" s="127" t="e">
        <f>Z1*IF(AND(高温可否!C14=1,低温可否!C14=1,HUAWEI製ＰＣＳ接続枚数計算ツール!$C$108&gt;=C$3,HUAWEI製ＰＣＳ接続枚数計算ツール!$E$108&lt;=C$3,枚数!C14&gt;0),枚数!C14,IF(AND(低温可否!C14=1,HUAWEI製ＰＣＳ接続枚数計算ツール!$C$108&gt;=C$3,枚数!C14&gt;0,低電圧接続!C14&gt;0),枚数!C14,"-"))</f>
        <v>#VALUE!</v>
      </c>
      <c r="D15" s="128" t="e">
        <f>Z1*IF(AND(高温可否!D14=1,低温可否!D14=1,HUAWEI製ＰＣＳ接続枚数計算ツール!$C$108&gt;=D$3,HUAWEI製ＰＣＳ接続枚数計算ツール!$E$108&lt;=D$3,枚数!D14&gt;0),枚数!D14,IF(AND(低温可否!D14=1,HUAWEI製ＰＣＳ接続枚数計算ツール!$C$108&gt;=D$3,枚数!D14&gt;0,低電圧接続!D14&gt;0),枚数!D14,"-"))</f>
        <v>#VALUE!</v>
      </c>
      <c r="E15" s="127" t="e">
        <f>Z1*IF(AND(高温可否!E14=1,低温可否!E14=1,HUAWEI製ＰＣＳ接続枚数計算ツール!$C$108&gt;=E$3,HUAWEI製ＰＣＳ接続枚数計算ツール!$E$108&lt;=E$3,枚数!E14&gt;0),枚数!E14,IF(AND(低温可否!E14=1,HUAWEI製ＰＣＳ接続枚数計算ツール!$C$108&gt;=E$3,枚数!E14&gt;0,低電圧接続!E14&gt;0),枚数!E14,"-"))</f>
        <v>#VALUE!</v>
      </c>
      <c r="F15" s="128" t="e">
        <f>Z1*IF(AND(高温可否!F14=1,低温可否!F14=1,HUAWEI製ＰＣＳ接続枚数計算ツール!$C$108&gt;=F$3,HUAWEI製ＰＣＳ接続枚数計算ツール!$E$108&lt;=F$3,枚数!F14&gt;0),枚数!F14,IF(AND(低温可否!F14=1,HUAWEI製ＰＣＳ接続枚数計算ツール!$C$108&gt;=F$3,枚数!F14&gt;0,低電圧接続!F14&gt;0),枚数!F14,"-"))</f>
        <v>#VALUE!</v>
      </c>
      <c r="G15" s="127" t="e">
        <f>Z1*IF(AND(高温可否!G14=1,低温可否!G14=1,HUAWEI製ＰＣＳ接続枚数計算ツール!$C$108&gt;=G$3,HUAWEI製ＰＣＳ接続枚数計算ツール!$E$108&lt;=G$3,枚数!G14&gt;0),枚数!G14,IF(AND(低温可否!G14=1,HUAWEI製ＰＣＳ接続枚数計算ツール!$C$108&gt;=G$3,枚数!G14&gt;0,低電圧接続!G14&gt;0),枚数!G14,"-"))</f>
        <v>#VALUE!</v>
      </c>
      <c r="H15" s="128" t="e">
        <f>Z1*IF(AND(高温可否!H14=1,低温可否!H14=1,HUAWEI製ＰＣＳ接続枚数計算ツール!$C$108&gt;=H$3,HUAWEI製ＰＣＳ接続枚数計算ツール!$E$108&lt;=H$3,枚数!H14&gt;0),枚数!H14,IF(AND(低温可否!H14=1,HUAWEI製ＰＣＳ接続枚数計算ツール!$C$108&gt;=H$3,枚数!H14&gt;0,低電圧接続!H14&gt;0),枚数!H14,"-"))</f>
        <v>#VALUE!</v>
      </c>
      <c r="I15" s="127" t="e">
        <f>Z1*IF(AND(高温可否!I14=1,低温可否!I14=1,HUAWEI製ＰＣＳ接続枚数計算ツール!$C$108&gt;=I$3,HUAWEI製ＰＣＳ接続枚数計算ツール!$E$108&lt;=I$3,枚数!I14&gt;0),枚数!I14,IF(AND(低温可否!I14=1,HUAWEI製ＰＣＳ接続枚数計算ツール!$C$108&gt;=I$3,枚数!I14&gt;0,低電圧接続!I14&gt;0),枚数!I14,"-"))</f>
        <v>#VALUE!</v>
      </c>
      <c r="J15" s="128" t="e">
        <f>Z1*IF(AND(高温可否!J14=1,低温可否!J14=1,HUAWEI製ＰＣＳ接続枚数計算ツール!$C$108&gt;=J$3,HUAWEI製ＰＣＳ接続枚数計算ツール!$E$108&lt;=J$3,枚数!J14&gt;0),枚数!J14,IF(AND(低温可否!J14=1,HUAWEI製ＰＣＳ接続枚数計算ツール!$C$108&gt;=J$3,枚数!J14&gt;0,低電圧接続!J14&gt;0),枚数!J14,"-"))</f>
        <v>#VALUE!</v>
      </c>
      <c r="K15" s="127" t="e">
        <f>Z1*IF(AND(高温可否!K14=1,低温可否!K14=1,HUAWEI製ＰＣＳ接続枚数計算ツール!$C$108&gt;=K$3,HUAWEI製ＰＣＳ接続枚数計算ツール!$E$108&lt;=K$3,枚数!K14&gt;0),枚数!K14,IF(AND(低温可否!K14=1,HUAWEI製ＰＣＳ接続枚数計算ツール!$C$108&gt;=K$3,枚数!K14&gt;0,低電圧接続!K14&gt;0),枚数!K14,"-"))</f>
        <v>#VALUE!</v>
      </c>
      <c r="L15" s="128" t="e">
        <f>Z1*IF(AND(高温可否!L14=1,低温可否!L14=1,HUAWEI製ＰＣＳ接続枚数計算ツール!$C$108&gt;=L$3,HUAWEI製ＰＣＳ接続枚数計算ツール!$E$108&lt;=L$3,枚数!L14&gt;0),枚数!L14,IF(AND(低温可否!L14=1,HUAWEI製ＰＣＳ接続枚数計算ツール!$C$108&gt;=L$3,枚数!L14&gt;0,低電圧接続!L14&gt;0),枚数!L14,"-"))</f>
        <v>#VALUE!</v>
      </c>
      <c r="M15" s="127" t="e">
        <f>Z1*IF(AND(高温可否!M14=1,低温可否!M14=1,HUAWEI製ＰＣＳ接続枚数計算ツール!$C$108&gt;=M$3,HUAWEI製ＰＣＳ接続枚数計算ツール!$E$108&lt;=M$3,枚数!M14&gt;0),枚数!M14,IF(AND(低温可否!M14=1,HUAWEI製ＰＣＳ接続枚数計算ツール!$C$108&gt;=M$3,枚数!M14&gt;0,低電圧接続!M14&gt;0),枚数!M14,"-"))</f>
        <v>#VALUE!</v>
      </c>
      <c r="N15" s="128" t="e">
        <f>Z1*IF(AND(高温可否!N14=1,低温可否!N14=1,HUAWEI製ＰＣＳ接続枚数計算ツール!$C$108&gt;=N$3,HUAWEI製ＰＣＳ接続枚数計算ツール!$E$108&lt;=N$3,枚数!N14&gt;0),枚数!N14,IF(AND(低温可否!N14=1,HUAWEI製ＰＣＳ接続枚数計算ツール!$C$108&gt;=N$3,枚数!N14&gt;0,低電圧接続!N14&gt;0),枚数!N14,"-"))</f>
        <v>#VALUE!</v>
      </c>
      <c r="O15" s="127" t="e">
        <f>Z1*IF(AND(高温可否!O14=1,低温可否!O14=1,HUAWEI製ＰＣＳ接続枚数計算ツール!$C$108&gt;=O$3,HUAWEI製ＰＣＳ接続枚数計算ツール!$E$108&lt;=O$3,枚数!O14&gt;0),枚数!O14,IF(AND(低温可否!O14=1,HUAWEI製ＰＣＳ接続枚数計算ツール!$C$108&gt;=O$3,枚数!O14&gt;0,低電圧接続!O14&gt;0),枚数!O14,"-"))</f>
        <v>#VALUE!</v>
      </c>
      <c r="P15" s="128" t="e">
        <f>Z1*IF(AND(高温可否!P14=1,低温可否!P14=1,HUAWEI製ＰＣＳ接続枚数計算ツール!$C$108&gt;=P$3,HUAWEI製ＰＣＳ接続枚数計算ツール!$E$108&lt;=P$3,枚数!P14&gt;0),枚数!P14,IF(AND(低温可否!P14=1,HUAWEI製ＰＣＳ接続枚数計算ツール!$C$108&gt;=P$3,枚数!P14&gt;0,低電圧接続!P14&gt;0),枚数!P14,"-"))</f>
        <v>#VALUE!</v>
      </c>
      <c r="Q15" s="127" t="e">
        <f>Z1*IF(AND(高温可否!Q14=1,低温可否!Q14=1,HUAWEI製ＰＣＳ接続枚数計算ツール!$C$108&gt;=Q$3,HUAWEI製ＰＣＳ接続枚数計算ツール!$E$108&lt;=Q$3,枚数!Q14&gt;0),枚数!Q14,IF(AND(低温可否!Q14=1,HUAWEI製ＰＣＳ接続枚数計算ツール!$C$108&gt;=Q$3,枚数!Q14&gt;0,低電圧接続!Q14&gt;0),枚数!Q14,"-"))</f>
        <v>#VALUE!</v>
      </c>
      <c r="R15" s="128" t="e">
        <f>Z1*IF(AND(高温可否!R14=1,低温可否!R14=1,HUAWEI製ＰＣＳ接続枚数計算ツール!$C$108&gt;=R$3,HUAWEI製ＰＣＳ接続枚数計算ツール!$E$108&lt;=R$3,枚数!R14&gt;0),枚数!R14,IF(AND(低温可否!R14=1,HUAWEI製ＰＣＳ接続枚数計算ツール!$C$108&gt;=R$3,枚数!R14&gt;0,低電圧接続!R14&gt;0),枚数!R14,"-"))</f>
        <v>#VALUE!</v>
      </c>
      <c r="S15" s="127" t="e">
        <f>Z1*IF(AND(高温可否!S14=1,低温可否!S14=1,HUAWEI製ＰＣＳ接続枚数計算ツール!$C$108&gt;=S$3,HUAWEI製ＰＣＳ接続枚数計算ツール!$E$108&lt;=S$3,枚数!S14&gt;0),枚数!S14,IF(AND(低温可否!S14=1,HUAWEI製ＰＣＳ接続枚数計算ツール!$C$108&gt;=S$3,枚数!S14&gt;0,低電圧接続!S14&gt;0),枚数!S14,"-"))</f>
        <v>#VALUE!</v>
      </c>
      <c r="T15" s="128" t="e">
        <f>Z1*IF(AND(高温可否!T14=1,低温可否!T14=1,HUAWEI製ＰＣＳ接続枚数計算ツール!$C$108&gt;=T$3,HUAWEI製ＰＣＳ接続枚数計算ツール!$E$108&lt;=T$3,枚数!T14&gt;0),枚数!T14,IF(AND(低温可否!T14=1,HUAWEI製ＰＣＳ接続枚数計算ツール!$C$108&gt;=T$3,枚数!T14&gt;0,低電圧接続!T14&gt;0),枚数!T14,"-"))</f>
        <v>#VALUE!</v>
      </c>
      <c r="U15" s="127" t="e">
        <f>Z1*IF(AND(高温可否!U14=1,低温可否!U14=1,HUAWEI製ＰＣＳ接続枚数計算ツール!$C$108&gt;=U$3,HUAWEI製ＰＣＳ接続枚数計算ツール!$E$108&lt;=U$3,枚数!U14&gt;0),枚数!U14,IF(AND(低温可否!U14=1,HUAWEI製ＰＣＳ接続枚数計算ツール!$C$108&gt;=U$3,枚数!U14&gt;0,低電圧接続!U14&gt;0),枚数!U14,"-"))</f>
        <v>#VALUE!</v>
      </c>
      <c r="V15" s="128">
        <f>Z1*IF(AND(高温可否!V14=1,低温可否!V14=1,HUAWEI製ＰＣＳ接続枚数計算ツール!$C$108&gt;=V$3,HUAWEI製ＰＣＳ接続枚数計算ツール!$E$108&lt;=V$3,枚数!V14&gt;0),枚数!V14,IF(AND(低温可否!V14=1,HUAWEI製ＰＣＳ接続枚数計算ツール!$C$108&gt;=V$3,枚数!V14&gt;0,低電圧接続!V14&gt;0),枚数!V14,"-"))</f>
        <v>504</v>
      </c>
      <c r="W15" s="127">
        <f>Z1*IF(AND(高温可否!W14=1,低温可否!W14=1,HUAWEI製ＰＣＳ接続枚数計算ツール!$C$108&gt;=W$3,HUAWEI製ＰＣＳ接続枚数計算ツール!$E$108&lt;=W$3,枚数!W14&gt;0),枚数!W14,IF(AND(低温可否!W14=1,HUAWEI製ＰＣＳ接続枚数計算ツール!$C$108&gt;=W$3,枚数!W14&gt;0,低電圧接続!W14&gt;0),枚数!W14,"-"))</f>
        <v>528</v>
      </c>
      <c r="X15" s="128" t="e">
        <f>Z1*IF(AND(高温可否!X14=1,低温可否!X14=1,HUAWEI製ＰＣＳ接続枚数計算ツール!$C$108&gt;=X$3,HUAWEI製ＰＣＳ接続枚数計算ツール!$E$108&lt;=X$3,枚数!X14&gt;0),枚数!X14,IF(AND(低温可否!X14=1,HUAWEI製ＰＣＳ接続枚数計算ツール!$C$108&gt;=X$3,枚数!X14&gt;0,低電圧接続!X14&gt;0),枚数!X14,"-"))</f>
        <v>#VALUE!</v>
      </c>
      <c r="Y15" s="127" t="e">
        <f>Z1*IF(AND(高温可否!Y14=1,低温可否!Y14=1,HUAWEI製ＰＣＳ接続枚数計算ツール!$C$108&gt;=Y$3,HUAWEI製ＰＣＳ接続枚数計算ツール!$E$108&lt;=Y$3,枚数!Y14&gt;0),枚数!Y14,IF(AND(低温可否!Y14=1,HUAWEI製ＰＣＳ接続枚数計算ツール!$C$108&gt;=Y$3,枚数!Y14&gt;0,低電圧接続!Y14&gt;0),枚数!Y14,"-"))</f>
        <v>#VALUE!</v>
      </c>
      <c r="Z15" s="128" t="e">
        <f>Z1*IF(AND(高温可否!Z14=1,低温可否!Z14=1,HUAWEI製ＰＣＳ接続枚数計算ツール!$C$108&gt;=Z$3,HUAWEI製ＰＣＳ接続枚数計算ツール!$E$108&lt;=Z$3,枚数!Z14&gt;0),枚数!Z14,IF(AND(低温可否!Z14=1,HUAWEI製ＰＣＳ接続枚数計算ツール!$C$108&gt;=Z$3,枚数!Z14&gt;0,低電圧接続!Z14&gt;0),枚数!Z14,"-"))</f>
        <v>#VALUE!</v>
      </c>
      <c r="AA15" s="127" t="e">
        <f>Z1*IF(AND(高温可否!AA14=1,低温可否!AA14=1,HUAWEI製ＰＣＳ接続枚数計算ツール!$C$108&gt;=AA$3,HUAWEI製ＰＣＳ接続枚数計算ツール!$E$108&lt;=AA$3,枚数!AA14&gt;0),枚数!AA14,IF(AND(低温可否!AA14=1,HUAWEI製ＰＣＳ接続枚数計算ツール!$C$108&gt;=AA$3,枚数!AA14&gt;0,低電圧接続!AA14&gt;0),枚数!AA14,"-"))</f>
        <v>#VALUE!</v>
      </c>
      <c r="AB15" s="128" t="e">
        <f>Z1*IF(AND(高温可否!AB14=1,低温可否!AB14=1,HUAWEI製ＰＣＳ接続枚数計算ツール!$C$108&gt;=AB$3,HUAWEI製ＰＣＳ接続枚数計算ツール!$E$108&lt;=AB$3,枚数!AB14&gt;0),枚数!AB14,IF(AND(低温可否!AB14=1,HUAWEI製ＰＣＳ接続枚数計算ツール!$C$108&gt;=AB$3,枚数!AB14&gt;0,低電圧接続!AB14&gt;0),枚数!AB14,"-"))</f>
        <v>#VALUE!</v>
      </c>
      <c r="AC15" s="127" t="e">
        <f>Z1*IF(AND(高温可否!AC14=1,低温可否!AC14=1,HUAWEI製ＰＣＳ接続枚数計算ツール!$C$108&gt;=AC$3,HUAWEI製ＰＣＳ接続枚数計算ツール!$E$108&lt;=AC$3,枚数!AC14&gt;0),枚数!AC14,IF(AND(低温可否!AC14=1,HUAWEI製ＰＣＳ接続枚数計算ツール!$C$108&gt;=AC$3,枚数!AC14&gt;0,低電圧接続!AC14&gt;0),枚数!AC14,"-"))</f>
        <v>#VALUE!</v>
      </c>
      <c r="AD15" s="128" t="e">
        <f>Z1*IF(AND(高温可否!AD14=1,低温可否!AD14=1,HUAWEI製ＰＣＳ接続枚数計算ツール!$C$108&gt;=AD$3,HUAWEI製ＰＣＳ接続枚数計算ツール!$E$108&lt;=AD$3,枚数!AD14&gt;0),枚数!AD14,IF(AND(低温可否!AD14=1,HUAWEI製ＰＣＳ接続枚数計算ツール!$C$108&gt;=AD$3,枚数!AD14&gt;0,低電圧接続!AD14&gt;0),枚数!AD14,"-"))</f>
        <v>#VALUE!</v>
      </c>
      <c r="AE15" s="127" t="e">
        <f>Z1*IF(AND(高温可否!AE14=1,低温可否!AE14=1,HUAWEI製ＰＣＳ接続枚数計算ツール!$C$108&gt;=AE$3,HUAWEI製ＰＣＳ接続枚数計算ツール!$E$108&lt;=AE$3,枚数!AE14&gt;0),枚数!AE14,IF(AND(低温可否!AE14=1,HUAWEI製ＰＣＳ接続枚数計算ツール!$C$108&gt;=AE$3,枚数!AE14&gt;0,低電圧接続!AE14&gt;0),枚数!AE14,"-"))</f>
        <v>#VALUE!</v>
      </c>
      <c r="AF15" s="128" t="e">
        <f>Z1*IF(AND(高温可否!AF14=1,低温可否!AF14=1,HUAWEI製ＰＣＳ接続枚数計算ツール!$C$108&gt;=AF$3,HUAWEI製ＰＣＳ接続枚数計算ツール!$E$108&lt;=AF$3,枚数!AF14&gt;0),枚数!AF14,IF(AND(低温可否!AF14=1,HUAWEI製ＰＣＳ接続枚数計算ツール!$C$108&gt;=AF$3,枚数!AF14&gt;0,低電圧接続!AF14&gt;0),枚数!AF14,"-"))</f>
        <v>#VALUE!</v>
      </c>
      <c r="AG15" s="127" t="e">
        <f>Z1*IF(AND(高温可否!AG14=1,低温可否!AG14=1,HUAWEI製ＰＣＳ接続枚数計算ツール!$C$108&gt;=AG$3,HUAWEI製ＰＣＳ接続枚数計算ツール!$E$108&lt;=AG$3,枚数!AG14&gt;0),枚数!AG14,IF(AND(低温可否!AG14=1,HUAWEI製ＰＣＳ接続枚数計算ツール!$C$108&gt;=AG$3,枚数!AG14&gt;0,低電圧接続!AG14&gt;0),枚数!AG14,"-"))</f>
        <v>#VALUE!</v>
      </c>
      <c r="AH15" s="128" t="e">
        <f>Z1*IF(AND(高温可否!AH14=1,低温可否!AH14=1,HUAWEI製ＰＣＳ接続枚数計算ツール!$C$108&gt;=AH$3,HUAWEI製ＰＣＳ接続枚数計算ツール!$E$108&lt;=AH$3,枚数!AH14&gt;0),枚数!AH14,IF(AND(低温可否!AH14=1,HUAWEI製ＰＣＳ接続枚数計算ツール!$C$108&gt;=AH$3,枚数!AH14&gt;0,低電圧接続!AH14&gt;0),枚数!AH14,"-"))</f>
        <v>#VALUE!</v>
      </c>
      <c r="AI15" s="127" t="e">
        <f>Z1*IF(AND(高温可否!AI14=1,低温可否!AI14=1,HUAWEI製ＰＣＳ接続枚数計算ツール!$C$108&gt;=AI$3,HUAWEI製ＰＣＳ接続枚数計算ツール!$E$108&lt;=AI$3,枚数!AI14&gt;0),枚数!AI14,IF(AND(低温可否!AI14=1,HUAWEI製ＰＣＳ接続枚数計算ツール!$C$108&gt;=AI$3,枚数!AI14&gt;0,低電圧接続!AI14&gt;0),枚数!AI14,"-"))</f>
        <v>#VALUE!</v>
      </c>
      <c r="AJ15" s="128" t="e">
        <f>Z1*IF(AND(高温可否!AJ14=1,低温可否!AJ14=1,HUAWEI製ＰＣＳ接続枚数計算ツール!$C$108&gt;=AJ$3,HUAWEI製ＰＣＳ接続枚数計算ツール!$E$108&lt;=AJ$3,枚数!AJ14&gt;0),枚数!AJ14,IF(AND(低温可否!AJ14=1,HUAWEI製ＰＣＳ接続枚数計算ツール!$C$108&gt;=AJ$3,枚数!AJ14&gt;0,低電圧接続!AJ14&gt;0),枚数!AJ14,"-"))</f>
        <v>#VALUE!</v>
      </c>
      <c r="AK15" s="127" t="e">
        <f>Z1*IF(AND(高温可否!AK14=1,低温可否!AK14=1,HUAWEI製ＰＣＳ接続枚数計算ツール!$C$108&gt;=AK$3,HUAWEI製ＰＣＳ接続枚数計算ツール!$E$108&lt;=AK$3,枚数!AK14&gt;0),枚数!AK14,IF(AND(低温可否!AK14=1,HUAWEI製ＰＣＳ接続枚数計算ツール!$C$108&gt;=AK$3,枚数!AK14&gt;0,低電圧接続!AK14&gt;0),枚数!AK14,"-"))</f>
        <v>#VALUE!</v>
      </c>
      <c r="AL15" s="128" t="e">
        <f>Z1*IF(AND(高温可否!AL14=1,低温可否!AL14=1,HUAWEI製ＰＣＳ接続枚数計算ツール!$C$108&gt;=AL$3,HUAWEI製ＰＣＳ接続枚数計算ツール!$E$108&lt;=AL$3,枚数!AL14&gt;0),枚数!AL14,IF(AND(低温可否!AL14=1,HUAWEI製ＰＣＳ接続枚数計算ツール!$C$108&gt;=AL$3,枚数!AL14&gt;0,低電圧接続!AL14&gt;0),枚数!AL14,"-"))</f>
        <v>#VALUE!</v>
      </c>
      <c r="AM15" s="127" t="e">
        <f>Z1*IF(AND(高温可否!AM14=1,低温可否!AM14=1,HUAWEI製ＰＣＳ接続枚数計算ツール!$C$108&gt;=AM$3,HUAWEI製ＰＣＳ接続枚数計算ツール!$E$108&lt;=AM$3,枚数!AM14&gt;0),枚数!AM14,IF(AND(低温可否!AM14=1,HUAWEI製ＰＣＳ接続枚数計算ツール!$C$108&gt;=AM$3,枚数!AM14&gt;0,低電圧接続!AM14&gt;0),枚数!AM14,"-"))</f>
        <v>#VALUE!</v>
      </c>
      <c r="AN15" s="128" t="e">
        <f>Z1*IF(AND(高温可否!AN14=1,低温可否!AN14=1,HUAWEI製ＰＣＳ接続枚数計算ツール!$C$108&gt;=AN$3,HUAWEI製ＰＣＳ接続枚数計算ツール!$E$108&lt;=AN$3,枚数!AN14&gt;0),枚数!AN14,IF(AND(低温可否!AN14=1,HUAWEI製ＰＣＳ接続枚数計算ツール!$C$108&gt;=AN$3,枚数!AN14&gt;0,低電圧接続!AN14&gt;0),枚数!AN14,"-"))</f>
        <v>#VALUE!</v>
      </c>
      <c r="AO15" s="129" t="e">
        <f>Z1*IF(AND(高温可否!AO14=1,低温可否!AO14=1,HUAWEI製ＰＣＳ接続枚数計算ツール!$C$108&gt;=AO$3,HUAWEI製ＰＣＳ接続枚数計算ツール!$E$108&lt;=AO$3,枚数!AO14&gt;0),枚数!AO14,IF(AND(低温可否!AO14=1,HUAWEI製ＰＣＳ接続枚数計算ツール!$C$108&gt;=AO$3,枚数!AO14&gt;0,低電圧接続!AO14&gt;0),枚数!AO14,"-"))</f>
        <v>#VALUE!</v>
      </c>
    </row>
    <row r="16" spans="1:41">
      <c r="A16" s="116">
        <v>13</v>
      </c>
      <c r="B16" s="122" t="e">
        <f>Z1*IF(AND(高温可否!B15=1,低温可否!B15=1,HUAWEI製ＰＣＳ接続枚数計算ツール!$C$108&gt;=B$3,HUAWEI製ＰＣＳ接続枚数計算ツール!$E$108&lt;=B$3,枚数!B15&gt;0),枚数!B15,IF(AND(低温可否!B15=1,HUAWEI製ＰＣＳ接続枚数計算ツール!$C$108&gt;=B$3,枚数!B15&gt;0,低電圧接続!B15&gt;0),枚数!B15,"-"))</f>
        <v>#VALUE!</v>
      </c>
      <c r="C16" s="123" t="e">
        <f>Z1*IF(AND(高温可否!C15=1,低温可否!C15=1,HUAWEI製ＰＣＳ接続枚数計算ツール!$C$108&gt;=C$3,HUAWEI製ＰＣＳ接続枚数計算ツール!$E$108&lt;=C$3,枚数!C15&gt;0),枚数!C15,IF(AND(低温可否!C15=1,HUAWEI製ＰＣＳ接続枚数計算ツール!$C$108&gt;=C$3,枚数!C15&gt;0,低電圧接続!C15&gt;0),枚数!C15,"-"))</f>
        <v>#VALUE!</v>
      </c>
      <c r="D16" s="124" t="e">
        <f>Z1*IF(AND(高温可否!D15=1,低温可否!D15=1,HUAWEI製ＰＣＳ接続枚数計算ツール!$C$108&gt;=D$3,HUAWEI製ＰＣＳ接続枚数計算ツール!$E$108&lt;=D$3,枚数!D15&gt;0),枚数!D15,IF(AND(低温可否!D15=1,HUAWEI製ＰＣＳ接続枚数計算ツール!$C$108&gt;=D$3,枚数!D15&gt;0,低電圧接続!D15&gt;0),枚数!D15,"-"))</f>
        <v>#VALUE!</v>
      </c>
      <c r="E16" s="123" t="e">
        <f>Z1*IF(AND(高温可否!E15=1,低温可否!E15=1,HUAWEI製ＰＣＳ接続枚数計算ツール!$C$108&gt;=E$3,HUAWEI製ＰＣＳ接続枚数計算ツール!$E$108&lt;=E$3,枚数!E15&gt;0),枚数!E15,IF(AND(低温可否!E15=1,HUAWEI製ＰＣＳ接続枚数計算ツール!$C$108&gt;=E$3,枚数!E15&gt;0,低電圧接続!E15&gt;0),枚数!E15,"-"))</f>
        <v>#VALUE!</v>
      </c>
      <c r="F16" s="124" t="e">
        <f>Z1*IF(AND(高温可否!F15=1,低温可否!F15=1,HUAWEI製ＰＣＳ接続枚数計算ツール!$C$108&gt;=F$3,HUAWEI製ＰＣＳ接続枚数計算ツール!$E$108&lt;=F$3,枚数!F15&gt;0),枚数!F15,IF(AND(低温可否!F15=1,HUAWEI製ＰＣＳ接続枚数計算ツール!$C$108&gt;=F$3,枚数!F15&gt;0,低電圧接続!F15&gt;0),枚数!F15,"-"))</f>
        <v>#VALUE!</v>
      </c>
      <c r="G16" s="123" t="e">
        <f>Z1*IF(AND(高温可否!G15=1,低温可否!G15=1,HUAWEI製ＰＣＳ接続枚数計算ツール!$C$108&gt;=G$3,HUAWEI製ＰＣＳ接続枚数計算ツール!$E$108&lt;=G$3,枚数!G15&gt;0),枚数!G15,IF(AND(低温可否!G15=1,HUAWEI製ＰＣＳ接続枚数計算ツール!$C$108&gt;=G$3,枚数!G15&gt;0,低電圧接続!G15&gt;0),枚数!G15,"-"))</f>
        <v>#VALUE!</v>
      </c>
      <c r="H16" s="124" t="e">
        <f>Z1*IF(AND(高温可否!H15=1,低温可否!H15=1,HUAWEI製ＰＣＳ接続枚数計算ツール!$C$108&gt;=H$3,HUAWEI製ＰＣＳ接続枚数計算ツール!$E$108&lt;=H$3,枚数!H15&gt;0),枚数!H15,IF(AND(低温可否!H15=1,HUAWEI製ＰＣＳ接続枚数計算ツール!$C$108&gt;=H$3,枚数!H15&gt;0,低電圧接続!H15&gt;0),枚数!H15,"-"))</f>
        <v>#VALUE!</v>
      </c>
      <c r="I16" s="123" t="e">
        <f>Z1*IF(AND(高温可否!I15=1,低温可否!I15=1,HUAWEI製ＰＣＳ接続枚数計算ツール!$C$108&gt;=I$3,HUAWEI製ＰＣＳ接続枚数計算ツール!$E$108&lt;=I$3,枚数!I15&gt;0),枚数!I15,IF(AND(低温可否!I15=1,HUAWEI製ＰＣＳ接続枚数計算ツール!$C$108&gt;=I$3,枚数!I15&gt;0,低電圧接続!I15&gt;0),枚数!I15,"-"))</f>
        <v>#VALUE!</v>
      </c>
      <c r="J16" s="124" t="e">
        <f>Z1*IF(AND(高温可否!J15=1,低温可否!J15=1,HUAWEI製ＰＣＳ接続枚数計算ツール!$C$108&gt;=J$3,HUAWEI製ＰＣＳ接続枚数計算ツール!$E$108&lt;=J$3,枚数!J15&gt;0),枚数!J15,IF(AND(低温可否!J15=1,HUAWEI製ＰＣＳ接続枚数計算ツール!$C$108&gt;=J$3,枚数!J15&gt;0,低電圧接続!J15&gt;0),枚数!J15,"-"))</f>
        <v>#VALUE!</v>
      </c>
      <c r="K16" s="123" t="e">
        <f>Z1*IF(AND(高温可否!K15=1,低温可否!K15=1,HUAWEI製ＰＣＳ接続枚数計算ツール!$C$108&gt;=K$3,HUAWEI製ＰＣＳ接続枚数計算ツール!$E$108&lt;=K$3,枚数!K15&gt;0),枚数!K15,IF(AND(低温可否!K15=1,HUAWEI製ＰＣＳ接続枚数計算ツール!$C$108&gt;=K$3,枚数!K15&gt;0,低電圧接続!K15&gt;0),枚数!K15,"-"))</f>
        <v>#VALUE!</v>
      </c>
      <c r="L16" s="124" t="e">
        <f>Z1*IF(AND(高温可否!L15=1,低温可否!L15=1,HUAWEI製ＰＣＳ接続枚数計算ツール!$C$108&gt;=L$3,HUAWEI製ＰＣＳ接続枚数計算ツール!$E$108&lt;=L$3,枚数!L15&gt;0),枚数!L15,IF(AND(低温可否!L15=1,HUAWEI製ＰＣＳ接続枚数計算ツール!$C$108&gt;=L$3,枚数!L15&gt;0,低電圧接続!L15&gt;0),枚数!L15,"-"))</f>
        <v>#VALUE!</v>
      </c>
      <c r="M16" s="123" t="e">
        <f>Z1*IF(AND(高温可否!M15=1,低温可否!M15=1,HUAWEI製ＰＣＳ接続枚数計算ツール!$C$108&gt;=M$3,HUAWEI製ＰＣＳ接続枚数計算ツール!$E$108&lt;=M$3,枚数!M15&gt;0),枚数!M15,IF(AND(低温可否!M15=1,HUAWEI製ＰＣＳ接続枚数計算ツール!$C$108&gt;=M$3,枚数!M15&gt;0,低電圧接続!M15&gt;0),枚数!M15,"-"))</f>
        <v>#VALUE!</v>
      </c>
      <c r="N16" s="124" t="e">
        <f>Z1*IF(AND(高温可否!N15=1,低温可否!N15=1,HUAWEI製ＰＣＳ接続枚数計算ツール!$C$108&gt;=N$3,HUAWEI製ＰＣＳ接続枚数計算ツール!$E$108&lt;=N$3,枚数!N15&gt;0),枚数!N15,IF(AND(低温可否!N15=1,HUAWEI製ＰＣＳ接続枚数計算ツール!$C$108&gt;=N$3,枚数!N15&gt;0,低電圧接続!N15&gt;0),枚数!N15,"-"))</f>
        <v>#VALUE!</v>
      </c>
      <c r="O16" s="123" t="e">
        <f>Z1*IF(AND(高温可否!O15=1,低温可否!O15=1,HUAWEI製ＰＣＳ接続枚数計算ツール!$C$108&gt;=O$3,HUAWEI製ＰＣＳ接続枚数計算ツール!$E$108&lt;=O$3,枚数!O15&gt;0),枚数!O15,IF(AND(低温可否!O15=1,HUAWEI製ＰＣＳ接続枚数計算ツール!$C$108&gt;=O$3,枚数!O15&gt;0,低電圧接続!O15&gt;0),枚数!O15,"-"))</f>
        <v>#VALUE!</v>
      </c>
      <c r="P16" s="124" t="e">
        <f>Z1*IF(AND(高温可否!P15=1,低温可否!P15=1,HUAWEI製ＰＣＳ接続枚数計算ツール!$C$108&gt;=P$3,HUAWEI製ＰＣＳ接続枚数計算ツール!$E$108&lt;=P$3,枚数!P15&gt;0),枚数!P15,IF(AND(低温可否!P15=1,HUAWEI製ＰＣＳ接続枚数計算ツール!$C$108&gt;=P$3,枚数!P15&gt;0,低電圧接続!P15&gt;0),枚数!P15,"-"))</f>
        <v>#VALUE!</v>
      </c>
      <c r="Q16" s="123" t="e">
        <f>Z1*IF(AND(高温可否!Q15=1,低温可否!Q15=1,HUAWEI製ＰＣＳ接続枚数計算ツール!$C$108&gt;=Q$3,HUAWEI製ＰＣＳ接続枚数計算ツール!$E$108&lt;=Q$3,枚数!Q15&gt;0),枚数!Q15,IF(AND(低温可否!Q15=1,HUAWEI製ＰＣＳ接続枚数計算ツール!$C$108&gt;=Q$3,枚数!Q15&gt;0,低電圧接続!Q15&gt;0),枚数!Q15,"-"))</f>
        <v>#VALUE!</v>
      </c>
      <c r="R16" s="124" t="e">
        <f>Z1*IF(AND(高温可否!R15=1,低温可否!R15=1,HUAWEI製ＰＣＳ接続枚数計算ツール!$C$108&gt;=R$3,HUAWEI製ＰＣＳ接続枚数計算ツール!$E$108&lt;=R$3,枚数!R15&gt;0),枚数!R15,IF(AND(低温可否!R15=1,HUAWEI製ＰＣＳ接続枚数計算ツール!$C$108&gt;=R$3,枚数!R15&gt;0,低電圧接続!R15&gt;0),枚数!R15,"-"))</f>
        <v>#VALUE!</v>
      </c>
      <c r="S16" s="123" t="e">
        <f>Z1*IF(AND(高温可否!S15=1,低温可否!S15=1,HUAWEI製ＰＣＳ接続枚数計算ツール!$C$108&gt;=S$3,HUAWEI製ＰＣＳ接続枚数計算ツール!$E$108&lt;=S$3,枚数!S15&gt;0),枚数!S15,IF(AND(低温可否!S15=1,HUAWEI製ＰＣＳ接続枚数計算ツール!$C$108&gt;=S$3,枚数!S15&gt;0,低電圧接続!S15&gt;0),枚数!S15,"-"))</f>
        <v>#VALUE!</v>
      </c>
      <c r="T16" s="124" t="e">
        <f>Z1*IF(AND(高温可否!T15=1,低温可否!T15=1,HUAWEI製ＰＣＳ接続枚数計算ツール!$C$108&gt;=T$3,HUAWEI製ＰＣＳ接続枚数計算ツール!$E$108&lt;=T$3,枚数!T15&gt;0),枚数!T15,IF(AND(低温可否!T15=1,HUAWEI製ＰＣＳ接続枚数計算ツール!$C$108&gt;=T$3,枚数!T15&gt;0,低電圧接続!T15&gt;0),枚数!T15,"-"))</f>
        <v>#VALUE!</v>
      </c>
      <c r="U16" s="123" t="e">
        <f>Z1*IF(AND(高温可否!U15=1,低温可否!U15=1,HUAWEI製ＰＣＳ接続枚数計算ツール!$C$108&gt;=U$3,HUAWEI製ＰＣＳ接続枚数計算ツール!$E$108&lt;=U$3,枚数!U15&gt;0),枚数!U15,IF(AND(低温可否!U15=1,HUAWEI製ＰＣＳ接続枚数計算ツール!$C$108&gt;=U$3,枚数!U15&gt;0,低電圧接続!U15&gt;0),枚数!U15,"-"))</f>
        <v>#VALUE!</v>
      </c>
      <c r="V16" s="124">
        <f>Z1*IF(AND(高温可否!V15=1,低温可否!V15=1,HUAWEI製ＰＣＳ接続枚数計算ツール!$C$108&gt;=V$3,HUAWEI製ＰＣＳ接続枚数計算ツール!$E$108&lt;=V$3,枚数!V15&gt;0),枚数!V15,IF(AND(低温可否!V15=1,HUAWEI製ＰＣＳ接続枚数計算ツール!$C$108&gt;=V$3,枚数!V15&gt;0,低電圧接続!V15&gt;0),枚数!V15,"-"))</f>
        <v>546</v>
      </c>
      <c r="W16" s="123">
        <f>Z1*IF(AND(高温可否!W15=1,低温可否!W15=1,HUAWEI製ＰＣＳ接続枚数計算ツール!$C$108&gt;=W$3,HUAWEI製ＰＣＳ接続枚数計算ツール!$E$108&lt;=W$3,枚数!W15&gt;0),枚数!W15,IF(AND(低温可否!W15=1,HUAWEI製ＰＣＳ接続枚数計算ツール!$C$108&gt;=W$3,枚数!W15&gt;0,低電圧接続!W15&gt;0),枚数!W15,"-"))</f>
        <v>572</v>
      </c>
      <c r="X16" s="124" t="e">
        <f>Z1*IF(AND(高温可否!X15=1,低温可否!X15=1,HUAWEI製ＰＣＳ接続枚数計算ツール!$C$108&gt;=X$3,HUAWEI製ＰＣＳ接続枚数計算ツール!$E$108&lt;=X$3,枚数!X15&gt;0),枚数!X15,IF(AND(低温可否!X15=1,HUAWEI製ＰＣＳ接続枚数計算ツール!$C$108&gt;=X$3,枚数!X15&gt;0,低電圧接続!X15&gt;0),枚数!X15,"-"))</f>
        <v>#VALUE!</v>
      </c>
      <c r="Y16" s="123" t="e">
        <f>Z1*IF(AND(高温可否!Y15=1,低温可否!Y15=1,HUAWEI製ＰＣＳ接続枚数計算ツール!$C$108&gt;=Y$3,HUAWEI製ＰＣＳ接続枚数計算ツール!$E$108&lt;=Y$3,枚数!Y15&gt;0),枚数!Y15,IF(AND(低温可否!Y15=1,HUAWEI製ＰＣＳ接続枚数計算ツール!$C$108&gt;=Y$3,枚数!Y15&gt;0,低電圧接続!Y15&gt;0),枚数!Y15,"-"))</f>
        <v>#VALUE!</v>
      </c>
      <c r="Z16" s="124" t="e">
        <f>Z1*IF(AND(高温可否!Z15=1,低温可否!Z15=1,HUAWEI製ＰＣＳ接続枚数計算ツール!$C$108&gt;=Z$3,HUAWEI製ＰＣＳ接続枚数計算ツール!$E$108&lt;=Z$3,枚数!Z15&gt;0),枚数!Z15,IF(AND(低温可否!Z15=1,HUAWEI製ＰＣＳ接続枚数計算ツール!$C$108&gt;=Z$3,枚数!Z15&gt;0,低電圧接続!Z15&gt;0),枚数!Z15,"-"))</f>
        <v>#VALUE!</v>
      </c>
      <c r="AA16" s="123" t="e">
        <f>Z1*IF(AND(高温可否!AA15=1,低温可否!AA15=1,HUAWEI製ＰＣＳ接続枚数計算ツール!$C$108&gt;=AA$3,HUAWEI製ＰＣＳ接続枚数計算ツール!$E$108&lt;=AA$3,枚数!AA15&gt;0),枚数!AA15,IF(AND(低温可否!AA15=1,HUAWEI製ＰＣＳ接続枚数計算ツール!$C$108&gt;=AA$3,枚数!AA15&gt;0,低電圧接続!AA15&gt;0),枚数!AA15,"-"))</f>
        <v>#VALUE!</v>
      </c>
      <c r="AB16" s="124" t="e">
        <f>Z1*IF(AND(高温可否!AB15=1,低温可否!AB15=1,HUAWEI製ＰＣＳ接続枚数計算ツール!$C$108&gt;=AB$3,HUAWEI製ＰＣＳ接続枚数計算ツール!$E$108&lt;=AB$3,枚数!AB15&gt;0),枚数!AB15,IF(AND(低温可否!AB15=1,HUAWEI製ＰＣＳ接続枚数計算ツール!$C$108&gt;=AB$3,枚数!AB15&gt;0,低電圧接続!AB15&gt;0),枚数!AB15,"-"))</f>
        <v>#VALUE!</v>
      </c>
      <c r="AC16" s="123" t="e">
        <f>Z1*IF(AND(高温可否!AC15=1,低温可否!AC15=1,HUAWEI製ＰＣＳ接続枚数計算ツール!$C$108&gt;=AC$3,HUAWEI製ＰＣＳ接続枚数計算ツール!$E$108&lt;=AC$3,枚数!AC15&gt;0),枚数!AC15,IF(AND(低温可否!AC15=1,HUAWEI製ＰＣＳ接続枚数計算ツール!$C$108&gt;=AC$3,枚数!AC15&gt;0,低電圧接続!AC15&gt;0),枚数!AC15,"-"))</f>
        <v>#VALUE!</v>
      </c>
      <c r="AD16" s="124" t="e">
        <f>Z1*IF(AND(高温可否!AD15=1,低温可否!AD15=1,HUAWEI製ＰＣＳ接続枚数計算ツール!$C$108&gt;=AD$3,HUAWEI製ＰＣＳ接続枚数計算ツール!$E$108&lt;=AD$3,枚数!AD15&gt;0),枚数!AD15,IF(AND(低温可否!AD15=1,HUAWEI製ＰＣＳ接続枚数計算ツール!$C$108&gt;=AD$3,枚数!AD15&gt;0,低電圧接続!AD15&gt;0),枚数!AD15,"-"))</f>
        <v>#VALUE!</v>
      </c>
      <c r="AE16" s="123" t="e">
        <f>Z1*IF(AND(高温可否!AE15=1,低温可否!AE15=1,HUAWEI製ＰＣＳ接続枚数計算ツール!$C$108&gt;=AE$3,HUAWEI製ＰＣＳ接続枚数計算ツール!$E$108&lt;=AE$3,枚数!AE15&gt;0),枚数!AE15,IF(AND(低温可否!AE15=1,HUAWEI製ＰＣＳ接続枚数計算ツール!$C$108&gt;=AE$3,枚数!AE15&gt;0,低電圧接続!AE15&gt;0),枚数!AE15,"-"))</f>
        <v>#VALUE!</v>
      </c>
      <c r="AF16" s="124" t="e">
        <f>Z1*IF(AND(高温可否!AF15=1,低温可否!AF15=1,HUAWEI製ＰＣＳ接続枚数計算ツール!$C$108&gt;=AF$3,HUAWEI製ＰＣＳ接続枚数計算ツール!$E$108&lt;=AF$3,枚数!AF15&gt;0),枚数!AF15,IF(AND(低温可否!AF15=1,HUAWEI製ＰＣＳ接続枚数計算ツール!$C$108&gt;=AF$3,枚数!AF15&gt;0,低電圧接続!AF15&gt;0),枚数!AF15,"-"))</f>
        <v>#VALUE!</v>
      </c>
      <c r="AG16" s="123" t="e">
        <f>Z1*IF(AND(高温可否!AG15=1,低温可否!AG15=1,HUAWEI製ＰＣＳ接続枚数計算ツール!$C$108&gt;=AG$3,HUAWEI製ＰＣＳ接続枚数計算ツール!$E$108&lt;=AG$3,枚数!AG15&gt;0),枚数!AG15,IF(AND(低温可否!AG15=1,HUAWEI製ＰＣＳ接続枚数計算ツール!$C$108&gt;=AG$3,枚数!AG15&gt;0,低電圧接続!AG15&gt;0),枚数!AG15,"-"))</f>
        <v>#VALUE!</v>
      </c>
      <c r="AH16" s="124" t="e">
        <f>Z1*IF(AND(高温可否!AH15=1,低温可否!AH15=1,HUAWEI製ＰＣＳ接続枚数計算ツール!$C$108&gt;=AH$3,HUAWEI製ＰＣＳ接続枚数計算ツール!$E$108&lt;=AH$3,枚数!AH15&gt;0),枚数!AH15,IF(AND(低温可否!AH15=1,HUAWEI製ＰＣＳ接続枚数計算ツール!$C$108&gt;=AH$3,枚数!AH15&gt;0,低電圧接続!AH15&gt;0),枚数!AH15,"-"))</f>
        <v>#VALUE!</v>
      </c>
      <c r="AI16" s="123" t="e">
        <f>Z1*IF(AND(高温可否!AI15=1,低温可否!AI15=1,HUAWEI製ＰＣＳ接続枚数計算ツール!$C$108&gt;=AI$3,HUAWEI製ＰＣＳ接続枚数計算ツール!$E$108&lt;=AI$3,枚数!AI15&gt;0),枚数!AI15,IF(AND(低温可否!AI15=1,HUAWEI製ＰＣＳ接続枚数計算ツール!$C$108&gt;=AI$3,枚数!AI15&gt;0,低電圧接続!AI15&gt;0),枚数!AI15,"-"))</f>
        <v>#VALUE!</v>
      </c>
      <c r="AJ16" s="124" t="e">
        <f>Z1*IF(AND(高温可否!AJ15=1,低温可否!AJ15=1,HUAWEI製ＰＣＳ接続枚数計算ツール!$C$108&gt;=AJ$3,HUAWEI製ＰＣＳ接続枚数計算ツール!$E$108&lt;=AJ$3,枚数!AJ15&gt;0),枚数!AJ15,IF(AND(低温可否!AJ15=1,HUAWEI製ＰＣＳ接続枚数計算ツール!$C$108&gt;=AJ$3,枚数!AJ15&gt;0,低電圧接続!AJ15&gt;0),枚数!AJ15,"-"))</f>
        <v>#VALUE!</v>
      </c>
      <c r="AK16" s="123" t="e">
        <f>Z1*IF(AND(高温可否!AK15=1,低温可否!AK15=1,HUAWEI製ＰＣＳ接続枚数計算ツール!$C$108&gt;=AK$3,HUAWEI製ＰＣＳ接続枚数計算ツール!$E$108&lt;=AK$3,枚数!AK15&gt;0),枚数!AK15,IF(AND(低温可否!AK15=1,HUAWEI製ＰＣＳ接続枚数計算ツール!$C$108&gt;=AK$3,枚数!AK15&gt;0,低電圧接続!AK15&gt;0),枚数!AK15,"-"))</f>
        <v>#VALUE!</v>
      </c>
      <c r="AL16" s="124" t="e">
        <f>Z1*IF(AND(高温可否!AL15=1,低温可否!AL15=1,HUAWEI製ＰＣＳ接続枚数計算ツール!$C$108&gt;=AL$3,HUAWEI製ＰＣＳ接続枚数計算ツール!$E$108&lt;=AL$3,枚数!AL15&gt;0),枚数!AL15,IF(AND(低温可否!AL15=1,HUAWEI製ＰＣＳ接続枚数計算ツール!$C$108&gt;=AL$3,枚数!AL15&gt;0,低電圧接続!AL15&gt;0),枚数!AL15,"-"))</f>
        <v>#VALUE!</v>
      </c>
      <c r="AM16" s="123" t="e">
        <f>Z1*IF(AND(高温可否!AM15=1,低温可否!AM15=1,HUAWEI製ＰＣＳ接続枚数計算ツール!$C$108&gt;=AM$3,HUAWEI製ＰＣＳ接続枚数計算ツール!$E$108&lt;=AM$3,枚数!AM15&gt;0),枚数!AM15,IF(AND(低温可否!AM15=1,HUAWEI製ＰＣＳ接続枚数計算ツール!$C$108&gt;=AM$3,枚数!AM15&gt;0,低電圧接続!AM15&gt;0),枚数!AM15,"-"))</f>
        <v>#VALUE!</v>
      </c>
      <c r="AN16" s="124" t="e">
        <f>Z1*IF(AND(高温可否!AN15=1,低温可否!AN15=1,HUAWEI製ＰＣＳ接続枚数計算ツール!$C$108&gt;=AN$3,HUAWEI製ＰＣＳ接続枚数計算ツール!$E$108&lt;=AN$3,枚数!AN15&gt;0),枚数!AN15,IF(AND(低温可否!AN15=1,HUAWEI製ＰＣＳ接続枚数計算ツール!$C$108&gt;=AN$3,枚数!AN15&gt;0,低電圧接続!AN15&gt;0),枚数!AN15,"-"))</f>
        <v>#VALUE!</v>
      </c>
      <c r="AO16" s="125" t="e">
        <f>Z1*IF(AND(高温可否!AO15=1,低温可否!AO15=1,HUAWEI製ＰＣＳ接続枚数計算ツール!$C$108&gt;=AO$3,HUAWEI製ＰＣＳ接続枚数計算ツール!$E$108&lt;=AO$3,枚数!AO15&gt;0),枚数!AO15,IF(AND(低温可否!AO15=1,HUAWEI製ＰＣＳ接続枚数計算ツール!$C$108&gt;=AO$3,枚数!AO15&gt;0,低電圧接続!AO15&gt;0),枚数!AO15,"-"))</f>
        <v>#VALUE!</v>
      </c>
    </row>
    <row r="17" spans="1:41">
      <c r="A17" s="115">
        <v>14</v>
      </c>
      <c r="B17" s="126" t="e">
        <f>Z1*IF(AND(高温可否!B16=1,低温可否!B16=1,HUAWEI製ＰＣＳ接続枚数計算ツール!$C$108&gt;=B$3,HUAWEI製ＰＣＳ接続枚数計算ツール!$E$108&lt;=B$3,枚数!B16&gt;0),枚数!B16,IF(AND(低温可否!B16=1,HUAWEI製ＰＣＳ接続枚数計算ツール!$C$108&gt;=B$3,枚数!B16&gt;0,低電圧接続!B16&gt;0),枚数!B16,"-"))</f>
        <v>#VALUE!</v>
      </c>
      <c r="C17" s="127" t="e">
        <f>Z1*IF(AND(高温可否!C16=1,低温可否!C16=1,HUAWEI製ＰＣＳ接続枚数計算ツール!$C$108&gt;=C$3,HUAWEI製ＰＣＳ接続枚数計算ツール!$E$108&lt;=C$3,枚数!C16&gt;0),枚数!C16,IF(AND(低温可否!C16=1,HUAWEI製ＰＣＳ接続枚数計算ツール!$C$108&gt;=C$3,枚数!C16&gt;0,低電圧接続!C16&gt;0),枚数!C16,"-"))</f>
        <v>#VALUE!</v>
      </c>
      <c r="D17" s="128" t="e">
        <f>Z1*IF(AND(高温可否!D16=1,低温可否!D16=1,HUAWEI製ＰＣＳ接続枚数計算ツール!$C$108&gt;=D$3,HUAWEI製ＰＣＳ接続枚数計算ツール!$E$108&lt;=D$3,枚数!D16&gt;0),枚数!D16,IF(AND(低温可否!D16=1,HUAWEI製ＰＣＳ接続枚数計算ツール!$C$108&gt;=D$3,枚数!D16&gt;0,低電圧接続!D16&gt;0),枚数!D16,"-"))</f>
        <v>#VALUE!</v>
      </c>
      <c r="E17" s="127" t="e">
        <f>Z1*IF(AND(高温可否!E16=1,低温可否!E16=1,HUAWEI製ＰＣＳ接続枚数計算ツール!$C$108&gt;=E$3,HUAWEI製ＰＣＳ接続枚数計算ツール!$E$108&lt;=E$3,枚数!E16&gt;0),枚数!E16,IF(AND(低温可否!E16=1,HUAWEI製ＰＣＳ接続枚数計算ツール!$C$108&gt;=E$3,枚数!E16&gt;0,低電圧接続!E16&gt;0),枚数!E16,"-"))</f>
        <v>#VALUE!</v>
      </c>
      <c r="F17" s="128" t="e">
        <f>Z1*IF(AND(高温可否!F16=1,低温可否!F16=1,HUAWEI製ＰＣＳ接続枚数計算ツール!$C$108&gt;=F$3,HUAWEI製ＰＣＳ接続枚数計算ツール!$E$108&lt;=F$3,枚数!F16&gt;0),枚数!F16,IF(AND(低温可否!F16=1,HUAWEI製ＰＣＳ接続枚数計算ツール!$C$108&gt;=F$3,枚数!F16&gt;0,低電圧接続!F16&gt;0),枚数!F16,"-"))</f>
        <v>#VALUE!</v>
      </c>
      <c r="G17" s="127" t="e">
        <f>Z1*IF(AND(高温可否!G16=1,低温可否!G16=1,HUAWEI製ＰＣＳ接続枚数計算ツール!$C$108&gt;=G$3,HUAWEI製ＰＣＳ接続枚数計算ツール!$E$108&lt;=G$3,枚数!G16&gt;0),枚数!G16,IF(AND(低温可否!G16=1,HUAWEI製ＰＣＳ接続枚数計算ツール!$C$108&gt;=G$3,枚数!G16&gt;0,低電圧接続!G16&gt;0),枚数!G16,"-"))</f>
        <v>#VALUE!</v>
      </c>
      <c r="H17" s="128" t="e">
        <f>Z1*IF(AND(高温可否!H16=1,低温可否!H16=1,HUAWEI製ＰＣＳ接続枚数計算ツール!$C$108&gt;=H$3,HUAWEI製ＰＣＳ接続枚数計算ツール!$E$108&lt;=H$3,枚数!H16&gt;0),枚数!H16,IF(AND(低温可否!H16=1,HUAWEI製ＰＣＳ接続枚数計算ツール!$C$108&gt;=H$3,枚数!H16&gt;0,低電圧接続!H16&gt;0),枚数!H16,"-"))</f>
        <v>#VALUE!</v>
      </c>
      <c r="I17" s="127" t="e">
        <f>Z1*IF(AND(高温可否!I16=1,低温可否!I16=1,HUAWEI製ＰＣＳ接続枚数計算ツール!$C$108&gt;=I$3,HUAWEI製ＰＣＳ接続枚数計算ツール!$E$108&lt;=I$3,枚数!I16&gt;0),枚数!I16,IF(AND(低温可否!I16=1,HUAWEI製ＰＣＳ接続枚数計算ツール!$C$108&gt;=I$3,枚数!I16&gt;0,低電圧接続!I16&gt;0),枚数!I16,"-"))</f>
        <v>#VALUE!</v>
      </c>
      <c r="J17" s="128" t="e">
        <f>Z1*IF(AND(高温可否!J16=1,低温可否!J16=1,HUAWEI製ＰＣＳ接続枚数計算ツール!$C$108&gt;=J$3,HUAWEI製ＰＣＳ接続枚数計算ツール!$E$108&lt;=J$3,枚数!J16&gt;0),枚数!J16,IF(AND(低温可否!J16=1,HUAWEI製ＰＣＳ接続枚数計算ツール!$C$108&gt;=J$3,枚数!J16&gt;0,低電圧接続!J16&gt;0),枚数!J16,"-"))</f>
        <v>#VALUE!</v>
      </c>
      <c r="K17" s="127" t="e">
        <f>Z1*IF(AND(高温可否!K16=1,低温可否!K16=1,HUAWEI製ＰＣＳ接続枚数計算ツール!$C$108&gt;=K$3,HUAWEI製ＰＣＳ接続枚数計算ツール!$E$108&lt;=K$3,枚数!K16&gt;0),枚数!K16,IF(AND(低温可否!K16=1,HUAWEI製ＰＣＳ接続枚数計算ツール!$C$108&gt;=K$3,枚数!K16&gt;0,低電圧接続!K16&gt;0),枚数!K16,"-"))</f>
        <v>#VALUE!</v>
      </c>
      <c r="L17" s="128" t="e">
        <f>Z1*IF(AND(高温可否!L16=1,低温可否!L16=1,HUAWEI製ＰＣＳ接続枚数計算ツール!$C$108&gt;=L$3,HUAWEI製ＰＣＳ接続枚数計算ツール!$E$108&lt;=L$3,枚数!L16&gt;0),枚数!L16,IF(AND(低温可否!L16=1,HUAWEI製ＰＣＳ接続枚数計算ツール!$C$108&gt;=L$3,枚数!L16&gt;0,低電圧接続!L16&gt;0),枚数!L16,"-"))</f>
        <v>#VALUE!</v>
      </c>
      <c r="M17" s="127" t="e">
        <f>Z1*IF(AND(高温可否!M16=1,低温可否!M16=1,HUAWEI製ＰＣＳ接続枚数計算ツール!$C$108&gt;=M$3,HUAWEI製ＰＣＳ接続枚数計算ツール!$E$108&lt;=M$3,枚数!M16&gt;0),枚数!M16,IF(AND(低温可否!M16=1,HUAWEI製ＰＣＳ接続枚数計算ツール!$C$108&gt;=M$3,枚数!M16&gt;0,低電圧接続!M16&gt;0),枚数!M16,"-"))</f>
        <v>#VALUE!</v>
      </c>
      <c r="N17" s="128" t="e">
        <f>Z1*IF(AND(高温可否!N16=1,低温可否!N16=1,HUAWEI製ＰＣＳ接続枚数計算ツール!$C$108&gt;=N$3,HUAWEI製ＰＣＳ接続枚数計算ツール!$E$108&lt;=N$3,枚数!N16&gt;0),枚数!N16,IF(AND(低温可否!N16=1,HUAWEI製ＰＣＳ接続枚数計算ツール!$C$108&gt;=N$3,枚数!N16&gt;0,低電圧接続!N16&gt;0),枚数!N16,"-"))</f>
        <v>#VALUE!</v>
      </c>
      <c r="O17" s="127" t="e">
        <f>Z1*IF(AND(高温可否!O16=1,低温可否!O16=1,HUAWEI製ＰＣＳ接続枚数計算ツール!$C$108&gt;=O$3,HUAWEI製ＰＣＳ接続枚数計算ツール!$E$108&lt;=O$3,枚数!O16&gt;0),枚数!O16,IF(AND(低温可否!O16=1,HUAWEI製ＰＣＳ接続枚数計算ツール!$C$108&gt;=O$3,枚数!O16&gt;0,低電圧接続!O16&gt;0),枚数!O16,"-"))</f>
        <v>#VALUE!</v>
      </c>
      <c r="P17" s="128" t="e">
        <f>Z1*IF(AND(高温可否!P16=1,低温可否!P16=1,HUAWEI製ＰＣＳ接続枚数計算ツール!$C$108&gt;=P$3,HUAWEI製ＰＣＳ接続枚数計算ツール!$E$108&lt;=P$3,枚数!P16&gt;0),枚数!P16,IF(AND(低温可否!P16=1,HUAWEI製ＰＣＳ接続枚数計算ツール!$C$108&gt;=P$3,枚数!P16&gt;0,低電圧接続!P16&gt;0),枚数!P16,"-"))</f>
        <v>#VALUE!</v>
      </c>
      <c r="Q17" s="127" t="e">
        <f>Z1*IF(AND(高温可否!Q16=1,低温可否!Q16=1,HUAWEI製ＰＣＳ接続枚数計算ツール!$C$108&gt;=Q$3,HUAWEI製ＰＣＳ接続枚数計算ツール!$E$108&lt;=Q$3,枚数!Q16&gt;0),枚数!Q16,IF(AND(低温可否!Q16=1,HUAWEI製ＰＣＳ接続枚数計算ツール!$C$108&gt;=Q$3,枚数!Q16&gt;0,低電圧接続!Q16&gt;0),枚数!Q16,"-"))</f>
        <v>#VALUE!</v>
      </c>
      <c r="R17" s="128" t="e">
        <f>Z1*IF(AND(高温可否!R16=1,低温可否!R16=1,HUAWEI製ＰＣＳ接続枚数計算ツール!$C$108&gt;=R$3,HUAWEI製ＰＣＳ接続枚数計算ツール!$E$108&lt;=R$3,枚数!R16&gt;0),枚数!R16,IF(AND(低温可否!R16=1,HUAWEI製ＰＣＳ接続枚数計算ツール!$C$108&gt;=R$3,枚数!R16&gt;0,低電圧接続!R16&gt;0),枚数!R16,"-"))</f>
        <v>#VALUE!</v>
      </c>
      <c r="S17" s="127" t="e">
        <f>Z1*IF(AND(高温可否!S16=1,低温可否!S16=1,HUAWEI製ＰＣＳ接続枚数計算ツール!$C$108&gt;=S$3,HUAWEI製ＰＣＳ接続枚数計算ツール!$E$108&lt;=S$3,枚数!S16&gt;0),枚数!S16,IF(AND(低温可否!S16=1,HUAWEI製ＰＣＳ接続枚数計算ツール!$C$108&gt;=S$3,枚数!S16&gt;0,低電圧接続!S16&gt;0),枚数!S16,"-"))</f>
        <v>#VALUE!</v>
      </c>
      <c r="T17" s="128" t="e">
        <f>Z1*IF(AND(高温可否!T16=1,低温可否!T16=1,HUAWEI製ＰＣＳ接続枚数計算ツール!$C$108&gt;=T$3,HUAWEI製ＰＣＳ接続枚数計算ツール!$E$108&lt;=T$3,枚数!T16&gt;0),枚数!T16,IF(AND(低温可否!T16=1,HUAWEI製ＰＣＳ接続枚数計算ツール!$C$108&gt;=T$3,枚数!T16&gt;0,低電圧接続!T16&gt;0),枚数!T16,"-"))</f>
        <v>#VALUE!</v>
      </c>
      <c r="U17" s="127" t="e">
        <f>Z1*IF(AND(高温可否!U16=1,低温可否!U16=1,HUAWEI製ＰＣＳ接続枚数計算ツール!$C$108&gt;=U$3,HUAWEI製ＰＣＳ接続枚数計算ツール!$E$108&lt;=U$3,枚数!U16&gt;0),枚数!U16,IF(AND(低温可否!U16=1,HUAWEI製ＰＣＳ接続枚数計算ツール!$C$108&gt;=U$3,枚数!U16&gt;0,低電圧接続!U16&gt;0),枚数!U16,"-"))</f>
        <v>#VALUE!</v>
      </c>
      <c r="V17" s="128">
        <f>Z1*IF(AND(高温可否!V16=1,低温可否!V16=1,HUAWEI製ＰＣＳ接続枚数計算ツール!$C$108&gt;=V$3,HUAWEI製ＰＣＳ接続枚数計算ツール!$E$108&lt;=V$3,枚数!V16&gt;0),枚数!V16,IF(AND(低温可否!V16=1,HUAWEI製ＰＣＳ接続枚数計算ツール!$C$108&gt;=V$3,枚数!V16&gt;0,低電圧接続!V16&gt;0),枚数!V16,"-"))</f>
        <v>588</v>
      </c>
      <c r="W17" s="127">
        <f>Z1*IF(AND(高温可否!W16=1,低温可否!W16=1,HUAWEI製ＰＣＳ接続枚数計算ツール!$C$108&gt;=W$3,HUAWEI製ＰＣＳ接続枚数計算ツール!$E$108&lt;=W$3,枚数!W16&gt;0),枚数!W16,IF(AND(低温可否!W16=1,HUAWEI製ＰＣＳ接続枚数計算ツール!$C$108&gt;=W$3,枚数!W16&gt;0,低電圧接続!W16&gt;0),枚数!W16,"-"))</f>
        <v>616</v>
      </c>
      <c r="X17" s="128" t="e">
        <f>Z1*IF(AND(高温可否!X16=1,低温可否!X16=1,HUAWEI製ＰＣＳ接続枚数計算ツール!$C$108&gt;=X$3,HUAWEI製ＰＣＳ接続枚数計算ツール!$E$108&lt;=X$3,枚数!X16&gt;0),枚数!X16,IF(AND(低温可否!X16=1,HUAWEI製ＰＣＳ接続枚数計算ツール!$C$108&gt;=X$3,枚数!X16&gt;0,低電圧接続!X16&gt;0),枚数!X16,"-"))</f>
        <v>#VALUE!</v>
      </c>
      <c r="Y17" s="127" t="e">
        <f>Z1*IF(AND(高温可否!Y16=1,低温可否!Y16=1,HUAWEI製ＰＣＳ接続枚数計算ツール!$C$108&gt;=Y$3,HUAWEI製ＰＣＳ接続枚数計算ツール!$E$108&lt;=Y$3,枚数!Y16&gt;0),枚数!Y16,IF(AND(低温可否!Y16=1,HUAWEI製ＰＣＳ接続枚数計算ツール!$C$108&gt;=Y$3,枚数!Y16&gt;0,低電圧接続!Y16&gt;0),枚数!Y16,"-"))</f>
        <v>#VALUE!</v>
      </c>
      <c r="Z17" s="128" t="e">
        <f>Z1*IF(AND(高温可否!Z16=1,低温可否!Z16=1,HUAWEI製ＰＣＳ接続枚数計算ツール!$C$108&gt;=Z$3,HUAWEI製ＰＣＳ接続枚数計算ツール!$E$108&lt;=Z$3,枚数!Z16&gt;0),枚数!Z16,IF(AND(低温可否!Z16=1,HUAWEI製ＰＣＳ接続枚数計算ツール!$C$108&gt;=Z$3,枚数!Z16&gt;0,低電圧接続!Z16&gt;0),枚数!Z16,"-"))</f>
        <v>#VALUE!</v>
      </c>
      <c r="AA17" s="127" t="e">
        <f>Z1*IF(AND(高温可否!AA16=1,低温可否!AA16=1,HUAWEI製ＰＣＳ接続枚数計算ツール!$C$108&gt;=AA$3,HUAWEI製ＰＣＳ接続枚数計算ツール!$E$108&lt;=AA$3,枚数!AA16&gt;0),枚数!AA16,IF(AND(低温可否!AA16=1,HUAWEI製ＰＣＳ接続枚数計算ツール!$C$108&gt;=AA$3,枚数!AA16&gt;0,低電圧接続!AA16&gt;0),枚数!AA16,"-"))</f>
        <v>#VALUE!</v>
      </c>
      <c r="AB17" s="128" t="e">
        <f>Z1*IF(AND(高温可否!AB16=1,低温可否!AB16=1,HUAWEI製ＰＣＳ接続枚数計算ツール!$C$108&gt;=AB$3,HUAWEI製ＰＣＳ接続枚数計算ツール!$E$108&lt;=AB$3,枚数!AB16&gt;0),枚数!AB16,IF(AND(低温可否!AB16=1,HUAWEI製ＰＣＳ接続枚数計算ツール!$C$108&gt;=AB$3,枚数!AB16&gt;0,低電圧接続!AB16&gt;0),枚数!AB16,"-"))</f>
        <v>#VALUE!</v>
      </c>
      <c r="AC17" s="127" t="e">
        <f>Z1*IF(AND(高温可否!AC16=1,低温可否!AC16=1,HUAWEI製ＰＣＳ接続枚数計算ツール!$C$108&gt;=AC$3,HUAWEI製ＰＣＳ接続枚数計算ツール!$E$108&lt;=AC$3,枚数!AC16&gt;0),枚数!AC16,IF(AND(低温可否!AC16=1,HUAWEI製ＰＣＳ接続枚数計算ツール!$C$108&gt;=AC$3,枚数!AC16&gt;0,低電圧接続!AC16&gt;0),枚数!AC16,"-"))</f>
        <v>#VALUE!</v>
      </c>
      <c r="AD17" s="128" t="e">
        <f>Z1*IF(AND(高温可否!AD16=1,低温可否!AD16=1,HUAWEI製ＰＣＳ接続枚数計算ツール!$C$108&gt;=AD$3,HUAWEI製ＰＣＳ接続枚数計算ツール!$E$108&lt;=AD$3,枚数!AD16&gt;0),枚数!AD16,IF(AND(低温可否!AD16=1,HUAWEI製ＰＣＳ接続枚数計算ツール!$C$108&gt;=AD$3,枚数!AD16&gt;0,低電圧接続!AD16&gt;0),枚数!AD16,"-"))</f>
        <v>#VALUE!</v>
      </c>
      <c r="AE17" s="127" t="e">
        <f>Z1*IF(AND(高温可否!AE16=1,低温可否!AE16=1,HUAWEI製ＰＣＳ接続枚数計算ツール!$C$108&gt;=AE$3,HUAWEI製ＰＣＳ接続枚数計算ツール!$E$108&lt;=AE$3,枚数!AE16&gt;0),枚数!AE16,IF(AND(低温可否!AE16=1,HUAWEI製ＰＣＳ接続枚数計算ツール!$C$108&gt;=AE$3,枚数!AE16&gt;0,低電圧接続!AE16&gt;0),枚数!AE16,"-"))</f>
        <v>#VALUE!</v>
      </c>
      <c r="AF17" s="128" t="e">
        <f>Z1*IF(AND(高温可否!AF16=1,低温可否!AF16=1,HUAWEI製ＰＣＳ接続枚数計算ツール!$C$108&gt;=AF$3,HUAWEI製ＰＣＳ接続枚数計算ツール!$E$108&lt;=AF$3,枚数!AF16&gt;0),枚数!AF16,IF(AND(低温可否!AF16=1,HUAWEI製ＰＣＳ接続枚数計算ツール!$C$108&gt;=AF$3,枚数!AF16&gt;0,低電圧接続!AF16&gt;0),枚数!AF16,"-"))</f>
        <v>#VALUE!</v>
      </c>
      <c r="AG17" s="127" t="e">
        <f>Z1*IF(AND(高温可否!AG16=1,低温可否!AG16=1,HUAWEI製ＰＣＳ接続枚数計算ツール!$C$108&gt;=AG$3,HUAWEI製ＰＣＳ接続枚数計算ツール!$E$108&lt;=AG$3,枚数!AG16&gt;0),枚数!AG16,IF(AND(低温可否!AG16=1,HUAWEI製ＰＣＳ接続枚数計算ツール!$C$108&gt;=AG$3,枚数!AG16&gt;0,低電圧接続!AG16&gt;0),枚数!AG16,"-"))</f>
        <v>#VALUE!</v>
      </c>
      <c r="AH17" s="128" t="e">
        <f>Z1*IF(AND(高温可否!AH16=1,低温可否!AH16=1,HUAWEI製ＰＣＳ接続枚数計算ツール!$C$108&gt;=AH$3,HUAWEI製ＰＣＳ接続枚数計算ツール!$E$108&lt;=AH$3,枚数!AH16&gt;0),枚数!AH16,IF(AND(低温可否!AH16=1,HUAWEI製ＰＣＳ接続枚数計算ツール!$C$108&gt;=AH$3,枚数!AH16&gt;0,低電圧接続!AH16&gt;0),枚数!AH16,"-"))</f>
        <v>#VALUE!</v>
      </c>
      <c r="AI17" s="127" t="e">
        <f>Z1*IF(AND(高温可否!AI16=1,低温可否!AI16=1,HUAWEI製ＰＣＳ接続枚数計算ツール!$C$108&gt;=AI$3,HUAWEI製ＰＣＳ接続枚数計算ツール!$E$108&lt;=AI$3,枚数!AI16&gt;0),枚数!AI16,IF(AND(低温可否!AI16=1,HUAWEI製ＰＣＳ接続枚数計算ツール!$C$108&gt;=AI$3,枚数!AI16&gt;0,低電圧接続!AI16&gt;0),枚数!AI16,"-"))</f>
        <v>#VALUE!</v>
      </c>
      <c r="AJ17" s="128" t="e">
        <f>Z1*IF(AND(高温可否!AJ16=1,低温可否!AJ16=1,HUAWEI製ＰＣＳ接続枚数計算ツール!$C$108&gt;=AJ$3,HUAWEI製ＰＣＳ接続枚数計算ツール!$E$108&lt;=AJ$3,枚数!AJ16&gt;0),枚数!AJ16,IF(AND(低温可否!AJ16=1,HUAWEI製ＰＣＳ接続枚数計算ツール!$C$108&gt;=AJ$3,枚数!AJ16&gt;0,低電圧接続!AJ16&gt;0),枚数!AJ16,"-"))</f>
        <v>#VALUE!</v>
      </c>
      <c r="AK17" s="127" t="e">
        <f>Z1*IF(AND(高温可否!AK16=1,低温可否!AK16=1,HUAWEI製ＰＣＳ接続枚数計算ツール!$C$108&gt;=AK$3,HUAWEI製ＰＣＳ接続枚数計算ツール!$E$108&lt;=AK$3,枚数!AK16&gt;0),枚数!AK16,IF(AND(低温可否!AK16=1,HUAWEI製ＰＣＳ接続枚数計算ツール!$C$108&gt;=AK$3,枚数!AK16&gt;0,低電圧接続!AK16&gt;0),枚数!AK16,"-"))</f>
        <v>#VALUE!</v>
      </c>
      <c r="AL17" s="128" t="e">
        <f>Z1*IF(AND(高温可否!AL16=1,低温可否!AL16=1,HUAWEI製ＰＣＳ接続枚数計算ツール!$C$108&gt;=AL$3,HUAWEI製ＰＣＳ接続枚数計算ツール!$E$108&lt;=AL$3,枚数!AL16&gt;0),枚数!AL16,IF(AND(低温可否!AL16=1,HUAWEI製ＰＣＳ接続枚数計算ツール!$C$108&gt;=AL$3,枚数!AL16&gt;0,低電圧接続!AL16&gt;0),枚数!AL16,"-"))</f>
        <v>#VALUE!</v>
      </c>
      <c r="AM17" s="127" t="e">
        <f>Z1*IF(AND(高温可否!AM16=1,低温可否!AM16=1,HUAWEI製ＰＣＳ接続枚数計算ツール!$C$108&gt;=AM$3,HUAWEI製ＰＣＳ接続枚数計算ツール!$E$108&lt;=AM$3,枚数!AM16&gt;0),枚数!AM16,IF(AND(低温可否!AM16=1,HUAWEI製ＰＣＳ接続枚数計算ツール!$C$108&gt;=AM$3,枚数!AM16&gt;0,低電圧接続!AM16&gt;0),枚数!AM16,"-"))</f>
        <v>#VALUE!</v>
      </c>
      <c r="AN17" s="128" t="e">
        <f>Z1*IF(AND(高温可否!AN16=1,低温可否!AN16=1,HUAWEI製ＰＣＳ接続枚数計算ツール!$C$108&gt;=AN$3,HUAWEI製ＰＣＳ接続枚数計算ツール!$E$108&lt;=AN$3,枚数!AN16&gt;0),枚数!AN16,IF(AND(低温可否!AN16=1,HUAWEI製ＰＣＳ接続枚数計算ツール!$C$108&gt;=AN$3,枚数!AN16&gt;0,低電圧接続!AN16&gt;0),枚数!AN16,"-"))</f>
        <v>#VALUE!</v>
      </c>
      <c r="AO17" s="129" t="e">
        <f>Z1*IF(AND(高温可否!AO16=1,低温可否!AO16=1,HUAWEI製ＰＣＳ接続枚数計算ツール!$C$108&gt;=AO$3,HUAWEI製ＰＣＳ接続枚数計算ツール!$E$108&lt;=AO$3,枚数!AO16&gt;0),枚数!AO16,IF(AND(低温可否!AO16=1,HUAWEI製ＰＣＳ接続枚数計算ツール!$C$108&gt;=AO$3,枚数!AO16&gt;0,低電圧接続!AO16&gt;0),枚数!AO16,"-"))</f>
        <v>#VALUE!</v>
      </c>
    </row>
    <row r="18" spans="1:41">
      <c r="A18" s="116">
        <v>15</v>
      </c>
      <c r="B18" s="122" t="e">
        <f>Z1*IF(AND(高温可否!B17=1,低温可否!B17=1,HUAWEI製ＰＣＳ接続枚数計算ツール!$C$108&gt;=B$3,HUAWEI製ＰＣＳ接続枚数計算ツール!$E$108&lt;=B$3,枚数!B17&gt;0),枚数!B17,IF(AND(低温可否!B17=1,HUAWEI製ＰＣＳ接続枚数計算ツール!$C$108&gt;=B$3,枚数!B17&gt;0,低電圧接続!B17&gt;0),枚数!B17,"-"))</f>
        <v>#VALUE!</v>
      </c>
      <c r="C18" s="123" t="e">
        <f>Z1*IF(AND(高温可否!C17=1,低温可否!C17=1,HUAWEI製ＰＣＳ接続枚数計算ツール!$C$108&gt;=C$3,HUAWEI製ＰＣＳ接続枚数計算ツール!$E$108&lt;=C$3,枚数!C17&gt;0),枚数!C17,IF(AND(低温可否!C17=1,HUAWEI製ＰＣＳ接続枚数計算ツール!$C$108&gt;=C$3,枚数!C17&gt;0,低電圧接続!C17&gt;0),枚数!C17,"-"))</f>
        <v>#VALUE!</v>
      </c>
      <c r="D18" s="124" t="e">
        <f>Z1*IF(AND(高温可否!D17=1,低温可否!D17=1,HUAWEI製ＰＣＳ接続枚数計算ツール!$C$108&gt;=D$3,HUAWEI製ＰＣＳ接続枚数計算ツール!$E$108&lt;=D$3,枚数!D17&gt;0),枚数!D17,IF(AND(低温可否!D17=1,HUAWEI製ＰＣＳ接続枚数計算ツール!$C$108&gt;=D$3,枚数!D17&gt;0,低電圧接続!D17&gt;0),枚数!D17,"-"))</f>
        <v>#VALUE!</v>
      </c>
      <c r="E18" s="123" t="e">
        <f>Z1*IF(AND(高温可否!E17=1,低温可否!E17=1,HUAWEI製ＰＣＳ接続枚数計算ツール!$C$108&gt;=E$3,HUAWEI製ＰＣＳ接続枚数計算ツール!$E$108&lt;=E$3,枚数!E17&gt;0),枚数!E17,IF(AND(低温可否!E17=1,HUAWEI製ＰＣＳ接続枚数計算ツール!$C$108&gt;=E$3,枚数!E17&gt;0,低電圧接続!E17&gt;0),枚数!E17,"-"))</f>
        <v>#VALUE!</v>
      </c>
      <c r="F18" s="124" t="e">
        <f>Z1*IF(AND(高温可否!F17=1,低温可否!F17=1,HUAWEI製ＰＣＳ接続枚数計算ツール!$C$108&gt;=F$3,HUAWEI製ＰＣＳ接続枚数計算ツール!$E$108&lt;=F$3,枚数!F17&gt;0),枚数!F17,IF(AND(低温可否!F17=1,HUAWEI製ＰＣＳ接続枚数計算ツール!$C$108&gt;=F$3,枚数!F17&gt;0,低電圧接続!F17&gt;0),枚数!F17,"-"))</f>
        <v>#VALUE!</v>
      </c>
      <c r="G18" s="123" t="e">
        <f>Z1*IF(AND(高温可否!G17=1,低温可否!G17=1,HUAWEI製ＰＣＳ接続枚数計算ツール!$C$108&gt;=G$3,HUAWEI製ＰＣＳ接続枚数計算ツール!$E$108&lt;=G$3,枚数!G17&gt;0),枚数!G17,IF(AND(低温可否!G17=1,HUAWEI製ＰＣＳ接続枚数計算ツール!$C$108&gt;=G$3,枚数!G17&gt;0,低電圧接続!G17&gt;0),枚数!G17,"-"))</f>
        <v>#VALUE!</v>
      </c>
      <c r="H18" s="124" t="e">
        <f>Z1*IF(AND(高温可否!H17=1,低温可否!H17=1,HUAWEI製ＰＣＳ接続枚数計算ツール!$C$108&gt;=H$3,HUAWEI製ＰＣＳ接続枚数計算ツール!$E$108&lt;=H$3,枚数!H17&gt;0),枚数!H17,IF(AND(低温可否!H17=1,HUAWEI製ＰＣＳ接続枚数計算ツール!$C$108&gt;=H$3,枚数!H17&gt;0,低電圧接続!H17&gt;0),枚数!H17,"-"))</f>
        <v>#VALUE!</v>
      </c>
      <c r="I18" s="123" t="e">
        <f>Z1*IF(AND(高温可否!I17=1,低温可否!I17=1,HUAWEI製ＰＣＳ接続枚数計算ツール!$C$108&gt;=I$3,HUAWEI製ＰＣＳ接続枚数計算ツール!$E$108&lt;=I$3,枚数!I17&gt;0),枚数!I17,IF(AND(低温可否!I17=1,HUAWEI製ＰＣＳ接続枚数計算ツール!$C$108&gt;=I$3,枚数!I17&gt;0,低電圧接続!I17&gt;0),枚数!I17,"-"))</f>
        <v>#VALUE!</v>
      </c>
      <c r="J18" s="124" t="e">
        <f>Z1*IF(AND(高温可否!J17=1,低温可否!J17=1,HUAWEI製ＰＣＳ接続枚数計算ツール!$C$108&gt;=J$3,HUAWEI製ＰＣＳ接続枚数計算ツール!$E$108&lt;=J$3,枚数!J17&gt;0),枚数!J17,IF(AND(低温可否!J17=1,HUAWEI製ＰＣＳ接続枚数計算ツール!$C$108&gt;=J$3,枚数!J17&gt;0,低電圧接続!J17&gt;0),枚数!J17,"-"))</f>
        <v>#VALUE!</v>
      </c>
      <c r="K18" s="123" t="e">
        <f>Z1*IF(AND(高温可否!K17=1,低温可否!K17=1,HUAWEI製ＰＣＳ接続枚数計算ツール!$C$108&gt;=K$3,HUAWEI製ＰＣＳ接続枚数計算ツール!$E$108&lt;=K$3,枚数!K17&gt;0),枚数!K17,IF(AND(低温可否!K17=1,HUAWEI製ＰＣＳ接続枚数計算ツール!$C$108&gt;=K$3,枚数!K17&gt;0,低電圧接続!K17&gt;0),枚数!K17,"-"))</f>
        <v>#VALUE!</v>
      </c>
      <c r="L18" s="124" t="e">
        <f>Z1*IF(AND(高温可否!L17=1,低温可否!L17=1,HUAWEI製ＰＣＳ接続枚数計算ツール!$C$108&gt;=L$3,HUAWEI製ＰＣＳ接続枚数計算ツール!$E$108&lt;=L$3,枚数!L17&gt;0),枚数!L17,IF(AND(低温可否!L17=1,HUAWEI製ＰＣＳ接続枚数計算ツール!$C$108&gt;=L$3,枚数!L17&gt;0,低電圧接続!L17&gt;0),枚数!L17,"-"))</f>
        <v>#VALUE!</v>
      </c>
      <c r="M18" s="123" t="e">
        <f>Z1*IF(AND(高温可否!M17=1,低温可否!M17=1,HUAWEI製ＰＣＳ接続枚数計算ツール!$C$108&gt;=M$3,HUAWEI製ＰＣＳ接続枚数計算ツール!$E$108&lt;=M$3,枚数!M17&gt;0),枚数!M17,IF(AND(低温可否!M17=1,HUAWEI製ＰＣＳ接続枚数計算ツール!$C$108&gt;=M$3,枚数!M17&gt;0,低電圧接続!M17&gt;0),枚数!M17,"-"))</f>
        <v>#VALUE!</v>
      </c>
      <c r="N18" s="124" t="e">
        <f>Z1*IF(AND(高温可否!N17=1,低温可否!N17=1,HUAWEI製ＰＣＳ接続枚数計算ツール!$C$108&gt;=N$3,HUAWEI製ＰＣＳ接続枚数計算ツール!$E$108&lt;=N$3,枚数!N17&gt;0),枚数!N17,IF(AND(低温可否!N17=1,HUAWEI製ＰＣＳ接続枚数計算ツール!$C$108&gt;=N$3,枚数!N17&gt;0,低電圧接続!N17&gt;0),枚数!N17,"-"))</f>
        <v>#VALUE!</v>
      </c>
      <c r="O18" s="123" t="e">
        <f>Z1*IF(AND(高温可否!O17=1,低温可否!O17=1,HUAWEI製ＰＣＳ接続枚数計算ツール!$C$108&gt;=O$3,HUAWEI製ＰＣＳ接続枚数計算ツール!$E$108&lt;=O$3,枚数!O17&gt;0),枚数!O17,IF(AND(低温可否!O17=1,HUAWEI製ＰＣＳ接続枚数計算ツール!$C$108&gt;=O$3,枚数!O17&gt;0,低電圧接続!O17&gt;0),枚数!O17,"-"))</f>
        <v>#VALUE!</v>
      </c>
      <c r="P18" s="124" t="e">
        <f>Z1*IF(AND(高温可否!P17=1,低温可否!P17=1,HUAWEI製ＰＣＳ接続枚数計算ツール!$C$108&gt;=P$3,HUAWEI製ＰＣＳ接続枚数計算ツール!$E$108&lt;=P$3,枚数!P17&gt;0),枚数!P17,IF(AND(低温可否!P17=1,HUAWEI製ＰＣＳ接続枚数計算ツール!$C$108&gt;=P$3,枚数!P17&gt;0,低電圧接続!P17&gt;0),枚数!P17,"-"))</f>
        <v>#VALUE!</v>
      </c>
      <c r="Q18" s="123" t="e">
        <f>Z1*IF(AND(高温可否!Q17=1,低温可否!Q17=1,HUAWEI製ＰＣＳ接続枚数計算ツール!$C$108&gt;=Q$3,HUAWEI製ＰＣＳ接続枚数計算ツール!$E$108&lt;=Q$3,枚数!Q17&gt;0),枚数!Q17,IF(AND(低温可否!Q17=1,HUAWEI製ＰＣＳ接続枚数計算ツール!$C$108&gt;=Q$3,枚数!Q17&gt;0,低電圧接続!Q17&gt;0),枚数!Q17,"-"))</f>
        <v>#VALUE!</v>
      </c>
      <c r="R18" s="124" t="e">
        <f>Z1*IF(AND(高温可否!R17=1,低温可否!R17=1,HUAWEI製ＰＣＳ接続枚数計算ツール!$C$108&gt;=R$3,HUAWEI製ＰＣＳ接続枚数計算ツール!$E$108&lt;=R$3,枚数!R17&gt;0),枚数!R17,IF(AND(低温可否!R17=1,HUAWEI製ＰＣＳ接続枚数計算ツール!$C$108&gt;=R$3,枚数!R17&gt;0,低電圧接続!R17&gt;0),枚数!R17,"-"))</f>
        <v>#VALUE!</v>
      </c>
      <c r="S18" s="123" t="e">
        <f>Z1*IF(AND(高温可否!S17=1,低温可否!S17=1,HUAWEI製ＰＣＳ接続枚数計算ツール!$C$108&gt;=S$3,HUAWEI製ＰＣＳ接続枚数計算ツール!$E$108&lt;=S$3,枚数!S17&gt;0),枚数!S17,IF(AND(低温可否!S17=1,HUAWEI製ＰＣＳ接続枚数計算ツール!$C$108&gt;=S$3,枚数!S17&gt;0,低電圧接続!S17&gt;0),枚数!S17,"-"))</f>
        <v>#VALUE!</v>
      </c>
      <c r="T18" s="124" t="e">
        <f>Z1*IF(AND(高温可否!T17=1,低温可否!T17=1,HUAWEI製ＰＣＳ接続枚数計算ツール!$C$108&gt;=T$3,HUAWEI製ＰＣＳ接続枚数計算ツール!$E$108&lt;=T$3,枚数!T17&gt;0),枚数!T17,IF(AND(低温可否!T17=1,HUAWEI製ＰＣＳ接続枚数計算ツール!$C$108&gt;=T$3,枚数!T17&gt;0,低電圧接続!T17&gt;0),枚数!T17,"-"))</f>
        <v>#VALUE!</v>
      </c>
      <c r="U18" s="123" t="e">
        <f>Z1*IF(AND(高温可否!U17=1,低温可否!U17=1,HUAWEI製ＰＣＳ接続枚数計算ツール!$C$108&gt;=U$3,HUAWEI製ＰＣＳ接続枚数計算ツール!$E$108&lt;=U$3,枚数!U17&gt;0),枚数!U17,IF(AND(低温可否!U17=1,HUAWEI製ＰＣＳ接続枚数計算ツール!$C$108&gt;=U$3,枚数!U17&gt;0,低電圧接続!U17&gt;0),枚数!U17,"-"))</f>
        <v>#VALUE!</v>
      </c>
      <c r="V18" s="124">
        <f>Z1*IF(AND(高温可否!V17=1,低温可否!V17=1,HUAWEI製ＰＣＳ接続枚数計算ツール!$C$108&gt;=V$3,HUAWEI製ＰＣＳ接続枚数計算ツール!$E$108&lt;=V$3,枚数!V17&gt;0),枚数!V17,IF(AND(低温可否!V17=1,HUAWEI製ＰＣＳ接続枚数計算ツール!$C$108&gt;=V$3,枚数!V17&gt;0,低電圧接続!V17&gt;0),枚数!V17,"-"))</f>
        <v>630</v>
      </c>
      <c r="W18" s="123">
        <f>Z1*IF(AND(高温可否!W17=1,低温可否!W17=1,HUAWEI製ＰＣＳ接続枚数計算ツール!$C$108&gt;=W$3,HUAWEI製ＰＣＳ接続枚数計算ツール!$E$108&lt;=W$3,枚数!W17&gt;0),枚数!W17,IF(AND(低温可否!W17=1,HUAWEI製ＰＣＳ接続枚数計算ツール!$C$108&gt;=W$3,枚数!W17&gt;0,低電圧接続!W17&gt;0),枚数!W17,"-"))</f>
        <v>660</v>
      </c>
      <c r="X18" s="124" t="e">
        <f>Z1*IF(AND(高温可否!X17=1,低温可否!X17=1,HUAWEI製ＰＣＳ接続枚数計算ツール!$C$108&gt;=X$3,HUAWEI製ＰＣＳ接続枚数計算ツール!$E$108&lt;=X$3,枚数!X17&gt;0),枚数!X17,IF(AND(低温可否!X17=1,HUAWEI製ＰＣＳ接続枚数計算ツール!$C$108&gt;=X$3,枚数!X17&gt;0,低電圧接続!X17&gt;0),枚数!X17,"-"))</f>
        <v>#VALUE!</v>
      </c>
      <c r="Y18" s="123" t="e">
        <f>Z1*IF(AND(高温可否!Y17=1,低温可否!Y17=1,HUAWEI製ＰＣＳ接続枚数計算ツール!$C$108&gt;=Y$3,HUAWEI製ＰＣＳ接続枚数計算ツール!$E$108&lt;=Y$3,枚数!Y17&gt;0),枚数!Y17,IF(AND(低温可否!Y17=1,HUAWEI製ＰＣＳ接続枚数計算ツール!$C$108&gt;=Y$3,枚数!Y17&gt;0,低電圧接続!Y17&gt;0),枚数!Y17,"-"))</f>
        <v>#VALUE!</v>
      </c>
      <c r="Z18" s="124" t="e">
        <f>Z1*IF(AND(高温可否!Z17=1,低温可否!Z17=1,HUAWEI製ＰＣＳ接続枚数計算ツール!$C$108&gt;=Z$3,HUAWEI製ＰＣＳ接続枚数計算ツール!$E$108&lt;=Z$3,枚数!Z17&gt;0),枚数!Z17,IF(AND(低温可否!Z17=1,HUAWEI製ＰＣＳ接続枚数計算ツール!$C$108&gt;=Z$3,枚数!Z17&gt;0,低電圧接続!Z17&gt;0),枚数!Z17,"-"))</f>
        <v>#VALUE!</v>
      </c>
      <c r="AA18" s="123" t="e">
        <f>Z1*IF(AND(高温可否!AA17=1,低温可否!AA17=1,HUAWEI製ＰＣＳ接続枚数計算ツール!$C$108&gt;=AA$3,HUAWEI製ＰＣＳ接続枚数計算ツール!$E$108&lt;=AA$3,枚数!AA17&gt;0),枚数!AA17,IF(AND(低温可否!AA17=1,HUAWEI製ＰＣＳ接続枚数計算ツール!$C$108&gt;=AA$3,枚数!AA17&gt;0,低電圧接続!AA17&gt;0),枚数!AA17,"-"))</f>
        <v>#VALUE!</v>
      </c>
      <c r="AB18" s="124" t="e">
        <f>Z1*IF(AND(高温可否!AB17=1,低温可否!AB17=1,HUAWEI製ＰＣＳ接続枚数計算ツール!$C$108&gt;=AB$3,HUAWEI製ＰＣＳ接続枚数計算ツール!$E$108&lt;=AB$3,枚数!AB17&gt;0),枚数!AB17,IF(AND(低温可否!AB17=1,HUAWEI製ＰＣＳ接続枚数計算ツール!$C$108&gt;=AB$3,枚数!AB17&gt;0,低電圧接続!AB17&gt;0),枚数!AB17,"-"))</f>
        <v>#VALUE!</v>
      </c>
      <c r="AC18" s="123" t="e">
        <f>Z1*IF(AND(高温可否!AC17=1,低温可否!AC17=1,HUAWEI製ＰＣＳ接続枚数計算ツール!$C$108&gt;=AC$3,HUAWEI製ＰＣＳ接続枚数計算ツール!$E$108&lt;=AC$3,枚数!AC17&gt;0),枚数!AC17,IF(AND(低温可否!AC17=1,HUAWEI製ＰＣＳ接続枚数計算ツール!$C$108&gt;=AC$3,枚数!AC17&gt;0,低電圧接続!AC17&gt;0),枚数!AC17,"-"))</f>
        <v>#VALUE!</v>
      </c>
      <c r="AD18" s="124" t="e">
        <f>Z1*IF(AND(高温可否!AD17=1,低温可否!AD17=1,HUAWEI製ＰＣＳ接続枚数計算ツール!$C$108&gt;=AD$3,HUAWEI製ＰＣＳ接続枚数計算ツール!$E$108&lt;=AD$3,枚数!AD17&gt;0),枚数!AD17,IF(AND(低温可否!AD17=1,HUAWEI製ＰＣＳ接続枚数計算ツール!$C$108&gt;=AD$3,枚数!AD17&gt;0,低電圧接続!AD17&gt;0),枚数!AD17,"-"))</f>
        <v>#VALUE!</v>
      </c>
      <c r="AE18" s="123" t="e">
        <f>Z1*IF(AND(高温可否!AE17=1,低温可否!AE17=1,HUAWEI製ＰＣＳ接続枚数計算ツール!$C$108&gt;=AE$3,HUAWEI製ＰＣＳ接続枚数計算ツール!$E$108&lt;=AE$3,枚数!AE17&gt;0),枚数!AE17,IF(AND(低温可否!AE17=1,HUAWEI製ＰＣＳ接続枚数計算ツール!$C$108&gt;=AE$3,枚数!AE17&gt;0,低電圧接続!AE17&gt;0),枚数!AE17,"-"))</f>
        <v>#VALUE!</v>
      </c>
      <c r="AF18" s="124" t="e">
        <f>Z1*IF(AND(高温可否!AF17=1,低温可否!AF17=1,HUAWEI製ＰＣＳ接続枚数計算ツール!$C$108&gt;=AF$3,HUAWEI製ＰＣＳ接続枚数計算ツール!$E$108&lt;=AF$3,枚数!AF17&gt;0),枚数!AF17,IF(AND(低温可否!AF17=1,HUAWEI製ＰＣＳ接続枚数計算ツール!$C$108&gt;=AF$3,枚数!AF17&gt;0,低電圧接続!AF17&gt;0),枚数!AF17,"-"))</f>
        <v>#VALUE!</v>
      </c>
      <c r="AG18" s="123" t="e">
        <f>Z1*IF(AND(高温可否!AG17=1,低温可否!AG17=1,HUAWEI製ＰＣＳ接続枚数計算ツール!$C$108&gt;=AG$3,HUAWEI製ＰＣＳ接続枚数計算ツール!$E$108&lt;=AG$3,枚数!AG17&gt;0),枚数!AG17,IF(AND(低温可否!AG17=1,HUAWEI製ＰＣＳ接続枚数計算ツール!$C$108&gt;=AG$3,枚数!AG17&gt;0,低電圧接続!AG17&gt;0),枚数!AG17,"-"))</f>
        <v>#VALUE!</v>
      </c>
      <c r="AH18" s="124" t="e">
        <f>Z1*IF(AND(高温可否!AH17=1,低温可否!AH17=1,HUAWEI製ＰＣＳ接続枚数計算ツール!$C$108&gt;=AH$3,HUAWEI製ＰＣＳ接続枚数計算ツール!$E$108&lt;=AH$3,枚数!AH17&gt;0),枚数!AH17,IF(AND(低温可否!AH17=1,HUAWEI製ＰＣＳ接続枚数計算ツール!$C$108&gt;=AH$3,枚数!AH17&gt;0,低電圧接続!AH17&gt;0),枚数!AH17,"-"))</f>
        <v>#VALUE!</v>
      </c>
      <c r="AI18" s="123" t="e">
        <f>Z1*IF(AND(高温可否!AI17=1,低温可否!AI17=1,HUAWEI製ＰＣＳ接続枚数計算ツール!$C$108&gt;=AI$3,HUAWEI製ＰＣＳ接続枚数計算ツール!$E$108&lt;=AI$3,枚数!AI17&gt;0),枚数!AI17,IF(AND(低温可否!AI17=1,HUAWEI製ＰＣＳ接続枚数計算ツール!$C$108&gt;=AI$3,枚数!AI17&gt;0,低電圧接続!AI17&gt;0),枚数!AI17,"-"))</f>
        <v>#VALUE!</v>
      </c>
      <c r="AJ18" s="124" t="e">
        <f>Z1*IF(AND(高温可否!AJ17=1,低温可否!AJ17=1,HUAWEI製ＰＣＳ接続枚数計算ツール!$C$108&gt;=AJ$3,HUAWEI製ＰＣＳ接続枚数計算ツール!$E$108&lt;=AJ$3,枚数!AJ17&gt;0),枚数!AJ17,IF(AND(低温可否!AJ17=1,HUAWEI製ＰＣＳ接続枚数計算ツール!$C$108&gt;=AJ$3,枚数!AJ17&gt;0,低電圧接続!AJ17&gt;0),枚数!AJ17,"-"))</f>
        <v>#VALUE!</v>
      </c>
      <c r="AK18" s="123" t="e">
        <f>Z1*IF(AND(高温可否!AK17=1,低温可否!AK17=1,HUAWEI製ＰＣＳ接続枚数計算ツール!$C$108&gt;=AK$3,HUAWEI製ＰＣＳ接続枚数計算ツール!$E$108&lt;=AK$3,枚数!AK17&gt;0),枚数!AK17,IF(AND(低温可否!AK17=1,HUAWEI製ＰＣＳ接続枚数計算ツール!$C$108&gt;=AK$3,枚数!AK17&gt;0,低電圧接続!AK17&gt;0),枚数!AK17,"-"))</f>
        <v>#VALUE!</v>
      </c>
      <c r="AL18" s="124" t="e">
        <f>Z1*IF(AND(高温可否!AL17=1,低温可否!AL17=1,HUAWEI製ＰＣＳ接続枚数計算ツール!$C$108&gt;=AL$3,HUAWEI製ＰＣＳ接続枚数計算ツール!$E$108&lt;=AL$3,枚数!AL17&gt;0),枚数!AL17,IF(AND(低温可否!AL17=1,HUAWEI製ＰＣＳ接続枚数計算ツール!$C$108&gt;=AL$3,枚数!AL17&gt;0,低電圧接続!AL17&gt;0),枚数!AL17,"-"))</f>
        <v>#VALUE!</v>
      </c>
      <c r="AM18" s="123" t="e">
        <f>Z1*IF(AND(高温可否!AM17=1,低温可否!AM17=1,HUAWEI製ＰＣＳ接続枚数計算ツール!$C$108&gt;=AM$3,HUAWEI製ＰＣＳ接続枚数計算ツール!$E$108&lt;=AM$3,枚数!AM17&gt;0),枚数!AM17,IF(AND(低温可否!AM17=1,HUAWEI製ＰＣＳ接続枚数計算ツール!$C$108&gt;=AM$3,枚数!AM17&gt;0,低電圧接続!AM17&gt;0),枚数!AM17,"-"))</f>
        <v>#VALUE!</v>
      </c>
      <c r="AN18" s="124" t="e">
        <f>Z1*IF(AND(高温可否!AN17=1,低温可否!AN17=1,HUAWEI製ＰＣＳ接続枚数計算ツール!$C$108&gt;=AN$3,HUAWEI製ＰＣＳ接続枚数計算ツール!$E$108&lt;=AN$3,枚数!AN17&gt;0),枚数!AN17,IF(AND(低温可否!AN17=1,HUAWEI製ＰＣＳ接続枚数計算ツール!$C$108&gt;=AN$3,枚数!AN17&gt;0,低電圧接続!AN17&gt;0),枚数!AN17,"-"))</f>
        <v>#VALUE!</v>
      </c>
      <c r="AO18" s="125" t="e">
        <f>Z1*IF(AND(高温可否!AO17=1,低温可否!AO17=1,HUAWEI製ＰＣＳ接続枚数計算ツール!$C$108&gt;=AO$3,HUAWEI製ＰＣＳ接続枚数計算ツール!$E$108&lt;=AO$3,枚数!AO17&gt;0),枚数!AO17,IF(AND(低温可否!AO17=1,HUAWEI製ＰＣＳ接続枚数計算ツール!$C$108&gt;=AO$3,枚数!AO17&gt;0,低電圧接続!AO17&gt;0),枚数!AO17,"-"))</f>
        <v>#VALUE!</v>
      </c>
    </row>
    <row r="19" spans="1:41">
      <c r="A19" s="115">
        <v>16</v>
      </c>
      <c r="B19" s="126" t="e">
        <f>Z1*IF(AND(高温可否!B18=1,低温可否!B18=1,HUAWEI製ＰＣＳ接続枚数計算ツール!$C$108&gt;=B$3,HUAWEI製ＰＣＳ接続枚数計算ツール!$E$108&lt;=B$3,枚数!B18&gt;0),枚数!B18,IF(AND(低温可否!B18=1,HUAWEI製ＰＣＳ接続枚数計算ツール!$C$108&gt;=B$3,枚数!B18&gt;0,低電圧接続!B18&gt;0),枚数!B18,"-"))</f>
        <v>#VALUE!</v>
      </c>
      <c r="C19" s="127" t="e">
        <f>Z1*IF(AND(高温可否!C18=1,低温可否!C18=1,HUAWEI製ＰＣＳ接続枚数計算ツール!$C$108&gt;=C$3,HUAWEI製ＰＣＳ接続枚数計算ツール!$E$108&lt;=C$3,枚数!C18&gt;0),枚数!C18,IF(AND(低温可否!C18=1,HUAWEI製ＰＣＳ接続枚数計算ツール!$C$108&gt;=C$3,枚数!C18&gt;0,低電圧接続!C18&gt;0),枚数!C18,"-"))</f>
        <v>#VALUE!</v>
      </c>
      <c r="D19" s="128" t="e">
        <f>Z1*IF(AND(高温可否!D18=1,低温可否!D18=1,HUAWEI製ＰＣＳ接続枚数計算ツール!$C$108&gt;=D$3,HUAWEI製ＰＣＳ接続枚数計算ツール!$E$108&lt;=D$3,枚数!D18&gt;0),枚数!D18,IF(AND(低温可否!D18=1,HUAWEI製ＰＣＳ接続枚数計算ツール!$C$108&gt;=D$3,枚数!D18&gt;0,低電圧接続!D18&gt;0),枚数!D18,"-"))</f>
        <v>#VALUE!</v>
      </c>
      <c r="E19" s="127" t="e">
        <f>Z1*IF(AND(高温可否!E18=1,低温可否!E18=1,HUAWEI製ＰＣＳ接続枚数計算ツール!$C$108&gt;=E$3,HUAWEI製ＰＣＳ接続枚数計算ツール!$E$108&lt;=E$3,枚数!E18&gt;0),枚数!E18,IF(AND(低温可否!E18=1,HUAWEI製ＰＣＳ接続枚数計算ツール!$C$108&gt;=E$3,枚数!E18&gt;0,低電圧接続!E18&gt;0),枚数!E18,"-"))</f>
        <v>#VALUE!</v>
      </c>
      <c r="F19" s="128" t="e">
        <f>Z1*IF(AND(高温可否!F18=1,低温可否!F18=1,HUAWEI製ＰＣＳ接続枚数計算ツール!$C$108&gt;=F$3,HUAWEI製ＰＣＳ接続枚数計算ツール!$E$108&lt;=F$3,枚数!F18&gt;0),枚数!F18,IF(AND(低温可否!F18=1,HUAWEI製ＰＣＳ接続枚数計算ツール!$C$108&gt;=F$3,枚数!F18&gt;0,低電圧接続!F18&gt;0),枚数!F18,"-"))</f>
        <v>#VALUE!</v>
      </c>
      <c r="G19" s="127" t="e">
        <f>Z1*IF(AND(高温可否!G18=1,低温可否!G18=1,HUAWEI製ＰＣＳ接続枚数計算ツール!$C$108&gt;=G$3,HUAWEI製ＰＣＳ接続枚数計算ツール!$E$108&lt;=G$3,枚数!G18&gt;0),枚数!G18,IF(AND(低温可否!G18=1,HUAWEI製ＰＣＳ接続枚数計算ツール!$C$108&gt;=G$3,枚数!G18&gt;0,低電圧接続!G18&gt;0),枚数!G18,"-"))</f>
        <v>#VALUE!</v>
      </c>
      <c r="H19" s="128" t="e">
        <f>Z1*IF(AND(高温可否!H18=1,低温可否!H18=1,HUAWEI製ＰＣＳ接続枚数計算ツール!$C$108&gt;=H$3,HUAWEI製ＰＣＳ接続枚数計算ツール!$E$108&lt;=H$3,枚数!H18&gt;0),枚数!H18,IF(AND(低温可否!H18=1,HUAWEI製ＰＣＳ接続枚数計算ツール!$C$108&gt;=H$3,枚数!H18&gt;0,低電圧接続!H18&gt;0),枚数!H18,"-"))</f>
        <v>#VALUE!</v>
      </c>
      <c r="I19" s="127" t="e">
        <f>Z1*IF(AND(高温可否!I18=1,低温可否!I18=1,HUAWEI製ＰＣＳ接続枚数計算ツール!$C$108&gt;=I$3,HUAWEI製ＰＣＳ接続枚数計算ツール!$E$108&lt;=I$3,枚数!I18&gt;0),枚数!I18,IF(AND(低温可否!I18=1,HUAWEI製ＰＣＳ接続枚数計算ツール!$C$108&gt;=I$3,枚数!I18&gt;0,低電圧接続!I18&gt;0),枚数!I18,"-"))</f>
        <v>#VALUE!</v>
      </c>
      <c r="J19" s="128" t="e">
        <f>Z1*IF(AND(高温可否!J18=1,低温可否!J18=1,HUAWEI製ＰＣＳ接続枚数計算ツール!$C$108&gt;=J$3,HUAWEI製ＰＣＳ接続枚数計算ツール!$E$108&lt;=J$3,枚数!J18&gt;0),枚数!J18,IF(AND(低温可否!J18=1,HUAWEI製ＰＣＳ接続枚数計算ツール!$C$108&gt;=J$3,枚数!J18&gt;0,低電圧接続!J18&gt;0),枚数!J18,"-"))</f>
        <v>#VALUE!</v>
      </c>
      <c r="K19" s="127" t="e">
        <f>Z1*IF(AND(高温可否!K18=1,低温可否!K18=1,HUAWEI製ＰＣＳ接続枚数計算ツール!$C$108&gt;=K$3,HUAWEI製ＰＣＳ接続枚数計算ツール!$E$108&lt;=K$3,枚数!K18&gt;0),枚数!K18,IF(AND(低温可否!K18=1,HUAWEI製ＰＣＳ接続枚数計算ツール!$C$108&gt;=K$3,枚数!K18&gt;0,低電圧接続!K18&gt;0),枚数!K18,"-"))</f>
        <v>#VALUE!</v>
      </c>
      <c r="L19" s="128" t="e">
        <f>Z1*IF(AND(高温可否!L18=1,低温可否!L18=1,HUAWEI製ＰＣＳ接続枚数計算ツール!$C$108&gt;=L$3,HUAWEI製ＰＣＳ接続枚数計算ツール!$E$108&lt;=L$3,枚数!L18&gt;0),枚数!L18,IF(AND(低温可否!L18=1,HUAWEI製ＰＣＳ接続枚数計算ツール!$C$108&gt;=L$3,枚数!L18&gt;0,低電圧接続!L18&gt;0),枚数!L18,"-"))</f>
        <v>#VALUE!</v>
      </c>
      <c r="M19" s="127" t="e">
        <f>Z1*IF(AND(高温可否!M18=1,低温可否!M18=1,HUAWEI製ＰＣＳ接続枚数計算ツール!$C$108&gt;=M$3,HUAWEI製ＰＣＳ接続枚数計算ツール!$E$108&lt;=M$3,枚数!M18&gt;0),枚数!M18,IF(AND(低温可否!M18=1,HUAWEI製ＰＣＳ接続枚数計算ツール!$C$108&gt;=M$3,枚数!M18&gt;0,低電圧接続!M18&gt;0),枚数!M18,"-"))</f>
        <v>#VALUE!</v>
      </c>
      <c r="N19" s="128" t="e">
        <f>Z1*IF(AND(高温可否!N18=1,低温可否!N18=1,HUAWEI製ＰＣＳ接続枚数計算ツール!$C$108&gt;=N$3,HUAWEI製ＰＣＳ接続枚数計算ツール!$E$108&lt;=N$3,枚数!N18&gt;0),枚数!N18,IF(AND(低温可否!N18=1,HUAWEI製ＰＣＳ接続枚数計算ツール!$C$108&gt;=N$3,枚数!N18&gt;0,低電圧接続!N18&gt;0),枚数!N18,"-"))</f>
        <v>#VALUE!</v>
      </c>
      <c r="O19" s="127" t="e">
        <f>Z1*IF(AND(高温可否!O18=1,低温可否!O18=1,HUAWEI製ＰＣＳ接続枚数計算ツール!$C$108&gt;=O$3,HUAWEI製ＰＣＳ接続枚数計算ツール!$E$108&lt;=O$3,枚数!O18&gt;0),枚数!O18,IF(AND(低温可否!O18=1,HUAWEI製ＰＣＳ接続枚数計算ツール!$C$108&gt;=O$3,枚数!O18&gt;0,低電圧接続!O18&gt;0),枚数!O18,"-"))</f>
        <v>#VALUE!</v>
      </c>
      <c r="P19" s="128" t="e">
        <f>Z1*IF(AND(高温可否!P18=1,低温可否!P18=1,HUAWEI製ＰＣＳ接続枚数計算ツール!$C$108&gt;=P$3,HUAWEI製ＰＣＳ接続枚数計算ツール!$E$108&lt;=P$3,枚数!P18&gt;0),枚数!P18,IF(AND(低温可否!P18=1,HUAWEI製ＰＣＳ接続枚数計算ツール!$C$108&gt;=P$3,枚数!P18&gt;0,低電圧接続!P18&gt;0),枚数!P18,"-"))</f>
        <v>#VALUE!</v>
      </c>
      <c r="Q19" s="127" t="e">
        <f>Z1*IF(AND(高温可否!Q18=1,低温可否!Q18=1,HUAWEI製ＰＣＳ接続枚数計算ツール!$C$108&gt;=Q$3,HUAWEI製ＰＣＳ接続枚数計算ツール!$E$108&lt;=Q$3,枚数!Q18&gt;0),枚数!Q18,IF(AND(低温可否!Q18=1,HUAWEI製ＰＣＳ接続枚数計算ツール!$C$108&gt;=Q$3,枚数!Q18&gt;0,低電圧接続!Q18&gt;0),枚数!Q18,"-"))</f>
        <v>#VALUE!</v>
      </c>
      <c r="R19" s="128" t="e">
        <f>Z1*IF(AND(高温可否!R18=1,低温可否!R18=1,HUAWEI製ＰＣＳ接続枚数計算ツール!$C$108&gt;=R$3,HUAWEI製ＰＣＳ接続枚数計算ツール!$E$108&lt;=R$3,枚数!R18&gt;0),枚数!R18,IF(AND(低温可否!R18=1,HUAWEI製ＰＣＳ接続枚数計算ツール!$C$108&gt;=R$3,枚数!R18&gt;0,低電圧接続!R18&gt;0),枚数!R18,"-"))</f>
        <v>#VALUE!</v>
      </c>
      <c r="S19" s="127" t="e">
        <f>Z1*IF(AND(高温可否!S18=1,低温可否!S18=1,HUAWEI製ＰＣＳ接続枚数計算ツール!$C$108&gt;=S$3,HUAWEI製ＰＣＳ接続枚数計算ツール!$E$108&lt;=S$3,枚数!S18&gt;0),枚数!S18,IF(AND(低温可否!S18=1,HUAWEI製ＰＣＳ接続枚数計算ツール!$C$108&gt;=S$3,枚数!S18&gt;0,低電圧接続!S18&gt;0),枚数!S18,"-"))</f>
        <v>#VALUE!</v>
      </c>
      <c r="T19" s="128" t="e">
        <f>Z1*IF(AND(高温可否!T18=1,低温可否!T18=1,HUAWEI製ＰＣＳ接続枚数計算ツール!$C$108&gt;=T$3,HUAWEI製ＰＣＳ接続枚数計算ツール!$E$108&lt;=T$3,枚数!T18&gt;0),枚数!T18,IF(AND(低温可否!T18=1,HUAWEI製ＰＣＳ接続枚数計算ツール!$C$108&gt;=T$3,枚数!T18&gt;0,低電圧接続!T18&gt;0),枚数!T18,"-"))</f>
        <v>#VALUE!</v>
      </c>
      <c r="U19" s="127" t="e">
        <f>Z1*IF(AND(高温可否!U18=1,低温可否!U18=1,HUAWEI製ＰＣＳ接続枚数計算ツール!$C$108&gt;=U$3,HUAWEI製ＰＣＳ接続枚数計算ツール!$E$108&lt;=U$3,枚数!U18&gt;0),枚数!U18,IF(AND(低温可否!U18=1,HUAWEI製ＰＣＳ接続枚数計算ツール!$C$108&gt;=U$3,枚数!U18&gt;0,低電圧接続!U18&gt;0),枚数!U18,"-"))</f>
        <v>#VALUE!</v>
      </c>
      <c r="V19" s="128">
        <f>Z1*IF(AND(高温可否!V18=1,低温可否!V18=1,HUAWEI製ＰＣＳ接続枚数計算ツール!$C$108&gt;=V$3,HUAWEI製ＰＣＳ接続枚数計算ツール!$E$108&lt;=V$3,枚数!V18&gt;0),枚数!V18,IF(AND(低温可否!V18=1,HUAWEI製ＰＣＳ接続枚数計算ツール!$C$108&gt;=V$3,枚数!V18&gt;0,低電圧接続!V18&gt;0),枚数!V18,"-"))</f>
        <v>672</v>
      </c>
      <c r="W19" s="127" t="e">
        <f>Z1*IF(AND(高温可否!W18=1,低温可否!W18=1,HUAWEI製ＰＣＳ接続枚数計算ツール!$C$108&gt;=W$3,HUAWEI製ＰＣＳ接続枚数計算ツール!$E$108&lt;=W$3,枚数!W18&gt;0),枚数!W18,IF(AND(低温可否!W18=1,HUAWEI製ＰＣＳ接続枚数計算ツール!$C$108&gt;=W$3,枚数!W18&gt;0,低電圧接続!W18&gt;0),枚数!W18,"-"))</f>
        <v>#VALUE!</v>
      </c>
      <c r="X19" s="128" t="e">
        <f>Z1*IF(AND(高温可否!X18=1,低温可否!X18=1,HUAWEI製ＰＣＳ接続枚数計算ツール!$C$108&gt;=X$3,HUAWEI製ＰＣＳ接続枚数計算ツール!$E$108&lt;=X$3,枚数!X18&gt;0),枚数!X18,IF(AND(低温可否!X18=1,HUAWEI製ＰＣＳ接続枚数計算ツール!$C$108&gt;=X$3,枚数!X18&gt;0,低電圧接続!X18&gt;0),枚数!X18,"-"))</f>
        <v>#VALUE!</v>
      </c>
      <c r="Y19" s="127" t="e">
        <f>Z1*IF(AND(高温可否!Y18=1,低温可否!Y18=1,HUAWEI製ＰＣＳ接続枚数計算ツール!$C$108&gt;=Y$3,HUAWEI製ＰＣＳ接続枚数計算ツール!$E$108&lt;=Y$3,枚数!Y18&gt;0),枚数!Y18,IF(AND(低温可否!Y18=1,HUAWEI製ＰＣＳ接続枚数計算ツール!$C$108&gt;=Y$3,枚数!Y18&gt;0,低電圧接続!Y18&gt;0),枚数!Y18,"-"))</f>
        <v>#VALUE!</v>
      </c>
      <c r="Z19" s="128" t="e">
        <f>Z1*IF(AND(高温可否!Z18=1,低温可否!Z18=1,HUAWEI製ＰＣＳ接続枚数計算ツール!$C$108&gt;=Z$3,HUAWEI製ＰＣＳ接続枚数計算ツール!$E$108&lt;=Z$3,枚数!Z18&gt;0),枚数!Z18,IF(AND(低温可否!Z18=1,HUAWEI製ＰＣＳ接続枚数計算ツール!$C$108&gt;=Z$3,枚数!Z18&gt;0,低電圧接続!Z18&gt;0),枚数!Z18,"-"))</f>
        <v>#VALUE!</v>
      </c>
      <c r="AA19" s="127" t="e">
        <f>Z1*IF(AND(高温可否!AA18=1,低温可否!AA18=1,HUAWEI製ＰＣＳ接続枚数計算ツール!$C$108&gt;=AA$3,HUAWEI製ＰＣＳ接続枚数計算ツール!$E$108&lt;=AA$3,枚数!AA18&gt;0),枚数!AA18,IF(AND(低温可否!AA18=1,HUAWEI製ＰＣＳ接続枚数計算ツール!$C$108&gt;=AA$3,枚数!AA18&gt;0,低電圧接続!AA18&gt;0),枚数!AA18,"-"))</f>
        <v>#VALUE!</v>
      </c>
      <c r="AB19" s="128" t="e">
        <f>Z1*IF(AND(高温可否!AB18=1,低温可否!AB18=1,HUAWEI製ＰＣＳ接続枚数計算ツール!$C$108&gt;=AB$3,HUAWEI製ＰＣＳ接続枚数計算ツール!$E$108&lt;=AB$3,枚数!AB18&gt;0),枚数!AB18,IF(AND(低温可否!AB18=1,HUAWEI製ＰＣＳ接続枚数計算ツール!$C$108&gt;=AB$3,枚数!AB18&gt;0,低電圧接続!AB18&gt;0),枚数!AB18,"-"))</f>
        <v>#VALUE!</v>
      </c>
      <c r="AC19" s="127" t="e">
        <f>Z1*IF(AND(高温可否!AC18=1,低温可否!AC18=1,HUAWEI製ＰＣＳ接続枚数計算ツール!$C$108&gt;=AC$3,HUAWEI製ＰＣＳ接続枚数計算ツール!$E$108&lt;=AC$3,枚数!AC18&gt;0),枚数!AC18,IF(AND(低温可否!AC18=1,HUAWEI製ＰＣＳ接続枚数計算ツール!$C$108&gt;=AC$3,枚数!AC18&gt;0,低電圧接続!AC18&gt;0),枚数!AC18,"-"))</f>
        <v>#VALUE!</v>
      </c>
      <c r="AD19" s="128" t="e">
        <f>Z1*IF(AND(高温可否!AD18=1,低温可否!AD18=1,HUAWEI製ＰＣＳ接続枚数計算ツール!$C$108&gt;=AD$3,HUAWEI製ＰＣＳ接続枚数計算ツール!$E$108&lt;=AD$3,枚数!AD18&gt;0),枚数!AD18,IF(AND(低温可否!AD18=1,HUAWEI製ＰＣＳ接続枚数計算ツール!$C$108&gt;=AD$3,枚数!AD18&gt;0,低電圧接続!AD18&gt;0),枚数!AD18,"-"))</f>
        <v>#VALUE!</v>
      </c>
      <c r="AE19" s="127" t="e">
        <f>Z1*IF(AND(高温可否!AE18=1,低温可否!AE18=1,HUAWEI製ＰＣＳ接続枚数計算ツール!$C$108&gt;=AE$3,HUAWEI製ＰＣＳ接続枚数計算ツール!$E$108&lt;=AE$3,枚数!AE18&gt;0),枚数!AE18,IF(AND(低温可否!AE18=1,HUAWEI製ＰＣＳ接続枚数計算ツール!$C$108&gt;=AE$3,枚数!AE18&gt;0,低電圧接続!AE18&gt;0),枚数!AE18,"-"))</f>
        <v>#VALUE!</v>
      </c>
      <c r="AF19" s="128" t="e">
        <f>Z1*IF(AND(高温可否!AF18=1,低温可否!AF18=1,HUAWEI製ＰＣＳ接続枚数計算ツール!$C$108&gt;=AF$3,HUAWEI製ＰＣＳ接続枚数計算ツール!$E$108&lt;=AF$3,枚数!AF18&gt;0),枚数!AF18,IF(AND(低温可否!AF18=1,HUAWEI製ＰＣＳ接続枚数計算ツール!$C$108&gt;=AF$3,枚数!AF18&gt;0,低電圧接続!AF18&gt;0),枚数!AF18,"-"))</f>
        <v>#VALUE!</v>
      </c>
      <c r="AG19" s="127" t="e">
        <f>Z1*IF(AND(高温可否!AG18=1,低温可否!AG18=1,HUAWEI製ＰＣＳ接続枚数計算ツール!$C$108&gt;=AG$3,HUAWEI製ＰＣＳ接続枚数計算ツール!$E$108&lt;=AG$3,枚数!AG18&gt;0),枚数!AG18,IF(AND(低温可否!AG18=1,HUAWEI製ＰＣＳ接続枚数計算ツール!$C$108&gt;=AG$3,枚数!AG18&gt;0,低電圧接続!AG18&gt;0),枚数!AG18,"-"))</f>
        <v>#VALUE!</v>
      </c>
      <c r="AH19" s="128" t="e">
        <f>Z1*IF(AND(高温可否!AH18=1,低温可否!AH18=1,HUAWEI製ＰＣＳ接続枚数計算ツール!$C$108&gt;=AH$3,HUAWEI製ＰＣＳ接続枚数計算ツール!$E$108&lt;=AH$3,枚数!AH18&gt;0),枚数!AH18,IF(AND(低温可否!AH18=1,HUAWEI製ＰＣＳ接続枚数計算ツール!$C$108&gt;=AH$3,枚数!AH18&gt;0,低電圧接続!AH18&gt;0),枚数!AH18,"-"))</f>
        <v>#VALUE!</v>
      </c>
      <c r="AI19" s="127" t="e">
        <f>Z1*IF(AND(高温可否!AI18=1,低温可否!AI18=1,HUAWEI製ＰＣＳ接続枚数計算ツール!$C$108&gt;=AI$3,HUAWEI製ＰＣＳ接続枚数計算ツール!$E$108&lt;=AI$3,枚数!AI18&gt;0),枚数!AI18,IF(AND(低温可否!AI18=1,HUAWEI製ＰＣＳ接続枚数計算ツール!$C$108&gt;=AI$3,枚数!AI18&gt;0,低電圧接続!AI18&gt;0),枚数!AI18,"-"))</f>
        <v>#VALUE!</v>
      </c>
      <c r="AJ19" s="128" t="e">
        <f>Z1*IF(AND(高温可否!AJ18=1,低温可否!AJ18=1,HUAWEI製ＰＣＳ接続枚数計算ツール!$C$108&gt;=AJ$3,HUAWEI製ＰＣＳ接続枚数計算ツール!$E$108&lt;=AJ$3,枚数!AJ18&gt;0),枚数!AJ18,IF(AND(低温可否!AJ18=1,HUAWEI製ＰＣＳ接続枚数計算ツール!$C$108&gt;=AJ$3,枚数!AJ18&gt;0,低電圧接続!AJ18&gt;0),枚数!AJ18,"-"))</f>
        <v>#VALUE!</v>
      </c>
      <c r="AK19" s="127" t="e">
        <f>Z1*IF(AND(高温可否!AK18=1,低温可否!AK18=1,HUAWEI製ＰＣＳ接続枚数計算ツール!$C$108&gt;=AK$3,HUAWEI製ＰＣＳ接続枚数計算ツール!$E$108&lt;=AK$3,枚数!AK18&gt;0),枚数!AK18,IF(AND(低温可否!AK18=1,HUAWEI製ＰＣＳ接続枚数計算ツール!$C$108&gt;=AK$3,枚数!AK18&gt;0,低電圧接続!AK18&gt;0),枚数!AK18,"-"))</f>
        <v>#VALUE!</v>
      </c>
      <c r="AL19" s="128" t="e">
        <f>Z1*IF(AND(高温可否!AL18=1,低温可否!AL18=1,HUAWEI製ＰＣＳ接続枚数計算ツール!$C$108&gt;=AL$3,HUAWEI製ＰＣＳ接続枚数計算ツール!$E$108&lt;=AL$3,枚数!AL18&gt;0),枚数!AL18,IF(AND(低温可否!AL18=1,HUAWEI製ＰＣＳ接続枚数計算ツール!$C$108&gt;=AL$3,枚数!AL18&gt;0,低電圧接続!AL18&gt;0),枚数!AL18,"-"))</f>
        <v>#VALUE!</v>
      </c>
      <c r="AM19" s="127" t="e">
        <f>Z1*IF(AND(高温可否!AM18=1,低温可否!AM18=1,HUAWEI製ＰＣＳ接続枚数計算ツール!$C$108&gt;=AM$3,HUAWEI製ＰＣＳ接続枚数計算ツール!$E$108&lt;=AM$3,枚数!AM18&gt;0),枚数!AM18,IF(AND(低温可否!AM18=1,HUAWEI製ＰＣＳ接続枚数計算ツール!$C$108&gt;=AM$3,枚数!AM18&gt;0,低電圧接続!AM18&gt;0),枚数!AM18,"-"))</f>
        <v>#VALUE!</v>
      </c>
      <c r="AN19" s="128" t="e">
        <f>Z1*IF(AND(高温可否!AN18=1,低温可否!AN18=1,HUAWEI製ＰＣＳ接続枚数計算ツール!$C$108&gt;=AN$3,HUAWEI製ＰＣＳ接続枚数計算ツール!$E$108&lt;=AN$3,枚数!AN18&gt;0),枚数!AN18,IF(AND(低温可否!AN18=1,HUAWEI製ＰＣＳ接続枚数計算ツール!$C$108&gt;=AN$3,枚数!AN18&gt;0,低電圧接続!AN18&gt;0),枚数!AN18,"-"))</f>
        <v>#VALUE!</v>
      </c>
      <c r="AO19" s="129" t="e">
        <f>Z1*IF(AND(高温可否!AO18=1,低温可否!AO18=1,HUAWEI製ＰＣＳ接続枚数計算ツール!$C$108&gt;=AO$3,HUAWEI製ＰＣＳ接続枚数計算ツール!$E$108&lt;=AO$3,枚数!AO18&gt;0),枚数!AO18,IF(AND(低温可否!AO18=1,HUAWEI製ＰＣＳ接続枚数計算ツール!$C$108&gt;=AO$3,枚数!AO18&gt;0,低電圧接続!AO18&gt;0),枚数!AO18,"-"))</f>
        <v>#VALUE!</v>
      </c>
    </row>
    <row r="20" spans="1:41">
      <c r="A20" s="116">
        <v>17</v>
      </c>
      <c r="B20" s="122" t="e">
        <f>Z1*IF(AND(高温可否!B19=1,低温可否!B19=1,HUAWEI製ＰＣＳ接続枚数計算ツール!$C$108&gt;=B$3,HUAWEI製ＰＣＳ接続枚数計算ツール!$E$108&lt;=B$3,枚数!B19&gt;0),枚数!B19,IF(AND(低温可否!B19=1,HUAWEI製ＰＣＳ接続枚数計算ツール!$C$108&gt;=B$3,枚数!B19&gt;0,低電圧接続!B19&gt;0),枚数!B19,"-"))</f>
        <v>#VALUE!</v>
      </c>
      <c r="C20" s="123" t="e">
        <f>Z1*IF(AND(高温可否!C19=1,低温可否!C19=1,HUAWEI製ＰＣＳ接続枚数計算ツール!$C$108&gt;=C$3,HUAWEI製ＰＣＳ接続枚数計算ツール!$E$108&lt;=C$3,枚数!C19&gt;0),枚数!C19,IF(AND(低温可否!C19=1,HUAWEI製ＰＣＳ接続枚数計算ツール!$C$108&gt;=C$3,枚数!C19&gt;0,低電圧接続!C19&gt;0),枚数!C19,"-"))</f>
        <v>#VALUE!</v>
      </c>
      <c r="D20" s="124" t="e">
        <f>Z1*IF(AND(高温可否!D19=1,低温可否!D19=1,HUAWEI製ＰＣＳ接続枚数計算ツール!$C$108&gt;=D$3,HUAWEI製ＰＣＳ接続枚数計算ツール!$E$108&lt;=D$3,枚数!D19&gt;0),枚数!D19,IF(AND(低温可否!D19=1,HUAWEI製ＰＣＳ接続枚数計算ツール!$C$108&gt;=D$3,枚数!D19&gt;0,低電圧接続!D19&gt;0),枚数!D19,"-"))</f>
        <v>#VALUE!</v>
      </c>
      <c r="E20" s="123" t="e">
        <f>Z1*IF(AND(高温可否!E19=1,低温可否!E19=1,HUAWEI製ＰＣＳ接続枚数計算ツール!$C$108&gt;=E$3,HUAWEI製ＰＣＳ接続枚数計算ツール!$E$108&lt;=E$3,枚数!E19&gt;0),枚数!E19,IF(AND(低温可否!E19=1,HUAWEI製ＰＣＳ接続枚数計算ツール!$C$108&gt;=E$3,枚数!E19&gt;0,低電圧接続!E19&gt;0),枚数!E19,"-"))</f>
        <v>#VALUE!</v>
      </c>
      <c r="F20" s="124" t="e">
        <f>Z1*IF(AND(高温可否!F19=1,低温可否!F19=1,HUAWEI製ＰＣＳ接続枚数計算ツール!$C$108&gt;=F$3,HUAWEI製ＰＣＳ接続枚数計算ツール!$E$108&lt;=F$3,枚数!F19&gt;0),枚数!F19,IF(AND(低温可否!F19=1,HUAWEI製ＰＣＳ接続枚数計算ツール!$C$108&gt;=F$3,枚数!F19&gt;0,低電圧接続!F19&gt;0),枚数!F19,"-"))</f>
        <v>#VALUE!</v>
      </c>
      <c r="G20" s="123" t="e">
        <f>Z1*IF(AND(高温可否!G19=1,低温可否!G19=1,HUAWEI製ＰＣＳ接続枚数計算ツール!$C$108&gt;=G$3,HUAWEI製ＰＣＳ接続枚数計算ツール!$E$108&lt;=G$3,枚数!G19&gt;0),枚数!G19,IF(AND(低温可否!G19=1,HUAWEI製ＰＣＳ接続枚数計算ツール!$C$108&gt;=G$3,枚数!G19&gt;0,低電圧接続!G19&gt;0),枚数!G19,"-"))</f>
        <v>#VALUE!</v>
      </c>
      <c r="H20" s="124" t="e">
        <f>Z1*IF(AND(高温可否!H19=1,低温可否!H19=1,HUAWEI製ＰＣＳ接続枚数計算ツール!$C$108&gt;=H$3,HUAWEI製ＰＣＳ接続枚数計算ツール!$E$108&lt;=H$3,枚数!H19&gt;0),枚数!H19,IF(AND(低温可否!H19=1,HUAWEI製ＰＣＳ接続枚数計算ツール!$C$108&gt;=H$3,枚数!H19&gt;0,低電圧接続!H19&gt;0),枚数!H19,"-"))</f>
        <v>#VALUE!</v>
      </c>
      <c r="I20" s="123" t="e">
        <f>Z1*IF(AND(高温可否!I19=1,低温可否!I19=1,HUAWEI製ＰＣＳ接続枚数計算ツール!$C$108&gt;=I$3,HUAWEI製ＰＣＳ接続枚数計算ツール!$E$108&lt;=I$3,枚数!I19&gt;0),枚数!I19,IF(AND(低温可否!I19=1,HUAWEI製ＰＣＳ接続枚数計算ツール!$C$108&gt;=I$3,枚数!I19&gt;0,低電圧接続!I19&gt;0),枚数!I19,"-"))</f>
        <v>#VALUE!</v>
      </c>
      <c r="J20" s="124" t="e">
        <f>Z1*IF(AND(高温可否!J19=1,低温可否!J19=1,HUAWEI製ＰＣＳ接続枚数計算ツール!$C$108&gt;=J$3,HUAWEI製ＰＣＳ接続枚数計算ツール!$E$108&lt;=J$3,枚数!J19&gt;0),枚数!J19,IF(AND(低温可否!J19=1,HUAWEI製ＰＣＳ接続枚数計算ツール!$C$108&gt;=J$3,枚数!J19&gt;0,低電圧接続!J19&gt;0),枚数!J19,"-"))</f>
        <v>#VALUE!</v>
      </c>
      <c r="K20" s="123" t="e">
        <f>Z1*IF(AND(高温可否!K19=1,低温可否!K19=1,HUAWEI製ＰＣＳ接続枚数計算ツール!$C$108&gt;=K$3,HUAWEI製ＰＣＳ接続枚数計算ツール!$E$108&lt;=K$3,枚数!K19&gt;0),枚数!K19,IF(AND(低温可否!K19=1,HUAWEI製ＰＣＳ接続枚数計算ツール!$C$108&gt;=K$3,枚数!K19&gt;0,低電圧接続!K19&gt;0),枚数!K19,"-"))</f>
        <v>#VALUE!</v>
      </c>
      <c r="L20" s="124" t="e">
        <f>Z1*IF(AND(高温可否!L19=1,低温可否!L19=1,HUAWEI製ＰＣＳ接続枚数計算ツール!$C$108&gt;=L$3,HUAWEI製ＰＣＳ接続枚数計算ツール!$E$108&lt;=L$3,枚数!L19&gt;0),枚数!L19,IF(AND(低温可否!L19=1,HUAWEI製ＰＣＳ接続枚数計算ツール!$C$108&gt;=L$3,枚数!L19&gt;0,低電圧接続!L19&gt;0),枚数!L19,"-"))</f>
        <v>#VALUE!</v>
      </c>
      <c r="M20" s="123" t="e">
        <f>Z1*IF(AND(高温可否!M19=1,低温可否!M19=1,HUAWEI製ＰＣＳ接続枚数計算ツール!$C$108&gt;=M$3,HUAWEI製ＰＣＳ接続枚数計算ツール!$E$108&lt;=M$3,枚数!M19&gt;0),枚数!M19,IF(AND(低温可否!M19=1,HUAWEI製ＰＣＳ接続枚数計算ツール!$C$108&gt;=M$3,枚数!M19&gt;0,低電圧接続!M19&gt;0),枚数!M19,"-"))</f>
        <v>#VALUE!</v>
      </c>
      <c r="N20" s="124" t="e">
        <f>Z1*IF(AND(高温可否!N19=1,低温可否!N19=1,HUAWEI製ＰＣＳ接続枚数計算ツール!$C$108&gt;=N$3,HUAWEI製ＰＣＳ接続枚数計算ツール!$E$108&lt;=N$3,枚数!N19&gt;0),枚数!N19,IF(AND(低温可否!N19=1,HUAWEI製ＰＣＳ接続枚数計算ツール!$C$108&gt;=N$3,枚数!N19&gt;0,低電圧接続!N19&gt;0),枚数!N19,"-"))</f>
        <v>#VALUE!</v>
      </c>
      <c r="O20" s="123" t="e">
        <f>Z1*IF(AND(高温可否!O19=1,低温可否!O19=1,HUAWEI製ＰＣＳ接続枚数計算ツール!$C$108&gt;=O$3,HUAWEI製ＰＣＳ接続枚数計算ツール!$E$108&lt;=O$3,枚数!O19&gt;0),枚数!O19,IF(AND(低温可否!O19=1,HUAWEI製ＰＣＳ接続枚数計算ツール!$C$108&gt;=O$3,枚数!O19&gt;0,低電圧接続!O19&gt;0),枚数!O19,"-"))</f>
        <v>#VALUE!</v>
      </c>
      <c r="P20" s="124" t="e">
        <f>Z1*IF(AND(高温可否!P19=1,低温可否!P19=1,HUAWEI製ＰＣＳ接続枚数計算ツール!$C$108&gt;=P$3,HUAWEI製ＰＣＳ接続枚数計算ツール!$E$108&lt;=P$3,枚数!P19&gt;0),枚数!P19,IF(AND(低温可否!P19=1,HUAWEI製ＰＣＳ接続枚数計算ツール!$C$108&gt;=P$3,枚数!P19&gt;0,低電圧接続!P19&gt;0),枚数!P19,"-"))</f>
        <v>#VALUE!</v>
      </c>
      <c r="Q20" s="123" t="e">
        <f>Z1*IF(AND(高温可否!Q19=1,低温可否!Q19=1,HUAWEI製ＰＣＳ接続枚数計算ツール!$C$108&gt;=Q$3,HUAWEI製ＰＣＳ接続枚数計算ツール!$E$108&lt;=Q$3,枚数!Q19&gt;0),枚数!Q19,IF(AND(低温可否!Q19=1,HUAWEI製ＰＣＳ接続枚数計算ツール!$C$108&gt;=Q$3,枚数!Q19&gt;0,低電圧接続!Q19&gt;0),枚数!Q19,"-"))</f>
        <v>#VALUE!</v>
      </c>
      <c r="R20" s="124" t="e">
        <f>Z1*IF(AND(高温可否!R19=1,低温可否!R19=1,HUAWEI製ＰＣＳ接続枚数計算ツール!$C$108&gt;=R$3,HUAWEI製ＰＣＳ接続枚数計算ツール!$E$108&lt;=R$3,枚数!R19&gt;0),枚数!R19,IF(AND(低温可否!R19=1,HUAWEI製ＰＣＳ接続枚数計算ツール!$C$108&gt;=R$3,枚数!R19&gt;0,低電圧接続!R19&gt;0),枚数!R19,"-"))</f>
        <v>#VALUE!</v>
      </c>
      <c r="S20" s="123" t="e">
        <f>Z1*IF(AND(高温可否!S19=1,低温可否!S19=1,HUAWEI製ＰＣＳ接続枚数計算ツール!$C$108&gt;=S$3,HUAWEI製ＰＣＳ接続枚数計算ツール!$E$108&lt;=S$3,枚数!S19&gt;0),枚数!S19,IF(AND(低温可否!S19=1,HUAWEI製ＰＣＳ接続枚数計算ツール!$C$108&gt;=S$3,枚数!S19&gt;0,低電圧接続!S19&gt;0),枚数!S19,"-"))</f>
        <v>#VALUE!</v>
      </c>
      <c r="T20" s="124" t="e">
        <f>Z1*IF(AND(高温可否!T19=1,低温可否!T19=1,HUAWEI製ＰＣＳ接続枚数計算ツール!$C$108&gt;=T$3,HUAWEI製ＰＣＳ接続枚数計算ツール!$E$108&lt;=T$3,枚数!T19&gt;0),枚数!T19,IF(AND(低温可否!T19=1,HUAWEI製ＰＣＳ接続枚数計算ツール!$C$108&gt;=T$3,枚数!T19&gt;0,低電圧接続!T19&gt;0),枚数!T19,"-"))</f>
        <v>#VALUE!</v>
      </c>
      <c r="U20" s="123" t="e">
        <f>Z1*IF(AND(高温可否!U19=1,低温可否!U19=1,HUAWEI製ＰＣＳ接続枚数計算ツール!$C$108&gt;=U$3,HUAWEI製ＰＣＳ接続枚数計算ツール!$E$108&lt;=U$3,枚数!U19&gt;0),枚数!U19,IF(AND(低温可否!U19=1,HUAWEI製ＰＣＳ接続枚数計算ツール!$C$108&gt;=U$3,枚数!U19&gt;0,低電圧接続!U19&gt;0),枚数!U19,"-"))</f>
        <v>#VALUE!</v>
      </c>
      <c r="V20" s="124">
        <f>Z1*IF(AND(高温可否!V19=1,低温可否!V19=1,HUAWEI製ＰＣＳ接続枚数計算ツール!$C$108&gt;=V$3,HUAWEI製ＰＣＳ接続枚数計算ツール!$E$108&lt;=V$3,枚数!V19&gt;0),枚数!V19,IF(AND(低温可否!V19=1,HUAWEI製ＰＣＳ接続枚数計算ツール!$C$108&gt;=V$3,枚数!V19&gt;0,低電圧接続!V19&gt;0),枚数!V19,"-"))</f>
        <v>714</v>
      </c>
      <c r="W20" s="123" t="e">
        <f>Z1*IF(AND(高温可否!W19=1,低温可否!W19=1,HUAWEI製ＰＣＳ接続枚数計算ツール!$C$108&gt;=W$3,HUAWEI製ＰＣＳ接続枚数計算ツール!$E$108&lt;=W$3,枚数!W19&gt;0),枚数!W19,IF(AND(低温可否!W19=1,HUAWEI製ＰＣＳ接続枚数計算ツール!$C$108&gt;=W$3,枚数!W19&gt;0,低電圧接続!W19&gt;0),枚数!W19,"-"))</f>
        <v>#VALUE!</v>
      </c>
      <c r="X20" s="124" t="e">
        <f>Z1*IF(AND(高温可否!X19=1,低温可否!X19=1,HUAWEI製ＰＣＳ接続枚数計算ツール!$C$108&gt;=X$3,HUAWEI製ＰＣＳ接続枚数計算ツール!$E$108&lt;=X$3,枚数!X19&gt;0),枚数!X19,IF(AND(低温可否!X19=1,HUAWEI製ＰＣＳ接続枚数計算ツール!$C$108&gt;=X$3,枚数!X19&gt;0,低電圧接続!X19&gt;0),枚数!X19,"-"))</f>
        <v>#VALUE!</v>
      </c>
      <c r="Y20" s="123" t="e">
        <f>Z1*IF(AND(高温可否!Y19=1,低温可否!Y19=1,HUAWEI製ＰＣＳ接続枚数計算ツール!$C$108&gt;=Y$3,HUAWEI製ＰＣＳ接続枚数計算ツール!$E$108&lt;=Y$3,枚数!Y19&gt;0),枚数!Y19,IF(AND(低温可否!Y19=1,HUAWEI製ＰＣＳ接続枚数計算ツール!$C$108&gt;=Y$3,枚数!Y19&gt;0,低電圧接続!Y19&gt;0),枚数!Y19,"-"))</f>
        <v>#VALUE!</v>
      </c>
      <c r="Z20" s="124" t="e">
        <f>Z1*IF(AND(高温可否!Z19=1,低温可否!Z19=1,HUAWEI製ＰＣＳ接続枚数計算ツール!$C$108&gt;=Z$3,HUAWEI製ＰＣＳ接続枚数計算ツール!$E$108&lt;=Z$3,枚数!Z19&gt;0),枚数!Z19,IF(AND(低温可否!Z19=1,HUAWEI製ＰＣＳ接続枚数計算ツール!$C$108&gt;=Z$3,枚数!Z19&gt;0,低電圧接続!Z19&gt;0),枚数!Z19,"-"))</f>
        <v>#VALUE!</v>
      </c>
      <c r="AA20" s="123" t="e">
        <f>Z1*IF(AND(高温可否!AA19=1,低温可否!AA19=1,HUAWEI製ＰＣＳ接続枚数計算ツール!$C$108&gt;=AA$3,HUAWEI製ＰＣＳ接続枚数計算ツール!$E$108&lt;=AA$3,枚数!AA19&gt;0),枚数!AA19,IF(AND(低温可否!AA19=1,HUAWEI製ＰＣＳ接続枚数計算ツール!$C$108&gt;=AA$3,枚数!AA19&gt;0,低電圧接続!AA19&gt;0),枚数!AA19,"-"))</f>
        <v>#VALUE!</v>
      </c>
      <c r="AB20" s="124" t="e">
        <f>Z1*IF(AND(高温可否!AB19=1,低温可否!AB19=1,HUAWEI製ＰＣＳ接続枚数計算ツール!$C$108&gt;=AB$3,HUAWEI製ＰＣＳ接続枚数計算ツール!$E$108&lt;=AB$3,枚数!AB19&gt;0),枚数!AB19,IF(AND(低温可否!AB19=1,HUAWEI製ＰＣＳ接続枚数計算ツール!$C$108&gt;=AB$3,枚数!AB19&gt;0,低電圧接続!AB19&gt;0),枚数!AB19,"-"))</f>
        <v>#VALUE!</v>
      </c>
      <c r="AC20" s="123" t="e">
        <f>Z1*IF(AND(高温可否!AC19=1,低温可否!AC19=1,HUAWEI製ＰＣＳ接続枚数計算ツール!$C$108&gt;=AC$3,HUAWEI製ＰＣＳ接続枚数計算ツール!$E$108&lt;=AC$3,枚数!AC19&gt;0),枚数!AC19,IF(AND(低温可否!AC19=1,HUAWEI製ＰＣＳ接続枚数計算ツール!$C$108&gt;=AC$3,枚数!AC19&gt;0,低電圧接続!AC19&gt;0),枚数!AC19,"-"))</f>
        <v>#VALUE!</v>
      </c>
      <c r="AD20" s="124" t="e">
        <f>Z1*IF(AND(高温可否!AD19=1,低温可否!AD19=1,HUAWEI製ＰＣＳ接続枚数計算ツール!$C$108&gt;=AD$3,HUAWEI製ＰＣＳ接続枚数計算ツール!$E$108&lt;=AD$3,枚数!AD19&gt;0),枚数!AD19,IF(AND(低温可否!AD19=1,HUAWEI製ＰＣＳ接続枚数計算ツール!$C$108&gt;=AD$3,枚数!AD19&gt;0,低電圧接続!AD19&gt;0),枚数!AD19,"-"))</f>
        <v>#VALUE!</v>
      </c>
      <c r="AE20" s="123" t="e">
        <f>Z1*IF(AND(高温可否!AE19=1,低温可否!AE19=1,HUAWEI製ＰＣＳ接続枚数計算ツール!$C$108&gt;=AE$3,HUAWEI製ＰＣＳ接続枚数計算ツール!$E$108&lt;=AE$3,枚数!AE19&gt;0),枚数!AE19,IF(AND(低温可否!AE19=1,HUAWEI製ＰＣＳ接続枚数計算ツール!$C$108&gt;=AE$3,枚数!AE19&gt;0,低電圧接続!AE19&gt;0),枚数!AE19,"-"))</f>
        <v>#VALUE!</v>
      </c>
      <c r="AF20" s="124" t="e">
        <f>Z1*IF(AND(高温可否!AF19=1,低温可否!AF19=1,HUAWEI製ＰＣＳ接続枚数計算ツール!$C$108&gt;=AF$3,HUAWEI製ＰＣＳ接続枚数計算ツール!$E$108&lt;=AF$3,枚数!AF19&gt;0),枚数!AF19,IF(AND(低温可否!AF19=1,HUAWEI製ＰＣＳ接続枚数計算ツール!$C$108&gt;=AF$3,枚数!AF19&gt;0,低電圧接続!AF19&gt;0),枚数!AF19,"-"))</f>
        <v>#VALUE!</v>
      </c>
      <c r="AG20" s="123" t="e">
        <f>Z1*IF(AND(高温可否!AG19=1,低温可否!AG19=1,HUAWEI製ＰＣＳ接続枚数計算ツール!$C$108&gt;=AG$3,HUAWEI製ＰＣＳ接続枚数計算ツール!$E$108&lt;=AG$3,枚数!AG19&gt;0),枚数!AG19,IF(AND(低温可否!AG19=1,HUAWEI製ＰＣＳ接続枚数計算ツール!$C$108&gt;=AG$3,枚数!AG19&gt;0,低電圧接続!AG19&gt;0),枚数!AG19,"-"))</f>
        <v>#VALUE!</v>
      </c>
      <c r="AH20" s="124" t="e">
        <f>Z1*IF(AND(高温可否!AH19=1,低温可否!AH19=1,HUAWEI製ＰＣＳ接続枚数計算ツール!$C$108&gt;=AH$3,HUAWEI製ＰＣＳ接続枚数計算ツール!$E$108&lt;=AH$3,枚数!AH19&gt;0),枚数!AH19,IF(AND(低温可否!AH19=1,HUAWEI製ＰＣＳ接続枚数計算ツール!$C$108&gt;=AH$3,枚数!AH19&gt;0,低電圧接続!AH19&gt;0),枚数!AH19,"-"))</f>
        <v>#VALUE!</v>
      </c>
      <c r="AI20" s="123" t="e">
        <f>Z1*IF(AND(高温可否!AI19=1,低温可否!AI19=1,HUAWEI製ＰＣＳ接続枚数計算ツール!$C$108&gt;=AI$3,HUAWEI製ＰＣＳ接続枚数計算ツール!$E$108&lt;=AI$3,枚数!AI19&gt;0),枚数!AI19,IF(AND(低温可否!AI19=1,HUAWEI製ＰＣＳ接続枚数計算ツール!$C$108&gt;=AI$3,枚数!AI19&gt;0,低電圧接続!AI19&gt;0),枚数!AI19,"-"))</f>
        <v>#VALUE!</v>
      </c>
      <c r="AJ20" s="124" t="e">
        <f>Z1*IF(AND(高温可否!AJ19=1,低温可否!AJ19=1,HUAWEI製ＰＣＳ接続枚数計算ツール!$C$108&gt;=AJ$3,HUAWEI製ＰＣＳ接続枚数計算ツール!$E$108&lt;=AJ$3,枚数!AJ19&gt;0),枚数!AJ19,IF(AND(低温可否!AJ19=1,HUAWEI製ＰＣＳ接続枚数計算ツール!$C$108&gt;=AJ$3,枚数!AJ19&gt;0,低電圧接続!AJ19&gt;0),枚数!AJ19,"-"))</f>
        <v>#VALUE!</v>
      </c>
      <c r="AK20" s="123" t="e">
        <f>Z1*IF(AND(高温可否!AK19=1,低温可否!AK19=1,HUAWEI製ＰＣＳ接続枚数計算ツール!$C$108&gt;=AK$3,HUAWEI製ＰＣＳ接続枚数計算ツール!$E$108&lt;=AK$3,枚数!AK19&gt;0),枚数!AK19,IF(AND(低温可否!AK19=1,HUAWEI製ＰＣＳ接続枚数計算ツール!$C$108&gt;=AK$3,枚数!AK19&gt;0,低電圧接続!AK19&gt;0),枚数!AK19,"-"))</f>
        <v>#VALUE!</v>
      </c>
      <c r="AL20" s="124" t="e">
        <f>Z1*IF(AND(高温可否!AL19=1,低温可否!AL19=1,HUAWEI製ＰＣＳ接続枚数計算ツール!$C$108&gt;=AL$3,HUAWEI製ＰＣＳ接続枚数計算ツール!$E$108&lt;=AL$3,枚数!AL19&gt;0),枚数!AL19,IF(AND(低温可否!AL19=1,HUAWEI製ＰＣＳ接続枚数計算ツール!$C$108&gt;=AL$3,枚数!AL19&gt;0,低電圧接続!AL19&gt;0),枚数!AL19,"-"))</f>
        <v>#VALUE!</v>
      </c>
      <c r="AM20" s="123" t="e">
        <f>Z1*IF(AND(高温可否!AM19=1,低温可否!AM19=1,HUAWEI製ＰＣＳ接続枚数計算ツール!$C$108&gt;=AM$3,HUAWEI製ＰＣＳ接続枚数計算ツール!$E$108&lt;=AM$3,枚数!AM19&gt;0),枚数!AM19,IF(AND(低温可否!AM19=1,HUAWEI製ＰＣＳ接続枚数計算ツール!$C$108&gt;=AM$3,枚数!AM19&gt;0,低電圧接続!AM19&gt;0),枚数!AM19,"-"))</f>
        <v>#VALUE!</v>
      </c>
      <c r="AN20" s="124" t="e">
        <f>Z1*IF(AND(高温可否!AN19=1,低温可否!AN19=1,HUAWEI製ＰＣＳ接続枚数計算ツール!$C$108&gt;=AN$3,HUAWEI製ＰＣＳ接続枚数計算ツール!$E$108&lt;=AN$3,枚数!AN19&gt;0),枚数!AN19,IF(AND(低温可否!AN19=1,HUAWEI製ＰＣＳ接続枚数計算ツール!$C$108&gt;=AN$3,枚数!AN19&gt;0,低電圧接続!AN19&gt;0),枚数!AN19,"-"))</f>
        <v>#VALUE!</v>
      </c>
      <c r="AO20" s="125" t="e">
        <f>Z1*IF(AND(高温可否!AO19=1,低温可否!AO19=1,HUAWEI製ＰＣＳ接続枚数計算ツール!$C$108&gt;=AO$3,HUAWEI製ＰＣＳ接続枚数計算ツール!$E$108&lt;=AO$3,枚数!AO19&gt;0),枚数!AO19,IF(AND(低温可否!AO19=1,HUAWEI製ＰＣＳ接続枚数計算ツール!$C$108&gt;=AO$3,枚数!AO19&gt;0,低電圧接続!AO19&gt;0),枚数!AO19,"-"))</f>
        <v>#VALUE!</v>
      </c>
    </row>
    <row r="21" spans="1:41">
      <c r="A21" s="115">
        <v>18</v>
      </c>
      <c r="B21" s="126" t="e">
        <f>Z1*IF(AND(高温可否!B20=1,低温可否!B20=1,HUAWEI製ＰＣＳ接続枚数計算ツール!$C$108&gt;=B$3,HUAWEI製ＰＣＳ接続枚数計算ツール!$E$108&lt;=B$3,枚数!B20&gt;0),枚数!B20,IF(AND(低温可否!B20=1,HUAWEI製ＰＣＳ接続枚数計算ツール!$C$108&gt;=B$3,枚数!B20&gt;0,低電圧接続!B20&gt;0),枚数!B20,"-"))</f>
        <v>#VALUE!</v>
      </c>
      <c r="C21" s="127" t="e">
        <f>Z1*IF(AND(高温可否!C20=1,低温可否!C20=1,HUAWEI製ＰＣＳ接続枚数計算ツール!$C$108&gt;=C$3,HUAWEI製ＰＣＳ接続枚数計算ツール!$E$108&lt;=C$3,枚数!C20&gt;0),枚数!C20,IF(AND(低温可否!C20=1,HUAWEI製ＰＣＳ接続枚数計算ツール!$C$108&gt;=C$3,枚数!C20&gt;0,低電圧接続!C20&gt;0),枚数!C20,"-"))</f>
        <v>#VALUE!</v>
      </c>
      <c r="D21" s="128" t="e">
        <f>Z1*IF(AND(高温可否!D20=1,低温可否!D20=1,HUAWEI製ＰＣＳ接続枚数計算ツール!$C$108&gt;=D$3,HUAWEI製ＰＣＳ接続枚数計算ツール!$E$108&lt;=D$3,枚数!D20&gt;0),枚数!D20,IF(AND(低温可否!D20=1,HUAWEI製ＰＣＳ接続枚数計算ツール!$C$108&gt;=D$3,枚数!D20&gt;0,低電圧接続!D20&gt;0),枚数!D20,"-"))</f>
        <v>#VALUE!</v>
      </c>
      <c r="E21" s="127" t="e">
        <f>Z1*IF(AND(高温可否!E20=1,低温可否!E20=1,HUAWEI製ＰＣＳ接続枚数計算ツール!$C$108&gt;=E$3,HUAWEI製ＰＣＳ接続枚数計算ツール!$E$108&lt;=E$3,枚数!E20&gt;0),枚数!E20,IF(AND(低温可否!E20=1,HUAWEI製ＰＣＳ接続枚数計算ツール!$C$108&gt;=E$3,枚数!E20&gt;0,低電圧接続!E20&gt;0),枚数!E20,"-"))</f>
        <v>#VALUE!</v>
      </c>
      <c r="F21" s="128" t="e">
        <f>Z1*IF(AND(高温可否!F20=1,低温可否!F20=1,HUAWEI製ＰＣＳ接続枚数計算ツール!$C$108&gt;=F$3,HUAWEI製ＰＣＳ接続枚数計算ツール!$E$108&lt;=F$3,枚数!F20&gt;0),枚数!F20,IF(AND(低温可否!F20=1,HUAWEI製ＰＣＳ接続枚数計算ツール!$C$108&gt;=F$3,枚数!F20&gt;0,低電圧接続!F20&gt;0),枚数!F20,"-"))</f>
        <v>#VALUE!</v>
      </c>
      <c r="G21" s="127" t="e">
        <f>Z1*IF(AND(高温可否!G20=1,低温可否!G20=1,HUAWEI製ＰＣＳ接続枚数計算ツール!$C$108&gt;=G$3,HUAWEI製ＰＣＳ接続枚数計算ツール!$E$108&lt;=G$3,枚数!G20&gt;0),枚数!G20,IF(AND(低温可否!G20=1,HUAWEI製ＰＣＳ接続枚数計算ツール!$C$108&gt;=G$3,枚数!G20&gt;0,低電圧接続!G20&gt;0),枚数!G20,"-"))</f>
        <v>#VALUE!</v>
      </c>
      <c r="H21" s="128" t="e">
        <f>Z1*IF(AND(高温可否!H20=1,低温可否!H20=1,HUAWEI製ＰＣＳ接続枚数計算ツール!$C$108&gt;=H$3,HUAWEI製ＰＣＳ接続枚数計算ツール!$E$108&lt;=H$3,枚数!H20&gt;0),枚数!H20,IF(AND(低温可否!H20=1,HUAWEI製ＰＣＳ接続枚数計算ツール!$C$108&gt;=H$3,枚数!H20&gt;0,低電圧接続!H20&gt;0),枚数!H20,"-"))</f>
        <v>#VALUE!</v>
      </c>
      <c r="I21" s="127" t="e">
        <f>Z1*IF(AND(高温可否!I20=1,低温可否!I20=1,HUAWEI製ＰＣＳ接続枚数計算ツール!$C$108&gt;=I$3,HUAWEI製ＰＣＳ接続枚数計算ツール!$E$108&lt;=I$3,枚数!I20&gt;0),枚数!I20,IF(AND(低温可否!I20=1,HUAWEI製ＰＣＳ接続枚数計算ツール!$C$108&gt;=I$3,枚数!I20&gt;0,低電圧接続!I20&gt;0),枚数!I20,"-"))</f>
        <v>#VALUE!</v>
      </c>
      <c r="J21" s="128" t="e">
        <f>Z1*IF(AND(高温可否!J20=1,低温可否!J20=1,HUAWEI製ＰＣＳ接続枚数計算ツール!$C$108&gt;=J$3,HUAWEI製ＰＣＳ接続枚数計算ツール!$E$108&lt;=J$3,枚数!J20&gt;0),枚数!J20,IF(AND(低温可否!J20=1,HUAWEI製ＰＣＳ接続枚数計算ツール!$C$108&gt;=J$3,枚数!J20&gt;0,低電圧接続!J20&gt;0),枚数!J20,"-"))</f>
        <v>#VALUE!</v>
      </c>
      <c r="K21" s="127" t="e">
        <f>Z1*IF(AND(高温可否!K20=1,低温可否!K20=1,HUAWEI製ＰＣＳ接続枚数計算ツール!$C$108&gt;=K$3,HUAWEI製ＰＣＳ接続枚数計算ツール!$E$108&lt;=K$3,枚数!K20&gt;0),枚数!K20,IF(AND(低温可否!K20=1,HUAWEI製ＰＣＳ接続枚数計算ツール!$C$108&gt;=K$3,枚数!K20&gt;0,低電圧接続!K20&gt;0),枚数!K20,"-"))</f>
        <v>#VALUE!</v>
      </c>
      <c r="L21" s="128" t="e">
        <f>Z1*IF(AND(高温可否!L20=1,低温可否!L20=1,HUAWEI製ＰＣＳ接続枚数計算ツール!$C$108&gt;=L$3,HUAWEI製ＰＣＳ接続枚数計算ツール!$E$108&lt;=L$3,枚数!L20&gt;0),枚数!L20,IF(AND(低温可否!L20=1,HUAWEI製ＰＣＳ接続枚数計算ツール!$C$108&gt;=L$3,枚数!L20&gt;0,低電圧接続!L20&gt;0),枚数!L20,"-"))</f>
        <v>#VALUE!</v>
      </c>
      <c r="M21" s="127" t="e">
        <f>Z1*IF(AND(高温可否!M20=1,低温可否!M20=1,HUAWEI製ＰＣＳ接続枚数計算ツール!$C$108&gt;=M$3,HUAWEI製ＰＣＳ接続枚数計算ツール!$E$108&lt;=M$3,枚数!M20&gt;0),枚数!M20,IF(AND(低温可否!M20=1,HUAWEI製ＰＣＳ接続枚数計算ツール!$C$108&gt;=M$3,枚数!M20&gt;0,低電圧接続!M20&gt;0),枚数!M20,"-"))</f>
        <v>#VALUE!</v>
      </c>
      <c r="N21" s="128" t="e">
        <f>Z1*IF(AND(高温可否!N20=1,低温可否!N20=1,HUAWEI製ＰＣＳ接続枚数計算ツール!$C$108&gt;=N$3,HUAWEI製ＰＣＳ接続枚数計算ツール!$E$108&lt;=N$3,枚数!N20&gt;0),枚数!N20,IF(AND(低温可否!N20=1,HUAWEI製ＰＣＳ接続枚数計算ツール!$C$108&gt;=N$3,枚数!N20&gt;0,低電圧接続!N20&gt;0),枚数!N20,"-"))</f>
        <v>#VALUE!</v>
      </c>
      <c r="O21" s="127" t="e">
        <f>Z1*IF(AND(高温可否!O20=1,低温可否!O20=1,HUAWEI製ＰＣＳ接続枚数計算ツール!$C$108&gt;=O$3,HUAWEI製ＰＣＳ接続枚数計算ツール!$E$108&lt;=O$3,枚数!O20&gt;0),枚数!O20,IF(AND(低温可否!O20=1,HUAWEI製ＰＣＳ接続枚数計算ツール!$C$108&gt;=O$3,枚数!O20&gt;0,低電圧接続!O20&gt;0),枚数!O20,"-"))</f>
        <v>#VALUE!</v>
      </c>
      <c r="P21" s="128" t="e">
        <f>Z1*IF(AND(高温可否!P20=1,低温可否!P20=1,HUAWEI製ＰＣＳ接続枚数計算ツール!$C$108&gt;=P$3,HUAWEI製ＰＣＳ接続枚数計算ツール!$E$108&lt;=P$3,枚数!P20&gt;0),枚数!P20,IF(AND(低温可否!P20=1,HUAWEI製ＰＣＳ接続枚数計算ツール!$C$108&gt;=P$3,枚数!P20&gt;0,低電圧接続!P20&gt;0),枚数!P20,"-"))</f>
        <v>#VALUE!</v>
      </c>
      <c r="Q21" s="127" t="e">
        <f>Z1*IF(AND(高温可否!Q20=1,低温可否!Q20=1,HUAWEI製ＰＣＳ接続枚数計算ツール!$C$108&gt;=Q$3,HUAWEI製ＰＣＳ接続枚数計算ツール!$E$108&lt;=Q$3,枚数!Q20&gt;0),枚数!Q20,IF(AND(低温可否!Q20=1,HUAWEI製ＰＣＳ接続枚数計算ツール!$C$108&gt;=Q$3,枚数!Q20&gt;0,低電圧接続!Q20&gt;0),枚数!Q20,"-"))</f>
        <v>#VALUE!</v>
      </c>
      <c r="R21" s="128" t="e">
        <f>Z1*IF(AND(高温可否!R20=1,低温可否!R20=1,HUAWEI製ＰＣＳ接続枚数計算ツール!$C$108&gt;=R$3,HUAWEI製ＰＣＳ接続枚数計算ツール!$E$108&lt;=R$3,枚数!R20&gt;0),枚数!R20,IF(AND(低温可否!R20=1,HUAWEI製ＰＣＳ接続枚数計算ツール!$C$108&gt;=R$3,枚数!R20&gt;0,低電圧接続!R20&gt;0),枚数!R20,"-"))</f>
        <v>#VALUE!</v>
      </c>
      <c r="S21" s="127" t="e">
        <f>Z1*IF(AND(高温可否!S20=1,低温可否!S20=1,HUAWEI製ＰＣＳ接続枚数計算ツール!$C$108&gt;=S$3,HUAWEI製ＰＣＳ接続枚数計算ツール!$E$108&lt;=S$3,枚数!S20&gt;0),枚数!S20,IF(AND(低温可否!S20=1,HUAWEI製ＰＣＳ接続枚数計算ツール!$C$108&gt;=S$3,枚数!S20&gt;0,低電圧接続!S20&gt;0),枚数!S20,"-"))</f>
        <v>#VALUE!</v>
      </c>
      <c r="T21" s="128" t="e">
        <f>Z1*IF(AND(高温可否!T20=1,低温可否!T20=1,HUAWEI製ＰＣＳ接続枚数計算ツール!$C$108&gt;=T$3,HUAWEI製ＰＣＳ接続枚数計算ツール!$E$108&lt;=T$3,枚数!T20&gt;0),枚数!T20,IF(AND(低温可否!T20=1,HUAWEI製ＰＣＳ接続枚数計算ツール!$C$108&gt;=T$3,枚数!T20&gt;0,低電圧接続!T20&gt;0),枚数!T20,"-"))</f>
        <v>#VALUE!</v>
      </c>
      <c r="U21" s="127" t="e">
        <f>Z1*IF(AND(高温可否!U20=1,低温可否!U20=1,HUAWEI製ＰＣＳ接続枚数計算ツール!$C$108&gt;=U$3,HUAWEI製ＰＣＳ接続枚数計算ツール!$E$108&lt;=U$3,枚数!U20&gt;0),枚数!U20,IF(AND(低温可否!U20=1,HUAWEI製ＰＣＳ接続枚数計算ツール!$C$108&gt;=U$3,枚数!U20&gt;0,低電圧接続!U20&gt;0),枚数!U20,"-"))</f>
        <v>#VALUE!</v>
      </c>
      <c r="V21" s="128">
        <f>Z1*IF(AND(高温可否!V20=1,低温可否!V20=1,HUAWEI製ＰＣＳ接続枚数計算ツール!$C$108&gt;=V$3,HUAWEI製ＰＣＳ接続枚数計算ツール!$E$108&lt;=V$3,枚数!V20&gt;0),枚数!V20,IF(AND(低温可否!V20=1,HUAWEI製ＰＣＳ接続枚数計算ツール!$C$108&gt;=V$3,枚数!V20&gt;0,低電圧接続!V20&gt;0),枚数!V20,"-"))</f>
        <v>756</v>
      </c>
      <c r="W21" s="127" t="e">
        <f>Z1*IF(AND(高温可否!W20=1,低温可否!W20=1,HUAWEI製ＰＣＳ接続枚数計算ツール!$C$108&gt;=W$3,HUAWEI製ＰＣＳ接続枚数計算ツール!$E$108&lt;=W$3,枚数!W20&gt;0),枚数!W20,IF(AND(低温可否!W20=1,HUAWEI製ＰＣＳ接続枚数計算ツール!$C$108&gt;=W$3,枚数!W20&gt;0,低電圧接続!W20&gt;0),枚数!W20,"-"))</f>
        <v>#VALUE!</v>
      </c>
      <c r="X21" s="128" t="e">
        <f>Z1*IF(AND(高温可否!X20=1,低温可否!X20=1,HUAWEI製ＰＣＳ接続枚数計算ツール!$C$108&gt;=X$3,HUAWEI製ＰＣＳ接続枚数計算ツール!$E$108&lt;=X$3,枚数!X20&gt;0),枚数!X20,IF(AND(低温可否!X20=1,HUAWEI製ＰＣＳ接続枚数計算ツール!$C$108&gt;=X$3,枚数!X20&gt;0,低電圧接続!X20&gt;0),枚数!X20,"-"))</f>
        <v>#VALUE!</v>
      </c>
      <c r="Y21" s="127" t="e">
        <f>Z1*IF(AND(高温可否!Y20=1,低温可否!Y20=1,HUAWEI製ＰＣＳ接続枚数計算ツール!$C$108&gt;=Y$3,HUAWEI製ＰＣＳ接続枚数計算ツール!$E$108&lt;=Y$3,枚数!Y20&gt;0),枚数!Y20,IF(AND(低温可否!Y20=1,HUAWEI製ＰＣＳ接続枚数計算ツール!$C$108&gt;=Y$3,枚数!Y20&gt;0,低電圧接続!Y20&gt;0),枚数!Y20,"-"))</f>
        <v>#VALUE!</v>
      </c>
      <c r="Z21" s="128" t="e">
        <f>Z1*IF(AND(高温可否!Z20=1,低温可否!Z20=1,HUAWEI製ＰＣＳ接続枚数計算ツール!$C$108&gt;=Z$3,HUAWEI製ＰＣＳ接続枚数計算ツール!$E$108&lt;=Z$3,枚数!Z20&gt;0),枚数!Z20,IF(AND(低温可否!Z20=1,HUAWEI製ＰＣＳ接続枚数計算ツール!$C$108&gt;=Z$3,枚数!Z20&gt;0,低電圧接続!Z20&gt;0),枚数!Z20,"-"))</f>
        <v>#VALUE!</v>
      </c>
      <c r="AA21" s="127" t="e">
        <f>Z1*IF(AND(高温可否!AA20=1,低温可否!AA20=1,HUAWEI製ＰＣＳ接続枚数計算ツール!$C$108&gt;=AA$3,HUAWEI製ＰＣＳ接続枚数計算ツール!$E$108&lt;=AA$3,枚数!AA20&gt;0),枚数!AA20,IF(AND(低温可否!AA20=1,HUAWEI製ＰＣＳ接続枚数計算ツール!$C$108&gt;=AA$3,枚数!AA20&gt;0,低電圧接続!AA20&gt;0),枚数!AA20,"-"))</f>
        <v>#VALUE!</v>
      </c>
      <c r="AB21" s="128" t="e">
        <f>Z1*IF(AND(高温可否!AB20=1,低温可否!AB20=1,HUAWEI製ＰＣＳ接続枚数計算ツール!$C$108&gt;=AB$3,HUAWEI製ＰＣＳ接続枚数計算ツール!$E$108&lt;=AB$3,枚数!AB20&gt;0),枚数!AB20,IF(AND(低温可否!AB20=1,HUAWEI製ＰＣＳ接続枚数計算ツール!$C$108&gt;=AB$3,枚数!AB20&gt;0,低電圧接続!AB20&gt;0),枚数!AB20,"-"))</f>
        <v>#VALUE!</v>
      </c>
      <c r="AC21" s="127" t="e">
        <f>Z1*IF(AND(高温可否!AC20=1,低温可否!AC20=1,HUAWEI製ＰＣＳ接続枚数計算ツール!$C$108&gt;=AC$3,HUAWEI製ＰＣＳ接続枚数計算ツール!$E$108&lt;=AC$3,枚数!AC20&gt;0),枚数!AC20,IF(AND(低温可否!AC20=1,HUAWEI製ＰＣＳ接続枚数計算ツール!$C$108&gt;=AC$3,枚数!AC20&gt;0,低電圧接続!AC20&gt;0),枚数!AC20,"-"))</f>
        <v>#VALUE!</v>
      </c>
      <c r="AD21" s="128" t="e">
        <f>Z1*IF(AND(高温可否!AD20=1,低温可否!AD20=1,HUAWEI製ＰＣＳ接続枚数計算ツール!$C$108&gt;=AD$3,HUAWEI製ＰＣＳ接続枚数計算ツール!$E$108&lt;=AD$3,枚数!AD20&gt;0),枚数!AD20,IF(AND(低温可否!AD20=1,HUAWEI製ＰＣＳ接続枚数計算ツール!$C$108&gt;=AD$3,枚数!AD20&gt;0,低電圧接続!AD20&gt;0),枚数!AD20,"-"))</f>
        <v>#VALUE!</v>
      </c>
      <c r="AE21" s="127" t="e">
        <f>Z1*IF(AND(高温可否!AE20=1,低温可否!AE20=1,HUAWEI製ＰＣＳ接続枚数計算ツール!$C$108&gt;=AE$3,HUAWEI製ＰＣＳ接続枚数計算ツール!$E$108&lt;=AE$3,枚数!AE20&gt;0),枚数!AE20,IF(AND(低温可否!AE20=1,HUAWEI製ＰＣＳ接続枚数計算ツール!$C$108&gt;=AE$3,枚数!AE20&gt;0,低電圧接続!AE20&gt;0),枚数!AE20,"-"))</f>
        <v>#VALUE!</v>
      </c>
      <c r="AF21" s="128" t="e">
        <f>Z1*IF(AND(高温可否!AF20=1,低温可否!AF20=1,HUAWEI製ＰＣＳ接続枚数計算ツール!$C$108&gt;=AF$3,HUAWEI製ＰＣＳ接続枚数計算ツール!$E$108&lt;=AF$3,枚数!AF20&gt;0),枚数!AF20,IF(AND(低温可否!AF20=1,HUAWEI製ＰＣＳ接続枚数計算ツール!$C$108&gt;=AF$3,枚数!AF20&gt;0,低電圧接続!AF20&gt;0),枚数!AF20,"-"))</f>
        <v>#VALUE!</v>
      </c>
      <c r="AG21" s="127" t="e">
        <f>Z1*IF(AND(高温可否!AG20=1,低温可否!AG20=1,HUAWEI製ＰＣＳ接続枚数計算ツール!$C$108&gt;=AG$3,HUAWEI製ＰＣＳ接続枚数計算ツール!$E$108&lt;=AG$3,枚数!AG20&gt;0),枚数!AG20,IF(AND(低温可否!AG20=1,HUAWEI製ＰＣＳ接続枚数計算ツール!$C$108&gt;=AG$3,枚数!AG20&gt;0,低電圧接続!AG20&gt;0),枚数!AG20,"-"))</f>
        <v>#VALUE!</v>
      </c>
      <c r="AH21" s="128" t="e">
        <f>Z1*IF(AND(高温可否!AH20=1,低温可否!AH20=1,HUAWEI製ＰＣＳ接続枚数計算ツール!$C$108&gt;=AH$3,HUAWEI製ＰＣＳ接続枚数計算ツール!$E$108&lt;=AH$3,枚数!AH20&gt;0),枚数!AH20,IF(AND(低温可否!AH20=1,HUAWEI製ＰＣＳ接続枚数計算ツール!$C$108&gt;=AH$3,枚数!AH20&gt;0,低電圧接続!AH20&gt;0),枚数!AH20,"-"))</f>
        <v>#VALUE!</v>
      </c>
      <c r="AI21" s="127" t="e">
        <f>Z1*IF(AND(高温可否!AI20=1,低温可否!AI20=1,HUAWEI製ＰＣＳ接続枚数計算ツール!$C$108&gt;=AI$3,HUAWEI製ＰＣＳ接続枚数計算ツール!$E$108&lt;=AI$3,枚数!AI20&gt;0),枚数!AI20,IF(AND(低温可否!AI20=1,HUAWEI製ＰＣＳ接続枚数計算ツール!$C$108&gt;=AI$3,枚数!AI20&gt;0,低電圧接続!AI20&gt;0),枚数!AI20,"-"))</f>
        <v>#VALUE!</v>
      </c>
      <c r="AJ21" s="128" t="e">
        <f>Z1*IF(AND(高温可否!AJ20=1,低温可否!AJ20=1,HUAWEI製ＰＣＳ接続枚数計算ツール!$C$108&gt;=AJ$3,HUAWEI製ＰＣＳ接続枚数計算ツール!$E$108&lt;=AJ$3,枚数!AJ20&gt;0),枚数!AJ20,IF(AND(低温可否!AJ20=1,HUAWEI製ＰＣＳ接続枚数計算ツール!$C$108&gt;=AJ$3,枚数!AJ20&gt;0,低電圧接続!AJ20&gt;0),枚数!AJ20,"-"))</f>
        <v>#VALUE!</v>
      </c>
      <c r="AK21" s="127" t="e">
        <f>Z1*IF(AND(高温可否!AK20=1,低温可否!AK20=1,HUAWEI製ＰＣＳ接続枚数計算ツール!$C$108&gt;=AK$3,HUAWEI製ＰＣＳ接続枚数計算ツール!$E$108&lt;=AK$3,枚数!AK20&gt;0),枚数!AK20,IF(AND(低温可否!AK20=1,HUAWEI製ＰＣＳ接続枚数計算ツール!$C$108&gt;=AK$3,枚数!AK20&gt;0,低電圧接続!AK20&gt;0),枚数!AK20,"-"))</f>
        <v>#VALUE!</v>
      </c>
      <c r="AL21" s="128" t="e">
        <f>Z1*IF(AND(高温可否!AL20=1,低温可否!AL20=1,HUAWEI製ＰＣＳ接続枚数計算ツール!$C$108&gt;=AL$3,HUAWEI製ＰＣＳ接続枚数計算ツール!$E$108&lt;=AL$3,枚数!AL20&gt;0),枚数!AL20,IF(AND(低温可否!AL20=1,HUAWEI製ＰＣＳ接続枚数計算ツール!$C$108&gt;=AL$3,枚数!AL20&gt;0,低電圧接続!AL20&gt;0),枚数!AL20,"-"))</f>
        <v>#VALUE!</v>
      </c>
      <c r="AM21" s="127" t="e">
        <f>Z1*IF(AND(高温可否!AM20=1,低温可否!AM20=1,HUAWEI製ＰＣＳ接続枚数計算ツール!$C$108&gt;=AM$3,HUAWEI製ＰＣＳ接続枚数計算ツール!$E$108&lt;=AM$3,枚数!AM20&gt;0),枚数!AM20,IF(AND(低温可否!AM20=1,HUAWEI製ＰＣＳ接続枚数計算ツール!$C$108&gt;=AM$3,枚数!AM20&gt;0,低電圧接続!AM20&gt;0),枚数!AM20,"-"))</f>
        <v>#VALUE!</v>
      </c>
      <c r="AN21" s="128" t="e">
        <f>Z1*IF(AND(高温可否!AN20=1,低温可否!AN20=1,HUAWEI製ＰＣＳ接続枚数計算ツール!$C$108&gt;=AN$3,HUAWEI製ＰＣＳ接続枚数計算ツール!$E$108&lt;=AN$3,枚数!AN20&gt;0),枚数!AN20,IF(AND(低温可否!AN20=1,HUAWEI製ＰＣＳ接続枚数計算ツール!$C$108&gt;=AN$3,枚数!AN20&gt;0,低電圧接続!AN20&gt;0),枚数!AN20,"-"))</f>
        <v>#VALUE!</v>
      </c>
      <c r="AO21" s="129" t="e">
        <f>Z1*IF(AND(高温可否!AO20=1,低温可否!AO20=1,HUAWEI製ＰＣＳ接続枚数計算ツール!$C$108&gt;=AO$3,HUAWEI製ＰＣＳ接続枚数計算ツール!$E$108&lt;=AO$3,枚数!AO20&gt;0),枚数!AO20,IF(AND(低温可否!AO20=1,HUAWEI製ＰＣＳ接続枚数計算ツール!$C$108&gt;=AO$3,枚数!AO20&gt;0,低電圧接続!AO20&gt;0),枚数!AO20,"-"))</f>
        <v>#VALUE!</v>
      </c>
    </row>
    <row r="22" spans="1:41">
      <c r="A22" s="116">
        <v>19</v>
      </c>
      <c r="B22" s="122" t="e">
        <f>Z1*IF(AND(高温可否!B21=1,低温可否!B21=1,HUAWEI製ＰＣＳ接続枚数計算ツール!$C$108&gt;=B$3,HUAWEI製ＰＣＳ接続枚数計算ツール!$E$108&lt;=B$3,枚数!B21&gt;0),枚数!B21,IF(AND(低温可否!B21=1,HUAWEI製ＰＣＳ接続枚数計算ツール!$C$108&gt;=B$3,枚数!B21&gt;0,低電圧接続!B21&gt;0),枚数!B21,"-"))</f>
        <v>#VALUE!</v>
      </c>
      <c r="C22" s="123" t="e">
        <f>Z1*IF(AND(高温可否!C21=1,低温可否!C21=1,HUAWEI製ＰＣＳ接続枚数計算ツール!$C$108&gt;=C$3,HUAWEI製ＰＣＳ接続枚数計算ツール!$E$108&lt;=C$3,枚数!C21&gt;0),枚数!C21,IF(AND(低温可否!C21=1,HUAWEI製ＰＣＳ接続枚数計算ツール!$C$108&gt;=C$3,枚数!C21&gt;0,低電圧接続!C21&gt;0),枚数!C21,"-"))</f>
        <v>#VALUE!</v>
      </c>
      <c r="D22" s="124" t="e">
        <f>Z1*IF(AND(高温可否!D21=1,低温可否!D21=1,HUAWEI製ＰＣＳ接続枚数計算ツール!$C$108&gt;=D$3,HUAWEI製ＰＣＳ接続枚数計算ツール!$E$108&lt;=D$3,枚数!D21&gt;0),枚数!D21,IF(AND(低温可否!D21=1,HUAWEI製ＰＣＳ接続枚数計算ツール!$C$108&gt;=D$3,枚数!D21&gt;0,低電圧接続!D21&gt;0),枚数!D21,"-"))</f>
        <v>#VALUE!</v>
      </c>
      <c r="E22" s="123" t="e">
        <f>Z1*IF(AND(高温可否!E21=1,低温可否!E21=1,HUAWEI製ＰＣＳ接続枚数計算ツール!$C$108&gt;=E$3,HUAWEI製ＰＣＳ接続枚数計算ツール!$E$108&lt;=E$3,枚数!E21&gt;0),枚数!E21,IF(AND(低温可否!E21=1,HUAWEI製ＰＣＳ接続枚数計算ツール!$C$108&gt;=E$3,枚数!E21&gt;0,低電圧接続!E21&gt;0),枚数!E21,"-"))</f>
        <v>#VALUE!</v>
      </c>
      <c r="F22" s="124" t="e">
        <f>Z1*IF(AND(高温可否!F21=1,低温可否!F21=1,HUAWEI製ＰＣＳ接続枚数計算ツール!$C$108&gt;=F$3,HUAWEI製ＰＣＳ接続枚数計算ツール!$E$108&lt;=F$3,枚数!F21&gt;0),枚数!F21,IF(AND(低温可否!F21=1,HUAWEI製ＰＣＳ接続枚数計算ツール!$C$108&gt;=F$3,枚数!F21&gt;0,低電圧接続!F21&gt;0),枚数!F21,"-"))</f>
        <v>#VALUE!</v>
      </c>
      <c r="G22" s="123" t="e">
        <f>Z1*IF(AND(高温可否!G21=1,低温可否!G21=1,HUAWEI製ＰＣＳ接続枚数計算ツール!$C$108&gt;=G$3,HUAWEI製ＰＣＳ接続枚数計算ツール!$E$108&lt;=G$3,枚数!G21&gt;0),枚数!G21,IF(AND(低温可否!G21=1,HUAWEI製ＰＣＳ接続枚数計算ツール!$C$108&gt;=G$3,枚数!G21&gt;0,低電圧接続!G21&gt;0),枚数!G21,"-"))</f>
        <v>#VALUE!</v>
      </c>
      <c r="H22" s="124" t="e">
        <f>Z1*IF(AND(高温可否!H21=1,低温可否!H21=1,HUAWEI製ＰＣＳ接続枚数計算ツール!$C$108&gt;=H$3,HUAWEI製ＰＣＳ接続枚数計算ツール!$E$108&lt;=H$3,枚数!H21&gt;0),枚数!H21,IF(AND(低温可否!H21=1,HUAWEI製ＰＣＳ接続枚数計算ツール!$C$108&gt;=H$3,枚数!H21&gt;0,低電圧接続!H21&gt;0),枚数!H21,"-"))</f>
        <v>#VALUE!</v>
      </c>
      <c r="I22" s="123" t="e">
        <f>Z1*IF(AND(高温可否!I21=1,低温可否!I21=1,HUAWEI製ＰＣＳ接続枚数計算ツール!$C$108&gt;=I$3,HUAWEI製ＰＣＳ接続枚数計算ツール!$E$108&lt;=I$3,枚数!I21&gt;0),枚数!I21,IF(AND(低温可否!I21=1,HUAWEI製ＰＣＳ接続枚数計算ツール!$C$108&gt;=I$3,枚数!I21&gt;0,低電圧接続!I21&gt;0),枚数!I21,"-"))</f>
        <v>#VALUE!</v>
      </c>
      <c r="J22" s="124" t="e">
        <f>Z1*IF(AND(高温可否!J21=1,低温可否!J21=1,HUAWEI製ＰＣＳ接続枚数計算ツール!$C$108&gt;=J$3,HUAWEI製ＰＣＳ接続枚数計算ツール!$E$108&lt;=J$3,枚数!J21&gt;0),枚数!J21,IF(AND(低温可否!J21=1,HUAWEI製ＰＣＳ接続枚数計算ツール!$C$108&gt;=J$3,枚数!J21&gt;0,低電圧接続!J21&gt;0),枚数!J21,"-"))</f>
        <v>#VALUE!</v>
      </c>
      <c r="K22" s="123" t="e">
        <f>Z1*IF(AND(高温可否!K21=1,低温可否!K21=1,HUAWEI製ＰＣＳ接続枚数計算ツール!$C$108&gt;=K$3,HUAWEI製ＰＣＳ接続枚数計算ツール!$E$108&lt;=K$3,枚数!K21&gt;0),枚数!K21,IF(AND(低温可否!K21=1,HUAWEI製ＰＣＳ接続枚数計算ツール!$C$108&gt;=K$3,枚数!K21&gt;0,低電圧接続!K21&gt;0),枚数!K21,"-"))</f>
        <v>#VALUE!</v>
      </c>
      <c r="L22" s="124" t="e">
        <f>Z1*IF(AND(高温可否!L21=1,低温可否!L21=1,HUAWEI製ＰＣＳ接続枚数計算ツール!$C$108&gt;=L$3,HUAWEI製ＰＣＳ接続枚数計算ツール!$E$108&lt;=L$3,枚数!L21&gt;0),枚数!L21,IF(AND(低温可否!L21=1,HUAWEI製ＰＣＳ接続枚数計算ツール!$C$108&gt;=L$3,枚数!L21&gt;0,低電圧接続!L21&gt;0),枚数!L21,"-"))</f>
        <v>#VALUE!</v>
      </c>
      <c r="M22" s="123" t="e">
        <f>Z1*IF(AND(高温可否!M21=1,低温可否!M21=1,HUAWEI製ＰＣＳ接続枚数計算ツール!$C$108&gt;=M$3,HUAWEI製ＰＣＳ接続枚数計算ツール!$E$108&lt;=M$3,枚数!M21&gt;0),枚数!M21,IF(AND(低温可否!M21=1,HUAWEI製ＰＣＳ接続枚数計算ツール!$C$108&gt;=M$3,枚数!M21&gt;0,低電圧接続!M21&gt;0),枚数!M21,"-"))</f>
        <v>#VALUE!</v>
      </c>
      <c r="N22" s="124" t="e">
        <f>Z1*IF(AND(高温可否!N21=1,低温可否!N21=1,HUAWEI製ＰＣＳ接続枚数計算ツール!$C$108&gt;=N$3,HUAWEI製ＰＣＳ接続枚数計算ツール!$E$108&lt;=N$3,枚数!N21&gt;0),枚数!N21,IF(AND(低温可否!N21=1,HUAWEI製ＰＣＳ接続枚数計算ツール!$C$108&gt;=N$3,枚数!N21&gt;0,低電圧接続!N21&gt;0),枚数!N21,"-"))</f>
        <v>#VALUE!</v>
      </c>
      <c r="O22" s="123" t="e">
        <f>Z1*IF(AND(高温可否!O21=1,低温可否!O21=1,HUAWEI製ＰＣＳ接続枚数計算ツール!$C$108&gt;=O$3,HUAWEI製ＰＣＳ接続枚数計算ツール!$E$108&lt;=O$3,枚数!O21&gt;0),枚数!O21,IF(AND(低温可否!O21=1,HUAWEI製ＰＣＳ接続枚数計算ツール!$C$108&gt;=O$3,枚数!O21&gt;0,低電圧接続!O21&gt;0),枚数!O21,"-"))</f>
        <v>#VALUE!</v>
      </c>
      <c r="P22" s="124" t="e">
        <f>Z1*IF(AND(高温可否!P21=1,低温可否!P21=1,HUAWEI製ＰＣＳ接続枚数計算ツール!$C$108&gt;=P$3,HUAWEI製ＰＣＳ接続枚数計算ツール!$E$108&lt;=P$3,枚数!P21&gt;0),枚数!P21,IF(AND(低温可否!P21=1,HUAWEI製ＰＣＳ接続枚数計算ツール!$C$108&gt;=P$3,枚数!P21&gt;0,低電圧接続!P21&gt;0),枚数!P21,"-"))</f>
        <v>#VALUE!</v>
      </c>
      <c r="Q22" s="123" t="e">
        <f>Z1*IF(AND(高温可否!Q21=1,低温可否!Q21=1,HUAWEI製ＰＣＳ接続枚数計算ツール!$C$108&gt;=Q$3,HUAWEI製ＰＣＳ接続枚数計算ツール!$E$108&lt;=Q$3,枚数!Q21&gt;0),枚数!Q21,IF(AND(低温可否!Q21=1,HUAWEI製ＰＣＳ接続枚数計算ツール!$C$108&gt;=Q$3,枚数!Q21&gt;0,低電圧接続!Q21&gt;0),枚数!Q21,"-"))</f>
        <v>#VALUE!</v>
      </c>
      <c r="R22" s="124" t="e">
        <f>Z1*IF(AND(高温可否!R21=1,低温可否!R21=1,HUAWEI製ＰＣＳ接続枚数計算ツール!$C$108&gt;=R$3,HUAWEI製ＰＣＳ接続枚数計算ツール!$E$108&lt;=R$3,枚数!R21&gt;0),枚数!R21,IF(AND(低温可否!R21=1,HUAWEI製ＰＣＳ接続枚数計算ツール!$C$108&gt;=R$3,枚数!R21&gt;0,低電圧接続!R21&gt;0),枚数!R21,"-"))</f>
        <v>#VALUE!</v>
      </c>
      <c r="S22" s="123" t="e">
        <f>Z1*IF(AND(高温可否!S21=1,低温可否!S21=1,HUAWEI製ＰＣＳ接続枚数計算ツール!$C$108&gt;=S$3,HUAWEI製ＰＣＳ接続枚数計算ツール!$E$108&lt;=S$3,枚数!S21&gt;0),枚数!S21,IF(AND(低温可否!S21=1,HUAWEI製ＰＣＳ接続枚数計算ツール!$C$108&gt;=S$3,枚数!S21&gt;0,低電圧接続!S21&gt;0),枚数!S21,"-"))</f>
        <v>#VALUE!</v>
      </c>
      <c r="T22" s="124" t="e">
        <f>Z1*IF(AND(高温可否!T21=1,低温可否!T21=1,HUAWEI製ＰＣＳ接続枚数計算ツール!$C$108&gt;=T$3,HUAWEI製ＰＣＳ接続枚数計算ツール!$E$108&lt;=T$3,枚数!T21&gt;0),枚数!T21,IF(AND(低温可否!T21=1,HUAWEI製ＰＣＳ接続枚数計算ツール!$C$108&gt;=T$3,枚数!T21&gt;0,低電圧接続!T21&gt;0),枚数!T21,"-"))</f>
        <v>#VALUE!</v>
      </c>
      <c r="U22" s="123" t="e">
        <f>Z1*IF(AND(高温可否!U21=1,低温可否!U21=1,HUAWEI製ＰＣＳ接続枚数計算ツール!$C$108&gt;=U$3,HUAWEI製ＰＣＳ接続枚数計算ツール!$E$108&lt;=U$3,枚数!U21&gt;0),枚数!U21,IF(AND(低温可否!U21=1,HUAWEI製ＰＣＳ接続枚数計算ツール!$C$108&gt;=U$3,枚数!U21&gt;0,低電圧接続!U21&gt;0),枚数!U21,"-"))</f>
        <v>#VALUE!</v>
      </c>
      <c r="V22" s="124" t="e">
        <f>Z1*IF(AND(高温可否!V21=1,低温可否!V21=1,HUAWEI製ＰＣＳ接続枚数計算ツール!$C$108&gt;=V$3,HUAWEI製ＰＣＳ接続枚数計算ツール!$E$108&lt;=V$3,枚数!V21&gt;0),枚数!V21,IF(AND(低温可否!V21=1,HUAWEI製ＰＣＳ接続枚数計算ツール!$C$108&gt;=V$3,枚数!V21&gt;0,低電圧接続!V21&gt;0),枚数!V21,"-"))</f>
        <v>#VALUE!</v>
      </c>
      <c r="W22" s="123" t="e">
        <f>Z1*IF(AND(高温可否!W21=1,低温可否!W21=1,HUAWEI製ＰＣＳ接続枚数計算ツール!$C$108&gt;=W$3,HUAWEI製ＰＣＳ接続枚数計算ツール!$E$108&lt;=W$3,枚数!W21&gt;0),枚数!W21,IF(AND(低温可否!W21=1,HUAWEI製ＰＣＳ接続枚数計算ツール!$C$108&gt;=W$3,枚数!W21&gt;0,低電圧接続!W21&gt;0),枚数!W21,"-"))</f>
        <v>#VALUE!</v>
      </c>
      <c r="X22" s="124" t="e">
        <f>Z1*IF(AND(高温可否!X21=1,低温可否!X21=1,HUAWEI製ＰＣＳ接続枚数計算ツール!$C$108&gt;=X$3,HUAWEI製ＰＣＳ接続枚数計算ツール!$E$108&lt;=X$3,枚数!X21&gt;0),枚数!X21,IF(AND(低温可否!X21=1,HUAWEI製ＰＣＳ接続枚数計算ツール!$C$108&gt;=X$3,枚数!X21&gt;0,低電圧接続!X21&gt;0),枚数!X21,"-"))</f>
        <v>#VALUE!</v>
      </c>
      <c r="Y22" s="123" t="e">
        <f>Z1*IF(AND(高温可否!Y21=1,低温可否!Y21=1,HUAWEI製ＰＣＳ接続枚数計算ツール!$C$108&gt;=Y$3,HUAWEI製ＰＣＳ接続枚数計算ツール!$E$108&lt;=Y$3,枚数!Y21&gt;0),枚数!Y21,IF(AND(低温可否!Y21=1,HUAWEI製ＰＣＳ接続枚数計算ツール!$C$108&gt;=Y$3,枚数!Y21&gt;0,低電圧接続!Y21&gt;0),枚数!Y21,"-"))</f>
        <v>#VALUE!</v>
      </c>
      <c r="Z22" s="124" t="e">
        <f>Z1*IF(AND(高温可否!Z21=1,低温可否!Z21=1,HUAWEI製ＰＣＳ接続枚数計算ツール!$C$108&gt;=Z$3,HUAWEI製ＰＣＳ接続枚数計算ツール!$E$108&lt;=Z$3,枚数!Z21&gt;0),枚数!Z21,IF(AND(低温可否!Z21=1,HUAWEI製ＰＣＳ接続枚数計算ツール!$C$108&gt;=Z$3,枚数!Z21&gt;0,低電圧接続!Z21&gt;0),枚数!Z21,"-"))</f>
        <v>#VALUE!</v>
      </c>
      <c r="AA22" s="123" t="e">
        <f>Z1*IF(AND(高温可否!AA21=1,低温可否!AA21=1,HUAWEI製ＰＣＳ接続枚数計算ツール!$C$108&gt;=AA$3,HUAWEI製ＰＣＳ接続枚数計算ツール!$E$108&lt;=AA$3,枚数!AA21&gt;0),枚数!AA21,IF(AND(低温可否!AA21=1,HUAWEI製ＰＣＳ接続枚数計算ツール!$C$108&gt;=AA$3,枚数!AA21&gt;0,低電圧接続!AA21&gt;0),枚数!AA21,"-"))</f>
        <v>#VALUE!</v>
      </c>
      <c r="AB22" s="124" t="e">
        <f>Z1*IF(AND(高温可否!AB21=1,低温可否!AB21=1,HUAWEI製ＰＣＳ接続枚数計算ツール!$C$108&gt;=AB$3,HUAWEI製ＰＣＳ接続枚数計算ツール!$E$108&lt;=AB$3,枚数!AB21&gt;0),枚数!AB21,IF(AND(低温可否!AB21=1,HUAWEI製ＰＣＳ接続枚数計算ツール!$C$108&gt;=AB$3,枚数!AB21&gt;0,低電圧接続!AB21&gt;0),枚数!AB21,"-"))</f>
        <v>#VALUE!</v>
      </c>
      <c r="AC22" s="123" t="e">
        <f>Z1*IF(AND(高温可否!AC21=1,低温可否!AC21=1,HUAWEI製ＰＣＳ接続枚数計算ツール!$C$108&gt;=AC$3,HUAWEI製ＰＣＳ接続枚数計算ツール!$E$108&lt;=AC$3,枚数!AC21&gt;0),枚数!AC21,IF(AND(低温可否!AC21=1,HUAWEI製ＰＣＳ接続枚数計算ツール!$C$108&gt;=AC$3,枚数!AC21&gt;0,低電圧接続!AC21&gt;0),枚数!AC21,"-"))</f>
        <v>#VALUE!</v>
      </c>
      <c r="AD22" s="124" t="e">
        <f>Z1*IF(AND(高温可否!AD21=1,低温可否!AD21=1,HUAWEI製ＰＣＳ接続枚数計算ツール!$C$108&gt;=AD$3,HUAWEI製ＰＣＳ接続枚数計算ツール!$E$108&lt;=AD$3,枚数!AD21&gt;0),枚数!AD21,IF(AND(低温可否!AD21=1,HUAWEI製ＰＣＳ接続枚数計算ツール!$C$108&gt;=AD$3,枚数!AD21&gt;0,低電圧接続!AD21&gt;0),枚数!AD21,"-"))</f>
        <v>#VALUE!</v>
      </c>
      <c r="AE22" s="123" t="e">
        <f>Z1*IF(AND(高温可否!AE21=1,低温可否!AE21=1,HUAWEI製ＰＣＳ接続枚数計算ツール!$C$108&gt;=AE$3,HUAWEI製ＰＣＳ接続枚数計算ツール!$E$108&lt;=AE$3,枚数!AE21&gt;0),枚数!AE21,IF(AND(低温可否!AE21=1,HUAWEI製ＰＣＳ接続枚数計算ツール!$C$108&gt;=AE$3,枚数!AE21&gt;0,低電圧接続!AE21&gt;0),枚数!AE21,"-"))</f>
        <v>#VALUE!</v>
      </c>
      <c r="AF22" s="124" t="e">
        <f>Z1*IF(AND(高温可否!AF21=1,低温可否!AF21=1,HUAWEI製ＰＣＳ接続枚数計算ツール!$C$108&gt;=AF$3,HUAWEI製ＰＣＳ接続枚数計算ツール!$E$108&lt;=AF$3,枚数!AF21&gt;0),枚数!AF21,IF(AND(低温可否!AF21=1,HUAWEI製ＰＣＳ接続枚数計算ツール!$C$108&gt;=AF$3,枚数!AF21&gt;0,低電圧接続!AF21&gt;0),枚数!AF21,"-"))</f>
        <v>#VALUE!</v>
      </c>
      <c r="AG22" s="123" t="e">
        <f>Z1*IF(AND(高温可否!AG21=1,低温可否!AG21=1,HUAWEI製ＰＣＳ接続枚数計算ツール!$C$108&gt;=AG$3,HUAWEI製ＰＣＳ接続枚数計算ツール!$E$108&lt;=AG$3,枚数!AG21&gt;0),枚数!AG21,IF(AND(低温可否!AG21=1,HUAWEI製ＰＣＳ接続枚数計算ツール!$C$108&gt;=AG$3,枚数!AG21&gt;0,低電圧接続!AG21&gt;0),枚数!AG21,"-"))</f>
        <v>#VALUE!</v>
      </c>
      <c r="AH22" s="124" t="e">
        <f>Z1*IF(AND(高温可否!AH21=1,低温可否!AH21=1,HUAWEI製ＰＣＳ接続枚数計算ツール!$C$108&gt;=AH$3,HUAWEI製ＰＣＳ接続枚数計算ツール!$E$108&lt;=AH$3,枚数!AH21&gt;0),枚数!AH21,IF(AND(低温可否!AH21=1,HUAWEI製ＰＣＳ接続枚数計算ツール!$C$108&gt;=AH$3,枚数!AH21&gt;0,低電圧接続!AH21&gt;0),枚数!AH21,"-"))</f>
        <v>#VALUE!</v>
      </c>
      <c r="AI22" s="123" t="e">
        <f>Z1*IF(AND(高温可否!AI21=1,低温可否!AI21=1,HUAWEI製ＰＣＳ接続枚数計算ツール!$C$108&gt;=AI$3,HUAWEI製ＰＣＳ接続枚数計算ツール!$E$108&lt;=AI$3,枚数!AI21&gt;0),枚数!AI21,IF(AND(低温可否!AI21=1,HUAWEI製ＰＣＳ接続枚数計算ツール!$C$108&gt;=AI$3,枚数!AI21&gt;0,低電圧接続!AI21&gt;0),枚数!AI21,"-"))</f>
        <v>#VALUE!</v>
      </c>
      <c r="AJ22" s="124" t="e">
        <f>Z1*IF(AND(高温可否!AJ21=1,低温可否!AJ21=1,HUAWEI製ＰＣＳ接続枚数計算ツール!$C$108&gt;=AJ$3,HUAWEI製ＰＣＳ接続枚数計算ツール!$E$108&lt;=AJ$3,枚数!AJ21&gt;0),枚数!AJ21,IF(AND(低温可否!AJ21=1,HUAWEI製ＰＣＳ接続枚数計算ツール!$C$108&gt;=AJ$3,枚数!AJ21&gt;0,低電圧接続!AJ21&gt;0),枚数!AJ21,"-"))</f>
        <v>#VALUE!</v>
      </c>
      <c r="AK22" s="123" t="e">
        <f>Z1*IF(AND(高温可否!AK21=1,低温可否!AK21=1,HUAWEI製ＰＣＳ接続枚数計算ツール!$C$108&gt;=AK$3,HUAWEI製ＰＣＳ接続枚数計算ツール!$E$108&lt;=AK$3,枚数!AK21&gt;0),枚数!AK21,IF(AND(低温可否!AK21=1,HUAWEI製ＰＣＳ接続枚数計算ツール!$C$108&gt;=AK$3,枚数!AK21&gt;0,低電圧接続!AK21&gt;0),枚数!AK21,"-"))</f>
        <v>#VALUE!</v>
      </c>
      <c r="AL22" s="124" t="e">
        <f>Z1*IF(AND(高温可否!AL21=1,低温可否!AL21=1,HUAWEI製ＰＣＳ接続枚数計算ツール!$C$108&gt;=AL$3,HUAWEI製ＰＣＳ接続枚数計算ツール!$E$108&lt;=AL$3,枚数!AL21&gt;0),枚数!AL21,IF(AND(低温可否!AL21=1,HUAWEI製ＰＣＳ接続枚数計算ツール!$C$108&gt;=AL$3,枚数!AL21&gt;0,低電圧接続!AL21&gt;0),枚数!AL21,"-"))</f>
        <v>#VALUE!</v>
      </c>
      <c r="AM22" s="123" t="e">
        <f>Z1*IF(AND(高温可否!AM21=1,低温可否!AM21=1,HUAWEI製ＰＣＳ接続枚数計算ツール!$C$108&gt;=AM$3,HUAWEI製ＰＣＳ接続枚数計算ツール!$E$108&lt;=AM$3,枚数!AM21&gt;0),枚数!AM21,IF(AND(低温可否!AM21=1,HUAWEI製ＰＣＳ接続枚数計算ツール!$C$108&gt;=AM$3,枚数!AM21&gt;0,低電圧接続!AM21&gt;0),枚数!AM21,"-"))</f>
        <v>#VALUE!</v>
      </c>
      <c r="AN22" s="124" t="e">
        <f>Z1*IF(AND(高温可否!AN21=1,低温可否!AN21=1,HUAWEI製ＰＣＳ接続枚数計算ツール!$C$108&gt;=AN$3,HUAWEI製ＰＣＳ接続枚数計算ツール!$E$108&lt;=AN$3,枚数!AN21&gt;0),枚数!AN21,IF(AND(低温可否!AN21=1,HUAWEI製ＰＣＳ接続枚数計算ツール!$C$108&gt;=AN$3,枚数!AN21&gt;0,低電圧接続!AN21&gt;0),枚数!AN21,"-"))</f>
        <v>#VALUE!</v>
      </c>
      <c r="AO22" s="125" t="e">
        <f>Z1*IF(AND(高温可否!AO21=1,低温可否!AO21=1,HUAWEI製ＰＣＳ接続枚数計算ツール!$C$108&gt;=AO$3,HUAWEI製ＰＣＳ接続枚数計算ツール!$E$108&lt;=AO$3,枚数!AO21&gt;0),枚数!AO21,IF(AND(低温可否!AO21=1,HUAWEI製ＰＣＳ接続枚数計算ツール!$C$108&gt;=AO$3,枚数!AO21&gt;0,低電圧接続!AO21&gt;0),枚数!AO21,"-"))</f>
        <v>#VALUE!</v>
      </c>
    </row>
    <row r="23" spans="1:41">
      <c r="A23" s="115">
        <v>20</v>
      </c>
      <c r="B23" s="126" t="e">
        <f>Z1*IF(AND(高温可否!B22=1,低温可否!B22=1,HUAWEI製ＰＣＳ接続枚数計算ツール!$C$108&gt;=B$3,HUAWEI製ＰＣＳ接続枚数計算ツール!$E$108&lt;=B$3,枚数!B22&gt;0),枚数!B22,IF(AND(低温可否!B22=1,HUAWEI製ＰＣＳ接続枚数計算ツール!$C$108&gt;=B$3,枚数!B22&gt;0,低電圧接続!B22&gt;0),枚数!B22,"-"))</f>
        <v>#VALUE!</v>
      </c>
      <c r="C23" s="127" t="e">
        <f>Z1*IF(AND(高温可否!C22=1,低温可否!C22=1,HUAWEI製ＰＣＳ接続枚数計算ツール!$C$108&gt;=C$3,HUAWEI製ＰＣＳ接続枚数計算ツール!$E$108&lt;=C$3,枚数!C22&gt;0),枚数!C22,IF(AND(低温可否!C22=1,HUAWEI製ＰＣＳ接続枚数計算ツール!$C$108&gt;=C$3,枚数!C22&gt;0,低電圧接続!C22&gt;0),枚数!C22,"-"))</f>
        <v>#VALUE!</v>
      </c>
      <c r="D23" s="128" t="e">
        <f>Z1*IF(AND(高温可否!D22=1,低温可否!D22=1,HUAWEI製ＰＣＳ接続枚数計算ツール!$C$108&gt;=D$3,HUAWEI製ＰＣＳ接続枚数計算ツール!$E$108&lt;=D$3,枚数!D22&gt;0),枚数!D22,IF(AND(低温可否!D22=1,HUAWEI製ＰＣＳ接続枚数計算ツール!$C$108&gt;=D$3,枚数!D22&gt;0,低電圧接続!D22&gt;0),枚数!D22,"-"))</f>
        <v>#VALUE!</v>
      </c>
      <c r="E23" s="127" t="e">
        <f>Z1*IF(AND(高温可否!E22=1,低温可否!E22=1,HUAWEI製ＰＣＳ接続枚数計算ツール!$C$108&gt;=E$3,HUAWEI製ＰＣＳ接続枚数計算ツール!$E$108&lt;=E$3,枚数!E22&gt;0),枚数!E22,IF(AND(低温可否!E22=1,HUAWEI製ＰＣＳ接続枚数計算ツール!$C$108&gt;=E$3,枚数!E22&gt;0,低電圧接続!E22&gt;0),枚数!E22,"-"))</f>
        <v>#VALUE!</v>
      </c>
      <c r="F23" s="128" t="e">
        <f>Z1*IF(AND(高温可否!F22=1,低温可否!F22=1,HUAWEI製ＰＣＳ接続枚数計算ツール!$C$108&gt;=F$3,HUAWEI製ＰＣＳ接続枚数計算ツール!$E$108&lt;=F$3,枚数!F22&gt;0),枚数!F22,IF(AND(低温可否!F22=1,HUAWEI製ＰＣＳ接続枚数計算ツール!$C$108&gt;=F$3,枚数!F22&gt;0,低電圧接続!F22&gt;0),枚数!F22,"-"))</f>
        <v>#VALUE!</v>
      </c>
      <c r="G23" s="127" t="e">
        <f>Z1*IF(AND(高温可否!G22=1,低温可否!G22=1,HUAWEI製ＰＣＳ接続枚数計算ツール!$C$108&gt;=G$3,HUAWEI製ＰＣＳ接続枚数計算ツール!$E$108&lt;=G$3,枚数!G22&gt;0),枚数!G22,IF(AND(低温可否!G22=1,HUAWEI製ＰＣＳ接続枚数計算ツール!$C$108&gt;=G$3,枚数!G22&gt;0,低電圧接続!G22&gt;0),枚数!G22,"-"))</f>
        <v>#VALUE!</v>
      </c>
      <c r="H23" s="128" t="e">
        <f>Z1*IF(AND(高温可否!H22=1,低温可否!H22=1,HUAWEI製ＰＣＳ接続枚数計算ツール!$C$108&gt;=H$3,HUAWEI製ＰＣＳ接続枚数計算ツール!$E$108&lt;=H$3,枚数!H22&gt;0),枚数!H22,IF(AND(低温可否!H22=1,HUAWEI製ＰＣＳ接続枚数計算ツール!$C$108&gt;=H$3,枚数!H22&gt;0,低電圧接続!H22&gt;0),枚数!H22,"-"))</f>
        <v>#VALUE!</v>
      </c>
      <c r="I23" s="127" t="e">
        <f>Z1*IF(AND(高温可否!I22=1,低温可否!I22=1,HUAWEI製ＰＣＳ接続枚数計算ツール!$C$108&gt;=I$3,HUAWEI製ＰＣＳ接続枚数計算ツール!$E$108&lt;=I$3,枚数!I22&gt;0),枚数!I22,IF(AND(低温可否!I22=1,HUAWEI製ＰＣＳ接続枚数計算ツール!$C$108&gt;=I$3,枚数!I22&gt;0,低電圧接続!I22&gt;0),枚数!I22,"-"))</f>
        <v>#VALUE!</v>
      </c>
      <c r="J23" s="128" t="e">
        <f>Z1*IF(AND(高温可否!J22=1,低温可否!J22=1,HUAWEI製ＰＣＳ接続枚数計算ツール!$C$108&gt;=J$3,HUAWEI製ＰＣＳ接続枚数計算ツール!$E$108&lt;=J$3,枚数!J22&gt;0),枚数!J22,IF(AND(低温可否!J22=1,HUAWEI製ＰＣＳ接続枚数計算ツール!$C$108&gt;=J$3,枚数!J22&gt;0,低電圧接続!J22&gt;0),枚数!J22,"-"))</f>
        <v>#VALUE!</v>
      </c>
      <c r="K23" s="127" t="e">
        <f>Z1*IF(AND(高温可否!K22=1,低温可否!K22=1,HUAWEI製ＰＣＳ接続枚数計算ツール!$C$108&gt;=K$3,HUAWEI製ＰＣＳ接続枚数計算ツール!$E$108&lt;=K$3,枚数!K22&gt;0),枚数!K22,IF(AND(低温可否!K22=1,HUAWEI製ＰＣＳ接続枚数計算ツール!$C$108&gt;=K$3,枚数!K22&gt;0,低電圧接続!K22&gt;0),枚数!K22,"-"))</f>
        <v>#VALUE!</v>
      </c>
      <c r="L23" s="128" t="e">
        <f>Z1*IF(AND(高温可否!L22=1,低温可否!L22=1,HUAWEI製ＰＣＳ接続枚数計算ツール!$C$108&gt;=L$3,HUAWEI製ＰＣＳ接続枚数計算ツール!$E$108&lt;=L$3,枚数!L22&gt;0),枚数!L22,IF(AND(低温可否!L22=1,HUAWEI製ＰＣＳ接続枚数計算ツール!$C$108&gt;=L$3,枚数!L22&gt;0,低電圧接続!L22&gt;0),枚数!L22,"-"))</f>
        <v>#VALUE!</v>
      </c>
      <c r="M23" s="127" t="e">
        <f>Z1*IF(AND(高温可否!M22=1,低温可否!M22=1,HUAWEI製ＰＣＳ接続枚数計算ツール!$C$108&gt;=M$3,HUAWEI製ＰＣＳ接続枚数計算ツール!$E$108&lt;=M$3,枚数!M22&gt;0),枚数!M22,IF(AND(低温可否!M22=1,HUAWEI製ＰＣＳ接続枚数計算ツール!$C$108&gt;=M$3,枚数!M22&gt;0,低電圧接続!M22&gt;0),枚数!M22,"-"))</f>
        <v>#VALUE!</v>
      </c>
      <c r="N23" s="128" t="e">
        <f>Z1*IF(AND(高温可否!N22=1,低温可否!N22=1,HUAWEI製ＰＣＳ接続枚数計算ツール!$C$108&gt;=N$3,HUAWEI製ＰＣＳ接続枚数計算ツール!$E$108&lt;=N$3,枚数!N22&gt;0),枚数!N22,IF(AND(低温可否!N22=1,HUAWEI製ＰＣＳ接続枚数計算ツール!$C$108&gt;=N$3,枚数!N22&gt;0,低電圧接続!N22&gt;0),枚数!N22,"-"))</f>
        <v>#VALUE!</v>
      </c>
      <c r="O23" s="127" t="e">
        <f>Z1*IF(AND(高温可否!O22=1,低温可否!O22=1,HUAWEI製ＰＣＳ接続枚数計算ツール!$C$108&gt;=O$3,HUAWEI製ＰＣＳ接続枚数計算ツール!$E$108&lt;=O$3,枚数!O22&gt;0),枚数!O22,IF(AND(低温可否!O22=1,HUAWEI製ＰＣＳ接続枚数計算ツール!$C$108&gt;=O$3,枚数!O22&gt;0,低電圧接続!O22&gt;0),枚数!O22,"-"))</f>
        <v>#VALUE!</v>
      </c>
      <c r="P23" s="128" t="e">
        <f>Z1*IF(AND(高温可否!P22=1,低温可否!P22=1,HUAWEI製ＰＣＳ接続枚数計算ツール!$C$108&gt;=P$3,HUAWEI製ＰＣＳ接続枚数計算ツール!$E$108&lt;=P$3,枚数!P22&gt;0),枚数!P22,IF(AND(低温可否!P22=1,HUAWEI製ＰＣＳ接続枚数計算ツール!$C$108&gt;=P$3,枚数!P22&gt;0,低電圧接続!P22&gt;0),枚数!P22,"-"))</f>
        <v>#VALUE!</v>
      </c>
      <c r="Q23" s="127" t="e">
        <f>Z1*IF(AND(高温可否!Q22=1,低温可否!Q22=1,HUAWEI製ＰＣＳ接続枚数計算ツール!$C$108&gt;=Q$3,HUAWEI製ＰＣＳ接続枚数計算ツール!$E$108&lt;=Q$3,枚数!Q22&gt;0),枚数!Q22,IF(AND(低温可否!Q22=1,HUAWEI製ＰＣＳ接続枚数計算ツール!$C$108&gt;=Q$3,枚数!Q22&gt;0,低電圧接続!Q22&gt;0),枚数!Q22,"-"))</f>
        <v>#VALUE!</v>
      </c>
      <c r="R23" s="128" t="e">
        <f>Z1*IF(AND(高温可否!R22=1,低温可否!R22=1,HUAWEI製ＰＣＳ接続枚数計算ツール!$C$108&gt;=R$3,HUAWEI製ＰＣＳ接続枚数計算ツール!$E$108&lt;=R$3,枚数!R22&gt;0),枚数!R22,IF(AND(低温可否!R22=1,HUAWEI製ＰＣＳ接続枚数計算ツール!$C$108&gt;=R$3,枚数!R22&gt;0,低電圧接続!R22&gt;0),枚数!R22,"-"))</f>
        <v>#VALUE!</v>
      </c>
      <c r="S23" s="127" t="e">
        <f>Z1*IF(AND(高温可否!S22=1,低温可否!S22=1,HUAWEI製ＰＣＳ接続枚数計算ツール!$C$108&gt;=S$3,HUAWEI製ＰＣＳ接続枚数計算ツール!$E$108&lt;=S$3,枚数!S22&gt;0),枚数!S22,IF(AND(低温可否!S22=1,HUAWEI製ＰＣＳ接続枚数計算ツール!$C$108&gt;=S$3,枚数!S22&gt;0,低電圧接続!S22&gt;0),枚数!S22,"-"))</f>
        <v>#VALUE!</v>
      </c>
      <c r="T23" s="128" t="e">
        <f>Z1*IF(AND(高温可否!T22=1,低温可否!T22=1,HUAWEI製ＰＣＳ接続枚数計算ツール!$C$108&gt;=T$3,HUAWEI製ＰＣＳ接続枚数計算ツール!$E$108&lt;=T$3,枚数!T22&gt;0),枚数!T22,IF(AND(低温可否!T22=1,HUAWEI製ＰＣＳ接続枚数計算ツール!$C$108&gt;=T$3,枚数!T22&gt;0,低電圧接続!T22&gt;0),枚数!T22,"-"))</f>
        <v>#VALUE!</v>
      </c>
      <c r="U23" s="127" t="e">
        <f>Z1*IF(AND(高温可否!U22=1,低温可否!U22=1,HUAWEI製ＰＣＳ接続枚数計算ツール!$C$108&gt;=U$3,HUAWEI製ＰＣＳ接続枚数計算ツール!$E$108&lt;=U$3,枚数!U22&gt;0),枚数!U22,IF(AND(低温可否!U22=1,HUAWEI製ＰＣＳ接続枚数計算ツール!$C$108&gt;=U$3,枚数!U22&gt;0,低電圧接続!U22&gt;0),枚数!U22,"-"))</f>
        <v>#VALUE!</v>
      </c>
      <c r="V23" s="128" t="e">
        <f>Z1*IF(AND(高温可否!V22=1,低温可否!V22=1,HUAWEI製ＰＣＳ接続枚数計算ツール!$C$108&gt;=V$3,HUAWEI製ＰＣＳ接続枚数計算ツール!$E$108&lt;=V$3,枚数!V22&gt;0),枚数!V22,IF(AND(低温可否!V22=1,HUAWEI製ＰＣＳ接続枚数計算ツール!$C$108&gt;=V$3,枚数!V22&gt;0,低電圧接続!V22&gt;0),枚数!V22,"-"))</f>
        <v>#VALUE!</v>
      </c>
      <c r="W23" s="127" t="e">
        <f>Z1*IF(AND(高温可否!W22=1,低温可否!W22=1,HUAWEI製ＰＣＳ接続枚数計算ツール!$C$108&gt;=W$3,HUAWEI製ＰＣＳ接続枚数計算ツール!$E$108&lt;=W$3,枚数!W22&gt;0),枚数!W22,IF(AND(低温可否!W22=1,HUAWEI製ＰＣＳ接続枚数計算ツール!$C$108&gt;=W$3,枚数!W22&gt;0,低電圧接続!W22&gt;0),枚数!W22,"-"))</f>
        <v>#VALUE!</v>
      </c>
      <c r="X23" s="128" t="e">
        <f>Z1*IF(AND(高温可否!X22=1,低温可否!X22=1,HUAWEI製ＰＣＳ接続枚数計算ツール!$C$108&gt;=X$3,HUAWEI製ＰＣＳ接続枚数計算ツール!$E$108&lt;=X$3,枚数!X22&gt;0),枚数!X22,IF(AND(低温可否!X22=1,HUAWEI製ＰＣＳ接続枚数計算ツール!$C$108&gt;=X$3,枚数!X22&gt;0,低電圧接続!X22&gt;0),枚数!X22,"-"))</f>
        <v>#VALUE!</v>
      </c>
      <c r="Y23" s="127" t="e">
        <f>Z1*IF(AND(高温可否!Y22=1,低温可否!Y22=1,HUAWEI製ＰＣＳ接続枚数計算ツール!$C$108&gt;=Y$3,HUAWEI製ＰＣＳ接続枚数計算ツール!$E$108&lt;=Y$3,枚数!Y22&gt;0),枚数!Y22,IF(AND(低温可否!Y22=1,HUAWEI製ＰＣＳ接続枚数計算ツール!$C$108&gt;=Y$3,枚数!Y22&gt;0,低電圧接続!Y22&gt;0),枚数!Y22,"-"))</f>
        <v>#VALUE!</v>
      </c>
      <c r="Z23" s="128" t="e">
        <f>Z1*IF(AND(高温可否!Z22=1,低温可否!Z22=1,HUAWEI製ＰＣＳ接続枚数計算ツール!$C$108&gt;=Z$3,HUAWEI製ＰＣＳ接続枚数計算ツール!$E$108&lt;=Z$3,枚数!Z22&gt;0),枚数!Z22,IF(AND(低温可否!Z22=1,HUAWEI製ＰＣＳ接続枚数計算ツール!$C$108&gt;=Z$3,枚数!Z22&gt;0,低電圧接続!Z22&gt;0),枚数!Z22,"-"))</f>
        <v>#VALUE!</v>
      </c>
      <c r="AA23" s="127" t="e">
        <f>Z1*IF(AND(高温可否!AA22=1,低温可否!AA22=1,HUAWEI製ＰＣＳ接続枚数計算ツール!$C$108&gt;=AA$3,HUAWEI製ＰＣＳ接続枚数計算ツール!$E$108&lt;=AA$3,枚数!AA22&gt;0),枚数!AA22,IF(AND(低温可否!AA22=1,HUAWEI製ＰＣＳ接続枚数計算ツール!$C$108&gt;=AA$3,枚数!AA22&gt;0,低電圧接続!AA22&gt;0),枚数!AA22,"-"))</f>
        <v>#VALUE!</v>
      </c>
      <c r="AB23" s="128" t="e">
        <f>Z1*IF(AND(高温可否!AB22=1,低温可否!AB22=1,HUAWEI製ＰＣＳ接続枚数計算ツール!$C$108&gt;=AB$3,HUAWEI製ＰＣＳ接続枚数計算ツール!$E$108&lt;=AB$3,枚数!AB22&gt;0),枚数!AB22,IF(AND(低温可否!AB22=1,HUAWEI製ＰＣＳ接続枚数計算ツール!$C$108&gt;=AB$3,枚数!AB22&gt;0,低電圧接続!AB22&gt;0),枚数!AB22,"-"))</f>
        <v>#VALUE!</v>
      </c>
      <c r="AC23" s="127" t="e">
        <f>Z1*IF(AND(高温可否!AC22=1,低温可否!AC22=1,HUAWEI製ＰＣＳ接続枚数計算ツール!$C$108&gt;=AC$3,HUAWEI製ＰＣＳ接続枚数計算ツール!$E$108&lt;=AC$3,枚数!AC22&gt;0),枚数!AC22,IF(AND(低温可否!AC22=1,HUAWEI製ＰＣＳ接続枚数計算ツール!$C$108&gt;=AC$3,枚数!AC22&gt;0,低電圧接続!AC22&gt;0),枚数!AC22,"-"))</f>
        <v>#VALUE!</v>
      </c>
      <c r="AD23" s="128" t="e">
        <f>Z1*IF(AND(高温可否!AD22=1,低温可否!AD22=1,HUAWEI製ＰＣＳ接続枚数計算ツール!$C$108&gt;=AD$3,HUAWEI製ＰＣＳ接続枚数計算ツール!$E$108&lt;=AD$3,枚数!AD22&gt;0),枚数!AD22,IF(AND(低温可否!AD22=1,HUAWEI製ＰＣＳ接続枚数計算ツール!$C$108&gt;=AD$3,枚数!AD22&gt;0,低電圧接続!AD22&gt;0),枚数!AD22,"-"))</f>
        <v>#VALUE!</v>
      </c>
      <c r="AE23" s="127" t="e">
        <f>Z1*IF(AND(高温可否!AE22=1,低温可否!AE22=1,HUAWEI製ＰＣＳ接続枚数計算ツール!$C$108&gt;=AE$3,HUAWEI製ＰＣＳ接続枚数計算ツール!$E$108&lt;=AE$3,枚数!AE22&gt;0),枚数!AE22,IF(AND(低温可否!AE22=1,HUAWEI製ＰＣＳ接続枚数計算ツール!$C$108&gt;=AE$3,枚数!AE22&gt;0,低電圧接続!AE22&gt;0),枚数!AE22,"-"))</f>
        <v>#VALUE!</v>
      </c>
      <c r="AF23" s="128" t="e">
        <f>Z1*IF(AND(高温可否!AF22=1,低温可否!AF22=1,HUAWEI製ＰＣＳ接続枚数計算ツール!$C$108&gt;=AF$3,HUAWEI製ＰＣＳ接続枚数計算ツール!$E$108&lt;=AF$3,枚数!AF22&gt;0),枚数!AF22,IF(AND(低温可否!AF22=1,HUAWEI製ＰＣＳ接続枚数計算ツール!$C$108&gt;=AF$3,枚数!AF22&gt;0,低電圧接続!AF22&gt;0),枚数!AF22,"-"))</f>
        <v>#VALUE!</v>
      </c>
      <c r="AG23" s="127" t="e">
        <f>Z1*IF(AND(高温可否!AG22=1,低温可否!AG22=1,HUAWEI製ＰＣＳ接続枚数計算ツール!$C$108&gt;=AG$3,HUAWEI製ＰＣＳ接続枚数計算ツール!$E$108&lt;=AG$3,枚数!AG22&gt;0),枚数!AG22,IF(AND(低温可否!AG22=1,HUAWEI製ＰＣＳ接続枚数計算ツール!$C$108&gt;=AG$3,枚数!AG22&gt;0,低電圧接続!AG22&gt;0),枚数!AG22,"-"))</f>
        <v>#VALUE!</v>
      </c>
      <c r="AH23" s="128" t="e">
        <f>Z1*IF(AND(高温可否!AH22=1,低温可否!AH22=1,HUAWEI製ＰＣＳ接続枚数計算ツール!$C$108&gt;=AH$3,HUAWEI製ＰＣＳ接続枚数計算ツール!$E$108&lt;=AH$3,枚数!AH22&gt;0),枚数!AH22,IF(AND(低温可否!AH22=1,HUAWEI製ＰＣＳ接続枚数計算ツール!$C$108&gt;=AH$3,枚数!AH22&gt;0,低電圧接続!AH22&gt;0),枚数!AH22,"-"))</f>
        <v>#VALUE!</v>
      </c>
      <c r="AI23" s="127" t="e">
        <f>Z1*IF(AND(高温可否!AI22=1,低温可否!AI22=1,HUAWEI製ＰＣＳ接続枚数計算ツール!$C$108&gt;=AI$3,HUAWEI製ＰＣＳ接続枚数計算ツール!$E$108&lt;=AI$3,枚数!AI22&gt;0),枚数!AI22,IF(AND(低温可否!AI22=1,HUAWEI製ＰＣＳ接続枚数計算ツール!$C$108&gt;=AI$3,枚数!AI22&gt;0,低電圧接続!AI22&gt;0),枚数!AI22,"-"))</f>
        <v>#VALUE!</v>
      </c>
      <c r="AJ23" s="128" t="e">
        <f>Z1*IF(AND(高温可否!AJ22=1,低温可否!AJ22=1,HUAWEI製ＰＣＳ接続枚数計算ツール!$C$108&gt;=AJ$3,HUAWEI製ＰＣＳ接続枚数計算ツール!$E$108&lt;=AJ$3,枚数!AJ22&gt;0),枚数!AJ22,IF(AND(低温可否!AJ22=1,HUAWEI製ＰＣＳ接続枚数計算ツール!$C$108&gt;=AJ$3,枚数!AJ22&gt;0,低電圧接続!AJ22&gt;0),枚数!AJ22,"-"))</f>
        <v>#VALUE!</v>
      </c>
      <c r="AK23" s="127" t="e">
        <f>Z1*IF(AND(高温可否!AK22=1,低温可否!AK22=1,HUAWEI製ＰＣＳ接続枚数計算ツール!$C$108&gt;=AK$3,HUAWEI製ＰＣＳ接続枚数計算ツール!$E$108&lt;=AK$3,枚数!AK22&gt;0),枚数!AK22,IF(AND(低温可否!AK22=1,HUAWEI製ＰＣＳ接続枚数計算ツール!$C$108&gt;=AK$3,枚数!AK22&gt;0,低電圧接続!AK22&gt;0),枚数!AK22,"-"))</f>
        <v>#VALUE!</v>
      </c>
      <c r="AL23" s="128" t="e">
        <f>Z1*IF(AND(高温可否!AL22=1,低温可否!AL22=1,HUAWEI製ＰＣＳ接続枚数計算ツール!$C$108&gt;=AL$3,HUAWEI製ＰＣＳ接続枚数計算ツール!$E$108&lt;=AL$3,枚数!AL22&gt;0),枚数!AL22,IF(AND(低温可否!AL22=1,HUAWEI製ＰＣＳ接続枚数計算ツール!$C$108&gt;=AL$3,枚数!AL22&gt;0,低電圧接続!AL22&gt;0),枚数!AL22,"-"))</f>
        <v>#VALUE!</v>
      </c>
      <c r="AM23" s="127" t="e">
        <f>Z1*IF(AND(高温可否!AM22=1,低温可否!AM22=1,HUAWEI製ＰＣＳ接続枚数計算ツール!$C$108&gt;=AM$3,HUAWEI製ＰＣＳ接続枚数計算ツール!$E$108&lt;=AM$3,枚数!AM22&gt;0),枚数!AM22,IF(AND(低温可否!AM22=1,HUAWEI製ＰＣＳ接続枚数計算ツール!$C$108&gt;=AM$3,枚数!AM22&gt;0,低電圧接続!AM22&gt;0),枚数!AM22,"-"))</f>
        <v>#VALUE!</v>
      </c>
      <c r="AN23" s="128" t="e">
        <f>Z1*IF(AND(高温可否!AN22=1,低温可否!AN22=1,HUAWEI製ＰＣＳ接続枚数計算ツール!$C$108&gt;=AN$3,HUAWEI製ＰＣＳ接続枚数計算ツール!$E$108&lt;=AN$3,枚数!AN22&gt;0),枚数!AN22,IF(AND(低温可否!AN22=1,HUAWEI製ＰＣＳ接続枚数計算ツール!$C$108&gt;=AN$3,枚数!AN22&gt;0,低電圧接続!AN22&gt;0),枚数!AN22,"-"))</f>
        <v>#VALUE!</v>
      </c>
      <c r="AO23" s="129" t="e">
        <f>Z1*IF(AND(高温可否!AO22=1,低温可否!AO22=1,HUAWEI製ＰＣＳ接続枚数計算ツール!$C$108&gt;=AO$3,HUAWEI製ＰＣＳ接続枚数計算ツール!$E$108&lt;=AO$3,枚数!AO22&gt;0),枚数!AO22,IF(AND(低温可否!AO22=1,HUAWEI製ＰＣＳ接続枚数計算ツール!$C$108&gt;=AO$3,枚数!AO22&gt;0,低電圧接続!AO22&gt;0),枚数!AO22,"-"))</f>
        <v>#VALUE!</v>
      </c>
    </row>
    <row r="24" spans="1:41">
      <c r="A24" s="120"/>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row>
    <row r="25" spans="1:41">
      <c r="A25" s="120"/>
      <c r="B25" s="120"/>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row>
    <row r="26" spans="1:41">
      <c r="A26" s="120"/>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row>
    <row r="27" spans="1:41">
      <c r="A27" s="120"/>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row>
  </sheetData>
  <phoneticPr fontId="21"/>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481A3D0B-4044-4994-AE85-26743533D7A6}">
            <xm:f>AND(低温可否!B3=1,HUAWEI製ＰＣＳ接続枚数計算ツール!$C$108&gt;=B$3,枚数!B3&gt;0,低電圧接続!B3&gt;0)</xm:f>
            <x14:dxf>
              <font>
                <color rgb="FF00B0F0"/>
              </font>
            </x14:dxf>
          </x14:cfRule>
          <xm:sqref>B4:AO23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d31e4a8-908b-4c57-be91-dc99880de6ab" xsi:nil="true"/>
    <lcf76f155ced4ddcb4097134ff3c332f xmlns="47c453f9-9b64-42ad-a9df-27f6cd6cb21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DFC5373633572458AE0566257CEC345" ma:contentTypeVersion="17" ma:contentTypeDescription="新しいドキュメントを作成します。" ma:contentTypeScope="" ma:versionID="a8cc74b5c6daf01296815bdae254ead2">
  <xsd:schema xmlns:xsd="http://www.w3.org/2001/XMLSchema" xmlns:xs="http://www.w3.org/2001/XMLSchema" xmlns:p="http://schemas.microsoft.com/office/2006/metadata/properties" xmlns:ns2="47c453f9-9b64-42ad-a9df-27f6cd6cb21a" xmlns:ns3="ad31e4a8-908b-4c57-be91-dc99880de6ab" targetNamespace="http://schemas.microsoft.com/office/2006/metadata/properties" ma:root="true" ma:fieldsID="ae0d1821d7f6a10f062020e1c5ccb1c4" ns2:_="" ns3:_="">
    <xsd:import namespace="47c453f9-9b64-42ad-a9df-27f6cd6cb21a"/>
    <xsd:import namespace="ad31e4a8-908b-4c57-be91-dc99880de6a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c453f9-9b64-42ad-a9df-27f6cd6cb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34f6e6ab-1c55-41ef-8be9-19f36af851f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1e4a8-908b-4c57-be91-dc99880de6a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8d83c44-72db-46c9-b7d4-87b42e202dfa}" ma:internalName="TaxCatchAll" ma:showField="CatchAllData" ma:web="ad31e4a8-908b-4c57-be91-dc99880de6a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5B7DEC-1347-4A86-9F68-7922559E9F49}"/>
</file>

<file path=customXml/itemProps2.xml><?xml version="1.0" encoding="utf-8"?>
<ds:datastoreItem xmlns:ds="http://schemas.openxmlformats.org/officeDocument/2006/customXml" ds:itemID="{CFC3ACBC-C42D-47CB-B088-A88C2E432C4F}"/>
</file>

<file path=customXml/itemProps3.xml><?xml version="1.0" encoding="utf-8"?>
<ds:datastoreItem xmlns:ds="http://schemas.openxmlformats.org/officeDocument/2006/customXml" ds:itemID="{7A59FE94-7D8D-4449-AFE3-15353CB36B39}"/>
</file>

<file path=docProps/app.xml><?xml version="1.0" encoding="utf-8"?>
<Properties xmlns="http://schemas.openxmlformats.org/officeDocument/2006/extended-properties" xmlns:vt="http://schemas.openxmlformats.org/officeDocument/2006/docPropsVTypes">
  <Application>Microsoft Excel Online</Application>
  <Manager/>
  <Company>Huawei Technologies Co., 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Maeda Toshinori</dc:creator>
  <cp:keywords/>
  <dc:description/>
  <cp:lastModifiedBy>山崎 智央</cp:lastModifiedBy>
  <cp:revision/>
  <dcterms:created xsi:type="dcterms:W3CDTF">2003-11-11T03:59:45Z</dcterms:created>
  <dcterms:modified xsi:type="dcterms:W3CDTF">2025-12-12T12:08:54Z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+x3adntaFX6SA9Biln0bE</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s3UqtHQxxlK3pQexaSvmzHwV41HRA6xXiARy3iGtqp</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QtuRfZiZW20W7j/yyk5RsN1Kd44oVQTQuz4kuVKSNALeLaLc5hVkRqeL3TvVNn/</vt:lpwstr>
  </property>
  <property fmtid="{D5CDD505-2E9C-101B-9397-08002B2CF9AE}" pid="5" name="_ms_pID_7253433">
    <vt:lpwstr>OZ31sW5W4
1++nvbQyLnNmMOnfXeqLBhOdakc=</vt:lpwstr>
  </property>
  <property fmtid="{D5CDD505-2E9C-101B-9397-08002B2CF9AE}" pid="6" name="_2015_ms_pID_725343">
    <vt:lpwstr>(3)Tf0slWA0YxRKQ8smIVA5XSsMyNJvGxXzKEIAR+mOQpRZJsd5ysSmcZ1rRMIMGtneDWpoP8XX
5qUBiZ4BuxJZ4k3ejg23+UAOaDhgtVcUohBXCwDp3JGlEoV+zWJPbLX+Ncbc/5ngrNif7vg3
2KZLXr+cMgbdEYxScIedvETbJDrxj5yvH0CSzINByyD5yTJbyZuCHlvRCRKFWRHb9AMocxwA
7VrzC70QwG7oMI9jWZ</vt:lpwstr>
  </property>
  <property fmtid="{D5CDD505-2E9C-101B-9397-08002B2CF9AE}" pid="7" name="_2015_ms_pID_7253431">
    <vt:lpwstr>LXrg5QCf2EDViftIZsm3KexV5eIIbpFQuPz/Vzl9Ecjifz7RssaXjm
mctZSfBjySn5fApxZybrOoPdqKOphb1qM/Gdr96UsK5DzdLootwN25nLsjjEBOudRxA8z7Lw
wHIcvbZi0O2wI9gaeK6B3DJOxap1WYGV3wjLLZ+0HuALxT1J+mkmIcPOT5WOl+kfYWY1QoDV
Onq+1fTF1TzOo2ir7Dk2jzryY6YMNSnbYDxI</vt:lpwstr>
  </property>
  <property fmtid="{D5CDD505-2E9C-101B-9397-08002B2CF9AE}" pid="8" name="_2015_ms_pID_7253432">
    <vt:lpwstr>4w==</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1540172733</vt:lpwstr>
  </property>
  <property fmtid="{D5CDD505-2E9C-101B-9397-08002B2CF9AE}" pid="13" name="ContentTypeId">
    <vt:lpwstr>0x010100FDFC5373633572458AE0566257CEC345</vt:lpwstr>
  </property>
  <property fmtid="{D5CDD505-2E9C-101B-9397-08002B2CF9AE}" pid="14" name="MediaServiceImageTags">
    <vt:lpwstr/>
  </property>
</Properties>
</file>